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codeName="ThisWorkbook" autoCompressPictures="0" defaultThemeVersion="124226"/>
  <mc:AlternateContent xmlns:mc="http://schemas.openxmlformats.org/markup-compatibility/2006">
    <mc:Choice Requires="x15">
      <x15ac:absPath xmlns:x15ac="http://schemas.microsoft.com/office/spreadsheetml/2010/11/ac" url="C:\Users\Edzard\Documents\MIDDEN modeling\Models\"/>
    </mc:Choice>
  </mc:AlternateContent>
  <xr:revisionPtr revIDLastSave="0" documentId="10_ncr:8100000_{8F2C7A7E-B90A-4B86-A592-36C1CA8E76C4}" xr6:coauthVersionLast="33" xr6:coauthVersionMax="33" xr10:uidLastSave="{00000000-0000-0000-0000-000000000000}"/>
  <bookViews>
    <workbookView xWindow="0" yWindow="465" windowWidth="28800" windowHeight="17535" activeTab="2" xr2:uid="{00000000-000D-0000-FFFF-FFFF00000000}"/>
  </bookViews>
  <sheets>
    <sheet name="READ" sheetId="2" r:id="rId1"/>
    <sheet name="Scenario" sheetId="9" r:id="rId2"/>
    <sheet name="Experiment" sheetId="27" r:id="rId3"/>
    <sheet name="Template_calc" sheetId="7" r:id="rId4"/>
    <sheet name="Technology characteristics" sheetId="13" r:id="rId5"/>
    <sheet name="Current plant configuration" sheetId="16" r:id="rId6"/>
    <sheet name="Company_data" sheetId="14" r:id="rId7"/>
    <sheet name="Commodity_data" sheetId="17" r:id="rId8"/>
    <sheet name="Comments" sheetId="18" r:id="rId9"/>
  </sheets>
  <definedNames>
    <definedName name="CO2_scenario">Template_calc!$E$20</definedName>
    <definedName name="CO2scenario">Template_calc!$E$20</definedName>
    <definedName name="Direct_emissions">Experiment!$C$51:$D$51</definedName>
    <definedName name="Direct_emissions_change">Experiment!$C$42:$D$42</definedName>
    <definedName name="Disc_rate">Template_calc!$E$28</definedName>
    <definedName name="Discount_rate">Experiment!$C$9</definedName>
    <definedName name="Efficiency_gain">Experiment!$C$11</definedName>
    <definedName name="Emissions_change">Experiment!$C$44:$D$44</definedName>
    <definedName name="Energy_usage_change">Experiment!$C$41:$D$41</definedName>
    <definedName name="Gas_tax">Experiment!$C$27</definedName>
    <definedName name="Green_electricity_subsidy">Experiment!$C$28</definedName>
    <definedName name="Indirect_emissions">Experiment!$C$52:$D$52</definedName>
    <definedName name="Indirect_emissions_change">Experiment!$C$43:$D$43</definedName>
    <definedName name="Investment_year">Experiment!$C$25</definedName>
    <definedName name="Lifetime">Template_calc!$E$30</definedName>
    <definedName name="Net_emissions">Experiment!$C$53:$D$53</definedName>
    <definedName name="NPV">Experiment!$C$40:$D$40</definedName>
    <definedName name="NPV_of_pathway">Experiment!$C$40:$D$40</definedName>
    <definedName name="NPV_test">Experiment!$C$49</definedName>
    <definedName name="P_direct_emission_change">Experiment!$C$46:$D$46</definedName>
    <definedName name="P_indirect_emission_change">Experiment!$C$47:$D$47</definedName>
    <definedName name="Plant_name">Template_calc!$E$13</definedName>
    <definedName name="Plant_number">Experiment!$C$17</definedName>
    <definedName name="Price_scenario">Experiment!$C$8</definedName>
    <definedName name="Production_uncertainty">Experiment!$C$10</definedName>
    <definedName name="Steam_Number">Template_calc!$E$17</definedName>
    <definedName name="Steam_Tech">Template_calc!$E$16</definedName>
    <definedName name="Steam_tech_amount">Experiment!$C$20</definedName>
    <definedName name="Steam_tech_explored">Experiment!$C$19</definedName>
    <definedName name="Tec_chosen">Template_calc!$E$16</definedName>
    <definedName name="Tot_steam_production">Template_calc!#REF!</definedName>
    <definedName name="TotalInvestment">Template_calc!#REF!</definedName>
    <definedName name="Vapor_Number">Template_calc!$E$19</definedName>
    <definedName name="Vapor_Tech">Template_calc!$E$18</definedName>
    <definedName name="Vapor_tech_amount">Experiment!$C$23</definedName>
    <definedName name="Vapor_tech_explored">Experiment!$C$22</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N11" i="9" l="1"/>
  <c r="AN12" i="9"/>
  <c r="AN13" i="9"/>
  <c r="AN14" i="9"/>
  <c r="AN15" i="9"/>
  <c r="AN16" i="9"/>
  <c r="AN17" i="9"/>
  <c r="AN18" i="9"/>
  <c r="AN19" i="9"/>
  <c r="AN20" i="9"/>
  <c r="AN21" i="9"/>
  <c r="AN22" i="9"/>
  <c r="E13" i="7" l="1"/>
  <c r="B41" i="7" l="1"/>
  <c r="B42" i="7"/>
  <c r="F120" i="7"/>
  <c r="E31" i="7"/>
  <c r="E207" i="7" s="1"/>
  <c r="E19" i="7"/>
  <c r="E17" i="7"/>
  <c r="B38" i="7"/>
  <c r="E20" i="7"/>
  <c r="G42" i="7" s="1"/>
  <c r="G38" i="7" l="1"/>
  <c r="G41" i="7"/>
  <c r="E28" i="7" l="1"/>
  <c r="E18" i="7"/>
  <c r="E16" i="7"/>
  <c r="C41" i="7" l="1"/>
  <c r="C42" i="7"/>
  <c r="C38" i="7"/>
  <c r="D39" i="7"/>
  <c r="X18" i="13"/>
  <c r="X17" i="13"/>
  <c r="X16" i="13"/>
  <c r="X15" i="13"/>
  <c r="C35" i="27" l="1"/>
  <c r="D35" i="27" s="1"/>
  <c r="E108" i="7"/>
  <c r="C130" i="7" l="1"/>
  <c r="C128" i="7"/>
  <c r="C129" i="7"/>
  <c r="C36" i="27" l="1"/>
  <c r="D36" i="27" s="1"/>
  <c r="D130" i="7" l="1"/>
  <c r="E30" i="7" s="1"/>
  <c r="D128" i="7"/>
  <c r="D129" i="7"/>
  <c r="C44" i="7"/>
  <c r="C39" i="7"/>
  <c r="C37" i="7"/>
  <c r="C40" i="7"/>
  <c r="C43" i="7"/>
  <c r="R220" i="7" l="1"/>
  <c r="V220" i="7"/>
  <c r="S220" i="7"/>
  <c r="W220" i="7"/>
  <c r="P220" i="7"/>
  <c r="T220" i="7"/>
  <c r="X220" i="7"/>
  <c r="Q220" i="7"/>
  <c r="U220" i="7"/>
  <c r="O220" i="7"/>
  <c r="E27" i="7"/>
  <c r="P60" i="9"/>
  <c r="Q60" i="9"/>
  <c r="R60" i="9"/>
  <c r="S60" i="9"/>
  <c r="T60" i="9"/>
  <c r="U60" i="9"/>
  <c r="V60" i="9"/>
  <c r="W60" i="9"/>
  <c r="P61" i="9"/>
  <c r="Q61" i="9"/>
  <c r="R61" i="9"/>
  <c r="S61" i="9"/>
  <c r="T61" i="9"/>
  <c r="U61" i="9"/>
  <c r="V61" i="9"/>
  <c r="W61" i="9"/>
  <c r="P62" i="9"/>
  <c r="Q62" i="9"/>
  <c r="R62" i="9"/>
  <c r="S62" i="9"/>
  <c r="T62" i="9"/>
  <c r="U62" i="9"/>
  <c r="V62" i="9"/>
  <c r="W62" i="9"/>
  <c r="O61" i="9"/>
  <c r="O62" i="9"/>
  <c r="O60" i="9"/>
  <c r="O49" i="9"/>
  <c r="P49" i="9"/>
  <c r="Q49" i="9"/>
  <c r="R49" i="9"/>
  <c r="S49" i="9"/>
  <c r="T49" i="9"/>
  <c r="U49" i="9"/>
  <c r="V49" i="9"/>
  <c r="W49" i="9"/>
  <c r="O50" i="9"/>
  <c r="P50" i="9"/>
  <c r="Q50" i="9"/>
  <c r="R50" i="9"/>
  <c r="S50" i="9"/>
  <c r="T50" i="9"/>
  <c r="U50" i="9"/>
  <c r="V50" i="9"/>
  <c r="W50" i="9"/>
  <c r="P48" i="9"/>
  <c r="Q48" i="9"/>
  <c r="R48" i="9"/>
  <c r="S48" i="9"/>
  <c r="T48" i="9"/>
  <c r="U48" i="9"/>
  <c r="V48" i="9"/>
  <c r="W48" i="9"/>
  <c r="O48" i="9"/>
  <c r="J60" i="9"/>
  <c r="K60" i="9"/>
  <c r="L60" i="9"/>
  <c r="M60" i="9"/>
  <c r="J61" i="9"/>
  <c r="K61" i="9"/>
  <c r="L61" i="9"/>
  <c r="M61" i="9"/>
  <c r="J62" i="9"/>
  <c r="K62" i="9"/>
  <c r="L62" i="9"/>
  <c r="M62" i="9"/>
  <c r="I61" i="9"/>
  <c r="I62" i="9"/>
  <c r="I60" i="9"/>
  <c r="I50" i="9"/>
  <c r="J50" i="9"/>
  <c r="K50" i="9"/>
  <c r="L50" i="9"/>
  <c r="M50" i="9"/>
  <c r="I49" i="9"/>
  <c r="J49" i="9"/>
  <c r="K49" i="9"/>
  <c r="L49" i="9"/>
  <c r="M49" i="9"/>
  <c r="J48" i="9"/>
  <c r="K48" i="9"/>
  <c r="L48" i="9"/>
  <c r="M48" i="9"/>
  <c r="I48" i="9"/>
  <c r="H63" i="9"/>
  <c r="I63" i="9"/>
  <c r="J63" i="9"/>
  <c r="K63" i="9"/>
  <c r="L63" i="9"/>
  <c r="M63" i="9"/>
  <c r="N63" i="9"/>
  <c r="O63" i="9"/>
  <c r="P63" i="9"/>
  <c r="Q63" i="9"/>
  <c r="R63" i="9"/>
  <c r="S63" i="9"/>
  <c r="T63" i="9"/>
  <c r="U63" i="9"/>
  <c r="V63" i="9"/>
  <c r="W63" i="9"/>
  <c r="X63" i="9"/>
  <c r="H64" i="9"/>
  <c r="I64" i="9"/>
  <c r="J64" i="9"/>
  <c r="K64" i="9"/>
  <c r="L64" i="9"/>
  <c r="M64" i="9"/>
  <c r="N64" i="9"/>
  <c r="O64" i="9"/>
  <c r="P64" i="9"/>
  <c r="Q64" i="9"/>
  <c r="R64" i="9"/>
  <c r="S64" i="9"/>
  <c r="T64" i="9"/>
  <c r="U64" i="9"/>
  <c r="V64" i="9"/>
  <c r="W64" i="9"/>
  <c r="X64" i="9"/>
  <c r="H65" i="9"/>
  <c r="I65" i="9"/>
  <c r="J65" i="9"/>
  <c r="K65" i="9"/>
  <c r="L65" i="9"/>
  <c r="M65" i="9"/>
  <c r="N65" i="9"/>
  <c r="O65" i="9"/>
  <c r="P65" i="9"/>
  <c r="Q65" i="9"/>
  <c r="R65" i="9"/>
  <c r="S65" i="9"/>
  <c r="T65" i="9"/>
  <c r="U65" i="9"/>
  <c r="V65" i="9"/>
  <c r="W65" i="9"/>
  <c r="X65" i="9"/>
  <c r="H66" i="9"/>
  <c r="I66" i="9"/>
  <c r="J66" i="9"/>
  <c r="K66" i="9"/>
  <c r="L66" i="9"/>
  <c r="M66" i="9"/>
  <c r="N66" i="9"/>
  <c r="O66" i="9"/>
  <c r="P66" i="9"/>
  <c r="Q66" i="9"/>
  <c r="R66" i="9"/>
  <c r="S66" i="9"/>
  <c r="T66" i="9"/>
  <c r="U66" i="9"/>
  <c r="V66" i="9"/>
  <c r="W66" i="9"/>
  <c r="X66" i="9"/>
  <c r="H67" i="9"/>
  <c r="I67" i="9"/>
  <c r="J67" i="9"/>
  <c r="K67" i="9"/>
  <c r="L67" i="9"/>
  <c r="M67" i="9"/>
  <c r="N67" i="9"/>
  <c r="O67" i="9"/>
  <c r="P67" i="9"/>
  <c r="Q67" i="9"/>
  <c r="R67" i="9"/>
  <c r="S67" i="9"/>
  <c r="T67" i="9"/>
  <c r="U67" i="9"/>
  <c r="V67" i="9"/>
  <c r="W67" i="9"/>
  <c r="X67" i="9"/>
  <c r="H68" i="9"/>
  <c r="I68" i="9"/>
  <c r="J68" i="9"/>
  <c r="K68" i="9"/>
  <c r="L68" i="9"/>
  <c r="M68" i="9"/>
  <c r="N68" i="9"/>
  <c r="O68" i="9"/>
  <c r="P68" i="9"/>
  <c r="Q68" i="9"/>
  <c r="R68" i="9"/>
  <c r="S68" i="9"/>
  <c r="T68" i="9"/>
  <c r="U68" i="9"/>
  <c r="V68" i="9"/>
  <c r="W68" i="9"/>
  <c r="X68" i="9"/>
  <c r="H69" i="9"/>
  <c r="I69" i="9"/>
  <c r="J69" i="9"/>
  <c r="K69" i="9"/>
  <c r="L69" i="9"/>
  <c r="M69" i="9"/>
  <c r="N69" i="9"/>
  <c r="O69" i="9"/>
  <c r="P69" i="9"/>
  <c r="Q69" i="9"/>
  <c r="R69" i="9"/>
  <c r="S69" i="9"/>
  <c r="T69" i="9"/>
  <c r="U69" i="9"/>
  <c r="V69" i="9"/>
  <c r="W69" i="9"/>
  <c r="X69" i="9"/>
  <c r="H70" i="9"/>
  <c r="I70" i="9"/>
  <c r="J70" i="9"/>
  <c r="K70" i="9"/>
  <c r="L70" i="9"/>
  <c r="M70" i="9"/>
  <c r="N70" i="9"/>
  <c r="O70" i="9"/>
  <c r="P70" i="9"/>
  <c r="Q70" i="9"/>
  <c r="R70" i="9"/>
  <c r="S70" i="9"/>
  <c r="T70" i="9"/>
  <c r="U70" i="9"/>
  <c r="V70" i="9"/>
  <c r="W70" i="9"/>
  <c r="X70" i="9"/>
  <c r="H71" i="9"/>
  <c r="I71" i="9"/>
  <c r="J71" i="9"/>
  <c r="K71" i="9"/>
  <c r="L71" i="9"/>
  <c r="M71" i="9"/>
  <c r="N71" i="9"/>
  <c r="O71" i="9"/>
  <c r="P71" i="9"/>
  <c r="Q71" i="9"/>
  <c r="R71" i="9"/>
  <c r="S71" i="9"/>
  <c r="T71" i="9"/>
  <c r="U71" i="9"/>
  <c r="V71" i="9"/>
  <c r="W71" i="9"/>
  <c r="X71" i="9"/>
  <c r="E60" i="9"/>
  <c r="F60" i="9"/>
  <c r="G60" i="9"/>
  <c r="E61" i="9"/>
  <c r="F61" i="9"/>
  <c r="G61" i="9"/>
  <c r="E62" i="9"/>
  <c r="F62" i="9"/>
  <c r="G62" i="9"/>
  <c r="E63" i="9"/>
  <c r="F63" i="9"/>
  <c r="G63" i="9"/>
  <c r="E64" i="9"/>
  <c r="F64" i="9"/>
  <c r="G64" i="9"/>
  <c r="E65" i="9"/>
  <c r="F65" i="9"/>
  <c r="G65" i="9"/>
  <c r="E66" i="9"/>
  <c r="F66" i="9"/>
  <c r="G66" i="9"/>
  <c r="E67" i="9"/>
  <c r="F67" i="9"/>
  <c r="G67" i="9"/>
  <c r="E68" i="9"/>
  <c r="F68" i="9"/>
  <c r="G68" i="9"/>
  <c r="E69" i="9"/>
  <c r="F69" i="9"/>
  <c r="G69" i="9"/>
  <c r="E70" i="9"/>
  <c r="F70" i="9"/>
  <c r="G70" i="9"/>
  <c r="E71" i="9"/>
  <c r="F71" i="9"/>
  <c r="G71" i="9"/>
  <c r="D61" i="9"/>
  <c r="D62" i="9"/>
  <c r="D63" i="9"/>
  <c r="D64" i="9"/>
  <c r="D65" i="9"/>
  <c r="D66" i="9"/>
  <c r="D67" i="9"/>
  <c r="D68" i="9"/>
  <c r="D69" i="9"/>
  <c r="D70" i="9"/>
  <c r="D71" i="9"/>
  <c r="D60" i="9"/>
  <c r="AE60" i="9"/>
  <c r="AE61" i="9"/>
  <c r="AE62" i="9"/>
  <c r="AE63" i="9"/>
  <c r="AE64" i="9"/>
  <c r="AE65" i="9"/>
  <c r="AE66" i="9"/>
  <c r="AE67" i="9"/>
  <c r="AE68" i="9"/>
  <c r="AE69" i="9"/>
  <c r="AE70" i="9"/>
  <c r="AE71" i="9"/>
  <c r="AE36" i="9"/>
  <c r="AE37" i="9"/>
  <c r="AE38" i="9"/>
  <c r="AE39" i="9"/>
  <c r="AE40" i="9"/>
  <c r="AE41" i="9"/>
  <c r="AE42" i="9"/>
  <c r="AE43" i="9"/>
  <c r="AE44" i="9"/>
  <c r="AE45" i="9"/>
  <c r="AE46" i="9"/>
  <c r="AE47" i="9"/>
  <c r="AE48" i="9"/>
  <c r="AE49" i="9"/>
  <c r="AE50" i="9"/>
  <c r="AE51" i="9"/>
  <c r="AE52" i="9"/>
  <c r="AE53" i="9"/>
  <c r="AE54" i="9"/>
  <c r="AE55" i="9"/>
  <c r="AE56" i="9"/>
  <c r="AE57" i="9"/>
  <c r="AE58" i="9"/>
  <c r="AE59" i="9"/>
  <c r="H51" i="9"/>
  <c r="I51" i="9"/>
  <c r="J51" i="9"/>
  <c r="K51" i="9"/>
  <c r="L51" i="9"/>
  <c r="M51" i="9"/>
  <c r="N51" i="9"/>
  <c r="O51" i="9"/>
  <c r="P51" i="9"/>
  <c r="Q51" i="9"/>
  <c r="R51" i="9"/>
  <c r="S51" i="9"/>
  <c r="T51" i="9"/>
  <c r="U51" i="9"/>
  <c r="V51" i="9"/>
  <c r="W51" i="9"/>
  <c r="X51" i="9"/>
  <c r="H52" i="9"/>
  <c r="I52" i="9"/>
  <c r="J52" i="9"/>
  <c r="K52" i="9"/>
  <c r="L52" i="9"/>
  <c r="M52" i="9"/>
  <c r="N52" i="9"/>
  <c r="O52" i="9"/>
  <c r="P52" i="9"/>
  <c r="Q52" i="9"/>
  <c r="R52" i="9"/>
  <c r="S52" i="9"/>
  <c r="T52" i="9"/>
  <c r="U52" i="9"/>
  <c r="V52" i="9"/>
  <c r="W52" i="9"/>
  <c r="X52" i="9"/>
  <c r="H53" i="9"/>
  <c r="I53" i="9"/>
  <c r="J53" i="9"/>
  <c r="K53" i="9"/>
  <c r="L53" i="9"/>
  <c r="M53" i="9"/>
  <c r="N53" i="9"/>
  <c r="O53" i="9"/>
  <c r="P53" i="9"/>
  <c r="Q53" i="9"/>
  <c r="R53" i="9"/>
  <c r="S53" i="9"/>
  <c r="T53" i="9"/>
  <c r="U53" i="9"/>
  <c r="V53" i="9"/>
  <c r="W53" i="9"/>
  <c r="X53" i="9"/>
  <c r="H54" i="9"/>
  <c r="I54" i="9"/>
  <c r="J54" i="9"/>
  <c r="K54" i="9"/>
  <c r="L54" i="9"/>
  <c r="M54" i="9"/>
  <c r="N54" i="9"/>
  <c r="O54" i="9"/>
  <c r="P54" i="9"/>
  <c r="Q54" i="9"/>
  <c r="R54" i="9"/>
  <c r="S54" i="9"/>
  <c r="T54" i="9"/>
  <c r="U54" i="9"/>
  <c r="V54" i="9"/>
  <c r="W54" i="9"/>
  <c r="X54" i="9"/>
  <c r="H55" i="9"/>
  <c r="I55" i="9"/>
  <c r="J55" i="9"/>
  <c r="K55" i="9"/>
  <c r="L55" i="9"/>
  <c r="M55" i="9"/>
  <c r="N55" i="9"/>
  <c r="O55" i="9"/>
  <c r="P55" i="9"/>
  <c r="Q55" i="9"/>
  <c r="R55" i="9"/>
  <c r="S55" i="9"/>
  <c r="T55" i="9"/>
  <c r="U55" i="9"/>
  <c r="V55" i="9"/>
  <c r="W55" i="9"/>
  <c r="X55" i="9"/>
  <c r="H56" i="9"/>
  <c r="I56" i="9"/>
  <c r="J56" i="9"/>
  <c r="K56" i="9"/>
  <c r="L56" i="9"/>
  <c r="M56" i="9"/>
  <c r="N56" i="9"/>
  <c r="O56" i="9"/>
  <c r="P56" i="9"/>
  <c r="Q56" i="9"/>
  <c r="R56" i="9"/>
  <c r="S56" i="9"/>
  <c r="T56" i="9"/>
  <c r="U56" i="9"/>
  <c r="V56" i="9"/>
  <c r="W56" i="9"/>
  <c r="X56" i="9"/>
  <c r="H57" i="9"/>
  <c r="I57" i="9"/>
  <c r="J57" i="9"/>
  <c r="K57" i="9"/>
  <c r="L57" i="9"/>
  <c r="M57" i="9"/>
  <c r="N57" i="9"/>
  <c r="O57" i="9"/>
  <c r="P57" i="9"/>
  <c r="Q57" i="9"/>
  <c r="R57" i="9"/>
  <c r="S57" i="9"/>
  <c r="T57" i="9"/>
  <c r="U57" i="9"/>
  <c r="V57" i="9"/>
  <c r="W57" i="9"/>
  <c r="X57" i="9"/>
  <c r="H58" i="9"/>
  <c r="I58" i="9"/>
  <c r="J58" i="9"/>
  <c r="K58" i="9"/>
  <c r="L58" i="9"/>
  <c r="M58" i="9"/>
  <c r="N58" i="9"/>
  <c r="O58" i="9"/>
  <c r="P58" i="9"/>
  <c r="Q58" i="9"/>
  <c r="R58" i="9"/>
  <c r="S58" i="9"/>
  <c r="T58" i="9"/>
  <c r="U58" i="9"/>
  <c r="V58" i="9"/>
  <c r="W58" i="9"/>
  <c r="X58" i="9"/>
  <c r="H59" i="9"/>
  <c r="I59" i="9"/>
  <c r="J59" i="9"/>
  <c r="K59" i="9"/>
  <c r="L59" i="9"/>
  <c r="M59" i="9"/>
  <c r="N59" i="9"/>
  <c r="O59" i="9"/>
  <c r="P59" i="9"/>
  <c r="Q59" i="9"/>
  <c r="R59" i="9"/>
  <c r="S59" i="9"/>
  <c r="T59" i="9"/>
  <c r="U59" i="9"/>
  <c r="V59" i="9"/>
  <c r="W59" i="9"/>
  <c r="X59" i="9"/>
  <c r="D50" i="9"/>
  <c r="E50" i="9"/>
  <c r="F50" i="9"/>
  <c r="G50" i="9"/>
  <c r="D51" i="9"/>
  <c r="E51" i="9"/>
  <c r="F51" i="9"/>
  <c r="G51" i="9"/>
  <c r="D52" i="9"/>
  <c r="E52" i="9"/>
  <c r="F52" i="9"/>
  <c r="G52" i="9"/>
  <c r="D53" i="9"/>
  <c r="E53" i="9"/>
  <c r="F53" i="9"/>
  <c r="G53" i="9"/>
  <c r="D54" i="9"/>
  <c r="E54" i="9"/>
  <c r="F54" i="9"/>
  <c r="G54" i="9"/>
  <c r="D55" i="9"/>
  <c r="E55" i="9"/>
  <c r="F55" i="9"/>
  <c r="G55" i="9"/>
  <c r="D56" i="9"/>
  <c r="E56" i="9"/>
  <c r="F56" i="9"/>
  <c r="G56" i="9"/>
  <c r="D57" i="9"/>
  <c r="E57" i="9"/>
  <c r="F57" i="9"/>
  <c r="G57" i="9"/>
  <c r="D58" i="9"/>
  <c r="E58" i="9"/>
  <c r="F58" i="9"/>
  <c r="G58" i="9"/>
  <c r="D59" i="9"/>
  <c r="E59" i="9"/>
  <c r="F59" i="9"/>
  <c r="G59" i="9"/>
  <c r="E49" i="9"/>
  <c r="F49" i="9"/>
  <c r="G49" i="9"/>
  <c r="D49" i="9"/>
  <c r="E48" i="9"/>
  <c r="F48" i="9"/>
  <c r="G48" i="9"/>
  <c r="D48" i="9"/>
  <c r="G44" i="7" l="1"/>
  <c r="G39" i="7"/>
  <c r="G37" i="7"/>
  <c r="G40" i="7"/>
  <c r="G43" i="7"/>
  <c r="E22" i="9"/>
  <c r="F153" i="7" s="1"/>
  <c r="I22" i="9"/>
  <c r="J153" i="7" s="1"/>
  <c r="M22" i="9"/>
  <c r="N153" i="7" s="1"/>
  <c r="Q22" i="9"/>
  <c r="R153" i="7" s="1"/>
  <c r="U22" i="9"/>
  <c r="V153" i="7" s="1"/>
  <c r="V22" i="9"/>
  <c r="W153" i="7" s="1"/>
  <c r="H22" i="9"/>
  <c r="I153" i="7" s="1"/>
  <c r="T22" i="9"/>
  <c r="U153" i="7" s="1"/>
  <c r="F22" i="9"/>
  <c r="G153" i="7" s="1"/>
  <c r="J22" i="9"/>
  <c r="K153" i="7" s="1"/>
  <c r="N22" i="9"/>
  <c r="O153" i="7" s="1"/>
  <c r="R22" i="9"/>
  <c r="S153" i="7" s="1"/>
  <c r="L22" i="9"/>
  <c r="M153" i="7" s="1"/>
  <c r="X22" i="9"/>
  <c r="Y153" i="7" s="1"/>
  <c r="G22" i="9"/>
  <c r="H153" i="7" s="1"/>
  <c r="K22" i="9"/>
  <c r="L153" i="7" s="1"/>
  <c r="O22" i="9"/>
  <c r="P153" i="7" s="1"/>
  <c r="S22" i="9"/>
  <c r="T153" i="7" s="1"/>
  <c r="W22" i="9"/>
  <c r="X153" i="7" s="1"/>
  <c r="D22" i="9"/>
  <c r="E153" i="7" s="1"/>
  <c r="P22" i="9"/>
  <c r="Q153" i="7" s="1"/>
  <c r="E14" i="9"/>
  <c r="F145" i="7" s="1"/>
  <c r="I14" i="9"/>
  <c r="J145" i="7" s="1"/>
  <c r="M14" i="9"/>
  <c r="N145" i="7" s="1"/>
  <c r="Q14" i="9"/>
  <c r="R145" i="7" s="1"/>
  <c r="U14" i="9"/>
  <c r="V145" i="7" s="1"/>
  <c r="P14" i="9"/>
  <c r="Q145" i="7" s="1"/>
  <c r="F14" i="9"/>
  <c r="G145" i="7" s="1"/>
  <c r="J14" i="9"/>
  <c r="K145" i="7" s="1"/>
  <c r="N14" i="9"/>
  <c r="O145" i="7" s="1"/>
  <c r="R14" i="9"/>
  <c r="S145" i="7" s="1"/>
  <c r="V14" i="9"/>
  <c r="W145" i="7" s="1"/>
  <c r="H14" i="9"/>
  <c r="I145" i="7" s="1"/>
  <c r="T14" i="9"/>
  <c r="U145" i="7" s="1"/>
  <c r="G14" i="9"/>
  <c r="H145" i="7" s="1"/>
  <c r="K14" i="9"/>
  <c r="L145" i="7" s="1"/>
  <c r="O14" i="9"/>
  <c r="P145" i="7" s="1"/>
  <c r="S14" i="9"/>
  <c r="T145" i="7" s="1"/>
  <c r="W14" i="9"/>
  <c r="X145" i="7" s="1"/>
  <c r="D14" i="9"/>
  <c r="E145" i="7" s="1"/>
  <c r="L14" i="9"/>
  <c r="M145" i="7" s="1"/>
  <c r="X14" i="9"/>
  <c r="Y145" i="7" s="1"/>
  <c r="E13" i="9"/>
  <c r="F144" i="7" s="1"/>
  <c r="I13" i="9"/>
  <c r="J144" i="7" s="1"/>
  <c r="M13" i="9"/>
  <c r="N144" i="7" s="1"/>
  <c r="Q13" i="9"/>
  <c r="R144" i="7" s="1"/>
  <c r="U13" i="9"/>
  <c r="V144" i="7" s="1"/>
  <c r="L13" i="9"/>
  <c r="M144" i="7" s="1"/>
  <c r="X13" i="9"/>
  <c r="Y144" i="7" s="1"/>
  <c r="F13" i="9"/>
  <c r="G144" i="7" s="1"/>
  <c r="J13" i="9"/>
  <c r="K144" i="7" s="1"/>
  <c r="N13" i="9"/>
  <c r="O144" i="7" s="1"/>
  <c r="R13" i="9"/>
  <c r="S144" i="7" s="1"/>
  <c r="V13" i="9"/>
  <c r="W144" i="7" s="1"/>
  <c r="D13" i="9"/>
  <c r="E144" i="7" s="1"/>
  <c r="P13" i="9"/>
  <c r="Q144" i="7" s="1"/>
  <c r="G13" i="9"/>
  <c r="H144" i="7" s="1"/>
  <c r="K13" i="9"/>
  <c r="L144" i="7" s="1"/>
  <c r="O13" i="9"/>
  <c r="P144" i="7" s="1"/>
  <c r="S13" i="9"/>
  <c r="T144" i="7" s="1"/>
  <c r="W13" i="9"/>
  <c r="X144" i="7" s="1"/>
  <c r="H13" i="9"/>
  <c r="I144" i="7" s="1"/>
  <c r="T13" i="9"/>
  <c r="U144" i="7" s="1"/>
  <c r="E20" i="9"/>
  <c r="F151" i="7" s="1"/>
  <c r="I20" i="9"/>
  <c r="J151" i="7" s="1"/>
  <c r="M20" i="9"/>
  <c r="N151" i="7" s="1"/>
  <c r="Q20" i="9"/>
  <c r="R151" i="7" s="1"/>
  <c r="U20" i="9"/>
  <c r="V151" i="7" s="1"/>
  <c r="D20" i="9"/>
  <c r="E151" i="7" s="1"/>
  <c r="L20" i="9"/>
  <c r="M151" i="7" s="1"/>
  <c r="X20" i="9"/>
  <c r="Y151" i="7" s="1"/>
  <c r="F20" i="9"/>
  <c r="G151" i="7" s="1"/>
  <c r="J20" i="9"/>
  <c r="K151" i="7" s="1"/>
  <c r="N20" i="9"/>
  <c r="R20" i="9"/>
  <c r="S151" i="7" s="1"/>
  <c r="V20" i="9"/>
  <c r="W151" i="7" s="1"/>
  <c r="H20" i="9"/>
  <c r="I151" i="7" s="1"/>
  <c r="P20" i="9"/>
  <c r="Q151" i="7" s="1"/>
  <c r="G20" i="9"/>
  <c r="H151" i="7" s="1"/>
  <c r="K20" i="9"/>
  <c r="L151" i="7" s="1"/>
  <c r="O20" i="9"/>
  <c r="P151" i="7" s="1"/>
  <c r="S20" i="9"/>
  <c r="T151" i="7" s="1"/>
  <c r="W20" i="9"/>
  <c r="X151" i="7" s="1"/>
  <c r="T20" i="9"/>
  <c r="U151" i="7" s="1"/>
  <c r="E16" i="9"/>
  <c r="F147" i="7" s="1"/>
  <c r="I16" i="9"/>
  <c r="J147" i="7" s="1"/>
  <c r="M16" i="9"/>
  <c r="N147" i="7" s="1"/>
  <c r="Q16" i="9"/>
  <c r="R147" i="7" s="1"/>
  <c r="U16" i="9"/>
  <c r="V147" i="7" s="1"/>
  <c r="D16" i="9"/>
  <c r="E147" i="7" s="1"/>
  <c r="L16" i="9"/>
  <c r="M147" i="7" s="1"/>
  <c r="X16" i="9"/>
  <c r="Y147" i="7" s="1"/>
  <c r="F16" i="9"/>
  <c r="G147" i="7" s="1"/>
  <c r="J16" i="9"/>
  <c r="K147" i="7" s="1"/>
  <c r="N16" i="9"/>
  <c r="R16" i="9"/>
  <c r="S147" i="7" s="1"/>
  <c r="V16" i="9"/>
  <c r="W147" i="7" s="1"/>
  <c r="P16" i="9"/>
  <c r="Q147" i="7" s="1"/>
  <c r="G16" i="9"/>
  <c r="H147" i="7" s="1"/>
  <c r="K16" i="9"/>
  <c r="L147" i="7" s="1"/>
  <c r="O16" i="9"/>
  <c r="P147" i="7" s="1"/>
  <c r="S16" i="9"/>
  <c r="T147" i="7" s="1"/>
  <c r="W16" i="9"/>
  <c r="X147" i="7" s="1"/>
  <c r="H16" i="9"/>
  <c r="I147" i="7" s="1"/>
  <c r="T16" i="9"/>
  <c r="U147" i="7" s="1"/>
  <c r="E12" i="9"/>
  <c r="F143" i="7" s="1"/>
  <c r="I12" i="9"/>
  <c r="J143" i="7" s="1"/>
  <c r="M12" i="9"/>
  <c r="N143" i="7" s="1"/>
  <c r="Q12" i="9"/>
  <c r="R143" i="7" s="1"/>
  <c r="U12" i="9"/>
  <c r="V143" i="7" s="1"/>
  <c r="D12" i="9"/>
  <c r="E143" i="7" s="1"/>
  <c r="L12" i="9"/>
  <c r="M143" i="7" s="1"/>
  <c r="X12" i="9"/>
  <c r="Y143" i="7" s="1"/>
  <c r="F12" i="9"/>
  <c r="G143" i="7" s="1"/>
  <c r="J12" i="9"/>
  <c r="K143" i="7" s="1"/>
  <c r="N12" i="9"/>
  <c r="O143" i="7" s="1"/>
  <c r="R12" i="9"/>
  <c r="S143" i="7" s="1"/>
  <c r="V12" i="9"/>
  <c r="W143" i="7" s="1"/>
  <c r="H12" i="9"/>
  <c r="I143" i="7" s="1"/>
  <c r="T12" i="9"/>
  <c r="U143" i="7" s="1"/>
  <c r="G12" i="9"/>
  <c r="H143" i="7" s="1"/>
  <c r="K12" i="9"/>
  <c r="L143" i="7" s="1"/>
  <c r="O12" i="9"/>
  <c r="P143" i="7" s="1"/>
  <c r="S12" i="9"/>
  <c r="T143" i="7" s="1"/>
  <c r="W12" i="9"/>
  <c r="X143" i="7" s="1"/>
  <c r="P12" i="9"/>
  <c r="Q143" i="7" s="1"/>
  <c r="E18" i="9"/>
  <c r="F149" i="7" s="1"/>
  <c r="I18" i="9"/>
  <c r="J149" i="7" s="1"/>
  <c r="M18" i="9"/>
  <c r="N149" i="7" s="1"/>
  <c r="Q18" i="9"/>
  <c r="R149" i="7" s="1"/>
  <c r="U18" i="9"/>
  <c r="V149" i="7" s="1"/>
  <c r="H18" i="9"/>
  <c r="I149" i="7" s="1"/>
  <c r="T18" i="9"/>
  <c r="U149" i="7" s="1"/>
  <c r="F18" i="9"/>
  <c r="G149" i="7" s="1"/>
  <c r="J18" i="9"/>
  <c r="K149" i="7" s="1"/>
  <c r="N18" i="9"/>
  <c r="O149" i="7" s="1"/>
  <c r="R18" i="9"/>
  <c r="S149" i="7" s="1"/>
  <c r="V18" i="9"/>
  <c r="W149" i="7" s="1"/>
  <c r="L18" i="9"/>
  <c r="M149" i="7" s="1"/>
  <c r="X18" i="9"/>
  <c r="Y149" i="7" s="1"/>
  <c r="G18" i="9"/>
  <c r="H149" i="7" s="1"/>
  <c r="K18" i="9"/>
  <c r="L149" i="7" s="1"/>
  <c r="O18" i="9"/>
  <c r="P149" i="7" s="1"/>
  <c r="S18" i="9"/>
  <c r="T149" i="7" s="1"/>
  <c r="W18" i="9"/>
  <c r="X149" i="7" s="1"/>
  <c r="D18" i="9"/>
  <c r="E149" i="7" s="1"/>
  <c r="P18" i="9"/>
  <c r="Q149" i="7" s="1"/>
  <c r="E21" i="9"/>
  <c r="F152" i="7" s="1"/>
  <c r="I21" i="9"/>
  <c r="J152" i="7" s="1"/>
  <c r="M21" i="9"/>
  <c r="N152" i="7" s="1"/>
  <c r="Q21" i="9"/>
  <c r="R152" i="7" s="1"/>
  <c r="U21" i="9"/>
  <c r="V152" i="7" s="1"/>
  <c r="P21" i="9"/>
  <c r="Q152" i="7" s="1"/>
  <c r="F21" i="9"/>
  <c r="G152" i="7" s="1"/>
  <c r="J21" i="9"/>
  <c r="K152" i="7" s="1"/>
  <c r="N21" i="9"/>
  <c r="O152" i="7" s="1"/>
  <c r="R21" i="9"/>
  <c r="S152" i="7" s="1"/>
  <c r="V21" i="9"/>
  <c r="W152" i="7" s="1"/>
  <c r="D21" i="9"/>
  <c r="E152" i="7" s="1"/>
  <c r="H21" i="9"/>
  <c r="I152" i="7" s="1"/>
  <c r="T21" i="9"/>
  <c r="U152" i="7" s="1"/>
  <c r="G21" i="9"/>
  <c r="H152" i="7" s="1"/>
  <c r="K21" i="9"/>
  <c r="L152" i="7" s="1"/>
  <c r="O21" i="9"/>
  <c r="P152" i="7" s="1"/>
  <c r="S21" i="9"/>
  <c r="T152" i="7" s="1"/>
  <c r="W21" i="9"/>
  <c r="X152" i="7" s="1"/>
  <c r="L21" i="9"/>
  <c r="M152" i="7" s="1"/>
  <c r="X21" i="9"/>
  <c r="Y152" i="7" s="1"/>
  <c r="E17" i="9"/>
  <c r="F148" i="7" s="1"/>
  <c r="I17" i="9"/>
  <c r="J148" i="7" s="1"/>
  <c r="M17" i="9"/>
  <c r="N148" i="7" s="1"/>
  <c r="Q17" i="9"/>
  <c r="R148" i="7" s="1"/>
  <c r="U17" i="9"/>
  <c r="V148" i="7" s="1"/>
  <c r="D17" i="9"/>
  <c r="E148" i="7" s="1"/>
  <c r="P17" i="9"/>
  <c r="Q148" i="7" s="1"/>
  <c r="F17" i="9"/>
  <c r="G148" i="7" s="1"/>
  <c r="J17" i="9"/>
  <c r="K148" i="7" s="1"/>
  <c r="N17" i="9"/>
  <c r="R17" i="9"/>
  <c r="S148" i="7" s="1"/>
  <c r="V17" i="9"/>
  <c r="W148" i="7" s="1"/>
  <c r="H17" i="9"/>
  <c r="I148" i="7" s="1"/>
  <c r="T17" i="9"/>
  <c r="U148" i="7" s="1"/>
  <c r="G17" i="9"/>
  <c r="H148" i="7" s="1"/>
  <c r="K17" i="9"/>
  <c r="L148" i="7" s="1"/>
  <c r="O17" i="9"/>
  <c r="P148" i="7" s="1"/>
  <c r="S17" i="9"/>
  <c r="T148" i="7" s="1"/>
  <c r="W17" i="9"/>
  <c r="X148" i="7" s="1"/>
  <c r="L17" i="9"/>
  <c r="M148" i="7" s="1"/>
  <c r="X17" i="9"/>
  <c r="E11" i="9"/>
  <c r="F142" i="7" s="1"/>
  <c r="I11" i="9"/>
  <c r="M11" i="9"/>
  <c r="N142" i="7" s="1"/>
  <c r="Q11" i="9"/>
  <c r="R142" i="7" s="1"/>
  <c r="U11" i="9"/>
  <c r="V142" i="7" s="1"/>
  <c r="L11" i="9"/>
  <c r="M142" i="7" s="1"/>
  <c r="F11" i="9"/>
  <c r="G142" i="7" s="1"/>
  <c r="J11" i="9"/>
  <c r="K142" i="7" s="1"/>
  <c r="N11" i="9"/>
  <c r="O142" i="7" s="1"/>
  <c r="R11" i="9"/>
  <c r="S142" i="7" s="1"/>
  <c r="V11" i="9"/>
  <c r="W142" i="7" s="1"/>
  <c r="T11" i="9"/>
  <c r="U142" i="7" s="1"/>
  <c r="D11" i="9"/>
  <c r="E142" i="7" s="1"/>
  <c r="G11" i="9"/>
  <c r="H142" i="7" s="1"/>
  <c r="K11" i="9"/>
  <c r="L142" i="7" s="1"/>
  <c r="O11" i="9"/>
  <c r="P142" i="7" s="1"/>
  <c r="S11" i="9"/>
  <c r="T142" i="7" s="1"/>
  <c r="W11" i="9"/>
  <c r="X142" i="7" s="1"/>
  <c r="H11" i="9"/>
  <c r="I142" i="7" s="1"/>
  <c r="P11" i="9"/>
  <c r="Q142" i="7" s="1"/>
  <c r="X11" i="9"/>
  <c r="Y142" i="7" s="1"/>
  <c r="E19" i="9"/>
  <c r="F150" i="7" s="1"/>
  <c r="I19" i="9"/>
  <c r="J150" i="7" s="1"/>
  <c r="M19" i="9"/>
  <c r="N150" i="7" s="1"/>
  <c r="Q19" i="9"/>
  <c r="R150" i="7" s="1"/>
  <c r="U19" i="9"/>
  <c r="V150" i="7" s="1"/>
  <c r="L19" i="9"/>
  <c r="M150" i="7" s="1"/>
  <c r="D19" i="9"/>
  <c r="E150" i="7" s="1"/>
  <c r="F19" i="9"/>
  <c r="G150" i="7" s="1"/>
  <c r="J19" i="9"/>
  <c r="K150" i="7" s="1"/>
  <c r="N19" i="9"/>
  <c r="O150" i="7" s="1"/>
  <c r="R19" i="9"/>
  <c r="S150" i="7" s="1"/>
  <c r="V19" i="9"/>
  <c r="W150" i="7" s="1"/>
  <c r="T19" i="9"/>
  <c r="U150" i="7" s="1"/>
  <c r="G19" i="9"/>
  <c r="H150" i="7" s="1"/>
  <c r="K19" i="9"/>
  <c r="L150" i="7" s="1"/>
  <c r="O19" i="9"/>
  <c r="P150" i="7" s="1"/>
  <c r="S19" i="9"/>
  <c r="T150" i="7" s="1"/>
  <c r="W19" i="9"/>
  <c r="X150" i="7" s="1"/>
  <c r="H19" i="9"/>
  <c r="I150" i="7" s="1"/>
  <c r="P19" i="9"/>
  <c r="Q150" i="7" s="1"/>
  <c r="X19" i="9"/>
  <c r="Y150" i="7" s="1"/>
  <c r="E15" i="9"/>
  <c r="F146" i="7" s="1"/>
  <c r="I15" i="9"/>
  <c r="J146" i="7" s="1"/>
  <c r="M15" i="9"/>
  <c r="N146" i="7" s="1"/>
  <c r="Q15" i="9"/>
  <c r="R146" i="7" s="1"/>
  <c r="U15" i="9"/>
  <c r="V146" i="7" s="1"/>
  <c r="H15" i="9"/>
  <c r="I146" i="7" s="1"/>
  <c r="T15" i="9"/>
  <c r="U146" i="7" s="1"/>
  <c r="F15" i="9"/>
  <c r="G146" i="7" s="1"/>
  <c r="J15" i="9"/>
  <c r="K146" i="7" s="1"/>
  <c r="N15" i="9"/>
  <c r="O146" i="7" s="1"/>
  <c r="R15" i="9"/>
  <c r="S146" i="7" s="1"/>
  <c r="V15" i="9"/>
  <c r="W146" i="7" s="1"/>
  <c r="L15" i="9"/>
  <c r="M146" i="7" s="1"/>
  <c r="X15" i="9"/>
  <c r="Y146" i="7" s="1"/>
  <c r="G15" i="9"/>
  <c r="H146" i="7" s="1"/>
  <c r="K15" i="9"/>
  <c r="L146" i="7" s="1"/>
  <c r="O15" i="9"/>
  <c r="P146" i="7" s="1"/>
  <c r="S15" i="9"/>
  <c r="T146" i="7" s="1"/>
  <c r="W15" i="9"/>
  <c r="X146" i="7" s="1"/>
  <c r="P15" i="9"/>
  <c r="Q146" i="7" s="1"/>
  <c r="D15" i="9"/>
  <c r="E146" i="7" s="1"/>
  <c r="C62" i="27" l="1"/>
  <c r="D62" i="27" s="1"/>
  <c r="J142" i="7"/>
  <c r="C61" i="27" s="1"/>
  <c r="D61" i="27" s="1"/>
  <c r="Y148" i="7"/>
  <c r="AC17" i="9"/>
  <c r="AH17" i="9" s="1"/>
  <c r="O147" i="7"/>
  <c r="O148" i="7"/>
  <c r="O151" i="7"/>
  <c r="AC13" i="9"/>
  <c r="AA13" i="9"/>
  <c r="Y13" i="9"/>
  <c r="Z13" i="9"/>
  <c r="AB13" i="9"/>
  <c r="C37" i="27"/>
  <c r="D37" i="27" s="1"/>
  <c r="Y12" i="9"/>
  <c r="Z143" i="7" s="1"/>
  <c r="Z12" i="9"/>
  <c r="AA143" i="7" s="1"/>
  <c r="AA12" i="9"/>
  <c r="AB143" i="7" s="1"/>
  <c r="AB12" i="9"/>
  <c r="AC143" i="7" s="1"/>
  <c r="AC12" i="9"/>
  <c r="AD143" i="7" s="1"/>
  <c r="AH12" i="9" l="1"/>
  <c r="AD12" i="9"/>
  <c r="AI12" i="9" s="1"/>
  <c r="Z144" i="7"/>
  <c r="AD13" i="9"/>
  <c r="AI13" i="9" s="1"/>
  <c r="AG12" i="9"/>
  <c r="AB144" i="7"/>
  <c r="AF13" i="9"/>
  <c r="AK13" i="9" s="1"/>
  <c r="AF12" i="9"/>
  <c r="AK12" i="9" s="1"/>
  <c r="AC144" i="7"/>
  <c r="AG13" i="9"/>
  <c r="AD144" i="7"/>
  <c r="AH13" i="9"/>
  <c r="AE12" i="9"/>
  <c r="AJ12" i="9" s="1"/>
  <c r="AA144" i="7"/>
  <c r="AE13" i="9"/>
  <c r="AJ13" i="9" s="1"/>
  <c r="C133" i="7"/>
  <c r="D133" i="7"/>
  <c r="B40" i="7"/>
  <c r="B39" i="7"/>
  <c r="B43" i="7"/>
  <c r="B37" i="7"/>
  <c r="B44" i="7"/>
  <c r="E65" i="7"/>
  <c r="E59" i="7"/>
  <c r="E51" i="7"/>
  <c r="E57" i="7"/>
  <c r="F64" i="7"/>
  <c r="F58" i="7"/>
  <c r="C131" i="7" s="1"/>
  <c r="F50" i="7"/>
  <c r="E63" i="7"/>
  <c r="E49" i="7"/>
  <c r="E64" i="7"/>
  <c r="E58" i="7"/>
  <c r="E50" i="7"/>
  <c r="F103" i="7"/>
  <c r="F88" i="7"/>
  <c r="F81" i="7"/>
  <c r="F95" i="7"/>
  <c r="D131" i="7" s="1"/>
  <c r="F102" i="7"/>
  <c r="E103" i="7"/>
  <c r="E102" i="7"/>
  <c r="E101" i="7"/>
  <c r="E109" i="7"/>
  <c r="E80" i="7"/>
  <c r="E89" i="7"/>
  <c r="E82" i="7"/>
  <c r="E88" i="7"/>
  <c r="E95" i="7"/>
  <c r="E87" i="7"/>
  <c r="E81" i="7"/>
  <c r="E96" i="7"/>
  <c r="E94" i="7"/>
  <c r="H4" i="13"/>
  <c r="AM12" i="9" l="1"/>
  <c r="AL12" i="9"/>
  <c r="AM13" i="9"/>
  <c r="AL13" i="9"/>
  <c r="E25" i="7"/>
  <c r="E171" i="7"/>
  <c r="F63" i="7"/>
  <c r="F57" i="7"/>
  <c r="F131" i="7" s="1"/>
  <c r="F87" i="7"/>
  <c r="F94" i="7"/>
  <c r="F80" i="7"/>
  <c r="E111" i="7"/>
  <c r="E66" i="7"/>
  <c r="E60" i="7"/>
  <c r="E52" i="7"/>
  <c r="F49" i="7"/>
  <c r="E104" i="7"/>
  <c r="F101" i="7"/>
  <c r="F104" i="7" s="1"/>
  <c r="E90" i="7"/>
  <c r="E97" i="7"/>
  <c r="E83" i="7"/>
  <c r="Z11" i="9"/>
  <c r="AA142" i="7" s="1"/>
  <c r="AA11" i="9"/>
  <c r="AB142" i="7" s="1"/>
  <c r="AB11" i="9"/>
  <c r="AC142" i="7" s="1"/>
  <c r="AC11" i="9"/>
  <c r="AD142" i="7" s="1"/>
  <c r="Z14" i="9"/>
  <c r="AA14" i="9"/>
  <c r="AB14" i="9"/>
  <c r="AC14" i="9"/>
  <c r="Z15" i="9"/>
  <c r="AA15" i="9"/>
  <c r="AB15" i="9"/>
  <c r="AC15" i="9"/>
  <c r="Z16" i="9"/>
  <c r="AA16" i="9"/>
  <c r="AB16" i="9"/>
  <c r="AC16" i="9"/>
  <c r="Z17" i="9"/>
  <c r="AA17" i="9"/>
  <c r="AB17" i="9"/>
  <c r="AD148" i="7"/>
  <c r="Z18" i="9"/>
  <c r="AA149" i="7" s="1"/>
  <c r="AA18" i="9"/>
  <c r="AB149" i="7" s="1"/>
  <c r="AB18" i="9"/>
  <c r="AC149" i="7" s="1"/>
  <c r="AC18" i="9"/>
  <c r="AD149" i="7" s="1"/>
  <c r="Z19" i="9"/>
  <c r="AA19" i="9"/>
  <c r="AB19" i="9"/>
  <c r="AC19" i="9"/>
  <c r="Z20" i="9"/>
  <c r="AA20" i="9"/>
  <c r="AB20" i="9"/>
  <c r="AC20" i="9"/>
  <c r="Z21" i="9"/>
  <c r="AA21" i="9"/>
  <c r="AB21" i="9"/>
  <c r="AC21" i="9"/>
  <c r="Z22" i="9"/>
  <c r="AA22" i="9"/>
  <c r="AB22" i="9"/>
  <c r="AC22" i="9"/>
  <c r="Y11" i="9"/>
  <c r="Z142" i="7" s="1"/>
  <c r="Y14" i="9"/>
  <c r="Y15" i="9"/>
  <c r="Y16" i="9"/>
  <c r="Y17" i="9"/>
  <c r="Y18" i="9"/>
  <c r="Z149" i="7" s="1"/>
  <c r="Y19" i="9"/>
  <c r="Y20" i="9"/>
  <c r="Y21" i="9"/>
  <c r="Y22" i="9"/>
  <c r="Z147" i="7" l="1"/>
  <c r="AD16" i="9"/>
  <c r="AI16" i="9" s="1"/>
  <c r="AD152" i="7"/>
  <c r="AH21" i="9"/>
  <c r="AD151" i="7"/>
  <c r="AH20" i="9"/>
  <c r="Z150" i="7"/>
  <c r="AD19" i="9"/>
  <c r="AI19" i="9" s="1"/>
  <c r="Z146" i="7"/>
  <c r="AD15" i="9"/>
  <c r="AI15" i="9" s="1"/>
  <c r="AC153" i="7"/>
  <c r="AG22" i="9"/>
  <c r="AC152" i="7"/>
  <c r="AG21" i="9"/>
  <c r="AC151" i="7"/>
  <c r="AG20" i="9"/>
  <c r="AC150" i="7"/>
  <c r="AG19" i="9"/>
  <c r="AG18" i="9"/>
  <c r="AC148" i="7"/>
  <c r="AG17" i="9"/>
  <c r="AC147" i="7"/>
  <c r="AG16" i="9"/>
  <c r="AC146" i="7"/>
  <c r="AG15" i="9"/>
  <c r="AC145" i="7"/>
  <c r="AG14" i="9"/>
  <c r="AG11" i="9"/>
  <c r="Z153" i="7"/>
  <c r="AD22" i="9"/>
  <c r="AI22" i="9" s="1"/>
  <c r="AD18" i="9"/>
  <c r="AI18" i="9" s="1"/>
  <c r="Z145" i="7"/>
  <c r="AD14" i="9"/>
  <c r="AI14" i="9" s="1"/>
  <c r="AB153" i="7"/>
  <c r="AF22" i="9"/>
  <c r="AK22" i="9" s="1"/>
  <c r="AB152" i="7"/>
  <c r="AF21" i="9"/>
  <c r="AK21" i="9" s="1"/>
  <c r="AB151" i="7"/>
  <c r="AF20" i="9"/>
  <c r="AK20" i="9" s="1"/>
  <c r="AB150" i="7"/>
  <c r="AF19" i="9"/>
  <c r="AK19" i="9" s="1"/>
  <c r="AF18" i="9"/>
  <c r="AK18" i="9" s="1"/>
  <c r="AB148" i="7"/>
  <c r="AF17" i="9"/>
  <c r="AK17" i="9" s="1"/>
  <c r="AB147" i="7"/>
  <c r="AF16" i="9"/>
  <c r="AK16" i="9" s="1"/>
  <c r="AB146" i="7"/>
  <c r="AF15" i="9"/>
  <c r="AK15" i="9" s="1"/>
  <c r="AB145" i="7"/>
  <c r="AF14" i="9"/>
  <c r="AK14" i="9" s="1"/>
  <c r="AF11" i="9"/>
  <c r="AK11" i="9" s="1"/>
  <c r="Z152" i="7"/>
  <c r="AD21" i="9"/>
  <c r="AI21" i="9" s="1"/>
  <c r="Z148" i="7"/>
  <c r="AD17" i="9"/>
  <c r="AI17" i="9" s="1"/>
  <c r="AD11" i="9"/>
  <c r="AI11" i="9" s="1"/>
  <c r="AA153" i="7"/>
  <c r="AE22" i="9"/>
  <c r="AJ22" i="9" s="1"/>
  <c r="AA152" i="7"/>
  <c r="AE21" i="9"/>
  <c r="AJ21" i="9" s="1"/>
  <c r="AA151" i="7"/>
  <c r="AE20" i="9"/>
  <c r="AJ20" i="9" s="1"/>
  <c r="AA150" i="7"/>
  <c r="AE19" i="9"/>
  <c r="AJ19" i="9" s="1"/>
  <c r="AE18" i="9"/>
  <c r="AJ18" i="9" s="1"/>
  <c r="AA148" i="7"/>
  <c r="AE17" i="9"/>
  <c r="AJ17" i="9" s="1"/>
  <c r="AA147" i="7"/>
  <c r="AE16" i="9"/>
  <c r="AJ16" i="9" s="1"/>
  <c r="AA146" i="7"/>
  <c r="AE15" i="9"/>
  <c r="AJ15" i="9" s="1"/>
  <c r="AA145" i="7"/>
  <c r="AE14" i="9"/>
  <c r="AJ14" i="9" s="1"/>
  <c r="AE11" i="9"/>
  <c r="AJ11" i="9" s="1"/>
  <c r="Z151" i="7"/>
  <c r="AD20" i="9"/>
  <c r="AI20" i="9" s="1"/>
  <c r="AD153" i="7"/>
  <c r="AH22" i="9"/>
  <c r="AD150" i="7"/>
  <c r="AH19" i="9"/>
  <c r="AH18" i="9"/>
  <c r="AD147" i="7"/>
  <c r="AH16" i="9"/>
  <c r="AD146" i="7"/>
  <c r="AH15" i="9"/>
  <c r="AD145" i="7"/>
  <c r="AH14" i="9"/>
  <c r="AH11" i="9"/>
  <c r="F171" i="7"/>
  <c r="G171" i="7" s="1"/>
  <c r="H171" i="7" s="1"/>
  <c r="I171" i="7" s="1"/>
  <c r="J171" i="7" s="1"/>
  <c r="K171" i="7" s="1"/>
  <c r="L171" i="7" s="1"/>
  <c r="M171" i="7" s="1"/>
  <c r="N171" i="7" s="1"/>
  <c r="O171" i="7" s="1"/>
  <c r="P171" i="7" s="1"/>
  <c r="Q171" i="7" s="1"/>
  <c r="R171" i="7" s="1"/>
  <c r="S171" i="7" s="1"/>
  <c r="T171" i="7" s="1"/>
  <c r="U171" i="7" s="1"/>
  <c r="V171" i="7" s="1"/>
  <c r="W171" i="7" s="1"/>
  <c r="X171" i="7" s="1"/>
  <c r="E69" i="7"/>
  <c r="E61" i="7"/>
  <c r="E67" i="7"/>
  <c r="E84" i="7"/>
  <c r="E85" i="7"/>
  <c r="E106" i="7"/>
  <c r="E105" i="7"/>
  <c r="E99" i="7"/>
  <c r="E98" i="7"/>
  <c r="E92" i="7"/>
  <c r="E91" i="7"/>
  <c r="F106" i="7"/>
  <c r="F105" i="7"/>
  <c r="F111" i="7"/>
  <c r="F96" i="7" s="1"/>
  <c r="E55" i="7"/>
  <c r="C122" i="7" s="1"/>
  <c r="E54" i="7"/>
  <c r="E53" i="7"/>
  <c r="AM20" i="9" l="1"/>
  <c r="AL20" i="9"/>
  <c r="AM14" i="9"/>
  <c r="AL14" i="9"/>
  <c r="AM16" i="9"/>
  <c r="AL16" i="9"/>
  <c r="AM18" i="9"/>
  <c r="AL18" i="9"/>
  <c r="AM22" i="9"/>
  <c r="AL22" i="9"/>
  <c r="AM11" i="9"/>
  <c r="AL11" i="9"/>
  <c r="AM15" i="9"/>
  <c r="AL15" i="9"/>
  <c r="AM17" i="9"/>
  <c r="AL17" i="9"/>
  <c r="AM19" i="9"/>
  <c r="AL19" i="9"/>
  <c r="AM21" i="9"/>
  <c r="AL21" i="9"/>
  <c r="F122" i="7"/>
  <c r="U202" i="7" s="1"/>
  <c r="C55" i="27"/>
  <c r="T184" i="7"/>
  <c r="F97" i="7"/>
  <c r="E71" i="7"/>
  <c r="C121" i="7" s="1"/>
  <c r="F121" i="7" s="1"/>
  <c r="E70" i="7"/>
  <c r="E73" i="7"/>
  <c r="E72" i="7"/>
  <c r="E113" i="7"/>
  <c r="E112" i="7"/>
  <c r="E15" i="7"/>
  <c r="C38" i="27" s="1"/>
  <c r="D38" i="27" s="1"/>
  <c r="E14" i="7"/>
  <c r="R200" i="7" l="1"/>
  <c r="G202" i="7"/>
  <c r="O200" i="7"/>
  <c r="Q200" i="7"/>
  <c r="P200" i="7"/>
  <c r="Q202" i="7"/>
  <c r="U200" i="7"/>
  <c r="K200" i="7"/>
  <c r="N200" i="7"/>
  <c r="M200" i="7"/>
  <c r="L200" i="7"/>
  <c r="M202" i="7"/>
  <c r="W200" i="7"/>
  <c r="G200" i="7"/>
  <c r="J200" i="7"/>
  <c r="I200" i="7"/>
  <c r="I202" i="7"/>
  <c r="S200" i="7"/>
  <c r="V200" i="7"/>
  <c r="F200" i="7"/>
  <c r="X200" i="7"/>
  <c r="F202" i="7"/>
  <c r="L202" i="7"/>
  <c r="K202" i="7"/>
  <c r="W202" i="7"/>
  <c r="V202" i="7"/>
  <c r="E200" i="7"/>
  <c r="H200" i="7"/>
  <c r="P202" i="7"/>
  <c r="N202" i="7"/>
  <c r="J202" i="7"/>
  <c r="T200" i="7"/>
  <c r="O202" i="7"/>
  <c r="T202" i="7"/>
  <c r="S202" i="7"/>
  <c r="E202" i="7"/>
  <c r="X202" i="7"/>
  <c r="H202" i="7"/>
  <c r="R202" i="7"/>
  <c r="C118" i="7"/>
  <c r="F118" i="7" s="1"/>
  <c r="F207" i="7"/>
  <c r="G207" i="7" s="1"/>
  <c r="H207" i="7" s="1"/>
  <c r="I207" i="7" s="1"/>
  <c r="J207" i="7" s="1"/>
  <c r="K207" i="7" s="1"/>
  <c r="L207" i="7" s="1"/>
  <c r="M207" i="7" s="1"/>
  <c r="N207" i="7" s="1"/>
  <c r="O207" i="7" s="1"/>
  <c r="P207" i="7" s="1"/>
  <c r="Q207" i="7" s="1"/>
  <c r="R207" i="7" s="1"/>
  <c r="S207" i="7" s="1"/>
  <c r="T207" i="7" s="1"/>
  <c r="U207" i="7" s="1"/>
  <c r="V207" i="7" s="1"/>
  <c r="W207" i="7" s="1"/>
  <c r="X207" i="7" s="1"/>
  <c r="F98" i="7"/>
  <c r="F99" i="7"/>
  <c r="F89" i="7"/>
  <c r="F90" i="7" s="1"/>
  <c r="F92" i="7" s="1"/>
  <c r="E120" i="7"/>
  <c r="E74" i="7"/>
  <c r="C119" i="7" s="1"/>
  <c r="F119" i="7" l="1"/>
  <c r="O204" i="7" s="1"/>
  <c r="C58" i="27"/>
  <c r="G204" i="7"/>
  <c r="U204" i="7"/>
  <c r="J196" i="7"/>
  <c r="T196" i="7"/>
  <c r="I195" i="7"/>
  <c r="M195" i="7"/>
  <c r="Q195" i="7"/>
  <c r="U195" i="7"/>
  <c r="F195" i="7"/>
  <c r="J195" i="7"/>
  <c r="N195" i="7"/>
  <c r="R195" i="7"/>
  <c r="V195" i="7"/>
  <c r="E195" i="7"/>
  <c r="G195" i="7"/>
  <c r="K195" i="7"/>
  <c r="O195" i="7"/>
  <c r="W195" i="7"/>
  <c r="H195" i="7"/>
  <c r="L195" i="7"/>
  <c r="P195" i="7"/>
  <c r="T195" i="7"/>
  <c r="X195" i="7"/>
  <c r="S195" i="7"/>
  <c r="X197" i="7"/>
  <c r="T197" i="7"/>
  <c r="P197" i="7"/>
  <c r="L197" i="7"/>
  <c r="H197" i="7"/>
  <c r="W197" i="7"/>
  <c r="S197" i="7"/>
  <c r="O197" i="7"/>
  <c r="K197" i="7"/>
  <c r="G197" i="7"/>
  <c r="V197" i="7"/>
  <c r="R197" i="7"/>
  <c r="N197" i="7"/>
  <c r="J197" i="7"/>
  <c r="F197" i="7"/>
  <c r="U197" i="7"/>
  <c r="Q197" i="7"/>
  <c r="M197" i="7"/>
  <c r="I197" i="7"/>
  <c r="E197" i="7"/>
  <c r="H161" i="7"/>
  <c r="L161" i="7"/>
  <c r="P161" i="7"/>
  <c r="T161" i="7"/>
  <c r="X161" i="7"/>
  <c r="I161" i="7"/>
  <c r="M161" i="7"/>
  <c r="Q161" i="7"/>
  <c r="U161" i="7"/>
  <c r="F161" i="7"/>
  <c r="J161" i="7"/>
  <c r="N161" i="7"/>
  <c r="R161" i="7"/>
  <c r="V161" i="7"/>
  <c r="G161" i="7"/>
  <c r="K161" i="7"/>
  <c r="O161" i="7"/>
  <c r="S161" i="7"/>
  <c r="W161" i="7"/>
  <c r="F82" i="7"/>
  <c r="F83" i="7" s="1"/>
  <c r="F91" i="7"/>
  <c r="E161" i="7"/>
  <c r="E175" i="7" s="1"/>
  <c r="K196" i="7" l="1"/>
  <c r="I196" i="7"/>
  <c r="P204" i="7"/>
  <c r="X196" i="7"/>
  <c r="W196" i="7"/>
  <c r="N196" i="7"/>
  <c r="M196" i="7"/>
  <c r="J204" i="7"/>
  <c r="X204" i="7"/>
  <c r="K204" i="7"/>
  <c r="G196" i="7"/>
  <c r="Q204" i="7"/>
  <c r="E204" i="7"/>
  <c r="O196" i="7"/>
  <c r="L196" i="7"/>
  <c r="E196" i="7"/>
  <c r="R204" i="7"/>
  <c r="H204" i="7"/>
  <c r="E201" i="7"/>
  <c r="H196" i="7"/>
  <c r="V196" i="7"/>
  <c r="Q196" i="7"/>
  <c r="N204" i="7"/>
  <c r="M204" i="7"/>
  <c r="W204" i="7"/>
  <c r="T204" i="7"/>
  <c r="S204" i="7"/>
  <c r="F196" i="7"/>
  <c r="P196" i="7"/>
  <c r="S196" i="7"/>
  <c r="R196" i="7"/>
  <c r="U196" i="7"/>
  <c r="V204" i="7"/>
  <c r="F204" i="7"/>
  <c r="I204" i="7"/>
  <c r="L204" i="7"/>
  <c r="E211" i="7"/>
  <c r="U211" i="7"/>
  <c r="R211" i="7"/>
  <c r="O211" i="7"/>
  <c r="L211" i="7"/>
  <c r="I211" i="7"/>
  <c r="F211" i="7"/>
  <c r="V211" i="7"/>
  <c r="S211" i="7"/>
  <c r="P211" i="7"/>
  <c r="M211" i="7"/>
  <c r="J211" i="7"/>
  <c r="G211" i="7"/>
  <c r="W211" i="7"/>
  <c r="T211" i="7"/>
  <c r="Q211" i="7"/>
  <c r="N211" i="7"/>
  <c r="K211" i="7"/>
  <c r="H211" i="7"/>
  <c r="X211" i="7"/>
  <c r="F84" i="7"/>
  <c r="F112" i="7" s="1"/>
  <c r="D132" i="7"/>
  <c r="K166" i="7"/>
  <c r="K175" i="7"/>
  <c r="N166" i="7"/>
  <c r="N175" i="7"/>
  <c r="Q166" i="7"/>
  <c r="Q175" i="7"/>
  <c r="T166" i="7"/>
  <c r="T175" i="7"/>
  <c r="S166" i="7"/>
  <c r="S175" i="7"/>
  <c r="W166" i="7"/>
  <c r="W175" i="7"/>
  <c r="G166" i="7"/>
  <c r="G175" i="7"/>
  <c r="J166" i="7"/>
  <c r="J175" i="7"/>
  <c r="M166" i="7"/>
  <c r="M175" i="7"/>
  <c r="P166" i="7"/>
  <c r="P175" i="7"/>
  <c r="V166" i="7"/>
  <c r="V175" i="7"/>
  <c r="F166" i="7"/>
  <c r="F175" i="7"/>
  <c r="I166" i="7"/>
  <c r="I175" i="7"/>
  <c r="L166" i="7"/>
  <c r="L175" i="7"/>
  <c r="O166" i="7"/>
  <c r="O175" i="7"/>
  <c r="R166" i="7"/>
  <c r="R175" i="7"/>
  <c r="U166" i="7"/>
  <c r="U175" i="7"/>
  <c r="X166" i="7"/>
  <c r="X175" i="7"/>
  <c r="H166" i="7"/>
  <c r="H175" i="7"/>
  <c r="F85" i="7"/>
  <c r="F113" i="7" s="1"/>
  <c r="E166" i="7" l="1"/>
  <c r="F69" i="7"/>
  <c r="F65" i="7" s="1"/>
  <c r="F66" i="7" l="1"/>
  <c r="F67" i="7" l="1"/>
  <c r="F71" i="7" s="1"/>
  <c r="D121" i="7" s="1"/>
  <c r="F59" i="7"/>
  <c r="F60" i="7" s="1"/>
  <c r="E121" i="7" l="1"/>
  <c r="F61" i="7"/>
  <c r="F51" i="7"/>
  <c r="W198" i="7" l="1"/>
  <c r="W212" i="7" s="1"/>
  <c r="S198" i="7"/>
  <c r="S212" i="7" s="1"/>
  <c r="O198" i="7"/>
  <c r="O212" i="7" s="1"/>
  <c r="K198" i="7"/>
  <c r="K212" i="7" s="1"/>
  <c r="G198" i="7"/>
  <c r="G212" i="7" s="1"/>
  <c r="T198" i="7"/>
  <c r="T212" i="7" s="1"/>
  <c r="N198" i="7"/>
  <c r="N212" i="7" s="1"/>
  <c r="I198" i="7"/>
  <c r="I212" i="7" s="1"/>
  <c r="X198" i="7"/>
  <c r="X212" i="7" s="1"/>
  <c r="R198" i="7"/>
  <c r="R212" i="7" s="1"/>
  <c r="M198" i="7"/>
  <c r="M212" i="7" s="1"/>
  <c r="H198" i="7"/>
  <c r="H212" i="7" s="1"/>
  <c r="V198" i="7"/>
  <c r="V212" i="7" s="1"/>
  <c r="Q198" i="7"/>
  <c r="Q212" i="7" s="1"/>
  <c r="L198" i="7"/>
  <c r="L212" i="7" s="1"/>
  <c r="F198" i="7"/>
  <c r="F212" i="7" s="1"/>
  <c r="U198" i="7"/>
  <c r="U212" i="7" s="1"/>
  <c r="P198" i="7"/>
  <c r="P212" i="7" s="1"/>
  <c r="J198" i="7"/>
  <c r="J212" i="7" s="1"/>
  <c r="E198" i="7"/>
  <c r="E212" i="7" s="1"/>
  <c r="E162" i="7"/>
  <c r="E176" i="7" s="1"/>
  <c r="R162" i="7"/>
  <c r="R176" i="7" s="1"/>
  <c r="I162" i="7"/>
  <c r="I176" i="7" s="1"/>
  <c r="J162" i="7"/>
  <c r="J176" i="7" s="1"/>
  <c r="V162" i="7"/>
  <c r="V176" i="7" s="1"/>
  <c r="K162" i="7"/>
  <c r="K176" i="7" s="1"/>
  <c r="Q162" i="7"/>
  <c r="Q176" i="7" s="1"/>
  <c r="L162" i="7"/>
  <c r="L176" i="7" s="1"/>
  <c r="H162" i="7"/>
  <c r="H176" i="7" s="1"/>
  <c r="G162" i="7"/>
  <c r="G176" i="7" s="1"/>
  <c r="N162" i="7"/>
  <c r="N176" i="7" s="1"/>
  <c r="X162" i="7"/>
  <c r="X176" i="7" s="1"/>
  <c r="U162" i="7"/>
  <c r="U176" i="7" s="1"/>
  <c r="W162" i="7"/>
  <c r="W176" i="7" s="1"/>
  <c r="M162" i="7"/>
  <c r="M176" i="7" s="1"/>
  <c r="P162" i="7"/>
  <c r="P176" i="7" s="1"/>
  <c r="T162" i="7"/>
  <c r="T176" i="7" s="1"/>
  <c r="O162" i="7"/>
  <c r="O176" i="7" s="1"/>
  <c r="S162" i="7"/>
  <c r="S176" i="7" s="1"/>
  <c r="F162" i="7"/>
  <c r="F176" i="7" s="1"/>
  <c r="F52" i="7"/>
  <c r="F72" i="7"/>
  <c r="E20" i="2"/>
  <c r="E19" i="2"/>
  <c r="E18" i="2"/>
  <c r="E17" i="2"/>
  <c r="E16" i="2"/>
  <c r="C132" i="7" l="1"/>
  <c r="E26" i="7" s="1"/>
  <c r="F214" i="7" s="1"/>
  <c r="F54" i="7"/>
  <c r="F55" i="7"/>
  <c r="D122" i="7" s="1"/>
  <c r="F53" i="7"/>
  <c r="X214" i="7" l="1"/>
  <c r="T214" i="7"/>
  <c r="P214" i="7"/>
  <c r="L214" i="7"/>
  <c r="H214" i="7"/>
  <c r="W214" i="7"/>
  <c r="S214" i="7"/>
  <c r="O214" i="7"/>
  <c r="K214" i="7"/>
  <c r="G214" i="7"/>
  <c r="V214" i="7"/>
  <c r="N214" i="7"/>
  <c r="U214" i="7"/>
  <c r="M214" i="7"/>
  <c r="E214" i="7"/>
  <c r="R214" i="7"/>
  <c r="J214" i="7"/>
  <c r="Q214" i="7"/>
  <c r="I214" i="7"/>
  <c r="E178" i="7"/>
  <c r="R178" i="7"/>
  <c r="O178" i="7"/>
  <c r="L178" i="7"/>
  <c r="I178" i="7"/>
  <c r="U178" i="7"/>
  <c r="F178" i="7"/>
  <c r="V178" i="7"/>
  <c r="S178" i="7"/>
  <c r="P178" i="7"/>
  <c r="M178" i="7"/>
  <c r="J178" i="7"/>
  <c r="G178" i="7"/>
  <c r="W178" i="7"/>
  <c r="T178" i="7"/>
  <c r="Q178" i="7"/>
  <c r="N178" i="7"/>
  <c r="K178" i="7"/>
  <c r="H178" i="7"/>
  <c r="X178" i="7"/>
  <c r="E122" i="7"/>
  <c r="F70" i="7"/>
  <c r="D118" i="7" s="1"/>
  <c r="F73" i="7"/>
  <c r="G164" i="7" l="1"/>
  <c r="G177" i="7" s="1"/>
  <c r="K164" i="7"/>
  <c r="K177" i="7" s="1"/>
  <c r="O164" i="7"/>
  <c r="S164" i="7"/>
  <c r="S177" i="7" s="1"/>
  <c r="W164" i="7"/>
  <c r="W177" i="7" s="1"/>
  <c r="H164" i="7"/>
  <c r="H177" i="7" s="1"/>
  <c r="I164" i="7"/>
  <c r="I177" i="7" s="1"/>
  <c r="U164" i="7"/>
  <c r="U177" i="7" s="1"/>
  <c r="N164" i="7"/>
  <c r="N177" i="7" s="1"/>
  <c r="V164" i="7"/>
  <c r="V177" i="7" s="1"/>
  <c r="L164" i="7"/>
  <c r="L177" i="7" s="1"/>
  <c r="P164" i="7"/>
  <c r="P177" i="7" s="1"/>
  <c r="T164" i="7"/>
  <c r="T177" i="7" s="1"/>
  <c r="X164" i="7"/>
  <c r="X177" i="7" s="1"/>
  <c r="M164" i="7"/>
  <c r="M177" i="7" s="1"/>
  <c r="Q164" i="7"/>
  <c r="Q177" i="7" s="1"/>
  <c r="F164" i="7"/>
  <c r="F177" i="7" s="1"/>
  <c r="J164" i="7"/>
  <c r="J177" i="7" s="1"/>
  <c r="R164" i="7"/>
  <c r="R177" i="7" s="1"/>
  <c r="E164" i="7"/>
  <c r="E118" i="7"/>
  <c r="F74" i="7"/>
  <c r="D119" i="7" s="1"/>
  <c r="E177" i="7" l="1"/>
  <c r="F41" i="7"/>
  <c r="C56" i="27"/>
  <c r="C51" i="27"/>
  <c r="D51" i="27" s="1"/>
  <c r="H213" i="7"/>
  <c r="N213" i="7"/>
  <c r="Q213" i="7"/>
  <c r="W213" i="7"/>
  <c r="U213" i="7"/>
  <c r="E213" i="7"/>
  <c r="L213" i="7"/>
  <c r="O213" i="7"/>
  <c r="T213" i="7"/>
  <c r="G213" i="7"/>
  <c r="M213" i="7"/>
  <c r="V213" i="7"/>
  <c r="F213" i="7"/>
  <c r="K213" i="7"/>
  <c r="P213" i="7"/>
  <c r="I213" i="7"/>
  <c r="J213" i="7"/>
  <c r="R213" i="7"/>
  <c r="S213" i="7"/>
  <c r="X213" i="7"/>
  <c r="O177" i="7"/>
  <c r="F159" i="7"/>
  <c r="F173" i="7" s="1"/>
  <c r="J159" i="7"/>
  <c r="J173" i="7" s="1"/>
  <c r="N159" i="7"/>
  <c r="N173" i="7" s="1"/>
  <c r="R159" i="7"/>
  <c r="R173" i="7" s="1"/>
  <c r="V159" i="7"/>
  <c r="V173" i="7" s="1"/>
  <c r="G159" i="7"/>
  <c r="G173" i="7" s="1"/>
  <c r="K159" i="7"/>
  <c r="K173" i="7" s="1"/>
  <c r="O159" i="7"/>
  <c r="S159" i="7"/>
  <c r="S173" i="7" s="1"/>
  <c r="W159" i="7"/>
  <c r="W173" i="7" s="1"/>
  <c r="H159" i="7"/>
  <c r="H173" i="7" s="1"/>
  <c r="L159" i="7"/>
  <c r="L173" i="7" s="1"/>
  <c r="P159" i="7"/>
  <c r="P173" i="7" s="1"/>
  <c r="T159" i="7"/>
  <c r="T173" i="7" s="1"/>
  <c r="X159" i="7"/>
  <c r="X173" i="7" s="1"/>
  <c r="I159" i="7"/>
  <c r="I173" i="7" s="1"/>
  <c r="M159" i="7"/>
  <c r="M173" i="7" s="1"/>
  <c r="Q159" i="7"/>
  <c r="Q173" i="7" s="1"/>
  <c r="U159" i="7"/>
  <c r="U173" i="7" s="1"/>
  <c r="E119" i="7"/>
  <c r="E159" i="7"/>
  <c r="E173" i="7" s="1"/>
  <c r="D56" i="27" l="1"/>
  <c r="C46" i="27"/>
  <c r="D46" i="27" s="1"/>
  <c r="C42" i="27"/>
  <c r="D42" i="27" s="1"/>
  <c r="J209" i="7"/>
  <c r="T209" i="7"/>
  <c r="G209" i="7"/>
  <c r="Q209" i="7"/>
  <c r="H209" i="7"/>
  <c r="E199" i="7"/>
  <c r="E209" i="7"/>
  <c r="L209" i="7"/>
  <c r="M209" i="7"/>
  <c r="W209" i="7"/>
  <c r="X210" i="7"/>
  <c r="T210" i="7"/>
  <c r="P210" i="7"/>
  <c r="L210" i="7"/>
  <c r="H210" i="7"/>
  <c r="X201" i="7"/>
  <c r="X203" i="7" s="1"/>
  <c r="T201" i="7"/>
  <c r="T203" i="7" s="1"/>
  <c r="P201" i="7"/>
  <c r="P203" i="7" s="1"/>
  <c r="L201" i="7"/>
  <c r="L203" i="7" s="1"/>
  <c r="H201" i="7"/>
  <c r="H203" i="7" s="1"/>
  <c r="W210" i="7"/>
  <c r="S210" i="7"/>
  <c r="O210" i="7"/>
  <c r="K210" i="7"/>
  <c r="G210" i="7"/>
  <c r="W201" i="7"/>
  <c r="W203" i="7" s="1"/>
  <c r="S201" i="7"/>
  <c r="S203" i="7" s="1"/>
  <c r="O201" i="7"/>
  <c r="O203" i="7" s="1"/>
  <c r="K201" i="7"/>
  <c r="K203" i="7" s="1"/>
  <c r="G201" i="7"/>
  <c r="G203" i="7" s="1"/>
  <c r="R210" i="7"/>
  <c r="J210" i="7"/>
  <c r="V201" i="7"/>
  <c r="V203" i="7" s="1"/>
  <c r="N201" i="7"/>
  <c r="N203" i="7" s="1"/>
  <c r="F201" i="7"/>
  <c r="F203" i="7" s="1"/>
  <c r="T199" i="7"/>
  <c r="L199" i="7"/>
  <c r="H199" i="7"/>
  <c r="Q210" i="7"/>
  <c r="I210" i="7"/>
  <c r="U201" i="7"/>
  <c r="U203" i="7" s="1"/>
  <c r="M201" i="7"/>
  <c r="M203" i="7" s="1"/>
  <c r="W199" i="7"/>
  <c r="S199" i="7"/>
  <c r="O199" i="7"/>
  <c r="K199" i="7"/>
  <c r="G199" i="7"/>
  <c r="V210" i="7"/>
  <c r="N210" i="7"/>
  <c r="F210" i="7"/>
  <c r="R201" i="7"/>
  <c r="R203" i="7" s="1"/>
  <c r="J201" i="7"/>
  <c r="J203" i="7" s="1"/>
  <c r="R199" i="7"/>
  <c r="J199" i="7"/>
  <c r="F199" i="7"/>
  <c r="U210" i="7"/>
  <c r="M210" i="7"/>
  <c r="E210" i="7"/>
  <c r="Q201" i="7"/>
  <c r="Q203" i="7" s="1"/>
  <c r="I201" i="7"/>
  <c r="I203" i="7" s="1"/>
  <c r="Q199" i="7"/>
  <c r="M199" i="7"/>
  <c r="I199" i="7"/>
  <c r="N199" i="7"/>
  <c r="N209" i="7"/>
  <c r="K209" i="7"/>
  <c r="X209" i="7"/>
  <c r="X199" i="7"/>
  <c r="U199" i="7"/>
  <c r="U209" i="7"/>
  <c r="R209" i="7"/>
  <c r="R218" i="7" s="1"/>
  <c r="R219" i="7" s="1"/>
  <c r="O209" i="7"/>
  <c r="I209" i="7"/>
  <c r="F209" i="7"/>
  <c r="V209" i="7"/>
  <c r="V199" i="7"/>
  <c r="S209" i="7"/>
  <c r="P209" i="7"/>
  <c r="P199" i="7"/>
  <c r="O173" i="7"/>
  <c r="G160" i="7"/>
  <c r="G163" i="7" s="1"/>
  <c r="K160" i="7"/>
  <c r="K163" i="7" s="1"/>
  <c r="O160" i="7"/>
  <c r="O163" i="7" s="1"/>
  <c r="S160" i="7"/>
  <c r="S163" i="7" s="1"/>
  <c r="W160" i="7"/>
  <c r="W163" i="7" s="1"/>
  <c r="H165" i="7"/>
  <c r="H167" i="7" s="1"/>
  <c r="L165" i="7"/>
  <c r="L167" i="7" s="1"/>
  <c r="P165" i="7"/>
  <c r="P167" i="7" s="1"/>
  <c r="T165" i="7"/>
  <c r="T167" i="7" s="1"/>
  <c r="X165" i="7"/>
  <c r="X167" i="7" s="1"/>
  <c r="G168" i="7"/>
  <c r="G174" i="7" s="1"/>
  <c r="K168" i="7"/>
  <c r="K174" i="7" s="1"/>
  <c r="O168" i="7"/>
  <c r="O174" i="7" s="1"/>
  <c r="S168" i="7"/>
  <c r="S174" i="7" s="1"/>
  <c r="W168" i="7"/>
  <c r="W174" i="7" s="1"/>
  <c r="W182" i="7" s="1"/>
  <c r="W183" i="7" s="1"/>
  <c r="M165" i="7"/>
  <c r="M167" i="7" s="1"/>
  <c r="U165" i="7"/>
  <c r="U167" i="7" s="1"/>
  <c r="H168" i="7"/>
  <c r="H174" i="7" s="1"/>
  <c r="L168" i="7"/>
  <c r="L174" i="7" s="1"/>
  <c r="T168" i="7"/>
  <c r="T174" i="7" s="1"/>
  <c r="X168" i="7"/>
  <c r="X174" i="7" s="1"/>
  <c r="X182" i="7" s="1"/>
  <c r="X183" i="7" s="1"/>
  <c r="M160" i="7"/>
  <c r="M163" i="7" s="1"/>
  <c r="J165" i="7"/>
  <c r="J167" i="7" s="1"/>
  <c r="R165" i="7"/>
  <c r="R167" i="7" s="1"/>
  <c r="I168" i="7"/>
  <c r="I174" i="7" s="1"/>
  <c r="Q168" i="7"/>
  <c r="Q174" i="7" s="1"/>
  <c r="K165" i="7"/>
  <c r="K167" i="7" s="1"/>
  <c r="S165" i="7"/>
  <c r="S167" i="7" s="1"/>
  <c r="F168" i="7"/>
  <c r="F174" i="7" s="1"/>
  <c r="H160" i="7"/>
  <c r="H163" i="7" s="1"/>
  <c r="L160" i="7"/>
  <c r="L163" i="7" s="1"/>
  <c r="P160" i="7"/>
  <c r="P163" i="7" s="1"/>
  <c r="T160" i="7"/>
  <c r="T163" i="7" s="1"/>
  <c r="X160" i="7"/>
  <c r="X163" i="7" s="1"/>
  <c r="I165" i="7"/>
  <c r="I167" i="7" s="1"/>
  <c r="Q165" i="7"/>
  <c r="Q167" i="7" s="1"/>
  <c r="P168" i="7"/>
  <c r="P174" i="7" s="1"/>
  <c r="U160" i="7"/>
  <c r="U163" i="7" s="1"/>
  <c r="I160" i="7"/>
  <c r="I163" i="7" s="1"/>
  <c r="Q160" i="7"/>
  <c r="Q163" i="7" s="1"/>
  <c r="F165" i="7"/>
  <c r="F167" i="7" s="1"/>
  <c r="N165" i="7"/>
  <c r="N167" i="7" s="1"/>
  <c r="V165" i="7"/>
  <c r="V167" i="7" s="1"/>
  <c r="M168" i="7"/>
  <c r="M174" i="7" s="1"/>
  <c r="U168" i="7"/>
  <c r="U174" i="7" s="1"/>
  <c r="U182" i="7" s="1"/>
  <c r="U183" i="7" s="1"/>
  <c r="F160" i="7"/>
  <c r="F163" i="7" s="1"/>
  <c r="J160" i="7"/>
  <c r="J163" i="7" s="1"/>
  <c r="N160" i="7"/>
  <c r="N163" i="7" s="1"/>
  <c r="R160" i="7"/>
  <c r="R163" i="7" s="1"/>
  <c r="V160" i="7"/>
  <c r="V163" i="7" s="1"/>
  <c r="G165" i="7"/>
  <c r="G167" i="7" s="1"/>
  <c r="O165" i="7"/>
  <c r="C52" i="27" s="1"/>
  <c r="C59" i="27" s="1"/>
  <c r="C47" i="27" s="1"/>
  <c r="D47" i="27" s="1"/>
  <c r="W165" i="7"/>
  <c r="W167" i="7" s="1"/>
  <c r="J168" i="7"/>
  <c r="J174" i="7" s="1"/>
  <c r="N168" i="7"/>
  <c r="N174" i="7" s="1"/>
  <c r="R168" i="7"/>
  <c r="R174" i="7" s="1"/>
  <c r="V168" i="7"/>
  <c r="V174" i="7" s="1"/>
  <c r="V182" i="7" s="1"/>
  <c r="V183" i="7" s="1"/>
  <c r="E168" i="7"/>
  <c r="E174" i="7" s="1"/>
  <c r="E165" i="7"/>
  <c r="E160" i="7"/>
  <c r="E163" i="7" s="1"/>
  <c r="P218" i="7" l="1"/>
  <c r="P219" i="7" s="1"/>
  <c r="F42" i="7"/>
  <c r="N218" i="7"/>
  <c r="N219" i="7" s="1"/>
  <c r="O218" i="7"/>
  <c r="O219" i="7" s="1"/>
  <c r="G218" i="7"/>
  <c r="G219" i="7" s="1"/>
  <c r="L218" i="7"/>
  <c r="L219" i="7" s="1"/>
  <c r="X218" i="7"/>
  <c r="X219" i="7" s="1"/>
  <c r="F218" i="7"/>
  <c r="F219" i="7" s="1"/>
  <c r="W218" i="7"/>
  <c r="W219" i="7" s="1"/>
  <c r="Q218" i="7"/>
  <c r="Q219" i="7" s="1"/>
  <c r="V218" i="7"/>
  <c r="V219" i="7" s="1"/>
  <c r="E218" i="7"/>
  <c r="E219" i="7" s="1"/>
  <c r="E220" i="7" s="1"/>
  <c r="U218" i="7"/>
  <c r="U219" i="7" s="1"/>
  <c r="T218" i="7"/>
  <c r="T219" i="7" s="1"/>
  <c r="K218" i="7"/>
  <c r="K219" i="7" s="1"/>
  <c r="S218" i="7"/>
  <c r="S219" i="7" s="1"/>
  <c r="I218" i="7"/>
  <c r="I219" i="7" s="1"/>
  <c r="M218" i="7"/>
  <c r="M219" i="7" s="1"/>
  <c r="H218" i="7"/>
  <c r="H219" i="7" s="1"/>
  <c r="J218" i="7"/>
  <c r="J219" i="7" s="1"/>
  <c r="E182" i="7"/>
  <c r="E203" i="7"/>
  <c r="O167" i="7"/>
  <c r="D52" i="27"/>
  <c r="F40" i="7"/>
  <c r="C41" i="27" s="1"/>
  <c r="E167" i="7"/>
  <c r="G182" i="7"/>
  <c r="K182" i="7"/>
  <c r="L182" i="7"/>
  <c r="R182" i="7"/>
  <c r="J182" i="7"/>
  <c r="C43" i="27" l="1"/>
  <c r="D43" i="27" s="1"/>
  <c r="D41" i="27"/>
  <c r="C53" i="27"/>
  <c r="D53" i="27" s="1"/>
  <c r="F220" i="7"/>
  <c r="F182" i="7"/>
  <c r="F183" i="7" s="1"/>
  <c r="T182" i="7"/>
  <c r="T183" i="7" s="1"/>
  <c r="J183" i="7"/>
  <c r="K183" i="7"/>
  <c r="E183" i="7"/>
  <c r="E184" i="7" s="1"/>
  <c r="I182" i="7"/>
  <c r="I183" i="7" s="1"/>
  <c r="M182" i="7"/>
  <c r="M183" i="7" s="1"/>
  <c r="O182" i="7"/>
  <c r="O183" i="7" s="1"/>
  <c r="P182" i="7"/>
  <c r="P183" i="7" s="1"/>
  <c r="R183" i="7"/>
  <c r="L183" i="7"/>
  <c r="G183" i="7"/>
  <c r="H182" i="7"/>
  <c r="H183" i="7" s="1"/>
  <c r="S182" i="7"/>
  <c r="S183" i="7" s="1"/>
  <c r="Q182" i="7"/>
  <c r="Q183" i="7" s="1"/>
  <c r="N182" i="7"/>
  <c r="N183" i="7" s="1"/>
  <c r="F43" i="7"/>
  <c r="C44" i="27" l="1"/>
  <c r="D44" i="27" s="1"/>
  <c r="G220" i="7"/>
  <c r="F184" i="7"/>
  <c r="H220" i="7" l="1"/>
  <c r="I220" i="7" s="1"/>
  <c r="G184" i="7"/>
  <c r="J220" i="7" l="1"/>
  <c r="K220" i="7" s="1"/>
  <c r="L220" i="7" s="1"/>
  <c r="M220" i="7" s="1"/>
  <c r="N220" i="7" s="1"/>
  <c r="H184" i="7"/>
  <c r="I184" i="7" l="1"/>
  <c r="J184" i="7" s="1"/>
  <c r="K184" i="7" s="1"/>
  <c r="L184" i="7" s="1"/>
  <c r="M184" i="7" s="1"/>
  <c r="N184" i="7" s="1"/>
  <c r="O184" i="7" s="1"/>
  <c r="P184" i="7" s="1"/>
  <c r="Q184" i="7" s="1"/>
  <c r="U184" i="7"/>
  <c r="V184" i="7" s="1"/>
  <c r="W184" i="7" s="1"/>
  <c r="X184" i="7" s="1"/>
  <c r="F38" i="7" l="1"/>
  <c r="R184" i="7"/>
  <c r="S184" i="7" s="1"/>
  <c r="F37" i="7" l="1"/>
  <c r="F39" i="7" s="1"/>
  <c r="F44" i="7" l="1"/>
  <c r="C40" i="27"/>
  <c r="D40" i="27" l="1"/>
  <c r="C49" i="27"/>
</calcChain>
</file>

<file path=xl/sharedStrings.xml><?xml version="1.0" encoding="utf-8"?>
<sst xmlns="http://schemas.openxmlformats.org/spreadsheetml/2006/main" count="1590" uniqueCount="557">
  <si>
    <t>EUR</t>
  </si>
  <si>
    <t>euro/GJ</t>
  </si>
  <si>
    <t>Wood pellets</t>
  </si>
  <si>
    <t>Wood chips</t>
  </si>
  <si>
    <t>Unit</t>
  </si>
  <si>
    <t>Value</t>
  </si>
  <si>
    <t>%</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</si>
  <si>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</si>
  <si>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</si>
  <si>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</si>
  <si>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</si>
  <si>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</si>
  <si>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</si>
  <si>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</si>
  <si>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</si>
  <si>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</si>
  <si>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</si>
  <si>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</si>
  <si>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</si>
  <si>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</si>
  <si>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</si>
  <si>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</si>
  <si>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</si>
  <si>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</si>
  <si>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</si>
  <si>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</si>
  <si>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</si>
  <si>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</si>
  <si>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Parameter</t>
  </si>
  <si>
    <t>Year</t>
  </si>
  <si>
    <t>Lifetime</t>
  </si>
  <si>
    <t>What</t>
  </si>
  <si>
    <t>CO2</t>
  </si>
  <si>
    <t>Result before taxes</t>
  </si>
  <si>
    <t>ScenarioResults</t>
  </si>
  <si>
    <t>Cash flow (no discount rate)</t>
  </si>
  <si>
    <t>Cash flow (including discount rate)</t>
  </si>
  <si>
    <t>Results</t>
  </si>
  <si>
    <t>Discount rate</t>
  </si>
  <si>
    <t>B-wood</t>
  </si>
  <si>
    <t>euro/tonCO2</t>
  </si>
  <si>
    <t>Agricultural waste streams</t>
  </si>
  <si>
    <t>CO2 intensity of power generation</t>
  </si>
  <si>
    <t>Primary energy conversion factor electricity</t>
  </si>
  <si>
    <t>Date</t>
  </si>
  <si>
    <t>Source</t>
  </si>
  <si>
    <t>Description</t>
  </si>
  <si>
    <t>Scenario parameters</t>
  </si>
  <si>
    <t>Future cash flow</t>
  </si>
  <si>
    <t>GJ</t>
  </si>
  <si>
    <t>ton CO2</t>
  </si>
  <si>
    <t>ScenarioParameters</t>
  </si>
  <si>
    <t>Corrugated board</t>
  </si>
  <si>
    <t>ton</t>
  </si>
  <si>
    <t>H2</t>
  </si>
  <si>
    <t>Mills</t>
  </si>
  <si>
    <t>Graphic paper</t>
  </si>
  <si>
    <t>Solid board</t>
  </si>
  <si>
    <t>Specialty paper</t>
  </si>
  <si>
    <t>Process_characteristics</t>
  </si>
  <si>
    <t>Overview of energy, material and financial data related to processes per paper and board category</t>
  </si>
  <si>
    <t>Company_data</t>
  </si>
  <si>
    <t>Overview of mill specific production capacity data</t>
  </si>
  <si>
    <t>Current_processes</t>
  </si>
  <si>
    <t>Commodity_data</t>
  </si>
  <si>
    <t>Overview of paper and board related commodity data</t>
  </si>
  <si>
    <t>Alternative_processes</t>
  </si>
  <si>
    <t>Data comes form other tabs within this worksheet</t>
  </si>
  <si>
    <t>The Net Present Value calculation in this worksheet is based on the RVO worksheet: tvt_ncw - RVO.nl__0.xls</t>
  </si>
  <si>
    <t>This worksheet calculates the Net Present Value, abated energy use and abated CO2 emissions, of one decarbonisation option in the Dutch paper and board industry.</t>
  </si>
  <si>
    <t>These indicators are calculated per mill and take into account the future development of energy prices.</t>
  </si>
  <si>
    <t>Analysis of attractiveness of decarbonisation options in the paper and board industry</t>
  </si>
  <si>
    <t>NL_Total</t>
  </si>
  <si>
    <t>Technology</t>
  </si>
  <si>
    <t>Scenario</t>
  </si>
  <si>
    <t>Lists</t>
  </si>
  <si>
    <t>Summary sheet with all the results</t>
  </si>
  <si>
    <t>Here you can choose the decarbonisation option you want to analyse. This sheet also displays information about the chosen technology.</t>
  </si>
  <si>
    <t>Here you can enter the expected developments in energy prices.</t>
  </si>
  <si>
    <t>Here you can enter the discount rate, tax rate, and CO2 combustion factor of different energy sources.</t>
  </si>
  <si>
    <t>Overview of lists used in this Worksheet</t>
  </si>
  <si>
    <t>#only combustion related because ETS only covers that part for industry</t>
  </si>
  <si>
    <t>Calculation sheet that determines the Net Present Value of an option per mill. All negative values are costs and all positive values are profit. The decarbonisation option (or alternative option) is assumed to replace a current steam system that is at the end of its lifetime.</t>
  </si>
  <si>
    <t>https://365tno-my.sharepoint.com/personal/marc_marsidi_tno_nl/Documents/Decarbonisatieopties P&amp;K/Data/Scenarioparameters/20180405_ScenarioParameters_v6 (CONFIDENTIAL VERSION).xlsx , except H2 figures which are from Gigler and Weeda (2017) Countouren van een routekaart waterstof</t>
  </si>
  <si>
    <t>CO2 intensity of H2 generation</t>
  </si>
  <si>
    <t>Primary energy consumption H2 generation</t>
  </si>
  <si>
    <t>15 May 2018</t>
  </si>
  <si>
    <t>Input</t>
  </si>
  <si>
    <t>Plant name</t>
  </si>
  <si>
    <t>Type</t>
  </si>
  <si>
    <t>Calculation</t>
  </si>
  <si>
    <t>Operating and maintenance cost</t>
  </si>
  <si>
    <t>Economic factor</t>
  </si>
  <si>
    <t>CO2 emission factor gas</t>
  </si>
  <si>
    <t>CO2 emission</t>
  </si>
  <si>
    <t>Other input data</t>
  </si>
  <si>
    <t>Net gas consumption</t>
  </si>
  <si>
    <t>Net electricity consumption</t>
  </si>
  <si>
    <t>Net H2 consumption</t>
  </si>
  <si>
    <t>Net wood chips consumption</t>
  </si>
  <si>
    <t>Wholesale price natural gas excl margins</t>
  </si>
  <si>
    <t>Wholesale price electricity excl margins</t>
  </si>
  <si>
    <t>2036</t>
  </si>
  <si>
    <t>2037</t>
  </si>
  <si>
    <t>2038</t>
  </si>
  <si>
    <t>2039</t>
  </si>
  <si>
    <t>2040</t>
  </si>
  <si>
    <t xml:space="preserve"> tonCO2/GJ</t>
  </si>
  <si>
    <t>yrs</t>
  </si>
  <si>
    <t>16 May 2018</t>
  </si>
  <si>
    <t>Gas energy saving</t>
  </si>
  <si>
    <t>Electricity saving</t>
  </si>
  <si>
    <t>H2 saving</t>
  </si>
  <si>
    <t>Wood chips saving</t>
  </si>
  <si>
    <t>Gas CO2 saving</t>
  </si>
  <si>
    <t>Electricity CO2 saving</t>
  </si>
  <si>
    <t>H2 CO2 saving</t>
  </si>
  <si>
    <t>Total energy saving</t>
  </si>
  <si>
    <t>Total CO2 saving</t>
  </si>
  <si>
    <t>Chosen_tech_data</t>
  </si>
  <si>
    <t>Other_input_data</t>
  </si>
  <si>
    <t>Revenues</t>
  </si>
  <si>
    <t>Subsector (SBI 2008)</t>
  </si>
  <si>
    <t>Corporate group</t>
  </si>
  <si>
    <t>Number of employees</t>
  </si>
  <si>
    <t>Number of employees; UNIT</t>
  </si>
  <si>
    <t>Street address</t>
  </si>
  <si>
    <t>Postal code</t>
  </si>
  <si>
    <t>Town/locality</t>
  </si>
  <si>
    <t>Permit number (NEa)</t>
  </si>
  <si>
    <t>Name of production site (NEa)</t>
  </si>
  <si>
    <t>Verification</t>
  </si>
  <si>
    <t>ETS emissions 2013 [kton]</t>
  </si>
  <si>
    <t>ETS emissions 2014 [kton]</t>
  </si>
  <si>
    <t>ETS emissions 2015 [kton]</t>
  </si>
  <si>
    <t>ETS emissions 2016 [kton]</t>
  </si>
  <si>
    <t>n.a.</t>
  </si>
  <si>
    <t>FTE</t>
  </si>
  <si>
    <t>VNP (May 9, 2018)</t>
  </si>
  <si>
    <t>Process name</t>
  </si>
  <si>
    <t>Process description</t>
  </si>
  <si>
    <t>Process type</t>
  </si>
  <si>
    <t>Main output</t>
  </si>
  <si>
    <t>Unit of main output</t>
  </si>
  <si>
    <t>Unit of capacity</t>
  </si>
  <si>
    <t>Investment per unit of capacity (new)</t>
  </si>
  <si>
    <t>Investment per unit of capacity (new); UNIT</t>
  </si>
  <si>
    <t>Investment per unit of capacity (refurbishment)</t>
  </si>
  <si>
    <t>Investment per unit of capacity (refurbishment); UNIT</t>
  </si>
  <si>
    <t>Operating and maintenance costs (per unit of main output)</t>
  </si>
  <si>
    <t>Operating and maintenance costs (per unit of main output); UNIT</t>
  </si>
  <si>
    <t>Operating and maintenance costs (per unit of capacity)</t>
  </si>
  <si>
    <t>Operating and maintenance costs (per unit of capacity); UNIT</t>
  </si>
  <si>
    <t>Balance of other costs and benefits (per unit of main output)</t>
  </si>
  <si>
    <t>Balance of other costs and benefits (per unit of main output); UNIT</t>
  </si>
  <si>
    <t>Balance of other costs and benefits (per unit of capacity)</t>
  </si>
  <si>
    <t>Balance of other costs and benefits (per unit of capacity); UNIT</t>
  </si>
  <si>
    <t>Refurbishment interval in years</t>
  </si>
  <si>
    <t>Input Natural gas (GJ per unit of main output)</t>
  </si>
  <si>
    <t>Input Biofuel (GJ per unit of main output)</t>
  </si>
  <si>
    <t>Input Steam (GJ per unit of main output)</t>
  </si>
  <si>
    <t>Input Electricity (GJ per unit of main output)</t>
  </si>
  <si>
    <t>Other input 1 (per unit of main output)</t>
  </si>
  <si>
    <t>Other input 1  (per unit of main output); COMMODITY</t>
  </si>
  <si>
    <t>Other input 1  (per unit of main output); UNIT</t>
  </si>
  <si>
    <t>Other input 2  (per unit of main output)</t>
  </si>
  <si>
    <t>Other input 2 (per unit of main output); COMMODITY</t>
  </si>
  <si>
    <t>Other input 2 (per unit of main output); UNIT</t>
  </si>
  <si>
    <t>Other input 3 (per unit of main output)</t>
  </si>
  <si>
    <t>Other input 3 (per unit of main output); COMMODITY</t>
  </si>
  <si>
    <t>Other input 3 (per unit of main output); UNIT</t>
  </si>
  <si>
    <t>Output Steam (GJ per unit of main output)</t>
  </si>
  <si>
    <t>Output Electricity (GJ per unit of main output)</t>
  </si>
  <si>
    <t>Output Waste heat (&lt;50 C) (GJ per unit of main output)</t>
  </si>
  <si>
    <t>Other output 1 (per unit of main output)</t>
  </si>
  <si>
    <t>Other output 1 (per unit of main output); COMMODITY</t>
  </si>
  <si>
    <t>Other output 1 (per unit of main output); UNIT</t>
  </si>
  <si>
    <t>Other output 2 (per unit of main output)</t>
  </si>
  <si>
    <t>Other output 2 (per unit of main output); COMMODITY</t>
  </si>
  <si>
    <t>Other output 2 (per unit of main output); UNIT</t>
  </si>
  <si>
    <t>Requirements</t>
  </si>
  <si>
    <t>Demand/production profile</t>
  </si>
  <si>
    <t>Feasibility</t>
  </si>
  <si>
    <t>Steam</t>
  </si>
  <si>
    <t>Water</t>
  </si>
  <si>
    <t>ton/year</t>
  </si>
  <si>
    <t>Folding box board</t>
  </si>
  <si>
    <t>https://365tno-my.sharepoint.com/personal/marc_marsidi_tno_nl/Documents/Decarbonisatieopties%20P&amp;K/Data/Scenarioparameters/WOUTER%20Dataset%20paper%20industry_non-confidential_v0.1.xlsx</t>
  </si>
  <si>
    <t>Paper machine; Process</t>
  </si>
  <si>
    <t>Paper machine; Main output; COMMENT</t>
  </si>
  <si>
    <t>Stock preparation; Year of next investment decision</t>
  </si>
  <si>
    <t>[100%]</t>
  </si>
  <si>
    <t>Commodity name</t>
  </si>
  <si>
    <t>Market price</t>
  </si>
  <si>
    <t>Market price; LOWER LIMIT</t>
  </si>
  <si>
    <t>Market price; UPPER LIMIT</t>
  </si>
  <si>
    <t>Market price; UNIT</t>
  </si>
  <si>
    <t>Market price; VERIFICATION</t>
  </si>
  <si>
    <t>Old paper (mixed)</t>
  </si>
  <si>
    <t>Euro2017/ton</t>
  </si>
  <si>
    <t>Pulp; Cellulose  NBSK</t>
  </si>
  <si>
    <t>Pulp; Cellulose  BEKP</t>
  </si>
  <si>
    <t>Euro2017/GJ</t>
  </si>
  <si>
    <t>Newsprint</t>
  </si>
  <si>
    <t>Uncoated mechanical</t>
  </si>
  <si>
    <t>Coated  mechanical</t>
  </si>
  <si>
    <t>Uncoated woodfree</t>
  </si>
  <si>
    <t>Coated woodfree</t>
  </si>
  <si>
    <t>Containerboard Virgin fibre</t>
  </si>
  <si>
    <t>Containerboard Recycled Paper</t>
  </si>
  <si>
    <t>Sanitary paper (Frankrijk)</t>
  </si>
  <si>
    <t>Cartonboard coated duplex</t>
  </si>
  <si>
    <t>Cartonboard White-lined chipboard</t>
  </si>
  <si>
    <t>Production per year</t>
  </si>
  <si>
    <t>Input H2 (GJ per unit of main output)</t>
  </si>
  <si>
    <t>tonCO2/GJh2</t>
  </si>
  <si>
    <t>euro/Gjh2</t>
  </si>
  <si>
    <t>GJ/Gjh2</t>
  </si>
  <si>
    <t>Disc_rate</t>
  </si>
  <si>
    <t>For the scenario data, I have taken the figures for 2035 and extrapolated this for the period 2036-2040</t>
  </si>
  <si>
    <t>Gjfinal</t>
  </si>
  <si>
    <t>ChangeEnergyCO2</t>
  </si>
  <si>
    <t>Change in energy</t>
  </si>
  <si>
    <t>CO2 (only gas CO2 emissions)</t>
  </si>
  <si>
    <t>Plant_Name</t>
  </si>
  <si>
    <t>For O&amp;M boilers I have converted the original value per capacity to a variable value per GJ. Original value per capacity is set to 0 to avoid doublecounting</t>
  </si>
  <si>
    <t>Overview of notes and remarks regarding this worksheet</t>
  </si>
  <si>
    <t>Number</t>
  </si>
  <si>
    <t>CHPs are defined as small, medium and large. The sizes of CHPs for mills that currently do not have a CHP are based on their production per year (small &lt; 100.000 ton/yr,  100.000 ton/yr &lt;medium &lt; 200.000 ton/yr, 200.000 ton/yr &lt; large)</t>
  </si>
  <si>
    <t>Variant</t>
  </si>
  <si>
    <t>Scenario 1</t>
  </si>
  <si>
    <t>Tag scenario</t>
  </si>
  <si>
    <t>Overview_scenarios</t>
  </si>
  <si>
    <t>Scenario 2</t>
  </si>
  <si>
    <t>Reference scenario. Based on Monit (see 'Initial set of scenario parameters v_0.1.docx)</t>
  </si>
  <si>
    <t>238</t>
  </si>
  <si>
    <t>87</t>
  </si>
  <si>
    <t>872</t>
  </si>
  <si>
    <t>873</t>
  </si>
  <si>
    <t>Column1</t>
  </si>
  <si>
    <t>Tag Parameter&amp;scenario</t>
  </si>
  <si>
    <t>Scenario 3</t>
  </si>
  <si>
    <t>High scenario. Based on upper level of 'Initial set of scenario parameters v_0.1.docx</t>
  </si>
  <si>
    <t>Low scenario. Based on lower level of 'Initial set of scenario parameters v_0.1.docx</t>
  </si>
  <si>
    <t>Conversion of euro/m3 are based on higher heating value for Groningse gas (35.17 MJ/m3)</t>
  </si>
  <si>
    <t>LCOE</t>
  </si>
  <si>
    <t>EUR/Gjsteam</t>
  </si>
  <si>
    <t>GJprim/yr (avg)</t>
  </si>
  <si>
    <t>tonCO2/yr (avg)</t>
  </si>
  <si>
    <t>kgCO2/Gjgas</t>
  </si>
  <si>
    <t>Annuity factor</t>
  </si>
  <si>
    <t>AkzoNobel Hengelo</t>
  </si>
  <si>
    <t>Salt (98%)</t>
  </si>
  <si>
    <t>-</t>
  </si>
  <si>
    <t>Solution mining and brine purification</t>
  </si>
  <si>
    <t>Centrifugation and treatment</t>
  </si>
  <si>
    <t>Steam generation; Steam from external parties</t>
  </si>
  <si>
    <t>AkzoNobel</t>
  </si>
  <si>
    <t>Production of steam by third parties</t>
  </si>
  <si>
    <t>Steam generation</t>
  </si>
  <si>
    <t>Euro2018</t>
  </si>
  <si>
    <t>Steam generation; Electric boiler</t>
  </si>
  <si>
    <t>Production of steam using electric boiler</t>
  </si>
  <si>
    <t>Salt extraction; Main output</t>
  </si>
  <si>
    <t>Product type</t>
  </si>
  <si>
    <t>Salt extraction; Production</t>
  </si>
  <si>
    <t>GJ/year</t>
  </si>
  <si>
    <t>20 Manufacture of chemicals and chemical products</t>
  </si>
  <si>
    <t>AkzoNobel Industrial Chemicals</t>
  </si>
  <si>
    <t>Boortorenweg 27</t>
  </si>
  <si>
    <t xml:space="preserve">7554 RS </t>
  </si>
  <si>
    <t>Hengelo</t>
  </si>
  <si>
    <t>NL-200400177</t>
  </si>
  <si>
    <t>Akzo Nobel Chemicals B.V. (Hengelo)</t>
  </si>
  <si>
    <t>AkzoNobel Delfzijl</t>
  </si>
  <si>
    <t>Oosterhorn 4</t>
  </si>
  <si>
    <t>9936 HD</t>
  </si>
  <si>
    <t>Farmsum</t>
  </si>
  <si>
    <t>NL-201100051</t>
  </si>
  <si>
    <t>Akzo Nobel Chemicals B.V., Farmsum</t>
  </si>
  <si>
    <t>Frisia Zout Harlingen</t>
  </si>
  <si>
    <t xml:space="preserve">European Salt Company - K+S Group </t>
  </si>
  <si>
    <t>Lange Lijnbaan 15</t>
  </si>
  <si>
    <t xml:space="preserve">8861 NW </t>
  </si>
  <si>
    <t>Harlingen</t>
  </si>
  <si>
    <t>NL-200400255</t>
  </si>
  <si>
    <t>Frisia Zout B.V.</t>
  </si>
  <si>
    <t>NedMag Veendam</t>
  </si>
  <si>
    <t xml:space="preserve">Nedmag Mining and Manufacturing Industries Holding B.V. </t>
  </si>
  <si>
    <t>Billitonweg 1</t>
  </si>
  <si>
    <t>9640 AE</t>
  </si>
  <si>
    <t>Veendam</t>
  </si>
  <si>
    <t>NL-200400291</t>
  </si>
  <si>
    <t>Nedmag Mining and Manufacturing Holding B.V.</t>
  </si>
  <si>
    <t>Vaporization</t>
  </si>
  <si>
    <t>Plant data</t>
  </si>
  <si>
    <t>Brine vaporization</t>
  </si>
  <si>
    <t>Salt extraction; Production; UNIT</t>
  </si>
  <si>
    <t>Salt extraction; Capacity</t>
  </si>
  <si>
    <t>Salt extraction; number</t>
  </si>
  <si>
    <t>Salt extraction; Capacity utilization</t>
  </si>
  <si>
    <t>Salt extraction; Capacity; UNIT</t>
  </si>
  <si>
    <t>Salt extraction; Capacity utilization; UNIT</t>
  </si>
  <si>
    <t>Salt extraction; Year of next investment decision</t>
  </si>
  <si>
    <t>Vaporization; Multiple effect (4) vaporization; NUMBER</t>
  </si>
  <si>
    <t>Vaporization; Multiple effect (4) vaporization; CAPACITY</t>
  </si>
  <si>
    <t>Vaporization; Multiple effect (4) vaporization; CAPACITY; UNIT</t>
  </si>
  <si>
    <t>Vaporization; Multiple effect (4) vaporization; CAPACITY UTILIZATION</t>
  </si>
  <si>
    <t>kton/year</t>
  </si>
  <si>
    <t>Vaporization; Multiple effect (4) vaporization; CAPACITY UTILIZATION; UNIT</t>
  </si>
  <si>
    <t>Vaporization; Multiple effect (4) vaporization; YEAR OF NEXT INVESTMENT DECISION</t>
  </si>
  <si>
    <t>Vaporization; Multiple effect (5) vaporization; NUMBER</t>
  </si>
  <si>
    <t>Vaporization; Multiple effect (5) vaporization; CAPACITY</t>
  </si>
  <si>
    <t>Vaporization; Multiple effect (5) vaporization; CAPACITY; UNIT</t>
  </si>
  <si>
    <t>Vaporization; Multiple effect (5) vaporization; CAPACITY UTILIZATION</t>
  </si>
  <si>
    <t>Vaporization; Multiple effect (5) vaporization; CAPACITY UTILIZATION; UNIT</t>
  </si>
  <si>
    <t>Vaporization; Multiple effect (5) vaporization; YEAR OF NEXT INVESTMENT DECISION</t>
  </si>
  <si>
    <t>Vaporization; Mechanic vapor recompression; NUMBER</t>
  </si>
  <si>
    <t>Vaporization; Mechanic vapor recompression; CAPACITY</t>
  </si>
  <si>
    <t>Vaporization; Mechanic vapor recompression; CAPACITY; UNIT</t>
  </si>
  <si>
    <t>Vaporization; Mechanic vapor recompression; CAPACITY UTILIZATION</t>
  </si>
  <si>
    <t>Vaporization; Mechanic vapor recompression; CAPACITY UTILIZATION; UNIT</t>
  </si>
  <si>
    <t>Vaporization; Mechanic vapor recompression; YEAR OF NEXT INVESTMENT DECISION</t>
  </si>
  <si>
    <t>Vaporization; Direct brine use in industry; NUMBER</t>
  </si>
  <si>
    <t>Vaporization; Direct brine use in industry; CAPACITY</t>
  </si>
  <si>
    <t>Vaporization; Direct brine use in industry; CAPACITY; UNIT</t>
  </si>
  <si>
    <t>Vaporization; Direct brine use in industry; CAPACITY UTILIZATION</t>
  </si>
  <si>
    <t>Vaporization; Direct brine use in industry; CAPACITY UTILIZATION; UNIT</t>
  </si>
  <si>
    <t>Vaporization; Direct brine use in industry; YEAR OF NEXT INVESTMENT DECISION</t>
  </si>
  <si>
    <t>unit</t>
  </si>
  <si>
    <t>Capacity utilization</t>
  </si>
  <si>
    <t>Capacity</t>
  </si>
  <si>
    <t>Production</t>
  </si>
  <si>
    <t>Associated steam requirement</t>
  </si>
  <si>
    <t>Centrifugation and treatment; Process</t>
  </si>
  <si>
    <t>Centrifugation and treatment; Capacity</t>
  </si>
  <si>
    <t>Salt extraction</t>
  </si>
  <si>
    <t>Salt extaction by solution mining</t>
  </si>
  <si>
    <t>Raw brine</t>
  </si>
  <si>
    <t>Diesel</t>
  </si>
  <si>
    <t>kg</t>
  </si>
  <si>
    <t>Brine purification</t>
  </si>
  <si>
    <t>Purification of solution mined brine using chemicals</t>
  </si>
  <si>
    <t>Brine (25%)</t>
  </si>
  <si>
    <t>Barium carbonate</t>
  </si>
  <si>
    <t>Barium chloride</t>
  </si>
  <si>
    <t>Sodium hydroxide</t>
  </si>
  <si>
    <t>Calcium carbonate</t>
  </si>
  <si>
    <t>Barium sulphate</t>
  </si>
  <si>
    <t>Magnesium hydroxide</t>
  </si>
  <si>
    <t>Vaporization; Multiple effect (4) vaporization</t>
  </si>
  <si>
    <t>Vaporization of brine from 25% to 90% salt</t>
  </si>
  <si>
    <t>Brine (90%)</t>
  </si>
  <si>
    <t>Vaporization; Multiple effect (5) vaporization</t>
  </si>
  <si>
    <t>Vaporization; Mechanic vapor recompression</t>
  </si>
  <si>
    <t>Vaporization; Direct brine use in industry</t>
  </si>
  <si>
    <t>Vaporization of depleted brine from 17% to 25% salt</t>
  </si>
  <si>
    <t>Resaturated brine (25%)</t>
  </si>
  <si>
    <t>Depleted brine (17%)</t>
  </si>
  <si>
    <t>Centrifugation</t>
  </si>
  <si>
    <t>Centrifugation of brine to remove excess water</t>
  </si>
  <si>
    <t>Treatment</t>
  </si>
  <si>
    <t>Drying and sifting to remove excess water</t>
  </si>
  <si>
    <t>Salt (99.9%)</t>
  </si>
  <si>
    <t>Steam generation; Combined heat and power</t>
  </si>
  <si>
    <t>Production of steam using CHP</t>
  </si>
  <si>
    <t>Total associated steam input</t>
  </si>
  <si>
    <t>Other input 4 (per unit of main output)</t>
  </si>
  <si>
    <t>Other input 4 (per unit of main output); COMMODITY</t>
  </si>
  <si>
    <t>Other input 4 (per unit of main output); UNIT</t>
  </si>
  <si>
    <t>Other output 3 (per unit of main output)</t>
  </si>
  <si>
    <t>Other output 3 (per unit of main output); COMMODITY</t>
  </si>
  <si>
    <t>Other output 3 (per unit of main output); UNIT</t>
  </si>
  <si>
    <t>Other output 4 (per unit of main output)</t>
  </si>
  <si>
    <t>Other output 4 (per unit of main output); COMMODITY</t>
  </si>
  <si>
    <t>Other output 4 (per unit of main output);</t>
  </si>
  <si>
    <t>Decarbonisation option vaporization (description)</t>
  </si>
  <si>
    <t>Decarbonisation option steam generation (description)</t>
  </si>
  <si>
    <t>Vaporization Technology</t>
  </si>
  <si>
    <t>Steam_Tech</t>
  </si>
  <si>
    <t>Vapor_Tech</t>
  </si>
  <si>
    <t>Vapor_Number</t>
  </si>
  <si>
    <t>CO2_scenario</t>
  </si>
  <si>
    <t>Associated electricity requirement</t>
  </si>
  <si>
    <t>Total brine (90%) output</t>
  </si>
  <si>
    <t>Total associated electricity input</t>
  </si>
  <si>
    <t>Current</t>
  </si>
  <si>
    <t>Future</t>
  </si>
  <si>
    <t>Steam Technology</t>
  </si>
  <si>
    <t>Steam generation; Combined heat and power; NUMBER</t>
  </si>
  <si>
    <t>Steam generation; Combined heat and power; CAPACITY</t>
  </si>
  <si>
    <t>Steam generation; Combined heat and power; CAPACITY UTILIZATION</t>
  </si>
  <si>
    <t>Steam generation; Electric boiler; NUMBER</t>
  </si>
  <si>
    <t>Steam generation; Electric boiler; CAPACITY</t>
  </si>
  <si>
    <t>Steam generation; Electric boiler; CAPACITY UTILIZATION</t>
  </si>
  <si>
    <t>Steam generation; Steam from external parties; NUMBER</t>
  </si>
  <si>
    <t>Steam generation; Steam from external parties; CAPACITY</t>
  </si>
  <si>
    <t>Steam generation; Steam from external parties; CAPACITY UTILIZATION</t>
  </si>
  <si>
    <t>Associated gas requirement</t>
  </si>
  <si>
    <t>Associated electricity generation</t>
  </si>
  <si>
    <t>Associated CO2 emissions</t>
  </si>
  <si>
    <t>Total steam output</t>
  </si>
  <si>
    <t>Steam generation; Combined heat and power; CAPACITY; UNIT</t>
  </si>
  <si>
    <t>Steam generation; Combined heat and power; CAPACITY UTILIZATION; UNIT</t>
  </si>
  <si>
    <t>Steam generation; Combined heat and power; YEAR OF NEXT INVESTMENT DECISION</t>
  </si>
  <si>
    <t>Steam generation; Electric boiler; CAPACITY; UNIT</t>
  </si>
  <si>
    <t>Steam generation; Electric boiler; CAPACITY UTILIZATION; UNIT</t>
  </si>
  <si>
    <t>Steam generation; Electric boiler; YEAR OF NEXT INVESTMENT DECISION</t>
  </si>
  <si>
    <t>Steam generation; Steam from external parties; CAPACITY; UNIT</t>
  </si>
  <si>
    <t>Steam generation; Steam from external parties; CAPACITY UTILIZATION; UNIT</t>
  </si>
  <si>
    <t>PJ/year</t>
  </si>
  <si>
    <t>Steam generation; Steam from external parties; YEAR OF NEXT INVESTMENT DECISION</t>
  </si>
  <si>
    <t>Total associated gas input</t>
  </si>
  <si>
    <t>Total associated electricity output</t>
  </si>
  <si>
    <t>Net electricity usage</t>
  </si>
  <si>
    <t>Total associated biofuel input</t>
  </si>
  <si>
    <t>Steam_Number</t>
  </si>
  <si>
    <t>Net energy usage</t>
  </si>
  <si>
    <t>Technology investments</t>
  </si>
  <si>
    <t>Total associated hydrogen input</t>
  </si>
  <si>
    <t>Total associated CO2 emissions</t>
  </si>
  <si>
    <t>GJprimairy</t>
  </si>
  <si>
    <t>Investment cost</t>
  </si>
  <si>
    <t>EUR/year</t>
  </si>
  <si>
    <t>Total investment</t>
  </si>
  <si>
    <t>Total operating and maintenance cost</t>
  </si>
  <si>
    <t>Operating and maintenance costs</t>
  </si>
  <si>
    <t>None</t>
  </si>
  <si>
    <t>Decarbonisation options</t>
  </si>
  <si>
    <t>Magnesium salt</t>
  </si>
  <si>
    <t>Final Results</t>
  </si>
  <si>
    <t>Final_Results</t>
  </si>
  <si>
    <t>Plant_data</t>
  </si>
  <si>
    <t>1</t>
  </si>
  <si>
    <t>2</t>
  </si>
  <si>
    <t>12</t>
  </si>
  <si>
    <t>13</t>
  </si>
  <si>
    <t>14</t>
  </si>
  <si>
    <t>15</t>
  </si>
  <si>
    <t>16</t>
  </si>
  <si>
    <t>17</t>
  </si>
  <si>
    <t>18</t>
  </si>
  <si>
    <t>19</t>
  </si>
  <si>
    <t>Year of next investment decision</t>
  </si>
  <si>
    <t>3</t>
  </si>
  <si>
    <t>4</t>
  </si>
  <si>
    <t>5</t>
  </si>
  <si>
    <t>6</t>
  </si>
  <si>
    <t>7</t>
  </si>
  <si>
    <t>8</t>
  </si>
  <si>
    <t>9</t>
  </si>
  <si>
    <t>10</t>
  </si>
  <si>
    <t>11</t>
  </si>
  <si>
    <t>20</t>
  </si>
  <si>
    <t>UsedScenarioParameters</t>
  </si>
  <si>
    <t>Centrifugation and treatment; Capacity; UNIT</t>
  </si>
  <si>
    <t>Centrifugation and treatment; Capacity utilization</t>
  </si>
  <si>
    <t>Price scenario</t>
  </si>
  <si>
    <t>Comment</t>
  </si>
  <si>
    <t>Integer value 1, 2, 3</t>
  </si>
  <si>
    <t>Policy levers (L)</t>
  </si>
  <si>
    <t>Exogenous uncertainties (X)</t>
  </si>
  <si>
    <t>Performance metrics (M)</t>
  </si>
  <si>
    <t>Plant examined</t>
  </si>
  <si>
    <t>1 = AkzoNobel Hengelo; 2 = AkzoNobel Delfzijl; 3 = Frisia Zout Harlingen; 4 = NedMag Veendam</t>
  </si>
  <si>
    <t>Steam technology explored</t>
  </si>
  <si>
    <t>Vaporization technology explored</t>
  </si>
  <si>
    <t>0 = None; 1 = MEV 4; 2 = MEV 5; 3 = MVR; 4 = Brine use in industry</t>
  </si>
  <si>
    <t>Integer value range 0 – 6</t>
  </si>
  <si>
    <t>0 = None; 1 = CHP; 2 = Electric boiler; 3 = Steam from 3rd parties</t>
  </si>
  <si>
    <t>Net present value of decarbonization pathway</t>
  </si>
  <si>
    <t>€</t>
  </si>
  <si>
    <t>Change in energy usage (average)</t>
  </si>
  <si>
    <t>Plant specific data</t>
  </si>
  <si>
    <t>Change in yearly emissions (average) (CO2 equivalent)</t>
  </si>
  <si>
    <t>Salt production variation</t>
  </si>
  <si>
    <t>Yearly efficiency gain</t>
  </si>
  <si>
    <t>Plant under consideration</t>
  </si>
  <si>
    <t>Yearly production</t>
  </si>
  <si>
    <t>kton salt</t>
  </si>
  <si>
    <t>Vaporization technology</t>
  </si>
  <si>
    <t>Steam technology</t>
  </si>
  <si>
    <t>Yearly efficiency gain estimated by DNVGL at 0.5% in Chemical industry</t>
  </si>
  <si>
    <t>Steam technology amount implemented</t>
  </si>
  <si>
    <t>Vaporization technology amount implemented</t>
  </si>
  <si>
    <t>Name</t>
  </si>
  <si>
    <t>Price_scenario</t>
  </si>
  <si>
    <t>Discount_rate</t>
  </si>
  <si>
    <t>Efficiency_gain</t>
  </si>
  <si>
    <t>Plant_number</t>
  </si>
  <si>
    <t>Steam_tech_amount</t>
  </si>
  <si>
    <t>Vapor_tech_amount</t>
  </si>
  <si>
    <t>Qty</t>
  </si>
  <si>
    <t>Investment_year</t>
  </si>
  <si>
    <t>Model Coupling EMA Workbench
(XLRM Framework)</t>
  </si>
  <si>
    <t>Steam_tech_val</t>
  </si>
  <si>
    <t>Vapor_tech_val</t>
  </si>
  <si>
    <t>Plant_val</t>
  </si>
  <si>
    <t>Yearly_production</t>
  </si>
  <si>
    <t>Energy_usage_change</t>
  </si>
  <si>
    <t>Emissions_change</t>
  </si>
  <si>
    <t>Gas price at time of investment</t>
  </si>
  <si>
    <t>Electricity price at time of investment</t>
  </si>
  <si>
    <t>€/GJ</t>
  </si>
  <si>
    <t>Gas price elevation</t>
  </si>
  <si>
    <t>Electricity price lowering</t>
  </si>
  <si>
    <t>Production_uncertainty</t>
  </si>
  <si>
    <t>%age change in current and future  energy usage</t>
  </si>
  <si>
    <t>Change total emissions in 2030</t>
  </si>
  <si>
    <t>Change in direct emissions in 2030</t>
  </si>
  <si>
    <t>Change in indirect emissions in 2030</t>
  </si>
  <si>
    <t>Steam_tech_explored</t>
  </si>
  <si>
    <t>Vapor_tech_explored</t>
  </si>
  <si>
    <t>PJ</t>
  </si>
  <si>
    <t>kton</t>
  </si>
  <si>
    <t>Baseline future</t>
  </si>
  <si>
    <t>Net energy usage baseline</t>
  </si>
  <si>
    <t>Future cash flow baseline</t>
  </si>
  <si>
    <t>May fluctuate between 2% and 5%</t>
  </si>
  <si>
    <t xml:space="preserve">Yearly production may fluctuate between between 85% and 115% </t>
  </si>
  <si>
    <t>Integer value range 0 – 20</t>
  </si>
  <si>
    <t>2041</t>
  </si>
  <si>
    <t>2042</t>
  </si>
  <si>
    <t>2043</t>
  </si>
  <si>
    <t>2044</t>
  </si>
  <si>
    <t>2045</t>
  </si>
  <si>
    <t>2046</t>
  </si>
  <si>
    <t>2047</t>
  </si>
  <si>
    <t>2048</t>
  </si>
  <si>
    <t>2049</t>
  </si>
  <si>
    <t>2050</t>
  </si>
  <si>
    <t>Direct emissions of production plant in 2030</t>
  </si>
  <si>
    <t>Direct emissions of production plant in 2016</t>
  </si>
  <si>
    <t>Indirect emissions of production plant in 2030</t>
  </si>
  <si>
    <t>Indirect emissions of production plant in 2016</t>
  </si>
  <si>
    <t>Indirect_emissions_2016</t>
  </si>
  <si>
    <t>Indirect_emissions_2030</t>
  </si>
  <si>
    <t>Direct_emissions_2016</t>
  </si>
  <si>
    <t>Direct_emissions_2030</t>
  </si>
  <si>
    <t>Net_direct_emission_2030</t>
  </si>
  <si>
    <t>Net_indirect_emission_2030</t>
  </si>
  <si>
    <t>Net_emissions_2030</t>
  </si>
  <si>
    <t>Savings in CO2 (direct)</t>
  </si>
  <si>
    <t>Savings in CO2 (direct + indirect)</t>
  </si>
  <si>
    <t>Change in direct emissions (average)</t>
  </si>
  <si>
    <t>Change in indirect emissions (average)</t>
  </si>
  <si>
    <t>Direct_emissions_change</t>
  </si>
  <si>
    <t>Indirect_emissions_change</t>
  </si>
  <si>
    <t>Gas_tax</t>
  </si>
  <si>
    <t>Green_electricity_subsidy</t>
  </si>
  <si>
    <t>Effect of gas tax elevation is investigated between 0% and 20% elevation</t>
  </si>
  <si>
    <t>Effect of green electricity subsidy is investigated between 0% and 20% elevation</t>
  </si>
  <si>
    <t>NPV</t>
  </si>
  <si>
    <t>Percentage change in direct emissions relative to 2016</t>
  </si>
  <si>
    <t>Percentage change in indirect emissions relative to 2016</t>
  </si>
  <si>
    <t>P_direct_emission_change</t>
  </si>
  <si>
    <t>P_indirect_emission_change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</si>
</sst>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0\ \ ;\-#,##0\ \ ;\-\ \ "/>
    <numFmt numFmtId="165" formatCode="#,##0.0;\-#,##0.0;\-\ "/>
    <numFmt numFmtId="166" formatCode="0.000"/>
    <numFmt numFmtId="167" formatCode="0.0%"/>
    <numFmt numFmtId="168" formatCode="0.0000"/>
    <numFmt numFmtId="169" formatCode="#,##0.0"/>
    <numFmt numFmtId="170" formatCode="0.0"/>
    <numFmt numFmtId="171" formatCode="0.00000"/>
  </numFmts>
  <fonts count="29" x14ac:knownFonts="1">
    <font>
      <sz val="11"/>
      <color theme="1"/>
      <name val="Calibri"/>
      <family val="2"/>
      <scheme val="minor"/>
    </font>
    <font>
      <sz val="11"/>
      <color rgb="FF3F3F76"/>
      <name val="Calibri"/>
      <family val="2"/>
      <scheme val="minor"/>
    </font>
    <font>
      <b/>
      <sz val="11"/>
      <color rgb="FFFA7D00"/>
      <name val="Calibri"/>
      <family val="2"/>
      <scheme val="minor"/>
    </font>
    <font>
      <sz val="8"/>
      <color theme="1"/>
      <name val="Calibri"/>
      <family val="2"/>
      <scheme val="minor"/>
    </font>
    <font>
      <sz val="8"/>
      <color rgb="FF3F3F76"/>
      <name val="Calibri"/>
      <family val="2"/>
      <scheme val="minor"/>
    </font>
    <font>
      <b/>
      <sz val="8"/>
      <color rgb="FFFA7D00"/>
      <name val="Calibri"/>
      <family val="2"/>
      <scheme val="minor"/>
    </font>
    <font>
      <u/>
      <sz val="11"/>
      <color theme="10"/>
      <name val="Calibri"/>
      <family val="2"/>
      <scheme val="minor"/>
    </font>
    <font>
      <u/>
      <sz val="11"/>
      <color theme="11"/>
      <name val="Calibri"/>
      <family val="2"/>
      <scheme val="minor"/>
    </font>
    <font>
      <b/>
      <sz val="8"/>
      <color theme="0"/>
      <name val="Calibri"/>
      <family val="2"/>
      <scheme val="minor"/>
    </font>
    <font>
      <i/>
      <sz val="8"/>
      <color theme="1"/>
      <name val="Calibri"/>
      <family val="2"/>
      <scheme val="minor"/>
    </font>
    <font>
      <b/>
      <sz val="8"/>
      <color rgb="FFFF0000"/>
      <name val="Calibri"/>
      <family val="2"/>
      <scheme val="minor"/>
    </font>
    <font>
      <b/>
      <sz val="15"/>
      <color theme="3"/>
      <name val="Calibri"/>
      <family val="2"/>
      <scheme val="minor"/>
    </font>
    <font>
      <b/>
      <sz val="11"/>
      <color theme="3"/>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name val="Calibri"/>
      <family val="2"/>
      <scheme val="minor"/>
    </font>
    <font>
      <b/>
      <sz val="11"/>
      <color theme="0" tint="-4.9989318521683403E-2"/>
      <name val="Calibri"/>
      <family val="2"/>
      <scheme val="minor"/>
    </font>
    <font>
      <sz val="11"/>
      <color rgb="FFFF0000"/>
      <name val="Calibri"/>
      <family val="2"/>
      <scheme val="minor"/>
    </font>
    <font>
      <b/>
      <sz val="11"/>
      <color rgb="FFFF0000"/>
      <name val="Calibri"/>
      <family val="2"/>
      <scheme val="minor"/>
    </font>
    <font>
      <sz val="11"/>
      <color theme="1"/>
      <name val="Calibri"/>
      <family val="2"/>
      <scheme val="minor"/>
    </font>
    <font>
      <b/>
      <sz val="14"/>
      <color theme="1"/>
      <name val="Calibri"/>
      <family val="2"/>
      <scheme val="minor"/>
    </font>
    <font>
      <b/>
      <sz val="14"/>
      <color theme="3"/>
      <name val="Calibri"/>
      <family val="2"/>
      <scheme val="minor"/>
    </font>
    <font>
      <b/>
      <sz val="11"/>
      <color rgb="FFFFFFFF"/>
      <name val="Calibri"/>
      <family val="2"/>
      <scheme val="minor"/>
    </font>
    <font>
      <sz val="11"/>
      <color rgb="FF000000"/>
      <name val="Calibri"/>
      <family val="2"/>
      <scheme val="minor"/>
    </font>
    <font>
      <b/>
      <sz val="16"/>
      <color theme="1"/>
      <name val="Calibri"/>
      <family val="2"/>
      <scheme val="minor"/>
    </font>
    <font>
      <sz val="11"/>
      <color theme="4"/>
      <name val="Calibri"/>
      <family val="2"/>
      <scheme val="minor"/>
    </font>
    <font>
      <b/>
      <sz val="18"/>
      <color theme="1"/>
      <name val="Calibri"/>
      <family val="2"/>
      <scheme val="minor"/>
    </font>
    <font>
      <b/>
      <sz val="11"/>
      <name val="Calibri"/>
      <family val="2"/>
      <scheme val="minor"/>
    </font>
  </fonts>
  <fills count="21">
    <fill>
      <patternFill patternType="none"/>
    </fill>
    <fill>
      <patternFill patternType="gray125"/>
    </fill>
    <fill>
      <patternFill patternType="solid">
        <fgColor rgb="FFFFCC99"/>
      </patternFill>
    </fill>
    <fill>
      <patternFill patternType="solid">
        <fgColor rgb="FFF2F2F2"/>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4"/>
        <bgColor theme="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CC99"/>
        <bgColor indexed="64"/>
      </patternFill>
    </fill>
    <fill>
      <patternFill patternType="solid">
        <fgColor theme="5" tint="0.59999389629810485"/>
        <bgColor indexed="64"/>
      </patternFill>
    </fill>
    <fill>
      <patternFill patternType="solid">
        <fgColor rgb="FFF2F2F2"/>
        <bgColor indexed="64"/>
      </patternFill>
    </fill>
    <fill>
      <patternFill patternType="solid">
        <fgColor theme="4"/>
        <bgColor indexed="64"/>
      </patternFill>
    </fill>
    <fill>
      <patternFill patternType="solid">
        <fgColor theme="4"/>
        <bgColor rgb="FF4F81BD"/>
      </patternFill>
    </fill>
    <fill>
      <patternFill patternType="solid">
        <fgColor theme="4"/>
        <bgColor rgb="FF000000"/>
      </patternFill>
    </fill>
    <fill>
      <patternFill patternType="solid">
        <fgColor rgb="FFDCE6F1"/>
        <bgColor rgb="FFDCE6F1"/>
      </patternFill>
    </fill>
    <fill>
      <patternFill patternType="solid">
        <fgColor rgb="FF00B0F0"/>
        <bgColor indexed="64"/>
      </patternFill>
    </fill>
    <fill>
      <patternFill patternType="solid">
        <fgColor theme="0"/>
        <bgColor indexed="64"/>
      </patternFill>
    </fill>
  </fills>
  <borders count="25">
    <border>
      <left/>
      <right/>
      <top/>
      <bottom/>
      <diagonal/>
    </border>
    <border>
      <left style="thin">
        <color rgb="FF7F7F7F"/>
      </left>
      <right style="thin">
        <color rgb="FF7F7F7F"/>
      </right>
      <top style="thin">
        <color rgb="FF7F7F7F"/>
      </top>
      <bottom style="thin">
        <color rgb="FF7F7F7F"/>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top style="thin">
        <color theme="4" tint="0.39997558519241921"/>
      </top>
      <bottom style="thin">
        <color theme="4" tint="0.39997558519241921"/>
      </bottom>
      <diagonal/>
    </border>
    <border>
      <left style="thin">
        <color rgb="FF7F7F7F"/>
      </left>
      <right style="thin">
        <color rgb="FF7F7F7F"/>
      </right>
      <top style="thin">
        <color rgb="FF7F7F7F"/>
      </top>
      <bottom/>
      <diagonal/>
    </border>
    <border>
      <left/>
      <right/>
      <top/>
      <bottom style="thick">
        <color theme="4"/>
      </bottom>
      <diagonal/>
    </border>
    <border>
      <left/>
      <right style="thin">
        <color theme="4" tint="0.39997558519241921"/>
      </right>
      <top style="thin">
        <color theme="4" tint="0.39997558519241921"/>
      </top>
      <bottom style="thin">
        <color theme="4" tint="0.39997558519241921"/>
      </bottom>
      <diagonal/>
    </border>
    <border>
      <left style="hair">
        <color auto="1"/>
      </left>
      <right style="hair">
        <color auto="1"/>
      </right>
      <top/>
      <bottom/>
      <diagonal/>
    </border>
    <border>
      <left style="hair">
        <color auto="1"/>
      </left>
      <right style="hair">
        <color auto="1"/>
      </right>
      <top/>
      <bottom style="hair">
        <color auto="1"/>
      </bottom>
      <diagonal/>
    </border>
    <border>
      <left/>
      <right style="thin">
        <color rgb="FF7F7F7F"/>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rgb="FF95B3D7"/>
      </left>
      <right/>
      <top style="thin">
        <color rgb="FF95B3D7"/>
      </top>
      <bottom style="thin">
        <color rgb="FF95B3D7"/>
      </bottom>
      <diagonal/>
    </border>
    <border>
      <left/>
      <right/>
      <top style="thin">
        <color rgb="FF95B3D7"/>
      </top>
      <bottom style="thin">
        <color rgb="FF95B3D7"/>
      </bottom>
      <diagonal/>
    </border>
    <border>
      <left/>
      <right style="thin">
        <color rgb="FF95B3D7"/>
      </right>
      <top style="thin">
        <color rgb="FF95B3D7"/>
      </top>
      <bottom style="thin">
        <color rgb="FF95B3D7"/>
      </bottom>
      <diagonal/>
    </border>
    <border>
      <left/>
      <right/>
      <top style="thin">
        <color theme="4" tint="0.39997558519241921"/>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auto="1"/>
      </left>
      <right/>
      <top/>
      <bottom style="hair">
        <color auto="1"/>
      </bottom>
      <diagonal/>
    </border>
  </borders>
  <cellStyleXfs count="9">
    <xf numFmtId="0" fontId="0" fillId="0" borderId="0"/>
    <xf numFmtId="0" fontId="1" fillId="2" borderId="1" applyNumberFormat="0" applyAlignment="0" applyProtection="0"/>
    <xf numFmtId="0" fontId="2" fillId="3" borderId="1" applyNumberFormat="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1" fillId="0" borderId="7" applyNumberFormat="0" applyFill="0" applyAlignment="0" applyProtection="0"/>
    <xf numFmtId="9" fontId="20" fillId="0" borderId="0" applyFont="0" applyFill="0" applyBorder="0" applyAlignment="0" applyProtection="0"/>
  </cellStyleXfs>
  <cellXfs count="194">
    <xf numFmtId="0" fontId="0" fillId="0" borderId="0" xfId="0"/>
    <xf numFmtId="0" fontId="3" fillId="0" borderId="0" xfId="0" applyFont="1"/>
    <xf numFmtId="0" fontId="3" fillId="0" borderId="3" xfId="0" applyFont="1" applyBorder="1"/>
    <xf numFmtId="0" fontId="3" fillId="0" borderId="4" xfId="0" applyFont="1" applyBorder="1"/>
    <xf numFmtId="0" fontId="3" fillId="0" borderId="2" xfId="0" applyFont="1" applyBorder="1"/>
    <xf numFmtId="0" fontId="3" fillId="0" borderId="0" xfId="0" applyFont="1" applyBorder="1"/>
    <xf numFmtId="0" fontId="9" fillId="0" borderId="0" xfId="0" applyFont="1"/>
    <xf numFmtId="0" fontId="5" fillId="3" borderId="1" xfId="2" applyFont="1"/>
    <xf numFmtId="0" fontId="4" fillId="2" borderId="1" xfId="1" applyFont="1"/>
    <xf numFmtId="0" fontId="10" fillId="0" borderId="0" xfId="0" applyFont="1"/>
    <xf numFmtId="15" fontId="3" fillId="0" borderId="0" xfId="0" applyNumberFormat="1" applyFont="1"/>
    <xf numFmtId="2" fontId="4" fillId="2" borderId="1" xfId="1" applyNumberFormat="1" applyFont="1"/>
    <xf numFmtId="0" fontId="11" fillId="0" borderId="7" xfId="7"/>
    <xf numFmtId="0" fontId="2" fillId="3" borderId="1" xfId="2"/>
    <xf numFmtId="2" fontId="5" fillId="3" borderId="1" xfId="2" applyNumberFormat="1" applyFont="1"/>
    <xf numFmtId="166" fontId="5" fillId="3" borderId="1" xfId="2" applyNumberFormat="1" applyFont="1"/>
    <xf numFmtId="168" fontId="5" fillId="3" borderId="1" xfId="2" applyNumberFormat="1" applyFont="1"/>
    <xf numFmtId="167" fontId="5" fillId="3" borderId="1" xfId="2" applyNumberFormat="1" applyFont="1"/>
    <xf numFmtId="0" fontId="4" fillId="2" borderId="1" xfId="1" applyFont="1" applyFill="1" applyBorder="1"/>
    <xf numFmtId="2" fontId="4" fillId="2" borderId="1" xfId="1" applyNumberFormat="1" applyFont="1" applyFill="1" applyBorder="1"/>
    <xf numFmtId="0" fontId="8" fillId="9" borderId="2" xfId="0" applyFont="1" applyFill="1" applyBorder="1"/>
    <xf numFmtId="0" fontId="8" fillId="9" borderId="3" xfId="0" applyFont="1" applyFill="1" applyBorder="1"/>
    <xf numFmtId="168" fontId="4" fillId="2" borderId="1" xfId="1" applyNumberFormat="1" applyFont="1" applyFill="1" applyBorder="1"/>
    <xf numFmtId="167" fontId="4" fillId="2" borderId="1" xfId="1" applyNumberFormat="1" applyFont="1" applyFill="1" applyBorder="1"/>
    <xf numFmtId="3" fontId="4" fillId="2" borderId="1" xfId="1" applyNumberFormat="1" applyFont="1" applyFill="1" applyBorder="1"/>
    <xf numFmtId="0" fontId="4" fillId="12" borderId="1" xfId="1" applyFont="1" applyFill="1" applyBorder="1"/>
    <xf numFmtId="0" fontId="4" fillId="12" borderId="6" xfId="1" applyFont="1" applyFill="1" applyBorder="1"/>
    <xf numFmtId="0" fontId="3" fillId="0" borderId="0" xfId="0" applyFont="1" applyAlignment="1"/>
    <xf numFmtId="0" fontId="8" fillId="9" borderId="9" xfId="0" applyFont="1" applyFill="1" applyBorder="1"/>
    <xf numFmtId="0" fontId="3" fillId="0" borderId="10" xfId="0" applyFont="1" applyBorder="1"/>
    <xf numFmtId="0" fontId="5" fillId="10" borderId="1" xfId="2" applyFont="1" applyFill="1"/>
    <xf numFmtId="2" fontId="5" fillId="11" borderId="1" xfId="2" applyNumberFormat="1" applyFont="1" applyFill="1"/>
    <xf numFmtId="0" fontId="3" fillId="0" borderId="11" xfId="0" applyFont="1" applyBorder="1"/>
    <xf numFmtId="0" fontId="4" fillId="2" borderId="1" xfId="1" applyFont="1" applyBorder="1"/>
    <xf numFmtId="0" fontId="5" fillId="3" borderId="1" xfId="2" applyNumberFormat="1" applyFont="1"/>
    <xf numFmtId="0" fontId="5" fillId="3" borderId="6" xfId="2" applyNumberFormat="1" applyFont="1" applyBorder="1"/>
    <xf numFmtId="2" fontId="3" fillId="11" borderId="0" xfId="0" applyNumberFormat="1" applyFont="1" applyFill="1"/>
    <xf numFmtId="169" fontId="3" fillId="11" borderId="0" xfId="0" applyNumberFormat="1" applyFont="1" applyFill="1" applyBorder="1"/>
    <xf numFmtId="169" fontId="3" fillId="10" borderId="0" xfId="0" applyNumberFormat="1" applyFont="1" applyFill="1" applyBorder="1"/>
    <xf numFmtId="170" fontId="3" fillId="10" borderId="0" xfId="0" applyNumberFormat="1" applyFont="1" applyFill="1" applyBorder="1"/>
    <xf numFmtId="170" fontId="4" fillId="2" borderId="1" xfId="1" applyNumberFormat="1" applyFont="1"/>
    <xf numFmtId="170" fontId="5" fillId="13" borderId="1" xfId="2" applyNumberFormat="1" applyFont="1" applyFill="1"/>
    <xf numFmtId="0" fontId="0" fillId="0" borderId="0" xfId="0" applyFont="1"/>
    <xf numFmtId="3" fontId="0" fillId="0" borderId="0" xfId="0" applyNumberFormat="1" applyFont="1"/>
    <xf numFmtId="2" fontId="0" fillId="0" borderId="0" xfId="0" applyNumberFormat="1" applyFont="1" applyAlignment="1">
      <alignment wrapText="1"/>
    </xf>
    <xf numFmtId="15" fontId="0" fillId="0" borderId="0" xfId="0" applyNumberFormat="1" applyFont="1"/>
    <xf numFmtId="0" fontId="12" fillId="0" borderId="7" xfId="7" applyFont="1"/>
    <xf numFmtId="0" fontId="14" fillId="0" borderId="0" xfId="0" applyFont="1"/>
    <xf numFmtId="0" fontId="13" fillId="0" borderId="0" xfId="0" applyFont="1" applyBorder="1"/>
    <xf numFmtId="0" fontId="0" fillId="0" borderId="0" xfId="0" applyFont="1" applyBorder="1"/>
    <xf numFmtId="0" fontId="2" fillId="3" borderId="1" xfId="2" applyFont="1"/>
    <xf numFmtId="2" fontId="0" fillId="0" borderId="0" xfId="0" applyNumberFormat="1" applyFont="1" applyBorder="1" applyAlignment="1">
      <alignment wrapText="1"/>
    </xf>
    <xf numFmtId="3" fontId="0" fillId="10" borderId="0" xfId="0" applyNumberFormat="1" applyFont="1" applyFill="1" applyBorder="1"/>
    <xf numFmtId="0" fontId="0" fillId="0" borderId="0" xfId="0" applyFont="1" applyFill="1"/>
    <xf numFmtId="0" fontId="0" fillId="0" borderId="0" xfId="2" applyFont="1" applyFill="1" applyBorder="1"/>
    <xf numFmtId="2" fontId="14" fillId="0" borderId="0" xfId="0" applyNumberFormat="1" applyFont="1" applyAlignment="1">
      <alignment wrapText="1"/>
    </xf>
    <xf numFmtId="3" fontId="2" fillId="3" borderId="0" xfId="2" applyNumberFormat="1" applyFont="1" applyBorder="1"/>
    <xf numFmtId="2" fontId="2" fillId="3" borderId="1" xfId="2" applyNumberFormat="1" applyFont="1"/>
    <xf numFmtId="2" fontId="13" fillId="0" borderId="0" xfId="0" applyNumberFormat="1" applyFont="1" applyBorder="1" applyAlignment="1">
      <alignment wrapText="1"/>
    </xf>
    <xf numFmtId="0" fontId="0" fillId="0" borderId="0" xfId="0" applyFont="1" applyFill="1" applyBorder="1"/>
    <xf numFmtId="3" fontId="2" fillId="8" borderId="0" xfId="2" applyNumberFormat="1" applyFont="1" applyFill="1" applyBorder="1"/>
    <xf numFmtId="3" fontId="2" fillId="11" borderId="0" xfId="2" applyNumberFormat="1" applyFont="1" applyFill="1" applyBorder="1"/>
    <xf numFmtId="0" fontId="0" fillId="0" borderId="0" xfId="0" applyFont="1" applyFill="1" applyBorder="1" applyProtection="1"/>
    <xf numFmtId="0" fontId="16" fillId="0" borderId="0" xfId="0" applyFont="1" applyFill="1" applyBorder="1" applyAlignment="1" applyProtection="1">
      <alignment horizontal="right" wrapText="1"/>
    </xf>
    <xf numFmtId="3" fontId="2" fillId="5" borderId="0" xfId="2" applyNumberFormat="1" applyFont="1" applyFill="1" applyBorder="1"/>
    <xf numFmtId="3" fontId="2" fillId="6" borderId="0" xfId="2" applyNumberFormat="1" applyFont="1" applyFill="1" applyBorder="1"/>
    <xf numFmtId="165" fontId="0" fillId="0" borderId="0" xfId="0" applyNumberFormat="1" applyFont="1" applyFill="1" applyBorder="1" applyProtection="1"/>
    <xf numFmtId="2" fontId="15" fillId="9" borderId="0" xfId="0" applyNumberFormat="1" applyFont="1" applyFill="1" applyBorder="1" applyAlignment="1">
      <alignment wrapText="1"/>
    </xf>
    <xf numFmtId="0" fontId="15" fillId="9" borderId="0" xfId="0" applyFont="1" applyFill="1" applyBorder="1"/>
    <xf numFmtId="2" fontId="0" fillId="0" borderId="0" xfId="0" applyNumberFormat="1" applyFont="1" applyFill="1" applyBorder="1" applyAlignment="1">
      <alignment wrapText="1"/>
    </xf>
    <xf numFmtId="3" fontId="0" fillId="3" borderId="0" xfId="2" applyNumberFormat="1" applyFont="1" applyBorder="1"/>
    <xf numFmtId="164" fontId="2" fillId="4" borderId="0" xfId="2" applyNumberFormat="1" applyFont="1" applyFill="1" applyBorder="1"/>
    <xf numFmtId="164" fontId="0" fillId="7" borderId="0" xfId="0" applyNumberFormat="1" applyFont="1" applyFill="1" applyBorder="1"/>
    <xf numFmtId="3" fontId="0" fillId="8" borderId="0" xfId="0" applyNumberFormat="1" applyFont="1" applyFill="1" applyBorder="1"/>
    <xf numFmtId="2" fontId="15" fillId="9" borderId="5" xfId="0" applyNumberFormat="1" applyFont="1" applyFill="1" applyBorder="1" applyAlignment="1">
      <alignment wrapText="1"/>
    </xf>
    <xf numFmtId="0" fontId="15" fillId="9" borderId="8" xfId="0" applyFont="1" applyFill="1" applyBorder="1"/>
    <xf numFmtId="2" fontId="17" fillId="0" borderId="0" xfId="0" applyNumberFormat="1" applyFont="1" applyFill="1" applyBorder="1" applyAlignment="1" applyProtection="1">
      <alignment wrapText="1"/>
      <protection locked="0"/>
    </xf>
    <xf numFmtId="0" fontId="0" fillId="0" borderId="0" xfId="0" applyFont="1" applyFill="1" applyBorder="1" applyProtection="1">
      <protection locked="0"/>
    </xf>
    <xf numFmtId="2" fontId="2" fillId="3" borderId="1" xfId="2" applyNumberFormat="1" applyFont="1" applyFill="1" applyBorder="1" applyAlignment="1">
      <alignment wrapText="1"/>
    </xf>
    <xf numFmtId="0" fontId="0" fillId="5" borderId="8" xfId="0" applyFont="1" applyFill="1" applyBorder="1"/>
    <xf numFmtId="2" fontId="0" fillId="0" borderId="0" xfId="0" applyNumberFormat="1" applyFont="1" applyFill="1" applyBorder="1" applyAlignment="1" applyProtection="1">
      <alignment wrapText="1"/>
    </xf>
    <xf numFmtId="3" fontId="2" fillId="3" borderId="0" xfId="2" applyNumberFormat="1" applyFont="1" applyBorder="1" applyProtection="1">
      <protection locked="0"/>
    </xf>
    <xf numFmtId="3" fontId="0" fillId="11" borderId="0" xfId="0" applyNumberFormat="1" applyFont="1" applyFill="1" applyBorder="1"/>
    <xf numFmtId="2" fontId="0" fillId="0" borderId="0" xfId="0" applyNumberFormat="1" applyFont="1" applyFill="1" applyAlignment="1" applyProtection="1">
      <alignment wrapText="1"/>
    </xf>
    <xf numFmtId="0" fontId="0" fillId="0" borderId="0" xfId="0" applyFont="1" applyFill="1" applyProtection="1"/>
    <xf numFmtId="0" fontId="18" fillId="0" borderId="0" xfId="0" applyFont="1"/>
    <xf numFmtId="2" fontId="0" fillId="0" borderId="0" xfId="0" applyNumberFormat="1" applyFont="1"/>
    <xf numFmtId="0" fontId="19" fillId="0" borderId="0" xfId="0" applyFont="1"/>
    <xf numFmtId="0" fontId="0" fillId="0" borderId="0" xfId="0" applyFont="1" applyAlignment="1">
      <alignment wrapText="1"/>
    </xf>
    <xf numFmtId="3" fontId="0" fillId="0" borderId="0" xfId="0" applyNumberFormat="1" applyFont="1" applyFill="1"/>
    <xf numFmtId="167" fontId="0" fillId="0" borderId="0" xfId="0" applyNumberFormat="1" applyFont="1" applyFill="1"/>
    <xf numFmtId="2" fontId="0" fillId="0" borderId="0" xfId="0" applyNumberFormat="1" applyFont="1" applyFill="1"/>
    <xf numFmtId="3" fontId="0" fillId="0" borderId="0" xfId="0" applyNumberFormat="1" applyFont="1" applyAlignment="1">
      <alignment wrapText="1"/>
    </xf>
    <xf numFmtId="0" fontId="0" fillId="0" borderId="0" xfId="0" applyNumberFormat="1" applyFont="1" applyFill="1"/>
    <xf numFmtId="9" fontId="0" fillId="0" borderId="0" xfId="8" applyFont="1" applyAlignment="1">
      <alignment wrapText="1"/>
    </xf>
    <xf numFmtId="0" fontId="16" fillId="0" borderId="0" xfId="0" applyFont="1" applyFill="1" applyBorder="1"/>
    <xf numFmtId="0" fontId="16" fillId="0" borderId="0" xfId="0" applyFont="1" applyFill="1"/>
    <xf numFmtId="3" fontId="16" fillId="0" borderId="0" xfId="0" applyNumberFormat="1" applyFont="1" applyFill="1" applyBorder="1"/>
    <xf numFmtId="0" fontId="2" fillId="3" borderId="1" xfId="2" applyFont="1" applyAlignment="1">
      <alignment horizontal="left"/>
    </xf>
    <xf numFmtId="0" fontId="0" fillId="10" borderId="0" xfId="0" applyFont="1" applyFill="1" applyBorder="1" applyAlignment="1">
      <alignment horizontal="left"/>
    </xf>
    <xf numFmtId="3" fontId="0" fillId="10" borderId="0" xfId="0" applyNumberFormat="1" applyFont="1" applyFill="1" applyBorder="1" applyAlignment="1">
      <alignment horizontal="left"/>
    </xf>
    <xf numFmtId="2" fontId="21" fillId="0" borderId="0" xfId="0" applyNumberFormat="1" applyFont="1" applyAlignment="1">
      <alignment wrapText="1"/>
    </xf>
    <xf numFmtId="0" fontId="21" fillId="0" borderId="0" xfId="0" applyFont="1"/>
    <xf numFmtId="0" fontId="22" fillId="0" borderId="7" xfId="7" applyFont="1"/>
    <xf numFmtId="0" fontId="0" fillId="15" borderId="0" xfId="0" applyFill="1" applyAlignment="1">
      <alignment vertical="center" wrapText="1"/>
    </xf>
    <xf numFmtId="3" fontId="0" fillId="0" borderId="0" xfId="0" applyNumberFormat="1" applyFont="1" applyFill="1" applyBorder="1"/>
    <xf numFmtId="9" fontId="0" fillId="0" borderId="0" xfId="8" applyFont="1" applyFill="1" applyBorder="1"/>
    <xf numFmtId="0" fontId="0" fillId="0" borderId="0" xfId="0" applyNumberFormat="1" applyFont="1" applyFill="1" applyBorder="1"/>
    <xf numFmtId="0" fontId="23" fillId="16" borderId="15" xfId="0" applyFont="1" applyFill="1" applyBorder="1" applyAlignment="1">
      <alignment vertical="center" wrapText="1"/>
    </xf>
    <xf numFmtId="0" fontId="23" fillId="16" borderId="16" xfId="0" applyFont="1" applyFill="1" applyBorder="1" applyAlignment="1">
      <alignment vertical="center" wrapText="1"/>
    </xf>
    <xf numFmtId="0" fontId="23" fillId="17" borderId="16" xfId="0" applyFont="1" applyFill="1" applyBorder="1" applyAlignment="1">
      <alignment vertical="center" wrapText="1"/>
    </xf>
    <xf numFmtId="0" fontId="23" fillId="16" borderId="17" xfId="0" applyFont="1" applyFill="1" applyBorder="1" applyAlignment="1">
      <alignment vertical="center" wrapText="1"/>
    </xf>
    <xf numFmtId="3" fontId="16" fillId="0" borderId="0" xfId="0" applyNumberFormat="1" applyFont="1" applyFill="1"/>
    <xf numFmtId="1" fontId="16" fillId="0" borderId="0" xfId="0" applyNumberFormat="1" applyFont="1" applyFill="1" applyBorder="1"/>
    <xf numFmtId="3" fontId="13" fillId="0" borderId="0" xfId="0" applyNumberFormat="1" applyFont="1" applyFill="1" applyBorder="1"/>
    <xf numFmtId="1" fontId="2" fillId="0" borderId="0" xfId="2" applyNumberFormat="1" applyFont="1" applyFill="1" applyBorder="1"/>
    <xf numFmtId="169" fontId="0" fillId="0" borderId="0" xfId="0" applyNumberFormat="1" applyFont="1" applyFill="1" applyBorder="1"/>
    <xf numFmtId="4" fontId="0" fillId="0" borderId="0" xfId="0" applyNumberFormat="1" applyFont="1" applyFill="1" applyBorder="1"/>
    <xf numFmtId="4" fontId="13" fillId="0" borderId="0" xfId="0" applyNumberFormat="1" applyFont="1" applyFill="1" applyBorder="1"/>
    <xf numFmtId="9" fontId="0" fillId="0" borderId="0" xfId="8" applyNumberFormat="1" applyFont="1" applyFill="1" applyBorder="1"/>
    <xf numFmtId="0" fontId="2" fillId="10" borderId="6" xfId="2" applyFont="1" applyFill="1" applyBorder="1" applyAlignment="1">
      <alignment horizontal="left"/>
    </xf>
    <xf numFmtId="0" fontId="2" fillId="0" borderId="0" xfId="2" applyFont="1" applyFill="1" applyBorder="1" applyAlignment="1">
      <alignment horizontal="left"/>
    </xf>
    <xf numFmtId="0" fontId="0" fillId="15" borderId="0" xfId="0" applyFont="1" applyFill="1" applyAlignment="1">
      <alignment vertical="center" wrapText="1"/>
    </xf>
    <xf numFmtId="0" fontId="24" fillId="18" borderId="16" xfId="0" applyFont="1" applyFill="1" applyBorder="1"/>
    <xf numFmtId="170" fontId="0" fillId="0" borderId="0" xfId="0" applyNumberFormat="1" applyFont="1" applyFill="1" applyBorder="1"/>
    <xf numFmtId="9" fontId="20" fillId="0" borderId="0" xfId="8" applyNumberFormat="1" applyFont="1" applyFill="1" applyBorder="1"/>
    <xf numFmtId="4" fontId="0" fillId="0" borderId="0" xfId="0" applyNumberFormat="1" applyFont="1"/>
    <xf numFmtId="4" fontId="0" fillId="0" borderId="0" xfId="0" applyNumberFormat="1" applyFont="1" applyFill="1" applyBorder="1" applyProtection="1"/>
    <xf numFmtId="2" fontId="2" fillId="14" borderId="6" xfId="2" applyNumberFormat="1" applyFont="1" applyFill="1" applyBorder="1" applyAlignment="1">
      <alignment wrapText="1"/>
    </xf>
    <xf numFmtId="0" fontId="2" fillId="3" borderId="6" xfId="2" applyNumberFormat="1" applyFont="1" applyBorder="1"/>
    <xf numFmtId="2" fontId="15" fillId="9" borderId="18" xfId="0" applyNumberFormat="1" applyFont="1" applyFill="1" applyBorder="1" applyAlignment="1">
      <alignment wrapText="1"/>
    </xf>
    <xf numFmtId="2" fontId="20" fillId="0" borderId="0" xfId="2" applyNumberFormat="1" applyFont="1" applyFill="1" applyBorder="1" applyAlignment="1">
      <alignment wrapText="1"/>
    </xf>
    <xf numFmtId="4" fontId="0" fillId="0" borderId="11" xfId="0" applyNumberFormat="1" applyFont="1" applyFill="1" applyBorder="1" applyProtection="1"/>
    <xf numFmtId="2" fontId="2" fillId="0" borderId="0" xfId="2" applyNumberFormat="1" applyFont="1" applyFill="1" applyBorder="1" applyAlignment="1">
      <alignment wrapText="1"/>
    </xf>
    <xf numFmtId="0" fontId="2" fillId="0" borderId="0" xfId="2" applyNumberFormat="1" applyFont="1" applyFill="1" applyBorder="1"/>
    <xf numFmtId="2" fontId="0" fillId="0" borderId="0" xfId="2" applyNumberFormat="1" applyFont="1" applyFill="1" applyBorder="1" applyAlignment="1">
      <alignment wrapText="1"/>
    </xf>
    <xf numFmtId="164" fontId="0" fillId="0" borderId="0" xfId="0" applyNumberFormat="1" applyFont="1"/>
    <xf numFmtId="3" fontId="0" fillId="10" borderId="0" xfId="0" applyNumberFormat="1" applyFont="1" applyFill="1"/>
    <xf numFmtId="3" fontId="13" fillId="3" borderId="0" xfId="2" applyNumberFormat="1" applyFont="1" applyFill="1" applyBorder="1"/>
    <xf numFmtId="3" fontId="13" fillId="0" borderId="0" xfId="2" applyNumberFormat="1" applyFont="1" applyFill="1" applyBorder="1"/>
    <xf numFmtId="3" fontId="2" fillId="0" borderId="0" xfId="2" applyNumberFormat="1" applyFont="1" applyFill="1" applyBorder="1"/>
    <xf numFmtId="2" fontId="13" fillId="0" borderId="0" xfId="0" applyNumberFormat="1" applyFont="1" applyFill="1" applyBorder="1" applyAlignment="1">
      <alignment wrapText="1"/>
    </xf>
    <xf numFmtId="9" fontId="1" fillId="2" borderId="0" xfId="1" applyNumberFormat="1" applyFont="1" applyBorder="1"/>
    <xf numFmtId="0" fontId="1" fillId="2" borderId="0" xfId="1" applyFont="1" applyBorder="1"/>
    <xf numFmtId="0" fontId="0" fillId="0" borderId="0" xfId="0" applyFont="1" applyFill="1" applyAlignment="1">
      <alignment vertical="center"/>
    </xf>
    <xf numFmtId="3" fontId="20" fillId="0" borderId="0" xfId="2" applyNumberFormat="1" applyFont="1" applyFill="1" applyBorder="1"/>
    <xf numFmtId="0" fontId="13" fillId="0" borderId="19" xfId="0" applyFont="1" applyBorder="1"/>
    <xf numFmtId="0" fontId="20" fillId="0" borderId="0" xfId="2" applyNumberFormat="1" applyFont="1" applyFill="1" applyBorder="1"/>
    <xf numFmtId="0" fontId="2" fillId="3" borderId="0" xfId="2" applyNumberFormat="1" applyFont="1" applyBorder="1"/>
    <xf numFmtId="0" fontId="0" fillId="0" borderId="0" xfId="0" applyFont="1" applyAlignment="1">
      <alignment horizontal="left"/>
    </xf>
    <xf numFmtId="0" fontId="15" fillId="15" borderId="0" xfId="0" applyFont="1" applyFill="1"/>
    <xf numFmtId="0" fontId="0" fillId="15" borderId="0" xfId="0" applyFont="1" applyFill="1" applyBorder="1"/>
    <xf numFmtId="2" fontId="0" fillId="0" borderId="0" xfId="0" applyNumberFormat="1" applyFont="1" applyBorder="1" applyAlignment="1">
      <alignment horizontal="center"/>
    </xf>
    <xf numFmtId="2" fontId="15" fillId="9" borderId="0" xfId="0" applyNumberFormat="1" applyFont="1" applyFill="1" applyBorder="1" applyAlignment="1">
      <alignment horizontal="center"/>
    </xf>
    <xf numFmtId="0" fontId="15" fillId="15" borderId="0" xfId="0" applyFont="1" applyFill="1" applyAlignment="1">
      <alignment horizontal="center"/>
    </xf>
    <xf numFmtId="0" fontId="0" fillId="15" borderId="0" xfId="0" applyFont="1" applyFill="1" applyBorder="1" applyAlignment="1">
      <alignment horizontal="center"/>
    </xf>
    <xf numFmtId="0" fontId="26" fillId="15" borderId="0" xfId="0" applyFont="1" applyFill="1"/>
    <xf numFmtId="0" fontId="26" fillId="15" borderId="0" xfId="0" applyFont="1" applyFill="1" applyAlignment="1">
      <alignment horizontal="center"/>
    </xf>
    <xf numFmtId="0" fontId="0" fillId="20" borderId="0" xfId="0" applyFill="1"/>
    <xf numFmtId="0" fontId="0" fillId="20" borderId="14" xfId="0" applyFill="1" applyBorder="1"/>
    <xf numFmtId="0" fontId="0" fillId="20" borderId="19" xfId="0" applyFill="1" applyBorder="1"/>
    <xf numFmtId="0" fontId="0" fillId="20" borderId="0" xfId="0" applyFill="1" applyBorder="1"/>
    <xf numFmtId="0" fontId="0" fillId="20" borderId="21" xfId="0" applyFill="1" applyBorder="1"/>
    <xf numFmtId="0" fontId="25" fillId="20" borderId="14" xfId="0" applyFont="1" applyFill="1" applyBorder="1"/>
    <xf numFmtId="0" fontId="0" fillId="20" borderId="22" xfId="0" applyFill="1" applyBorder="1"/>
    <xf numFmtId="0" fontId="0" fillId="20" borderId="23" xfId="0" applyFill="1" applyBorder="1"/>
    <xf numFmtId="0" fontId="15" fillId="19" borderId="12" xfId="0" applyFont="1" applyFill="1" applyBorder="1"/>
    <xf numFmtId="0" fontId="15" fillId="19" borderId="20" xfId="0" applyFont="1" applyFill="1" applyBorder="1"/>
    <xf numFmtId="0" fontId="15" fillId="19" borderId="13" xfId="0" applyFont="1" applyFill="1" applyBorder="1"/>
    <xf numFmtId="3" fontId="0" fillId="20" borderId="22" xfId="0" applyNumberFormat="1" applyFill="1" applyBorder="1"/>
    <xf numFmtId="0" fontId="0" fillId="20" borderId="0" xfId="0" applyFont="1" applyFill="1"/>
    <xf numFmtId="0" fontId="0" fillId="20" borderId="19" xfId="0" applyFont="1" applyFill="1" applyBorder="1" applyAlignment="1">
      <alignment vertical="top"/>
    </xf>
    <xf numFmtId="0" fontId="0" fillId="20" borderId="22" xfId="0" applyFont="1" applyFill="1" applyBorder="1" applyAlignment="1">
      <alignment vertical="top" wrapText="1"/>
    </xf>
    <xf numFmtId="0" fontId="0" fillId="20" borderId="0" xfId="0" applyFont="1" applyFill="1" applyBorder="1" applyAlignment="1">
      <alignment vertical="top"/>
    </xf>
    <xf numFmtId="0" fontId="0" fillId="20" borderId="22" xfId="0" applyFont="1" applyFill="1" applyBorder="1" applyAlignment="1">
      <alignment vertical="top"/>
    </xf>
    <xf numFmtId="3" fontId="0" fillId="20" borderId="22" xfId="8" applyNumberFormat="1" applyFont="1" applyFill="1" applyBorder="1"/>
    <xf numFmtId="3" fontId="0" fillId="20" borderId="22" xfId="0" applyNumberFormat="1" applyFont="1" applyFill="1" applyBorder="1" applyAlignment="1">
      <alignment vertical="top" wrapText="1"/>
    </xf>
    <xf numFmtId="0" fontId="28" fillId="0" borderId="0" xfId="0" applyFont="1" applyFill="1" applyBorder="1" applyAlignment="1">
      <alignment vertical="center" wrapText="1"/>
    </xf>
    <xf numFmtId="0" fontId="16" fillId="0" borderId="0" xfId="0" applyFont="1" applyFill="1" applyBorder="1" applyAlignment="1">
      <alignment vertical="center" wrapText="1"/>
    </xf>
    <xf numFmtId="0" fontId="18" fillId="20" borderId="19" xfId="0" applyFont="1" applyFill="1" applyBorder="1"/>
    <xf numFmtId="171" fontId="0" fillId="0" borderId="0" xfId="0" applyNumberFormat="1" applyFont="1"/>
    <xf numFmtId="0" fontId="0" fillId="20" borderId="19" xfId="0" applyFont="1" applyFill="1" applyBorder="1"/>
    <xf numFmtId="0" fontId="14" fillId="20" borderId="22" xfId="0" applyFont="1" applyFill="1" applyBorder="1"/>
    <xf numFmtId="0" fontId="14" fillId="20" borderId="23" xfId="0" applyFont="1" applyFill="1" applyBorder="1"/>
    <xf numFmtId="0" fontId="14" fillId="20" borderId="22" xfId="0" applyFont="1" applyFill="1" applyBorder="1" applyAlignment="1">
      <alignment vertical="top"/>
    </xf>
    <xf numFmtId="4" fontId="0" fillId="20" borderId="22" xfId="0" applyNumberFormat="1" applyFill="1" applyBorder="1"/>
    <xf numFmtId="3" fontId="0" fillId="20" borderId="0" xfId="0" applyNumberFormat="1" applyFill="1" applyBorder="1"/>
    <xf numFmtId="9" fontId="0" fillId="20" borderId="0" xfId="8" applyFont="1" applyFill="1" applyBorder="1"/>
    <xf numFmtId="3" fontId="0" fillId="0" borderId="0" xfId="0" applyNumberFormat="1" applyFont="1" applyFill="1" applyBorder="1" applyProtection="1"/>
    <xf numFmtId="4" fontId="0" fillId="0" borderId="0" xfId="0" applyNumberFormat="1" applyFont="1" applyAlignment="1">
      <alignment wrapText="1"/>
    </xf>
    <xf numFmtId="0" fontId="3" fillId="0" borderId="24" xfId="0" applyFont="1" applyBorder="1"/>
    <xf numFmtId="9" fontId="0" fillId="20" borderId="22" xfId="0" applyNumberFormat="1" applyFill="1" applyBorder="1"/>
    <xf numFmtId="4" fontId="0" fillId="20" borderId="0" xfId="0" applyNumberFormat="1" applyFill="1" applyBorder="1"/>
    <xf numFmtId="0" fontId="27" fillId="20" borderId="0" xfId="0" applyFont="1" applyFill="1" applyAlignment="1">
      <alignment horizontal="center" wrapText="1"/>
    </xf>
  </cellXfs>
  <cellStyles count="9">
    <cellStyle name="Calculation" xfId="2" builtinId="22"/>
    <cellStyle name="Followed Hyperlink" xfId="4" builtinId="9" hidden="1"/>
    <cellStyle name="Followed Hyperlink" xfId="6" builtinId="9" hidden="1"/>
    <cellStyle name="Heading 1" xfId="7" builtinId="16"/>
    <cellStyle name="Hyperlink" xfId="3" builtinId="8" hidden="1"/>
    <cellStyle name="Hyperlink" xfId="5" builtinId="8" hidden="1"/>
    <cellStyle name="Input" xfId="1" builtinId="20"/>
    <cellStyle name="Normal" xfId="0" builtinId="0"/>
    <cellStyle name="Percent" xfId="8" builtinId="5"/>
  </cellStyles>
  <dxfs count="454">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numFmt numFmtId="3" formatCode="#,##0"/>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numFmt numFmtId="0" formatCode="General"/>
      <fill>
        <patternFill patternType="none">
          <fgColor indexed="64"/>
          <bgColor indexed="65"/>
        </patternFill>
      </fill>
    </dxf>
    <dxf>
      <font>
        <strike val="0"/>
        <outline val="0"/>
        <shadow val="0"/>
        <u val="none"/>
        <vertAlign val="baseline"/>
        <sz val="11"/>
        <color theme="1"/>
        <name val="Calibri"/>
        <family val="2"/>
        <scheme val="minor"/>
      </font>
      <numFmt numFmtId="167" formatCode="0.0%"/>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indexed="65"/>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numFmt numFmtId="3" formatCode="#,##0"/>
      <fill>
        <patternFill patternType="none">
          <fgColor indexed="64"/>
          <bgColor auto="1"/>
        </patternFill>
      </fill>
    </dxf>
    <dxf>
      <font>
        <strike val="0"/>
        <outline val="0"/>
        <shadow val="0"/>
        <u val="none"/>
        <vertAlign val="baseline"/>
        <sz val="11"/>
        <color theme="1"/>
        <name val="Calibri"/>
        <family val="2"/>
        <scheme val="minor"/>
      </font>
      <numFmt numFmtId="3" formatCode="#,##0"/>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fgColor indexed="64"/>
          <bgColor theme="4"/>
        </patternFill>
      </fill>
      <alignment horizontal="general" vertical="center"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ill>
        <patternFill patternType="solid">
          <bgColor theme="4"/>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strike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numFmt numFmtId="4" formatCode="#,##0.00"/>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auto="1"/>
        </patternFill>
      </fill>
      <alignment horizontal="general" textRotation="0" wrapText="1" indent="0" justifyLastLine="0" shrinkToFit="0" readingOrder="0"/>
    </dxf>
    <dxf>
      <font>
        <strike val="0"/>
        <outline val="0"/>
        <shadow val="0"/>
        <u val="none"/>
        <vertAlign val="baseline"/>
        <sz val="1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bottom" textRotation="0" wrapText="1" indent="0" justifyLastLine="0" shrinkToFit="0" readingOrder="0"/>
      <protection locked="1" hidden="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2" formatCode="0.00"/>
      <alignment horizontal="general" textRotation="0" wrapText="1" indent="0" justifyLastLine="0" shrinkToFit="0" readingOrder="0"/>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outline="0">
        <left style="thin">
          <color rgb="FF7F7F7F"/>
        </left>
      </border>
    </dxf>
    <dxf>
      <font>
        <strike val="0"/>
        <outline val="0"/>
        <shadow val="0"/>
        <u val="none"/>
        <vertAlign val="baseline"/>
        <sz val="11"/>
        <color rgb="FFFA7D00"/>
        <name val="Calibri"/>
        <family val="2"/>
        <scheme val="minor"/>
      </font>
      <numFmt numFmtId="2" formatCode="0.00"/>
    </dxf>
    <dxf>
      <font>
        <b val="0"/>
        <i val="0"/>
        <strike val="0"/>
        <condense val="0"/>
        <extend val="0"/>
        <outline val="0"/>
        <shadow val="0"/>
        <u val="none"/>
        <vertAlign val="baseline"/>
        <sz val="11"/>
        <color theme="1"/>
        <name val="Calibri"/>
        <family val="2"/>
        <scheme val="minor"/>
      </font>
      <border outline="0">
        <right style="thin">
          <color rgb="FF7F7F7F"/>
        </right>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strike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color rgb="FFFA7D00"/>
        <name val="Calibri"/>
        <family val="2"/>
        <scheme val="minor"/>
      </font>
      <numFmt numFmtId="0" formatCode="General"/>
    </dxf>
    <dxf>
      <font>
        <strike val="0"/>
        <outline val="0"/>
        <shadow val="0"/>
        <u val="none"/>
        <vertAlign val="baseline"/>
        <sz val="11"/>
        <name val="Calibri"/>
        <family val="2"/>
        <scheme val="minor"/>
      </font>
      <numFmt numFmtId="3" formatCode="#,##0"/>
      <border outline="0">
        <right style="thin">
          <color rgb="FF7F7F7F"/>
        </right>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protection locked="1" hidden="0"/>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general" vertical="bottom" textRotation="0" wrapText="1"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7" tint="0.79998168889431442"/>
        </patternFill>
      </fill>
      <alignment horizontal="general" vertical="bottom" textRotation="0" wrapText="1" indent="0" justifyLastLine="0" shrinkToFit="0" readingOrder="0"/>
      <border diagonalUp="0" diagonalDown="0">
        <left/>
        <right style="thin">
          <color theme="4" tint="0.39997558519241921"/>
        </right>
        <top style="thin">
          <color theme="4" tint="0.39997558519241921"/>
        </top>
        <bottom style="thin">
          <color theme="4" tint="0.39997558519241921"/>
        </bottom>
      </border>
      <protection locked="1" hidden="0"/>
    </dxf>
    <dxf>
      <font>
        <b/>
        <strike val="0"/>
        <outline val="0"/>
        <shadow val="0"/>
        <u val="none"/>
        <vertAlign val="baseline"/>
        <sz val="11"/>
        <color rgb="FFFA7D00"/>
        <name val="Calibri"/>
        <family val="2"/>
        <scheme val="minor"/>
      </font>
      <numFmt numFmtId="2" formatCode="0.00"/>
      <fill>
        <patternFill patternType="solid">
          <fgColor indexed="64"/>
          <bgColor rgb="FFF2F2F2"/>
        </patternFill>
      </fill>
      <alignment horizontal="general" vertical="bottom" textRotation="0" wrapText="1" indent="0" justifyLastLine="0" shrinkToFit="0" readingOrder="0"/>
      <border diagonalUp="0" diagonalDown="0" outline="0">
        <left style="thin">
          <color rgb="FF7F7F7F"/>
        </left>
        <right style="thin">
          <color rgb="FF7F7F7F"/>
        </right>
        <top style="thin">
          <color rgb="FF7F7F7F"/>
        </top>
        <bottom style="thin">
          <color rgb="FF7F7F7F"/>
        </bottom>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auto="1"/>
        </patternFill>
      </fill>
      <alignment horizontal="general" textRotation="0" wrapText="1" indent="0" justifyLastLine="0" shrinkToFit="0" readingOrder="0"/>
    </dxf>
    <dxf>
      <font>
        <strike val="0"/>
        <outline val="0"/>
        <shadow val="0"/>
        <u val="none"/>
        <vertAlign val="baseline"/>
        <sz val="1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bottom" textRotation="0" wrapText="1" indent="0" justifyLastLine="0" shrinkToFit="0" readingOrder="0"/>
      <protection locked="1" hidden="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2" formatCode="0.00"/>
      <alignment horizontal="general" textRotation="0" wrapText="1" indent="0" justifyLastLine="0" shrinkToFit="0" readingOrder="0"/>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b/>
        <i val="0"/>
        <strike val="0"/>
        <condense val="0"/>
        <extend val="0"/>
        <outline val="0"/>
        <shadow val="0"/>
        <u val="none"/>
        <vertAlign val="baseline"/>
        <sz val="11"/>
        <color theme="1"/>
        <name val="Calibri"/>
        <family val="2"/>
        <scheme val="minor"/>
      </font>
      <numFmt numFmtId="3" formatCode="#,##0"/>
    </dxf>
    <dxf>
      <font>
        <b/>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protection locked="1" hidden="0"/>
    </dxf>
    <dxf>
      <font>
        <b/>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general" vertical="bottom" textRotation="0" wrapText="1" indent="0" justifyLastLine="0" shrinkToFit="0" readingOrder="0"/>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protection locked="1" hidden="0"/>
    </dxf>
    <dxf>
      <font>
        <strike val="0"/>
        <outline val="0"/>
        <shadow val="0"/>
        <u val="none"/>
        <vertAlign val="baseline"/>
        <sz val="11"/>
        <name val="Calibri"/>
        <family val="2"/>
        <scheme val="minor"/>
      </font>
      <numFmt numFmtId="4" formatCode="#,##0.00"/>
      <fill>
        <patternFill patternType="none">
          <fgColor indexed="64"/>
          <bgColor auto="1"/>
        </patternFill>
      </fill>
      <border>
        <right style="thin">
          <color rgb="FF7F7F7F"/>
        </right>
      </border>
    </dxf>
    <dxf>
      <font>
        <strike val="0"/>
        <outline val="0"/>
        <shadow val="0"/>
        <u val="none"/>
        <vertAlign val="baseline"/>
        <sz val="11"/>
        <name val="Calibri"/>
        <family val="2"/>
        <scheme val="minor"/>
      </font>
      <fill>
        <patternFill patternType="none">
          <fgColor indexed="64"/>
          <bgColor auto="1"/>
        </patternFill>
      </fill>
      <border outline="0">
        <right style="thin">
          <color rgb="FF7F7F7F"/>
        </right>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auto="1"/>
        </patternFill>
      </fill>
      <protection locked="1" hidden="0"/>
    </dxf>
    <dxf>
      <font>
        <b/>
        <strike val="0"/>
        <outline val="0"/>
        <shadow val="0"/>
        <u val="none"/>
        <vertAlign val="baseline"/>
        <sz val="11"/>
        <color theme="1"/>
        <name val="Calibri"/>
        <family val="2"/>
        <scheme val="minor"/>
      </font>
      <numFmt numFmtId="2" formatCode="0.00"/>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numFmt numFmtId="0" formatCode="General"/>
      <fill>
        <patternFill patternType="none">
          <fgColor indexed="64"/>
          <bgColor auto="1"/>
        </patternFill>
      </fill>
    </dxf>
    <dxf>
      <font>
        <strike val="0"/>
        <outline val="0"/>
        <shadow val="0"/>
        <u val="none"/>
        <vertAlign val="baseline"/>
        <sz val="11"/>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2" formatCode="0.00"/>
      <alignment horizontal="general" vertical="bottom" textRotation="0" wrapText="1" indent="0" justifyLastLine="0" shrinkToFit="0" readingOrder="0"/>
    </dxf>
    <dxf>
      <font>
        <strike val="0"/>
        <outline val="0"/>
        <shadow val="0"/>
        <u val="none"/>
        <vertAlign val="baseline"/>
        <sz val="11"/>
        <name val="Calibri"/>
        <family val="2"/>
        <scheme val="minor"/>
      </font>
    </dxf>
    <dxf>
      <font>
        <b/>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numFmt numFmtId="0" formatCode="General"/>
      <fill>
        <patternFill patternType="none">
          <fgColor indexed="64"/>
          <bgColor auto="1"/>
        </patternFill>
      </fill>
    </dxf>
    <dxf>
      <font>
        <strike val="0"/>
        <outline val="0"/>
        <shadow val="0"/>
        <u val="none"/>
        <vertAlign val="baseline"/>
        <sz val="11"/>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2" formatCode="0.00"/>
      <alignment horizontal="general" vertical="bottom" textRotation="0" wrapText="1" indent="0" justifyLastLine="0" shrinkToFit="0" readingOrder="0"/>
    </dxf>
    <dxf>
      <font>
        <strike val="0"/>
        <outline val="0"/>
        <shadow val="0"/>
        <u val="none"/>
        <vertAlign val="baseline"/>
        <sz val="11"/>
        <name val="Calibri"/>
        <family val="2"/>
        <scheme val="minor"/>
      </font>
    </dxf>
    <dxf>
      <font>
        <b/>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2" formatCode="0.00"/>
      <alignment horizontal="general" vertical="bottom" textRotation="0" wrapText="1" indent="0" justifyLastLine="0" shrinkToFit="0" readingOrder="0"/>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strike val="0"/>
        <outline val="0"/>
        <shadow val="0"/>
        <u val="none"/>
        <vertAlign val="baseline"/>
        <sz val="8"/>
        <color rgb="FFFA7D00"/>
        <name val="Calibri"/>
        <family val="2"/>
        <scheme val="minor"/>
      </font>
      <numFmt numFmtId="0" formatCode="General"/>
    </dxf>
    <dxf>
      <font>
        <strike val="0"/>
        <outline val="0"/>
        <shadow val="0"/>
        <u val="none"/>
        <vertAlign val="baseline"/>
        <sz val="8"/>
        <color rgb="FF3F3F76"/>
        <name val="Calibri"/>
        <family val="2"/>
        <scheme val="minor"/>
      </font>
      <border outline="0">
        <right style="thin">
          <color rgb="FF7F7F7F"/>
        </right>
      </border>
    </dxf>
    <dxf>
      <font>
        <b val="0"/>
        <i val="0"/>
        <strike val="0"/>
        <condense val="0"/>
        <extend val="0"/>
        <outline val="0"/>
        <shadow val="0"/>
        <u val="none"/>
        <vertAlign val="baseline"/>
        <sz val="8"/>
        <color theme="1"/>
        <name val="Calibri"/>
        <family val="2"/>
        <scheme val="minor"/>
      </font>
      <border outline="0">
        <right style="thin">
          <color rgb="FF7F7F7F"/>
        </right>
      </border>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rgb="FF3F3F76"/>
        <name val="Calibri"/>
        <family val="2"/>
        <scheme val="minor"/>
      </font>
      <fill>
        <patternFill patternType="solid">
          <fgColor indexed="64"/>
          <bgColor rgb="FFFFCC99"/>
        </patternFill>
      </fill>
      <border diagonalUp="0" diagonalDown="0">
        <left style="thin">
          <color rgb="FF7F7F7F"/>
        </left>
        <right style="thin">
          <color rgb="FF7F7F7F"/>
        </right>
        <top style="thin">
          <color rgb="FF7F7F7F"/>
        </top>
        <bottom style="thin">
          <color rgb="FF7F7F7F"/>
        </bottom>
        <vertical/>
        <horizontal/>
      </border>
    </dxf>
    <dxf>
      <font>
        <b val="0"/>
        <i val="0"/>
        <strike val="0"/>
        <condense val="0"/>
        <extend val="0"/>
        <outline val="0"/>
        <shadow val="0"/>
        <u val="none"/>
        <vertAlign val="baseline"/>
        <sz val="8"/>
        <color rgb="FF3F3F76"/>
        <name val="Calibri"/>
        <family val="2"/>
        <scheme val="minor"/>
      </font>
      <fill>
        <patternFill patternType="solid">
          <fgColor indexed="64"/>
          <bgColor rgb="FFFFCC99"/>
        </patternFill>
      </fill>
      <border diagonalUp="0" diagonalDown="0">
        <left style="thin">
          <color rgb="FF7F7F7F"/>
        </left>
        <right style="thin">
          <color rgb="FF7F7F7F"/>
        </right>
        <top style="thin">
          <color rgb="FF7F7F7F"/>
        </top>
        <bottom style="thin">
          <color rgb="FF7F7F7F"/>
        </bottom>
        <vertical/>
        <horizontal/>
      </border>
    </dxf>
    <dxf>
      <font>
        <b/>
        <i val="0"/>
        <strike val="0"/>
        <condense val="0"/>
        <extend val="0"/>
        <outline val="0"/>
        <shadow val="0"/>
        <u val="none"/>
        <vertAlign val="baseline"/>
        <sz val="8"/>
        <color theme="0"/>
        <name val="Calibri"/>
        <family val="2"/>
        <scheme val="minor"/>
      </font>
      <fill>
        <patternFill patternType="solid">
          <fgColor theme="4"/>
          <bgColor theme="4"/>
        </patternFill>
      </fill>
      <border diagonalUp="0" diagonalDown="0" outline="0">
        <left style="hair">
          <color auto="1"/>
        </left>
        <right style="hair">
          <color auto="1"/>
        </right>
        <top/>
        <bottom/>
      </border>
    </dxf>
    <dxf>
      <font>
        <strike val="0"/>
        <outline val="0"/>
        <shadow val="0"/>
        <u val="none"/>
        <vertAlign val="baseline"/>
        <sz val="8"/>
        <color rgb="FFFA7D00"/>
        <name val="Calibri"/>
        <family val="2"/>
        <scheme val="minor"/>
      </font>
      <numFmt numFmtId="0" formatCode="General"/>
      <border>
        <left style="thin">
          <color rgb="FF7F7F7F"/>
        </left>
      </border>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numFmt numFmtId="2" formatCode="0.00"/>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numFmt numFmtId="2" formatCode="0.00"/>
      <border>
        <right style="thin">
          <color rgb="FF7F7F7F"/>
        </right>
      </border>
    </dxf>
    <dxf>
      <font>
        <strike val="0"/>
        <outline val="0"/>
        <shadow val="0"/>
        <u val="none"/>
        <vertAlign val="baseline"/>
        <sz val="8"/>
        <color rgb="FF3F3F76"/>
        <name val="Calibri"/>
        <scheme val="minor"/>
      </font>
      <border outline="0">
        <right style="thin">
          <color rgb="FF7F7F7F"/>
        </right>
      </border>
    </dxf>
    <dxf>
      <font>
        <strike val="0"/>
        <outline val="0"/>
        <shadow val="0"/>
        <u val="none"/>
        <vertAlign val="baseline"/>
        <sz val="8"/>
        <color rgb="FF3F3F76"/>
        <name val="Calibri"/>
        <scheme val="minor"/>
      </font>
    </dxf>
    <dxf>
      <font>
        <strike val="0"/>
        <outline val="0"/>
        <shadow val="0"/>
        <u val="none"/>
        <vertAlign val="baseline"/>
        <sz val="8"/>
        <color rgb="FF3F3F76"/>
        <name val="Calibri"/>
        <scheme val="minor"/>
      </font>
    </dxf>
    <dxf>
      <border outline="0">
        <bottom style="hair">
          <color auto="1"/>
        </bottom>
      </border>
    </dxf>
    <dxf>
      <font>
        <b val="0"/>
        <i val="0"/>
        <strike val="0"/>
        <condense val="0"/>
        <extend val="0"/>
        <outline val="0"/>
        <shadow val="0"/>
        <u val="none"/>
        <vertAlign val="baseline"/>
        <sz val="8"/>
        <color theme="1"/>
        <name val="Calibri"/>
        <scheme val="minor"/>
      </font>
      <border diagonalUp="0" diagonalDown="0" outline="0">
        <left style="hair">
          <color auto="1"/>
        </left>
        <right style="hair">
          <color auto="1"/>
        </right>
        <top/>
        <bottom/>
      </border>
    </dxf>
  </dxfs>
  <tableStyles count="1" defaultTableStyle="TableStyleMedium2" defaultPivotStyle="PivotStyleLight16">
    <tableStyle name="TU Delft Table Style" pivot="0" count="0" xr9:uid="{644803C5-570B-1A4E-BC34-B0080B8BCCA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ScenarioParameters" displayName="ScenarioParameters" ref="B10:AN22" totalsRowShown="0" headerRowDxfId="453" dataDxfId="451" headerRowBorderDxfId="452" dataCellStyle="Input">
  <autoFilter ref="B10:AN22" xr:uid="{00000000-0009-0000-0100-000001000000}"/>
  <tableColumns count="39">
    <tableColumn id="1" xr3:uid="{00000000-0010-0000-0100-000001000000}" name="Parameter" dataDxfId="450" dataCellStyle="Input"/>
    <tableColumn id="2" xr3:uid="{00000000-0010-0000-0100-000002000000}" name="Unit" dataDxfId="449" dataCellStyle="Input"/>
    <tableColumn id="3" xr3:uid="{00000000-0010-0000-0100-000003000000}" name="2015" dataDxfId="448" dataCellStyle="Input">
      <calculatedColumnFormula>INDEX(Overview_scenarios[],MATCH(ScenarioParameters[[#This Row],[Parameter]]&amp;ScenarioParameters[[#This Row],[Tag scenario]],Overview_scenarios[Tag Parameter&amp;scenario],0),MATCH(D$10,Overview_scenarios[#Headers],0))</calculatedColumnFormula>
    </tableColumn>
    <tableColumn id="4" xr3:uid="{00000000-0010-0000-0100-000004000000}" name="2016" dataDxfId="447" dataCellStyle="Input">
      <calculatedColumnFormula>INDEX(Overview_scenarios[],MATCH(ScenarioParameters[[#This Row],[Parameter]]&amp;ScenarioParameters[[#This Row],[Tag scenario]],Overview_scenarios[Tag Parameter&amp;scenario],0),MATCH(E$10,Overview_scenarios[#Headers],0))</calculatedColumnFormula>
    </tableColumn>
    <tableColumn id="5" xr3:uid="{00000000-0010-0000-0100-000005000000}" name="2017" dataDxfId="446" dataCellStyle="Input">
      <calculatedColumnFormula>INDEX(Overview_scenarios[],MATCH(ScenarioParameters[[#This Row],[Parameter]]&amp;ScenarioParameters[[#This Row],[Tag scenario]],Overview_scenarios[Tag Parameter&amp;scenario],0),MATCH(F$10,Overview_scenarios[#Headers],0))</calculatedColumnFormula>
    </tableColumn>
    <tableColumn id="6" xr3:uid="{00000000-0010-0000-0100-000006000000}" name="2018" dataDxfId="445" dataCellStyle="Input">
      <calculatedColumnFormula>INDEX(Overview_scenarios[],MATCH(ScenarioParameters[[#This Row],[Parameter]]&amp;ScenarioParameters[[#This Row],[Tag scenario]],Overview_scenarios[Tag Parameter&amp;scenario],0),MATCH(G$10,Overview_scenarios[#Headers],0))</calculatedColumnFormula>
    </tableColumn>
    <tableColumn id="7" xr3:uid="{00000000-0010-0000-0100-000007000000}" name="2019" dataDxfId="444" dataCellStyle="Input">
      <calculatedColumnFormula>INDEX(Overview_scenarios[],MATCH(ScenarioParameters[[#This Row],[Parameter]]&amp;ScenarioParameters[[#This Row],[Tag scenario]],Overview_scenarios[Tag Parameter&amp;scenario],0),MATCH(H$10,Overview_scenarios[#Headers],0))</calculatedColumnFormula>
    </tableColumn>
    <tableColumn id="8" xr3:uid="{00000000-0010-0000-0100-000008000000}" name="2020" dataDxfId="443" dataCellStyle="Input">
      <calculatedColumnFormula>INDEX(Overview_scenarios[],MATCH(ScenarioParameters[[#This Row],[Parameter]]&amp;ScenarioParameters[[#This Row],[Tag scenario]],Overview_scenarios[Tag Parameter&amp;scenario],0),MATCH(I$10,Overview_scenarios[#Headers],0))</calculatedColumnFormula>
    </tableColumn>
    <tableColumn id="9" xr3:uid="{00000000-0010-0000-0100-000009000000}" name="2021" dataDxfId="442" dataCellStyle="Input">
      <calculatedColumnFormula>INDEX(Overview_scenarios[],MATCH(ScenarioParameters[[#This Row],[Parameter]]&amp;ScenarioParameters[[#This Row],[Tag scenario]],Overview_scenarios[Tag Parameter&amp;scenario],0),MATCH(J$10,Overview_scenarios[#Headers],0))</calculatedColumnFormula>
    </tableColumn>
    <tableColumn id="10" xr3:uid="{00000000-0010-0000-0100-00000A000000}" name="2022" dataDxfId="441" dataCellStyle="Input">
      <calculatedColumnFormula>INDEX(Overview_scenarios[],MATCH(ScenarioParameters[[#This Row],[Parameter]]&amp;ScenarioParameters[[#This Row],[Tag scenario]],Overview_scenarios[Tag Parameter&amp;scenario],0),MATCH(K$10,Overview_scenarios[#Headers],0))</calculatedColumnFormula>
    </tableColumn>
    <tableColumn id="11" xr3:uid="{00000000-0010-0000-0100-00000B000000}" name="2023" dataDxfId="440" dataCellStyle="Input">
      <calculatedColumnFormula>INDEX(Overview_scenarios[],MATCH(ScenarioParameters[[#This Row],[Parameter]]&amp;ScenarioParameters[[#This Row],[Tag scenario]],Overview_scenarios[Tag Parameter&amp;scenario],0),MATCH(L$10,Overview_scenarios[#Headers],0))</calculatedColumnFormula>
    </tableColumn>
    <tableColumn id="12" xr3:uid="{00000000-0010-0000-0100-00000C000000}" name="2024" dataDxfId="439" dataCellStyle="Input">
      <calculatedColumnFormula>INDEX(Overview_scenarios[],MATCH(ScenarioParameters[[#This Row],[Parameter]]&amp;ScenarioParameters[[#This Row],[Tag scenario]],Overview_scenarios[Tag Parameter&amp;scenario],0),MATCH(M$10,Overview_scenarios[#Headers],0))</calculatedColumnFormula>
    </tableColumn>
    <tableColumn id="13" xr3:uid="{00000000-0010-0000-0100-00000D000000}" name="2025" dataDxfId="438" dataCellStyle="Input">
      <calculatedColumnFormula>INDEX(Overview_scenarios[],MATCH(ScenarioParameters[[#This Row],[Parameter]]&amp;ScenarioParameters[[#This Row],[Tag scenario]],Overview_scenarios[Tag Parameter&amp;scenario],0),MATCH(N$10,Overview_scenarios[#Headers],0))</calculatedColumnFormula>
    </tableColumn>
    <tableColumn id="14" xr3:uid="{00000000-0010-0000-0100-00000E000000}" name="2026" dataDxfId="437" dataCellStyle="Input">
      <calculatedColumnFormula>INDEX(Overview_scenarios[],MATCH(ScenarioParameters[[#This Row],[Parameter]]&amp;ScenarioParameters[[#This Row],[Tag scenario]],Overview_scenarios[Tag Parameter&amp;scenario],0),MATCH(O$10,Overview_scenarios[#Headers],0))</calculatedColumnFormula>
    </tableColumn>
    <tableColumn id="15" xr3:uid="{00000000-0010-0000-0100-00000F000000}" name="2027" dataDxfId="436" dataCellStyle="Input">
      <calculatedColumnFormula>INDEX(Overview_scenarios[],MATCH(ScenarioParameters[[#This Row],[Parameter]]&amp;ScenarioParameters[[#This Row],[Tag scenario]],Overview_scenarios[Tag Parameter&amp;scenario],0),MATCH(P$10,Overview_scenarios[#Headers],0))</calculatedColumnFormula>
    </tableColumn>
    <tableColumn id="16" xr3:uid="{00000000-0010-0000-0100-000010000000}" name="2028" dataDxfId="435" dataCellStyle="Input">
      <calculatedColumnFormula>INDEX(Overview_scenarios[],MATCH(ScenarioParameters[[#This Row],[Parameter]]&amp;ScenarioParameters[[#This Row],[Tag scenario]],Overview_scenarios[Tag Parameter&amp;scenario],0),MATCH(Q$10,Overview_scenarios[#Headers],0))</calculatedColumnFormula>
    </tableColumn>
    <tableColumn id="17" xr3:uid="{00000000-0010-0000-0100-000011000000}" name="2029" dataDxfId="434" dataCellStyle="Input">
      <calculatedColumnFormula>INDEX(Overview_scenarios[],MATCH(ScenarioParameters[[#This Row],[Parameter]]&amp;ScenarioParameters[[#This Row],[Tag scenario]],Overview_scenarios[Tag Parameter&amp;scenario],0),MATCH(R$10,Overview_scenarios[#Headers],0))</calculatedColumnFormula>
    </tableColumn>
    <tableColumn id="18" xr3:uid="{00000000-0010-0000-0100-000012000000}" name="2030" dataDxfId="433" dataCellStyle="Input">
      <calculatedColumnFormula>INDEX(Overview_scenarios[],MATCH(ScenarioParameters[[#This Row],[Parameter]]&amp;ScenarioParameters[[#This Row],[Tag scenario]],Overview_scenarios[Tag Parameter&amp;scenario],0),MATCH(S$10,Overview_scenarios[#Headers],0))</calculatedColumnFormula>
    </tableColumn>
    <tableColumn id="19" xr3:uid="{00000000-0010-0000-0100-000013000000}" name="2031" dataDxfId="432" dataCellStyle="Input">
      <calculatedColumnFormula>INDEX(Overview_scenarios[],MATCH(ScenarioParameters[[#This Row],[Parameter]]&amp;ScenarioParameters[[#This Row],[Tag scenario]],Overview_scenarios[Tag Parameter&amp;scenario],0),MATCH(T$10,Overview_scenarios[#Headers],0))</calculatedColumnFormula>
    </tableColumn>
    <tableColumn id="20" xr3:uid="{00000000-0010-0000-0100-000014000000}" name="2032" dataDxfId="431" dataCellStyle="Input">
      <calculatedColumnFormula>INDEX(Overview_scenarios[],MATCH(ScenarioParameters[[#This Row],[Parameter]]&amp;ScenarioParameters[[#This Row],[Tag scenario]],Overview_scenarios[Tag Parameter&amp;scenario],0),MATCH(U$10,Overview_scenarios[#Headers],0))</calculatedColumnFormula>
    </tableColumn>
    <tableColumn id="21" xr3:uid="{00000000-0010-0000-0100-000015000000}" name="2033" dataDxfId="430" dataCellStyle="Input">
      <calculatedColumnFormula>INDEX(Overview_scenarios[],MATCH(ScenarioParameters[[#This Row],[Parameter]]&amp;ScenarioParameters[[#This Row],[Tag scenario]],Overview_scenarios[Tag Parameter&amp;scenario],0),MATCH(V$10,Overview_scenarios[#Headers],0))</calculatedColumnFormula>
    </tableColumn>
    <tableColumn id="22" xr3:uid="{00000000-0010-0000-0100-000016000000}" name="2034" dataDxfId="429" dataCellStyle="Input">
      <calculatedColumnFormula>INDEX(Overview_scenarios[],MATCH(ScenarioParameters[[#This Row],[Parameter]]&amp;ScenarioParameters[[#This Row],[Tag scenario]],Overview_scenarios[Tag Parameter&amp;scenario],0),MATCH(W$10,Overview_scenarios[#Headers],0))</calculatedColumnFormula>
    </tableColumn>
    <tableColumn id="23" xr3:uid="{00000000-0010-0000-0100-000017000000}" name="2035" dataDxfId="428" dataCellStyle="Input">
      <calculatedColumnFormula>INDEX(Overview_scenarios[],MATCH(ScenarioParameters[[#This Row],[Parameter]]&amp;ScenarioParameters[[#This Row],[Tag scenario]],Overview_scenarios[Tag Parameter&amp;scenario],0),MATCH(X$10,Overview_scenarios[#Headers],0))</calculatedColumnFormula>
    </tableColumn>
    <tableColumn id="24" xr3:uid="{00000000-0010-0000-0100-000018000000}" name="2036" dataDxfId="427" dataCellStyle="Calculation">
      <calculatedColumnFormula>ScenarioParameters[[#This Row],[2035]]</calculatedColumnFormula>
    </tableColumn>
    <tableColumn id="25" xr3:uid="{00000000-0010-0000-0100-000019000000}" name="2037" dataDxfId="426" dataCellStyle="Input">
      <calculatedColumnFormula>ScenarioParameters[[#This Row],[2035]]</calculatedColumnFormula>
    </tableColumn>
    <tableColumn id="26" xr3:uid="{00000000-0010-0000-0100-00001A000000}" name="2038" dataDxfId="425" dataCellStyle="Input">
      <calculatedColumnFormula>ScenarioParameters[[#This Row],[2035]]</calculatedColumnFormula>
    </tableColumn>
    <tableColumn id="27" xr3:uid="{00000000-0010-0000-0100-00001B000000}" name="2039" dataDxfId="424" dataCellStyle="Input">
      <calculatedColumnFormula>ScenarioParameters[[#This Row],[2035]]</calculatedColumnFormula>
    </tableColumn>
    <tableColumn id="28" xr3:uid="{00000000-0010-0000-0100-00001C000000}" name="2040" dataDxfId="423" dataCellStyle="Input">
      <calculatedColumnFormula>ScenarioParameters[[#This Row],[2035]]</calculatedColumnFormula>
    </tableColumn>
    <tableColumn id="38" xr3:uid="{AAF3A0CD-9E7A-384D-8A16-D4E1DC6C51EF}" name="2041" dataDxfId="422" dataCellStyle="Calculation">
      <calculatedColumnFormula>ScenarioParameters[[#This Row],[2036]]</calculatedColumnFormula>
    </tableColumn>
    <tableColumn id="37" xr3:uid="{549462A7-8801-464A-BFA4-7044F90C9230}" name="2042" dataDxfId="421" dataCellStyle="Calculation">
      <calculatedColumnFormula>ScenarioParameters[[#This Row],[2037]]</calculatedColumnFormula>
    </tableColumn>
    <tableColumn id="36" xr3:uid="{1FC277E2-D6DB-484F-88F8-5DF44FC562FA}" name="2043" dataDxfId="420" dataCellStyle="Calculation">
      <calculatedColumnFormula>ScenarioParameters[[#This Row],[2038]]</calculatedColumnFormula>
    </tableColumn>
    <tableColumn id="35" xr3:uid="{30B5BACF-03B7-0740-B423-12D4F24B5979}" name="2044" dataDxfId="419" dataCellStyle="Calculation">
      <calculatedColumnFormula>ScenarioParameters[[#This Row],[2039]]</calculatedColumnFormula>
    </tableColumn>
    <tableColumn id="34" xr3:uid="{AEBE98F3-39FD-9246-8708-279B8E2BFE1D}" name="2045" dataDxfId="418" dataCellStyle="Calculation">
      <calculatedColumnFormula>ScenarioParameters[[#This Row],[2040]]</calculatedColumnFormula>
    </tableColumn>
    <tableColumn id="33" xr3:uid="{4CD72B3A-5C36-D940-BDBE-12C8C06B003E}" name="2046" dataDxfId="417" dataCellStyle="Calculation">
      <calculatedColumnFormula>ScenarioParameters[[#This Row],[2041]]</calculatedColumnFormula>
    </tableColumn>
    <tableColumn id="32" xr3:uid="{F5C73231-E84E-1349-A34C-006F04BDC8DE}" name="2047" dataDxfId="416" dataCellStyle="Calculation">
      <calculatedColumnFormula>ScenarioParameters[[#This Row],[2042]]</calculatedColumnFormula>
    </tableColumn>
    <tableColumn id="31" xr3:uid="{FC54432D-B001-D542-885C-4BB74686872A}" name="2048" dataDxfId="415" dataCellStyle="Calculation">
      <calculatedColumnFormula>ScenarioParameters[[#This Row],[2043]]</calculatedColumnFormula>
    </tableColumn>
    <tableColumn id="39" xr3:uid="{1E6E1988-CD81-E040-8596-51E3499168F4}" name="2049" dataDxfId="414" dataCellStyle="Calculation">
      <calculatedColumnFormula>ScenarioParameters[[#This Row],[2044]]</calculatedColumnFormula>
    </tableColumn>
    <tableColumn id="30" xr3:uid="{14678586-F961-D645-A829-7AE49B3A3B01}" name="2050" dataDxfId="413" dataCellStyle="Calculation">
      <calculatedColumnFormula>ScenarioParameters[[#This Row],[2044]]</calculatedColumnFormula>
    </tableColumn>
    <tableColumn id="29" xr3:uid="{2EC86486-AA75-4A9E-8E0A-57EEB6E51AC6}" name="Tag scenario" dataDxfId="412" dataCellStyle="Input">
      <calculatedColumnFormula>FLOOR(Experiment!$C$8,1)</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591D10C4-ADFC-6045-86DA-95F1AE68FB4A}" name="ScenarioResults37" displayName="ScenarioResults37" ref="B181:X184" totalsRowShown="0" headerRowDxfId="334" dataDxfId="333">
  <autoFilter ref="B181:X184" xr:uid="{0847AAD5-2156-5F44-834C-9920B1AE6175}"/>
  <tableColumns count="23">
    <tableColumn id="1" xr3:uid="{7775A8E4-E416-DB45-A756-AE2EAD06DEE0}" name="Parameter" dataDxfId="332"/>
    <tableColumn id="2" xr3:uid="{86E618AC-60B3-0441-87A0-7EE533F9C897}" name="What" dataDxfId="331"/>
    <tableColumn id="3" xr3:uid="{0466E6F9-C744-3F49-A20C-1C58F75FF997}" name="Unit" dataDxfId="330"/>
    <tableColumn id="4" xr3:uid="{786DCDFE-C7F6-894E-8C4B-E47890FF47DC}" name="1" dataDxfId="329"/>
    <tableColumn id="5" xr3:uid="{7381FAC5-7117-5B4E-9D7B-9AC02CB5297B}" name="2" dataDxfId="328"/>
    <tableColumn id="6" xr3:uid="{6268FD81-3C2A-0742-91E4-605FC5C50F2B}" name="3" dataDxfId="327"/>
    <tableColumn id="7" xr3:uid="{490318E8-4C35-4449-BBFD-056CBD6AA028}" name="4" dataDxfId="326"/>
    <tableColumn id="8" xr3:uid="{EE061C5B-7E75-1D42-9B1F-B1FD7436EF3A}" name="5" dataDxfId="325"/>
    <tableColumn id="9" xr3:uid="{224C1A3D-8CDA-9F41-84C1-D7E4DC84FA0A}" name="6" dataDxfId="324"/>
    <tableColumn id="10" xr3:uid="{FD334CAC-00F0-CB45-ADCE-A5D1B1970514}" name="7" dataDxfId="323"/>
    <tableColumn id="11" xr3:uid="{277DC5E6-2B00-A241-90F3-6077F194C3E9}" name="8" dataDxfId="322"/>
    <tableColumn id="12" xr3:uid="{E4E0B731-62B2-8C4C-A648-82AD1D46ACD3}" name="9" dataDxfId="321"/>
    <tableColumn id="13" xr3:uid="{6766A4BC-A0F8-054A-8F92-4191D750FD07}" name="10" dataDxfId="320"/>
    <tableColumn id="14" xr3:uid="{29560563-DF22-3741-9F10-8E122EA13C92}" name="11" dataDxfId="319"/>
    <tableColumn id="15" xr3:uid="{9193AFD6-6534-0D41-AF1A-3CD36A59BDCD}" name="12" dataDxfId="318"/>
    <tableColumn id="16" xr3:uid="{F37FB5E0-969D-7648-86B9-AA778F036696}" name="13" dataDxfId="317"/>
    <tableColumn id="17" xr3:uid="{A7835831-F5B2-8943-B5C3-25506A850B2C}" name="14" dataDxfId="316"/>
    <tableColumn id="18" xr3:uid="{78D38653-08C8-534D-B06A-9ADA20F7F2FD}" name="15" dataDxfId="315"/>
    <tableColumn id="19" xr3:uid="{CBC1599E-69E8-5142-9732-E8D04554BC16}" name="16" dataDxfId="314"/>
    <tableColumn id="20" xr3:uid="{87D28115-8184-5242-9C73-17E5D83D3A3E}" name="17" dataDxfId="313"/>
    <tableColumn id="21" xr3:uid="{490D7755-86C7-054E-853D-FFCFB4D7E03E}" name="18" dataDxfId="312"/>
    <tableColumn id="22" xr3:uid="{BC422C8B-E831-264B-8A9E-6FAD654EF6E1}" name="19" dataDxfId="311"/>
    <tableColumn id="23" xr3:uid="{43DE6EB9-7707-6845-8BD5-E98ACECDE89D}" name="20" dataDxfId="31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2297ED3-7109-4F4E-B690-709FC73DEC18}" name="FinalResults38" displayName="FinalResults38" ref="B36:G44" totalsRowShown="0" headerRowDxfId="309" dataDxfId="308">
  <autoFilter ref="B36:G44" xr:uid="{E58FB130-9289-FA46-A21B-CFECB587A3AC}"/>
  <tableColumns count="6">
    <tableColumn id="1" xr3:uid="{7AD21503-7072-9349-820E-571C7CFB927A}" name="Plant name" dataDxfId="307" dataCellStyle="Calculation">
      <calculatedColumnFormula>Plant_name</calculatedColumnFormula>
    </tableColumn>
    <tableColumn id="7" xr3:uid="{57A6E976-1C7D-2D45-BCC1-63FD1708F772}" name="Decarbonisation options" dataDxfId="306">
      <calculatedColumnFormula>Steam_Tech &amp;" and " &amp; Vapor_Tech</calculatedColumnFormula>
    </tableColumn>
    <tableColumn id="6" xr3:uid="{5FC2314F-AC89-714E-9579-48E9198F7AA5}" name="Results" dataDxfId="305"/>
    <tableColumn id="2" xr3:uid="{35B2BC04-06BF-E64C-B690-CA90F496950A}" name="Unit" dataDxfId="304"/>
    <tableColumn id="3" xr3:uid="{A3E0F668-B496-4449-BE4E-17F8365297E7}" name="Value" dataDxfId="303"/>
    <tableColumn id="4" xr3:uid="{431A2321-681E-C743-9354-77B79ECCC378}" name="Scenario" dataDxfId="302" dataCellStyle="Calculation">
      <calculatedColumnFormula>CO2scenario</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871F64CC-40BB-1F41-889A-4BD5A968AA64}" name="ChangeEnergyCO2" displayName="ChangeEnergyCO2" ref="B158:X168" totalsRowShown="0" headerRowDxfId="301" dataDxfId="300">
  <autoFilter ref="B158:X168" xr:uid="{74CC9622-55EF-B244-98B3-880E03B6198D}"/>
  <tableColumns count="23">
    <tableColumn id="1" xr3:uid="{B9E7210F-0C68-5C4B-AAAB-0482E5F1E12A}" name="Parameter" dataDxfId="299"/>
    <tableColumn id="2" xr3:uid="{83547523-C089-FC4E-B391-354187CE47A3}" name="Type" dataDxfId="298"/>
    <tableColumn id="3" xr3:uid="{ADE5F775-43A7-B245-BF2E-5E144E697694}" name="Unit" dataDxfId="297"/>
    <tableColumn id="4" xr3:uid="{3E40011D-0882-AB4E-A656-4A5FC7DE6590}" name="1" dataDxfId="296" dataCellStyle="Calculation">
      <calculatedColumnFormula>IFERROR(INDEX(#REF!,MATCH(ChangeEnergyCO2[[#This Row],[Parameter]]&amp;ChangeEnergyCO2[[#This Row],[Type]],#REF!,0),MATCH("Value",#REF!,0))*Yrly_Steam_prod_Total,0)</calculatedColumnFormula>
    </tableColumn>
    <tableColumn id="5" xr3:uid="{09D81443-AA1E-8F42-888B-DA1EFB45AD05}" name="2" dataDxfId="295"/>
    <tableColumn id="6" xr3:uid="{1A5466FE-9F02-8A4D-ABDD-5A566377E90D}" name="3" dataDxfId="294"/>
    <tableColumn id="7" xr3:uid="{C0384C18-567C-4744-B861-3F4A4DA2F61E}" name="4" dataDxfId="293"/>
    <tableColumn id="8" xr3:uid="{3ABFEF20-5970-FF4D-93EF-C7C0E889E7AC}" name="5" dataDxfId="292"/>
    <tableColumn id="9" xr3:uid="{B850F70B-BEF1-BA42-9F9E-311248863047}" name="6" dataDxfId="291"/>
    <tableColumn id="10" xr3:uid="{DF2A2931-1E70-284D-ACB8-BF347BC50E87}" name="7" dataDxfId="290"/>
    <tableColumn id="11" xr3:uid="{00B77148-583A-D244-A713-D034CBDA2800}" name="8" dataDxfId="289"/>
    <tableColumn id="12" xr3:uid="{FADB031B-69E1-EA4F-A8F1-706CC6829D81}" name="9" dataDxfId="288"/>
    <tableColumn id="13" xr3:uid="{DBF03E67-3F6F-F645-A11E-06B00880E682}" name="10" dataDxfId="287"/>
    <tableColumn id="14" xr3:uid="{EF41EB11-95D1-C14E-9164-E667101A669C}" name="11" dataDxfId="286"/>
    <tableColumn id="15" xr3:uid="{64EB2EE6-AD96-6C40-9C54-F96ABBC03339}" name="12" dataDxfId="285"/>
    <tableColumn id="16" xr3:uid="{82FCDF46-FE66-2B40-B716-F958FD8BBF07}" name="13" dataDxfId="284"/>
    <tableColumn id="17" xr3:uid="{7F347DFB-8612-5B46-8D26-4E743CEC9126}" name="14" dataDxfId="283"/>
    <tableColumn id="18" xr3:uid="{68D34175-D03F-D44B-9E81-9B9B444046F6}" name="15" dataDxfId="282"/>
    <tableColumn id="19" xr3:uid="{7A5D5CD7-E174-B942-AE0B-5181A053E67E}" name="16" dataDxfId="281"/>
    <tableColumn id="20" xr3:uid="{D903A181-7856-D94E-AD4C-8200CAC5B5C1}" name="17" dataDxfId="280"/>
    <tableColumn id="21" xr3:uid="{DFA25229-5A08-B444-90DB-3474C9580AB7}" name="18" dataDxfId="279"/>
    <tableColumn id="22" xr3:uid="{65F73AA0-E6BE-4D44-A079-42BE2D829F45}" name="19" dataDxfId="278"/>
    <tableColumn id="23" xr3:uid="{150D7408-F060-7B40-8F13-D1B35E56E7E7}" name="20" dataDxfId="27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B2C7A44B-3E5B-B04B-ACCA-F7820B13F7A1}" name="UsedScenarioParameters" displayName="UsedScenarioParameters" ref="B141:AD153" totalsRowShown="0" headerRowDxfId="276" dataDxfId="275">
  <autoFilter ref="B141:AD153" xr:uid="{842B2CDB-F8CE-CC4D-B64A-292CE87484F4}"/>
  <tableColumns count="29">
    <tableColumn id="1" xr3:uid="{0AA6105B-B025-7649-A0B7-1E8683709AD4}" name="Parameter" dataDxfId="274"/>
    <tableColumn id="2" xr3:uid="{BF6FDAD1-C800-4345-B009-C735E27FB0FC}" name="Type" dataDxfId="273"/>
    <tableColumn id="3" xr3:uid="{E18EE9CB-0D5D-2D48-9CC5-C2E940587E61}" name="Unit" dataDxfId="272"/>
    <tableColumn id="4" xr3:uid="{602B0B64-1807-5C4C-B4AB-62667E8CDF03}" name="2015" dataDxfId="271" dataCellStyle="Calculation">
      <calculatedColumnFormula>INDEX(ScenarioParameters[],MATCH(UsedScenarioParameters[[#This Row],[Parameter]],ScenarioParameters[Parameter],0),MATCH(E$141,ScenarioParameters[#Headers],0))</calculatedColumnFormula>
    </tableColumn>
    <tableColumn id="5" xr3:uid="{8CA09177-2292-6E4E-8387-817D5AD966EC}" name="2016" dataDxfId="270">
      <calculatedColumnFormula>INDEX(ScenarioParameters[],MATCH(UsedScenarioParameters[[#This Row],[Parameter]],ScenarioParameters[Parameter],0),MATCH(F$141,ScenarioParameters[#Headers],0))</calculatedColumnFormula>
    </tableColumn>
    <tableColumn id="6" xr3:uid="{D1CECF22-8A1F-C441-B4D4-7AEDAE93C903}" name="2017" dataDxfId="269">
      <calculatedColumnFormula>INDEX(ScenarioParameters[],MATCH(UsedScenarioParameters[[#This Row],[Parameter]],ScenarioParameters[Parameter],0),MATCH(G$141,ScenarioParameters[#Headers],0))</calculatedColumnFormula>
    </tableColumn>
    <tableColumn id="7" xr3:uid="{911D7099-41BB-8645-9823-F3D2A5450C0A}" name="2018" dataDxfId="268">
      <calculatedColumnFormula>INDEX(ScenarioParameters[],MATCH(UsedScenarioParameters[[#This Row],[Parameter]],ScenarioParameters[Parameter],0),MATCH(H$141,ScenarioParameters[#Headers],0))</calculatedColumnFormula>
    </tableColumn>
    <tableColumn id="8" xr3:uid="{B682C799-4A1D-6447-92E1-B76EC21DDC96}" name="2019" dataDxfId="267">
      <calculatedColumnFormula>INDEX(ScenarioParameters[],MATCH(UsedScenarioParameters[[#This Row],[Parameter]],ScenarioParameters[Parameter],0),MATCH(I$141,ScenarioParameters[#Headers],0))</calculatedColumnFormula>
    </tableColumn>
    <tableColumn id="9" xr3:uid="{AE10ED16-FB3A-5242-9563-8B51592F378E}" name="2020" dataDxfId="266">
      <calculatedColumnFormula>INDEX(ScenarioParameters[],MATCH(UsedScenarioParameters[[#This Row],[Parameter]],ScenarioParameters[Parameter],0),MATCH(J$141,ScenarioParameters[#Headers],0))</calculatedColumnFormula>
    </tableColumn>
    <tableColumn id="10" xr3:uid="{CB3546DB-9AAE-F848-A33B-7AA0856D496D}" name="2021" dataDxfId="265">
      <calculatedColumnFormula>INDEX(ScenarioParameters[],MATCH(UsedScenarioParameters[[#This Row],[Parameter]],ScenarioParameters[Parameter],0),MATCH(K$141,ScenarioParameters[#Headers],0))</calculatedColumnFormula>
    </tableColumn>
    <tableColumn id="11" xr3:uid="{0A5192C0-A1C1-D04E-B76E-6264825B7ADD}" name="2022" dataDxfId="264">
      <calculatedColumnFormula>INDEX(ScenarioParameters[],MATCH(UsedScenarioParameters[[#This Row],[Parameter]],ScenarioParameters[Parameter],0),MATCH(L$141,ScenarioParameters[#Headers],0))</calculatedColumnFormula>
    </tableColumn>
    <tableColumn id="12" xr3:uid="{62B6E90D-C6A0-2947-BB53-84A3D15C3ACC}" name="2023" dataDxfId="263">
      <calculatedColumnFormula>INDEX(ScenarioParameters[],MATCH(UsedScenarioParameters[[#This Row],[Parameter]],ScenarioParameters[Parameter],0),MATCH(M$141,ScenarioParameters[#Headers],0))</calculatedColumnFormula>
    </tableColumn>
    <tableColumn id="13" xr3:uid="{1E90B475-18C9-2A4B-A9B2-E0E0761D933C}" name="2024" dataDxfId="262">
      <calculatedColumnFormula>INDEX(ScenarioParameters[],MATCH(UsedScenarioParameters[[#This Row],[Parameter]],ScenarioParameters[Parameter],0),MATCH(N$141,ScenarioParameters[#Headers],0))</calculatedColumnFormula>
    </tableColumn>
    <tableColumn id="14" xr3:uid="{6DC9AC5C-C890-934F-A3CC-D90AB1ADEC59}" name="2025" dataDxfId="261">
      <calculatedColumnFormula>INDEX(ScenarioParameters[],MATCH(UsedScenarioParameters[[#This Row],[Parameter]],ScenarioParameters[Parameter],0),MATCH(O$141,ScenarioParameters[#Headers],0))</calculatedColumnFormula>
    </tableColumn>
    <tableColumn id="15" xr3:uid="{03D9A94F-95C9-8E4E-AA69-66EE36E24103}" name="2026" dataDxfId="260">
      <calculatedColumnFormula>INDEX(ScenarioParameters[],MATCH(UsedScenarioParameters[[#This Row],[Parameter]],ScenarioParameters[Parameter],0),MATCH(P$141,ScenarioParameters[#Headers],0))</calculatedColumnFormula>
    </tableColumn>
    <tableColumn id="16" xr3:uid="{643B2455-8A0A-DA4B-A833-C04E7D32E7D0}" name="2027" dataDxfId="259">
      <calculatedColumnFormula>INDEX(ScenarioParameters[],MATCH(UsedScenarioParameters[[#This Row],[Parameter]],ScenarioParameters[Parameter],0),MATCH(Q$141,ScenarioParameters[#Headers],0))</calculatedColumnFormula>
    </tableColumn>
    <tableColumn id="17" xr3:uid="{26587B8D-2556-E340-9C0A-18511A812C2A}" name="2028" dataDxfId="258">
      <calculatedColumnFormula>INDEX(ScenarioParameters[],MATCH(UsedScenarioParameters[[#This Row],[Parameter]],ScenarioParameters[Parameter],0),MATCH(R$141,ScenarioParameters[#Headers],0))</calculatedColumnFormula>
    </tableColumn>
    <tableColumn id="18" xr3:uid="{10620E3E-9647-4446-9D08-F8C01FB26C95}" name="2029" dataDxfId="257">
      <calculatedColumnFormula>INDEX(ScenarioParameters[],MATCH(UsedScenarioParameters[[#This Row],[Parameter]],ScenarioParameters[Parameter],0),MATCH(S$141,ScenarioParameters[#Headers],0))</calculatedColumnFormula>
    </tableColumn>
    <tableColumn id="19" xr3:uid="{ADE7D5E3-F33B-634A-8314-343A48C40797}" name="2030" dataDxfId="256">
      <calculatedColumnFormula>INDEX(ScenarioParameters[],MATCH(UsedScenarioParameters[[#This Row],[Parameter]],ScenarioParameters[Parameter],0),MATCH(T$141,ScenarioParameters[#Headers],0))</calculatedColumnFormula>
    </tableColumn>
    <tableColumn id="20" xr3:uid="{6BAC37A4-5F07-3148-8EDF-8DB6C59DBC33}" name="2031" dataDxfId="255">
      <calculatedColumnFormula>INDEX(ScenarioParameters[],MATCH(UsedScenarioParameters[[#This Row],[Parameter]],ScenarioParameters[Parameter],0),MATCH(U$141,ScenarioParameters[#Headers],0))</calculatedColumnFormula>
    </tableColumn>
    <tableColumn id="21" xr3:uid="{EE66E43C-9547-DB49-8BCE-9B973F049AA5}" name="2032" dataDxfId="254">
      <calculatedColumnFormula>INDEX(ScenarioParameters[],MATCH(UsedScenarioParameters[[#This Row],[Parameter]],ScenarioParameters[Parameter],0),MATCH(V$141,ScenarioParameters[#Headers],0))</calculatedColumnFormula>
    </tableColumn>
    <tableColumn id="22" xr3:uid="{077171ED-B60E-9E42-97E2-4EEA5E216E68}" name="2033" dataDxfId="253">
      <calculatedColumnFormula>INDEX(ScenarioParameters[],MATCH(UsedScenarioParameters[[#This Row],[Parameter]],ScenarioParameters[Parameter],0),MATCH(W$141,ScenarioParameters[#Headers],0))</calculatedColumnFormula>
    </tableColumn>
    <tableColumn id="23" xr3:uid="{8D41E2C5-099B-0B42-934D-9F035D19FA64}" name="2034" dataDxfId="252">
      <calculatedColumnFormula>INDEX(ScenarioParameters[],MATCH(UsedScenarioParameters[[#This Row],[Parameter]],ScenarioParameters[Parameter],0),MATCH(X$141,ScenarioParameters[#Headers],0))</calculatedColumnFormula>
    </tableColumn>
    <tableColumn id="24" xr3:uid="{2D238D9C-16E8-A14D-8013-D1610E919F53}" name="2035" dataDxfId="251">
      <calculatedColumnFormula>INDEX(ScenarioParameters[],MATCH(UsedScenarioParameters[[#This Row],[Parameter]],ScenarioParameters[Parameter],0),MATCH(Y$141,ScenarioParameters[#Headers],0))</calculatedColumnFormula>
    </tableColumn>
    <tableColumn id="25" xr3:uid="{6916539E-F004-C640-8865-A3923F02D697}" name="2036" dataDxfId="250">
      <calculatedColumnFormula>INDEX(ScenarioParameters[],MATCH(UsedScenarioParameters[[#This Row],[Parameter]],ScenarioParameters[Parameter],0),MATCH(Z$141,ScenarioParameters[#Headers],0))</calculatedColumnFormula>
    </tableColumn>
    <tableColumn id="26" xr3:uid="{6713DED9-645F-B347-A32C-B8BF55377C46}" name="2037" dataDxfId="249">
      <calculatedColumnFormula>INDEX(ScenarioParameters[],MATCH(UsedScenarioParameters[[#This Row],[Parameter]],ScenarioParameters[Parameter],0),MATCH(AA$141,ScenarioParameters[#Headers],0))</calculatedColumnFormula>
    </tableColumn>
    <tableColumn id="27" xr3:uid="{1D7B062E-93FC-DB4D-BA68-B81B2F0539EE}" name="2038" dataDxfId="248">
      <calculatedColumnFormula>INDEX(ScenarioParameters[],MATCH(UsedScenarioParameters[[#This Row],[Parameter]],ScenarioParameters[Parameter],0),MATCH(AB$141,ScenarioParameters[#Headers],0))</calculatedColumnFormula>
    </tableColumn>
    <tableColumn id="28" xr3:uid="{3EA38B42-E39B-CC47-9158-F06B8B8E97DD}" name="2039" dataDxfId="247">
      <calculatedColumnFormula>INDEX(ScenarioParameters[],MATCH(UsedScenarioParameters[[#This Row],[Parameter]],ScenarioParameters[Parameter],0),MATCH(AC$141,ScenarioParameters[#Headers],0))</calculatedColumnFormula>
    </tableColumn>
    <tableColumn id="29" xr3:uid="{6ED0204F-3CAC-0543-8349-0FE6ABFBD3A2}" name="2040" dataDxfId="246">
      <calculatedColumnFormula>INDEX(ScenarioParameters[],MATCH(UsedScenarioParameters[[#This Row],[Parameter]],ScenarioParameters[Parameter],0),MATCH(AD$141,ScenarioParameters[#Headers],0))</calculatedColumn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048821-D155-D847-8EA3-B247FE8E4571}" name="Revenues364" displayName="Revenues364" ref="B208:X214" totalsRowShown="0" headerRowDxfId="245" dataDxfId="244">
  <autoFilter ref="B208:X214" xr:uid="{0DC30226-F342-CE44-83F6-E9B2C6156909}"/>
  <tableColumns count="23">
    <tableColumn id="1" xr3:uid="{ECF6503D-DD46-9E44-BF04-F2B123D2EB1D}" name="Parameter" dataDxfId="243"/>
    <tableColumn id="25" xr3:uid="{2C6088E8-CE54-3744-B9DE-D7954C779DBA}" name="What" dataDxfId="242"/>
    <tableColumn id="2" xr3:uid="{0C8C8735-93C3-8048-AAEA-9085FAA09459}" name="Unit" dataDxfId="241"/>
    <tableColumn id="3" xr3:uid="{3E2BE56F-DF6F-DA4B-9DA0-9BAC57615A01}" name="1" dataDxfId="240"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4" xr3:uid="{F19539DF-4D84-C249-AA03-C00297C585DE}" name="2" dataDxfId="239"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5" xr3:uid="{BC20DFFF-C729-0A40-AFB5-B6A194A6EECB}" name="3" dataDxfId="238"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6" xr3:uid="{2F486A0B-3CB3-FA47-8977-C0DD460AAA90}" name="4" dataDxfId="237"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7" xr3:uid="{3B9D5E30-5671-1843-A08B-681D87A5DFFC}" name="5" dataDxfId="236"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8" xr3:uid="{EBF81BD0-45E9-D34B-A673-A5617ECF4DF1}" name="6" dataDxfId="235"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9" xr3:uid="{2B031282-021D-A34F-8FE3-4EA24BC494D8}" name="7" dataDxfId="234"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0" xr3:uid="{1560146C-F3B5-734C-8250-5A9D23ABF564}" name="8" dataDxfId="233"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1" xr3:uid="{31292C11-3CEB-164B-B64A-6430B53966AB}" name="9" dataDxfId="232"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2" xr3:uid="{6C90DDFE-38F8-0B40-B4B9-B47777874C14}" name="10" dataDxfId="231"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3" xr3:uid="{46F58597-CA1C-F74F-9F25-CA7793DF2B90}" name="11" dataDxfId="230"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4" xr3:uid="{5E740483-261E-4D49-B60C-7D02647E7889}" name="12" dataDxfId="229"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5" xr3:uid="{31A30195-8C4C-EB48-946C-26B677809F92}" name="13" dataDxfId="228"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6" xr3:uid="{7B4FA192-ED2F-4E44-87B8-87B310329080}" name="14" dataDxfId="227"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7" xr3:uid="{81EFB139-9E0E-E24E-8304-1C4391DE02B6}" name="15" dataDxfId="226"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8" xr3:uid="{6BC50797-41B7-3A4D-9851-924596B2E588}" name="16" dataDxfId="225"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9" xr3:uid="{06D46E15-8116-1548-95BF-72F419C151F3}" name="17" dataDxfId="224" dataCellStyle="Calculation"/>
    <tableColumn id="20" xr3:uid="{81B9D170-3B89-514B-B94F-253BBB501E13}" name="18" dataDxfId="223" dataCellStyle="Calculation"/>
    <tableColumn id="21" xr3:uid="{057BE193-BE53-0A45-9AF2-5D2DAA1B45CE}" name="19" dataDxfId="222" dataCellStyle="Calculation"/>
    <tableColumn id="22" xr3:uid="{EB0CF099-E86F-EE4A-9B69-E8ECBB98FB15}" name="20" dataDxfId="221" dataCellStyle="Calculatio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550B9-4B7C-C843-894A-6257F411FFB2}" name="ScenarioResults375" displayName="ScenarioResults375" ref="B217:X220" totalsRowShown="0" headerRowDxfId="220" dataDxfId="219">
  <autoFilter ref="B217:X220" xr:uid="{7711D9C6-8CA1-AD4E-8AB2-5EDFE9036FB9}"/>
  <tableColumns count="23">
    <tableColumn id="1" xr3:uid="{D47DD682-2C95-0144-B65A-0CBB72F98C53}" name="Parameter" dataDxfId="218" totalsRowDxfId="217"/>
    <tableColumn id="2" xr3:uid="{BD72E5EB-0D0B-BB44-B2AD-EE3544534EA7}" name="What" dataDxfId="216" totalsRowDxfId="215"/>
    <tableColumn id="3" xr3:uid="{3CBA6CED-2962-134D-967C-A2EB400CCCA3}" name="Unit" dataDxfId="214" totalsRowDxfId="213"/>
    <tableColumn id="4" xr3:uid="{7D902FA2-F21D-804A-B457-234BD6691A62}" name="1" dataDxfId="212" totalsRowDxfId="211"/>
    <tableColumn id="5" xr3:uid="{5ABB5ED2-FC59-5C49-8AAD-5CD36C96C3F4}" name="2" dataDxfId="210" totalsRowDxfId="209"/>
    <tableColumn id="6" xr3:uid="{38700EF9-E041-594B-90F6-35DD093D67CE}" name="3" dataDxfId="208" totalsRowDxfId="207"/>
    <tableColumn id="7" xr3:uid="{44272279-9EBE-4147-B08C-0368690D05D2}" name="4" dataDxfId="206" totalsRowDxfId="205"/>
    <tableColumn id="8" xr3:uid="{D9C1C409-2766-734E-951B-64053B2B9F68}" name="5" dataDxfId="204" totalsRowDxfId="203"/>
    <tableColumn id="9" xr3:uid="{1C893C60-6647-674B-826B-FF61A22446DF}" name="6" dataDxfId="202" totalsRowDxfId="201"/>
    <tableColumn id="10" xr3:uid="{03411073-C2EF-5549-845E-E8DD0F5E75C0}" name="7" dataDxfId="200" totalsRowDxfId="199"/>
    <tableColumn id="11" xr3:uid="{6D0095D8-930B-9843-9A2F-8C862A5F8404}" name="8" dataDxfId="198" totalsRowDxfId="197"/>
    <tableColumn id="12" xr3:uid="{CAC1A7D8-3935-5142-9C33-732D24BF1A37}" name="9" dataDxfId="196" totalsRowDxfId="195"/>
    <tableColumn id="13" xr3:uid="{F952C683-648D-A74A-BEDC-272D840FA2ED}" name="10" dataDxfId="194" totalsRowDxfId="193"/>
    <tableColumn id="14" xr3:uid="{3F3A1605-45D7-E449-A938-FD96C2809739}" name="11" dataDxfId="192" totalsRowDxfId="191"/>
    <tableColumn id="15" xr3:uid="{CA43E333-FA7A-4745-8FC4-B625B64A3508}" name="12" dataDxfId="190" totalsRowDxfId="189"/>
    <tableColumn id="16" xr3:uid="{D081A809-6C45-C640-A35C-F2B52F1B3BD1}" name="13" dataDxfId="188" totalsRowDxfId="187"/>
    <tableColumn id="17" xr3:uid="{CA652833-2D32-DC4D-A6A1-98231D46A8B8}" name="14" dataDxfId="186" totalsRowDxfId="185"/>
    <tableColumn id="18" xr3:uid="{DAD7E432-D86D-6F43-BE19-E395C0D0788C}" name="15" dataDxfId="184" totalsRowDxfId="183"/>
    <tableColumn id="19" xr3:uid="{2C308918-0EAB-2544-A38E-B6415C4B7D0C}" name="16" dataDxfId="182" totalsRowDxfId="181"/>
    <tableColumn id="20" xr3:uid="{8F389B12-6A83-4242-A751-3D3EB37F4D2C}" name="17" dataDxfId="180" totalsRowDxfId="179"/>
    <tableColumn id="21" xr3:uid="{16283DCB-2A64-DE4A-BB94-16D216ACCD4F}" name="18" dataDxfId="178" totalsRowDxfId="177"/>
    <tableColumn id="22" xr3:uid="{0F14235C-9F69-8B41-B813-C3F114D1A6D0}" name="19" dataDxfId="176" totalsRowDxfId="175"/>
    <tableColumn id="23" xr3:uid="{E464C793-D52E-614A-9FFD-53C79707157A}" name="20" dataDxfId="174" totalsRowDxfId="1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566B360-6FFB-F044-88B6-C4A9E22BF05C}" name="ChangeEnergyCO26" displayName="ChangeEnergyCO26" ref="B194:X204" totalsRowShown="0" headerRowDxfId="172" dataDxfId="171">
  <autoFilter ref="B194:X204" xr:uid="{4456365A-1904-A54C-A28E-35E3CACC40ED}"/>
  <tableColumns count="23">
    <tableColumn id="1" xr3:uid="{680557D2-2501-B94F-8FE2-49785CAF4835}" name="Parameter" dataDxfId="170"/>
    <tableColumn id="2" xr3:uid="{1E2EB173-D79A-E04A-8BED-A91C82DD970C}" name="Type" dataDxfId="169"/>
    <tableColumn id="3" xr3:uid="{C7320621-6B65-EA45-ABC4-585F230E3E84}" name="Unit" dataDxfId="168"/>
    <tableColumn id="4" xr3:uid="{290F0050-3042-2149-88FA-5D40B26C2731}" name="1" dataDxfId="167" dataCellStyle="Calculation">
      <calculatedColumnFormula>IFERROR(INDEX(#REF!,MATCH(ChangeEnergyCO26[[#This Row],[Parameter]]&amp;ChangeEnergyCO26[[#This Row],[Type]],#REF!,0),MATCH("Value",#REF!,0))*Yrly_Steam_prod_Total,0)</calculatedColumnFormula>
    </tableColumn>
    <tableColumn id="5" xr3:uid="{B01B702E-1765-5346-AE4E-80EDB9B74432}" name="2" dataDxfId="166"/>
    <tableColumn id="6" xr3:uid="{C6C1D842-7835-3D42-A953-6D4ACD180CDA}" name="3" dataDxfId="165"/>
    <tableColumn id="7" xr3:uid="{E5355392-E9BB-D240-97BF-018DBF6D221A}" name="4" dataDxfId="164"/>
    <tableColumn id="8" xr3:uid="{B816E8F5-C62F-FD42-A707-5215F8084C96}" name="5" dataDxfId="163"/>
    <tableColumn id="9" xr3:uid="{DBA48843-B5ED-5641-8ECA-6ED7B68067FB}" name="6" dataDxfId="162"/>
    <tableColumn id="10" xr3:uid="{EC5C399D-5FE5-774B-8536-B025AB3C05C9}" name="7" dataDxfId="161"/>
    <tableColumn id="11" xr3:uid="{4E075334-2CE0-C64B-86F5-7376FA490B1B}" name="8" dataDxfId="160"/>
    <tableColumn id="12" xr3:uid="{85E031C1-65EA-3E40-B593-F5CF05ABAF22}" name="9" dataDxfId="159"/>
    <tableColumn id="13" xr3:uid="{056AD84B-FB41-5248-B29C-A92C6EC2EFF4}" name="10" dataDxfId="158"/>
    <tableColumn id="14" xr3:uid="{55C3EEE8-2AFE-2A47-9458-DDC90D77EEC1}" name="11" dataDxfId="157"/>
    <tableColumn id="15" xr3:uid="{0A90D0FA-A50A-FE4D-A58F-CB3287E4BD75}" name="12" dataDxfId="156"/>
    <tableColumn id="16" xr3:uid="{10F48E0A-BF19-F94F-9E52-6A7486DBEB06}" name="13" dataDxfId="155"/>
    <tableColumn id="17" xr3:uid="{505B84A9-8C38-4945-9152-6F16465FBA16}" name="14" dataDxfId="154"/>
    <tableColumn id="18" xr3:uid="{862646B2-B41B-9C45-B22E-9B93123DA215}" name="15" dataDxfId="153"/>
    <tableColumn id="19" xr3:uid="{E24019A1-B443-1048-A2E4-1967A63B397C}" name="16" dataDxfId="152"/>
    <tableColumn id="20" xr3:uid="{1297387B-5ACB-584A-8B41-B6ECBE9AF7AA}" name="17" dataDxfId="151"/>
    <tableColumn id="21" xr3:uid="{364D7B4F-CDCD-B347-A9C1-B05BB0D5DF7A}" name="18" dataDxfId="150"/>
    <tableColumn id="22" xr3:uid="{424B5E10-5FEA-8747-9492-BD287B5A5BE0}" name="19" dataDxfId="149"/>
    <tableColumn id="23" xr3:uid="{4AEE583B-F847-F74D-A371-F9D67A9196FF}" name="20" dataDxfId="14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0000000}" name="Process_characteristics" displayName="Process_characteristics" ref="B7:BE20" totalsRowShown="0" headerRowDxfId="147" dataDxfId="146">
  <autoFilter ref="B7:BE20" xr:uid="{00000000-0009-0000-0100-000016000000}"/>
  <tableColumns count="56">
    <tableColumn id="1" xr3:uid="{00000000-0010-0000-1000-000001000000}" name="Process name" dataDxfId="145"/>
    <tableColumn id="2" xr3:uid="{00000000-0010-0000-1000-000002000000}" name="Year" dataDxfId="144"/>
    <tableColumn id="3" xr3:uid="{00000000-0010-0000-1000-000003000000}" name="Process description" dataDxfId="143"/>
    <tableColumn id="4" xr3:uid="{00000000-0010-0000-1000-000004000000}" name="Process type" dataDxfId="142"/>
    <tableColumn id="5" xr3:uid="{00000000-0010-0000-1000-000005000000}" name="Main output" dataDxfId="141"/>
    <tableColumn id="6" xr3:uid="{00000000-0010-0000-1000-000006000000}" name="Unit of main output" dataDxfId="140"/>
    <tableColumn id="7" xr3:uid="{00000000-0010-0000-1000-000007000000}" name="Unit of capacity" dataDxfId="139"/>
    <tableColumn id="8" xr3:uid="{00000000-0010-0000-1000-000008000000}" name="Investment per unit of capacity (new)" dataDxfId="138"/>
    <tableColumn id="9" xr3:uid="{00000000-0010-0000-1000-000009000000}" name="Investment per unit of capacity (new); UNIT" dataDxfId="137"/>
    <tableColumn id="10" xr3:uid="{00000000-0010-0000-1000-00000A000000}" name="Investment per unit of capacity (refurbishment)" dataDxfId="136"/>
    <tableColumn id="11" xr3:uid="{00000000-0010-0000-1000-00000B000000}" name="Investment per unit of capacity (refurbishment); UNIT" dataDxfId="135"/>
    <tableColumn id="12" xr3:uid="{00000000-0010-0000-1000-00000C000000}" name="Operating and maintenance costs (per unit of main output)" dataDxfId="134"/>
    <tableColumn id="13" xr3:uid="{00000000-0010-0000-1000-00000D000000}" name="Operating and maintenance costs (per unit of main output); UNIT" dataDxfId="133"/>
    <tableColumn id="14" xr3:uid="{00000000-0010-0000-1000-00000E000000}" name="Operating and maintenance costs (per unit of capacity)" dataDxfId="132"/>
    <tableColumn id="15" xr3:uid="{00000000-0010-0000-1000-00000F000000}" name="Operating and maintenance costs (per unit of capacity); UNIT" dataDxfId="131"/>
    <tableColumn id="16" xr3:uid="{00000000-0010-0000-1000-000010000000}" name="Balance of other costs and benefits (per unit of main output)" dataDxfId="130"/>
    <tableColumn id="17" xr3:uid="{00000000-0010-0000-1000-000011000000}" name="Balance of other costs and benefits (per unit of main output); UNIT" dataDxfId="129"/>
    <tableColumn id="18" xr3:uid="{00000000-0010-0000-1000-000012000000}" name="Balance of other costs and benefits (per unit of capacity)" dataDxfId="128"/>
    <tableColumn id="19" xr3:uid="{00000000-0010-0000-1000-000013000000}" name="Balance of other costs and benefits (per unit of capacity); UNIT" dataDxfId="127"/>
    <tableColumn id="20" xr3:uid="{00000000-0010-0000-1000-000014000000}" name="Refurbishment interval in years" dataDxfId="126"/>
    <tableColumn id="21" xr3:uid="{00000000-0010-0000-1000-000015000000}" name="Input Natural gas (GJ per unit of main output)" dataDxfId="125"/>
    <tableColumn id="22" xr3:uid="{00000000-0010-0000-1000-000016000000}" name="Input Biofuel (GJ per unit of main output)" dataDxfId="124"/>
    <tableColumn id="23" xr3:uid="{00000000-0010-0000-1000-000017000000}" name="Input Steam (GJ per unit of main output)" dataDxfId="123"/>
    <tableColumn id="24" xr3:uid="{00000000-0010-0000-1000-000018000000}" name="Input Electricity (GJ per unit of main output)" dataDxfId="122"/>
    <tableColumn id="56" xr3:uid="{43123879-3FF4-A142-A9F8-1D174B7BCE25}" name="Input H2 (GJ per unit of main output)" dataDxfId="121"/>
    <tableColumn id="25" xr3:uid="{00000000-0010-0000-1000-000019000000}" name="Other input 1 (per unit of main output)" dataDxfId="120"/>
    <tableColumn id="26" xr3:uid="{00000000-0010-0000-1000-00001A000000}" name="Other input 1  (per unit of main output); COMMODITY" dataDxfId="119"/>
    <tableColumn id="27" xr3:uid="{00000000-0010-0000-1000-00001B000000}" name="Other input 1  (per unit of main output); UNIT" dataDxfId="118"/>
    <tableColumn id="28" xr3:uid="{00000000-0010-0000-1000-00001C000000}" name="Other input 2  (per unit of main output)" dataDxfId="117"/>
    <tableColumn id="29" xr3:uid="{00000000-0010-0000-1000-00001D000000}" name="Other input 2 (per unit of main output); COMMODITY" dataDxfId="116"/>
    <tableColumn id="30" xr3:uid="{00000000-0010-0000-1000-00001E000000}" name="Other input 2 (per unit of main output); UNIT" dataDxfId="115"/>
    <tableColumn id="31" xr3:uid="{00000000-0010-0000-1000-00001F000000}" name="Other input 3 (per unit of main output)" dataDxfId="114"/>
    <tableColumn id="32" xr3:uid="{00000000-0010-0000-1000-000020000000}" name="Other input 3 (per unit of main output); COMMODITY" dataDxfId="113"/>
    <tableColumn id="33" xr3:uid="{00000000-0010-0000-1000-000021000000}" name="Other input 3 (per unit of main output); UNIT" dataDxfId="112"/>
    <tableColumn id="34" xr3:uid="{00000000-0010-0000-1000-000022000000}" name="Other input 4 (per unit of main output)" dataDxfId="111"/>
    <tableColumn id="35" xr3:uid="{00000000-0010-0000-1000-000023000000}" name="Other input 4 (per unit of main output); COMMODITY" dataDxfId="110"/>
    <tableColumn id="36" xr3:uid="{00000000-0010-0000-1000-000024000000}" name="Other input 4 (per unit of main output); UNIT" dataDxfId="109"/>
    <tableColumn id="37" xr3:uid="{00000000-0010-0000-1000-000025000000}" name="Output Steam (GJ per unit of main output)" dataDxfId="108"/>
    <tableColumn id="38" xr3:uid="{00000000-0010-0000-1000-000026000000}" name="Output Electricity (GJ per unit of main output)" dataDxfId="107"/>
    <tableColumn id="39" xr3:uid="{00000000-0010-0000-1000-000027000000}" name="Output Waste heat (&lt;50 C) (GJ per unit of main output)" dataDxfId="106"/>
    <tableColumn id="40" xr3:uid="{00000000-0010-0000-1000-000028000000}" name="Other output 1 (per unit of main output)" dataDxfId="105"/>
    <tableColumn id="41" xr3:uid="{00000000-0010-0000-1000-000029000000}" name="Other output 1 (per unit of main output); COMMODITY" dataDxfId="104"/>
    <tableColumn id="42" xr3:uid="{00000000-0010-0000-1000-00002A000000}" name="Other output 1 (per unit of main output); UNIT" dataDxfId="103"/>
    <tableColumn id="43" xr3:uid="{00000000-0010-0000-1000-00002B000000}" name="Other output 2 (per unit of main output)" dataDxfId="102"/>
    <tableColumn id="44" xr3:uid="{00000000-0010-0000-1000-00002C000000}" name="Other output 2 (per unit of main output); COMMODITY" dataDxfId="101"/>
    <tableColumn id="45" xr3:uid="{00000000-0010-0000-1000-00002D000000}" name="Other output 2 (per unit of main output); UNIT" dataDxfId="100"/>
    <tableColumn id="46" xr3:uid="{00000000-0010-0000-1000-00002E000000}" name="Other output 3 (per unit of main output)" dataDxfId="99"/>
    <tableColumn id="47" xr3:uid="{00000000-0010-0000-1000-00002F000000}" name="Other output 3 (per unit of main output); COMMODITY" dataDxfId="98"/>
    <tableColumn id="48" xr3:uid="{E12C1A0B-189A-1E45-92C7-3CE525A7DA50}" name="Other output 3 (per unit of main output); UNIT" dataDxfId="97"/>
    <tableColumn id="49" xr3:uid="{D30684EE-7752-E742-A9FE-A00EA14385C9}" name="Other output 4 (per unit of main output)" dataDxfId="96"/>
    <tableColumn id="50" xr3:uid="{2A01A537-2E2A-1E40-B15B-F84FF747F162}" name="Other output 4 (per unit of main output); COMMODITY" dataDxfId="95"/>
    <tableColumn id="51" xr3:uid="{4081406A-BAEE-4041-BE39-5632CF5072D4}" name="Other output 4 (per unit of main output);" dataDxfId="94"/>
    <tableColumn id="52" xr3:uid="{569072F0-BFB4-ED4A-8FEA-668BCDB53E45}" name="Requirements" dataDxfId="93"/>
    <tableColumn id="53" xr3:uid="{D5413587-986B-6348-8FDF-E08E79400E10}" name="Demand/production profile" dataDxfId="92"/>
    <tableColumn id="54" xr3:uid="{BECF66CE-47DB-CA45-97AC-B711C392628D}" name="Feasibility" dataDxfId="91"/>
    <tableColumn id="55" xr3:uid="{7044A2B3-995D-104B-9173-C3A98858658B}" name="Verification" dataDxfId="9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D9F08ED8-74B0-4497-9D09-EDD1C81C1533}" name="Current_plant_configuration" displayName="Current_plant_configuration" ref="B7:BJ12" totalsRowShown="0" headerRowDxfId="89" dataDxfId="88">
  <autoFilter ref="B7:BJ12" xr:uid="{6036FBD8-D763-43C6-9517-8133A38175A1}"/>
  <tableColumns count="61">
    <tableColumn id="1" xr3:uid="{AE745715-21A8-499F-882D-F08F50F39EC3}" name="Plant name" dataDxfId="87"/>
    <tableColumn id="2" xr3:uid="{C3F384E5-D8B9-434C-9999-8502E6BCB6B9}" name="Year" dataDxfId="86"/>
    <tableColumn id="3" xr3:uid="{1770B76F-1D6F-4DC8-8879-AD35A1333224}" name="Salt extraction; Main output" dataDxfId="85"/>
    <tableColumn id="4" xr3:uid="{88277F08-8DDA-42D1-AED2-7266786973D6}" name="Paper machine; Process" dataDxfId="84"/>
    <tableColumn id="5" xr3:uid="{1CD0E2E6-58BE-4063-99A3-5DD8A4EA43A0}" name="Paper machine; Main output; COMMENT" dataDxfId="83"/>
    <tableColumn id="6" xr3:uid="{7F34BEE0-94B9-483B-97A9-2E66372C3614}" name="Salt extraction; Production" dataDxfId="82"/>
    <tableColumn id="7" xr3:uid="{1BF976A1-3FD9-493A-8C23-BCEBAA1FA94D}" name="Salt extraction; Production; UNIT" dataDxfId="81"/>
    <tableColumn id="9" xr3:uid="{561F3F7E-219C-4E55-8549-0A75E8B7A60D}" name="Salt extraction; number" dataDxfId="80"/>
    <tableColumn id="8" xr3:uid="{807D7383-FA56-45AA-9637-30C996FE5A7B}" name="Salt extraction; Capacity" dataDxfId="79"/>
    <tableColumn id="10" xr3:uid="{24D38543-1CC7-43C0-A623-00A8C4D90E06}" name="Salt extraction; Capacity; UNIT" dataDxfId="78"/>
    <tableColumn id="11" xr3:uid="{A8D32353-9D7B-40CC-8531-61467057802D}" name="Salt extraction; Capacity utilization" dataDxfId="77"/>
    <tableColumn id="12" xr3:uid="{C796697E-4E36-4F12-8180-6B3F4608B735}" name="Salt extraction; Capacity utilization; UNIT" dataDxfId="76"/>
    <tableColumn id="13" xr3:uid="{071AE211-1AB3-46E0-A54D-2B8AA1778CE1}" name="Salt extraction; Year of next investment decision" dataDxfId="75"/>
    <tableColumn id="14" xr3:uid="{AD745D13-5DAC-44B1-B354-CE482A29D028}" name="Centrifugation and treatment; Process" dataDxfId="74"/>
    <tableColumn id="15" xr3:uid="{B2231EDE-39E7-43AF-AF99-E0C2947A35F3}" name="Centrifugation and treatment; Capacity" dataDxfId="73"/>
    <tableColumn id="16" xr3:uid="{0D30B19A-45C7-4A10-B2AD-F2005090DFC6}" name="Centrifugation and treatment; Capacity; UNIT" dataDxfId="72"/>
    <tableColumn id="17" xr3:uid="{0889306A-FAA4-4C0C-8213-660F51FC8565}" name="Centrifugation and treatment; Capacity utilization" dataDxfId="71"/>
    <tableColumn id="18" xr3:uid="{FAF42A23-0025-4F65-A8BE-C74109143E98}" name="Stock preparation; Year of next investment decision" dataDxfId="70"/>
    <tableColumn id="84" xr3:uid="{9D85B387-E208-0346-96AB-B3BDA47261D3}" name="Steam generation; Combined heat and power; NUMBER" dataDxfId="69"/>
    <tableColumn id="83" xr3:uid="{E3BB4DC5-D892-AC45-85AC-A274D251B29F}" name="Steam generation; Combined heat and power; CAPACITY" dataDxfId="68"/>
    <tableColumn id="82" xr3:uid="{51CD887A-A63F-1943-A1DD-377216DADF1E}" name="Steam generation; Combined heat and power; CAPACITY; UNIT" dataDxfId="67"/>
    <tableColumn id="81" xr3:uid="{72444237-C7E3-294A-8761-B3876F2977C9}" name="Steam generation; Combined heat and power; CAPACITY UTILIZATION" dataDxfId="66"/>
    <tableColumn id="80" xr3:uid="{DF97A8D1-525E-A043-B032-3B02A3FC20A2}" name="Steam generation; Combined heat and power; CAPACITY UTILIZATION; UNIT" dataDxfId="65"/>
    <tableColumn id="79" xr3:uid="{E228886B-49A3-7A42-BD95-3868BE6792FA}" name="Steam generation; Combined heat and power; YEAR OF NEXT INVESTMENT DECISION" dataDxfId="64"/>
    <tableColumn id="78" xr3:uid="{7B845EDC-4EAE-1C41-AFD1-4B3F751ABC94}" name="Steam generation; Electric boiler; NUMBER" dataDxfId="63"/>
    <tableColumn id="77" xr3:uid="{2DF00AF2-78F4-A745-9228-0EB8F0FDFBC7}" name="Steam generation; Electric boiler; CAPACITY" dataDxfId="62">
      <calculatedColumnFormula>1/10^6</calculatedColumnFormula>
    </tableColumn>
    <tableColumn id="76" xr3:uid="{43A17C1E-DFDD-1343-B27E-FD2064F25FE7}" name="Steam generation; Electric boiler; CAPACITY; UNIT" dataDxfId="61"/>
    <tableColumn id="75" xr3:uid="{513C588F-A58C-7B45-ACA9-23B8CDAA7734}" name="Steam generation; Electric boiler; CAPACITY UTILIZATION" dataDxfId="60"/>
    <tableColumn id="74" xr3:uid="{4746BED6-330B-FF49-A93F-BF513E4BBDB4}" name="Steam generation; Electric boiler; CAPACITY UTILIZATION; UNIT" dataDxfId="59"/>
    <tableColumn id="73" xr3:uid="{FFB4DC2C-82C2-4B4B-B062-EA44F90D3FF0}" name="Steam generation; Electric boiler; YEAR OF NEXT INVESTMENT DECISION" dataDxfId="58"/>
    <tableColumn id="72" xr3:uid="{68ED7810-58B8-FD46-9B5F-21C7E0FC4C64}" name="Steam generation; Steam from external parties; NUMBER" dataDxfId="57"/>
    <tableColumn id="71" xr3:uid="{F871380A-C6FF-7645-92C7-A2871CCDC7BE}" name="Steam generation; Steam from external parties; CAPACITY" dataDxfId="56"/>
    <tableColumn id="70" xr3:uid="{B912160F-EE28-654C-9DA6-907BDD5D45E0}" name="Steam generation; Steam from external parties; CAPACITY; UNIT" dataDxfId="55"/>
    <tableColumn id="69" xr3:uid="{09F78270-063F-7546-B5F3-8ADCE9DC0664}" name="Steam generation; Steam from external parties; CAPACITY UTILIZATION" dataDxfId="54"/>
    <tableColumn id="68" xr3:uid="{D9D520A2-95C0-1B41-8896-A0F5C3AA22CC}" name="Steam generation; Steam from external parties; CAPACITY UTILIZATION; UNIT" dataDxfId="53"/>
    <tableColumn id="42" xr3:uid="{6A12496C-DD82-964D-893C-0EB85B0E94A1}" name="Steam generation; Steam from external parties; YEAR OF NEXT INVESTMENT DECISION" dataDxfId="52"/>
    <tableColumn id="38" xr3:uid="{3307130B-271B-764D-8F33-88D177AC0405}" name="Vaporization; Multiple effect (4) vaporization; NUMBER" dataDxfId="51"/>
    <tableColumn id="37" xr3:uid="{45AB9F84-02DC-7F46-9F0C-B8C144687A95}" name="Vaporization; Multiple effect (4) vaporization; CAPACITY" dataDxfId="50"/>
    <tableColumn id="36" xr3:uid="{77B8A2D0-2DEC-1543-A269-B46F58C1BA9A}" name="Vaporization; Multiple effect (4) vaporization; CAPACITY; UNIT" dataDxfId="49"/>
    <tableColumn id="35" xr3:uid="{51AEF641-108B-6349-8A41-6598ADAA3D22}" name="Vaporization; Multiple effect (4) vaporization; CAPACITY UTILIZATION" dataDxfId="48"/>
    <tableColumn id="34" xr3:uid="{20E5F6D0-7A63-9A46-8591-D477A1A5239F}" name="Vaporization; Multiple effect (4) vaporization; CAPACITY UTILIZATION; UNIT" dataDxfId="47"/>
    <tableColumn id="33" xr3:uid="{85A01F2D-6872-534C-9346-105F8D6BDB1E}" name="Vaporization; Multiple effect (4) vaporization; YEAR OF NEXT INVESTMENT DECISION" dataDxfId="46"/>
    <tableColumn id="60" xr3:uid="{BF39FC04-EFD1-414C-9889-88048C5D26ED}" name="Vaporization; Multiple effect (5) vaporization; NUMBER" dataDxfId="45"/>
    <tableColumn id="59" xr3:uid="{6D2BA9B4-A401-8545-A64D-1A196D488453}" name="Vaporization; Multiple effect (5) vaporization; CAPACITY" dataDxfId="44"/>
    <tableColumn id="58" xr3:uid="{4F4B2EB7-F655-5943-BC37-7AF7B5EC505D}" name="Vaporization; Multiple effect (5) vaporization; CAPACITY; UNIT" dataDxfId="43"/>
    <tableColumn id="57" xr3:uid="{8AC16E46-B7D3-1740-B74D-8A37B69327EC}" name="Vaporization; Multiple effect (5) vaporization; CAPACITY UTILIZATION" dataDxfId="42"/>
    <tableColumn id="56" xr3:uid="{A3176BF7-66D8-8D44-8B19-488B52D3CCD9}" name="Vaporization; Multiple effect (5) vaporization; CAPACITY UTILIZATION; UNIT" dataDxfId="41"/>
    <tableColumn id="55" xr3:uid="{3B9485AB-C94F-E044-B455-F5F2DE72C42D}" name="Vaporization; Multiple effect (5) vaporization; YEAR OF NEXT INVESTMENT DECISION" dataDxfId="40"/>
    <tableColumn id="67" xr3:uid="{7F91EE50-0010-8042-B3E8-C356894783BD}" name="Vaporization; Mechanic vapor recompression; NUMBER" dataDxfId="39"/>
    <tableColumn id="66" xr3:uid="{EA649B9D-4CB8-2048-9A9D-B26DFE8118DB}" name="Vaporization; Mechanic vapor recompression; CAPACITY" dataDxfId="38"/>
    <tableColumn id="65" xr3:uid="{632B986E-DDB5-4443-9C8E-D23071AE89E6}" name="Vaporization; Mechanic vapor recompression; CAPACITY; UNIT" dataDxfId="37"/>
    <tableColumn id="64" xr3:uid="{2BFF471C-05DD-2341-B084-0CF6C4D142D5}" name="Vaporization; Mechanic vapor recompression; CAPACITY UTILIZATION" dataDxfId="36"/>
    <tableColumn id="63" xr3:uid="{6813F9D6-3B99-FA46-8355-B96D9A2ABFCC}" name="Vaporization; Mechanic vapor recompression; CAPACITY UTILIZATION; UNIT" dataDxfId="35"/>
    <tableColumn id="62" xr3:uid="{DB4D27B0-3A09-7142-98BF-30D3161549A8}" name="Vaporization; Mechanic vapor recompression; YEAR OF NEXT INVESTMENT DECISION" dataDxfId="34"/>
    <tableColumn id="61" xr3:uid="{82D2DF08-541F-3E43-94D8-F8E3A23B0CE4}" name="Vaporization; Direct brine use in industry; NUMBER" dataDxfId="33"/>
    <tableColumn id="54" xr3:uid="{FC134EEF-FD51-6746-9BD3-00D2B9E5DE01}" name="Vaporization; Direct brine use in industry; CAPACITY" dataDxfId="32"/>
    <tableColumn id="53" xr3:uid="{854051F0-5E52-864E-A836-C85BE7C42643}" name="Vaporization; Direct brine use in industry; CAPACITY; UNIT" dataDxfId="31"/>
    <tableColumn id="52" xr3:uid="{F3D56792-333E-F24C-8E6E-3693911DF29C}" name="Vaporization; Direct brine use in industry; CAPACITY UTILIZATION" dataDxfId="30"/>
    <tableColumn id="51" xr3:uid="{21FA38D5-4166-FC47-901A-D77C62F636A8}" name="Vaporization; Direct brine use in industry; CAPACITY UTILIZATION; UNIT" dataDxfId="29"/>
    <tableColumn id="50" xr3:uid="{60A299AE-3809-8341-BD52-1CC0F9A92977}" name="Vaporization; Direct brine use in industry; YEAR OF NEXT INVESTMENT DECISION" dataDxfId="28"/>
    <tableColumn id="31" xr3:uid="{8B275BF3-66BC-463D-9929-B2AE51C90419}" name="Verification" dataDxfId="27"/>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1906606-A630-4423-B3BB-BD5BFEF76A5D}" name="Company_data" displayName="Company_data" ref="B7:Q11" totalsRowShown="0" headerRowDxfId="26" dataDxfId="25">
  <autoFilter ref="B7:Q11" xr:uid="{E5A880C2-9D8A-4656-BF3B-2EFB26E72948}"/>
  <tableColumns count="16">
    <tableColumn id="1" xr3:uid="{AB58E141-6487-4F52-9D6B-1BFB212B4693}" name="Plant name" dataDxfId="24"/>
    <tableColumn id="2" xr3:uid="{E044BB56-520B-4CAD-B8C0-8BB5018041FB}" name="Year" dataDxfId="23"/>
    <tableColumn id="3" xr3:uid="{5B38BF2B-73F9-45B2-B4E0-642D835E3522}" name="Subsector (SBI 2008)" dataDxfId="22"/>
    <tableColumn id="4" xr3:uid="{136C701C-229C-49A2-A656-B5EE2C1105D0}" name="Corporate group" dataDxfId="21"/>
    <tableColumn id="5" xr3:uid="{E30543FA-06A9-4537-ACB6-E7D25B61EA01}" name="Number of employees" dataDxfId="20"/>
    <tableColumn id="6" xr3:uid="{795E1AB8-49F3-4F33-B0DD-5B1C5BE5CD4C}" name="Number of employees; UNIT" dataDxfId="19"/>
    <tableColumn id="7" xr3:uid="{676ACD98-1070-4A82-8B6A-7300F8D9250E}" name="Street address" dataDxfId="18"/>
    <tableColumn id="8" xr3:uid="{1D438250-F575-4548-BEAD-8B782AD61441}" name="Postal code" dataDxfId="17"/>
    <tableColumn id="9" xr3:uid="{3D6B5498-D691-4869-8384-C94497C2A976}" name="Town/locality" dataDxfId="16"/>
    <tableColumn id="10" xr3:uid="{1F6CBBDB-B3B2-4D9C-8B56-8D0874D9AD19}" name="Permit number (NEa)" dataDxfId="15"/>
    <tableColumn id="11" xr3:uid="{C9AA6A0B-BBE1-4487-B8AB-76B61DDCB7BF}" name="Name of production site (NEa)" dataDxfId="14"/>
    <tableColumn id="12" xr3:uid="{E045F4F3-7C75-4505-8BF2-DC2DF84D7406}" name="Verification" dataDxfId="13"/>
    <tableColumn id="13" xr3:uid="{2433DD9E-887E-4DE3-8CC4-E9D12C7945E0}" name="ETS emissions 2013 [kton]" dataDxfId="12"/>
    <tableColumn id="14" xr3:uid="{53C25B6B-F3C6-4D84-957F-60B90C18CC1F}" name="ETS emissions 2014 [kton]" dataDxfId="11"/>
    <tableColumn id="15" xr3:uid="{7922774F-168C-46AE-90EF-09F538F19CAC}" name="ETS emissions 2015 [kton]" dataDxfId="10"/>
    <tableColumn id="16" xr3:uid="{BF5008BD-0AFA-43EF-9238-B1CB440FB71E}" name="ETS emissions 2016 [kt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DCA2C17-F500-480D-812C-F2FC553E3A85}" name="Overview_scenarios" displayName="Overview_scenarios" ref="B35:AE71" totalsRowShown="0" headerRowDxfId="411">
  <autoFilter ref="B35:AE71" xr:uid="{937F9251-0FA1-4740-8A3F-DF05A0C215AC}"/>
  <tableColumns count="30">
    <tableColumn id="1" xr3:uid="{9A0EF725-FF74-487A-B23A-3E704031659D}" name="Parameter" dataDxfId="410" dataCellStyle="Input"/>
    <tableColumn id="2" xr3:uid="{D5B59D1C-EC38-4266-B70B-CD43A406AC13}" name="Unit" dataDxfId="409" dataCellStyle="Input"/>
    <tableColumn id="3" xr3:uid="{708A841B-636C-402A-8DF8-E922DCE62E45}" name="2015"/>
    <tableColumn id="4" xr3:uid="{A85E4567-3AC6-43E9-BF55-26A69D18E842}" name="2016"/>
    <tableColumn id="5" xr3:uid="{1CB8FCBB-7F52-4B4D-A5E8-C691748D9BEB}" name="2017"/>
    <tableColumn id="6" xr3:uid="{79DAF1EF-E827-49F1-8972-40F7AE3BB500}" name="2018"/>
    <tableColumn id="7" xr3:uid="{6AF778BB-F589-46A9-85AD-A5F27C95A0BC}" name="2019"/>
    <tableColumn id="8" xr3:uid="{720F84E7-37DD-421C-AA14-A2935D07635D}" name="2020"/>
    <tableColumn id="9" xr3:uid="{0F83457B-E49A-45A6-B1EF-76C1A10C439C}" name="2021"/>
    <tableColumn id="10" xr3:uid="{C370AA66-E951-468C-962D-FE6552FA3098}" name="2022"/>
    <tableColumn id="11" xr3:uid="{428179D7-B536-4F33-87BE-1ACBE1393A7D}" name="2023"/>
    <tableColumn id="12" xr3:uid="{4D2A7286-A84C-444E-9624-372256B729D3}" name="2024"/>
    <tableColumn id="13" xr3:uid="{7CDFFE16-A5D3-484D-BD77-48562B90E162}" name="2025"/>
    <tableColumn id="14" xr3:uid="{F03F7622-F4E6-4AA4-9495-FD6752DDCC19}" name="2026"/>
    <tableColumn id="15" xr3:uid="{28D8F37C-BE54-461E-81F7-95C7C74DE7F9}" name="2027"/>
    <tableColumn id="16" xr3:uid="{0A6D2330-AD97-4AB9-B3E9-044415399DED}" name="2028"/>
    <tableColumn id="17" xr3:uid="{8F335DD0-62A4-4F5C-AC4D-B9D4C725FE0A}" name="2029"/>
    <tableColumn id="18" xr3:uid="{6BA95DC5-E5FC-4A97-8311-B9DD03F88420}" name="2030"/>
    <tableColumn id="19" xr3:uid="{3EA5E8BF-DFD5-46E6-BCD4-A0B569779E73}" name="2031"/>
    <tableColumn id="20" xr3:uid="{391A2FF9-6335-47FD-9E48-7CA98E022EC9}" name="2032"/>
    <tableColumn id="21" xr3:uid="{49ECD3C6-8B34-491D-993C-A20273E7FC8E}" name="2033"/>
    <tableColumn id="22" xr3:uid="{4F535D5D-0666-430C-A46A-93B9CD5ACB21}" name="2034"/>
    <tableColumn id="23" xr3:uid="{C516B92C-613D-4DFA-A5A5-FA42F730A0D0}" name="2035"/>
    <tableColumn id="24" xr3:uid="{F0199B73-429B-4713-B169-32488B695FF3}" name="Column1" dataDxfId="408"/>
    <tableColumn id="25" xr3:uid="{1344EFBC-5C5F-4E39-985B-A8242E220CE6}" name="238" dataDxfId="407"/>
    <tableColumn id="26" xr3:uid="{12A59CF1-E520-4A70-8AF1-6F3A539C1544}" name="87" dataDxfId="406"/>
    <tableColumn id="27" xr3:uid="{04F66D53-BE36-4AAF-938B-59B5EA52D873}" name="872" dataDxfId="405"/>
    <tableColumn id="28" xr3:uid="{4FEFBCED-BFB7-45CA-AD69-FFAB39B95D56}" name="873" dataDxfId="404"/>
    <tableColumn id="29" xr3:uid="{F69A294E-EBBB-4A93-913A-280EF8E9C60B}" name="Tag scenario" dataDxfId="403" dataCellStyle="Input"/>
    <tableColumn id="30" xr3:uid="{4A3F3F74-02E7-43FC-B0FB-A81C1DDFBE08}" name="Tag Parameter&amp;scenario" dataDxfId="402" dataCellStyle="Calculation">
      <calculatedColumnFormula>Overview_scenarios[[#This Row],[Parameter]]&amp;Overview_scenarios[[#This Row],[Tag scenario]]</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AE573FB-93E3-42F0-B4E9-F09C688E33F0}" name="Commodity_data" displayName="Commodity_data" ref="B7:H30" totalsRowShown="0" headerRowDxfId="8" dataDxfId="7">
  <autoFilter ref="B7:H30" xr:uid="{4053E579-8353-4E64-BCAA-B9FCB031D5A8}"/>
  <tableColumns count="7">
    <tableColumn id="1" xr3:uid="{ADE577C1-42EB-4A80-A1EE-A8F336FA7A46}" name="Commodity name" dataDxfId="6"/>
    <tableColumn id="2" xr3:uid="{6A04B489-673A-4B88-B575-0F65BE4B0228}" name="Year" dataDxfId="5"/>
    <tableColumn id="3" xr3:uid="{9B13D06C-DFC6-47C2-B8A3-3B583CB3223A}" name="Market price" dataDxfId="4"/>
    <tableColumn id="4" xr3:uid="{0F92C137-A711-41A6-9E7A-EA25BD3529F5}" name="Market price; LOWER LIMIT" dataDxfId="3"/>
    <tableColumn id="5" xr3:uid="{823B98F7-2FE1-487E-B90F-F4463253C903}" name="Market price; UPPER LIMIT" dataDxfId="2"/>
    <tableColumn id="6" xr3:uid="{1F852123-41DF-4780-96AD-3805A31B8966}" name="Market price; UNIT" dataDxfId="1"/>
    <tableColumn id="7" xr3:uid="{EE73C345-44B5-4A69-B361-6B80444E7730}" name="Market price; VERIFICATION"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2F753B-D2AF-4EF9-B475-127A725A8A93}" name="Plant_data" displayName="Plant_data" ref="B12:E20" totalsRowShown="0" headerRowDxfId="401" dataDxfId="400">
  <autoFilter ref="B12:E20" xr:uid="{F8EC3A92-DC0F-452A-B919-CD223127A745}"/>
  <tableColumns count="4">
    <tableColumn id="1" xr3:uid="{EE3DB692-D63D-472B-911D-42B57CCE2618}" name="Parameter" dataDxfId="399"/>
    <tableColumn id="2" xr3:uid="{BBE87294-4F20-4CA7-AF93-630E28FE6C24}" name="Type" dataDxfId="398"/>
    <tableColumn id="3" xr3:uid="{4A333BF4-75B6-4356-821A-C4DE0B35FF8C}" name="Unit" dataDxfId="397"/>
    <tableColumn id="4" xr3:uid="{14284A19-BEA2-4C73-A392-E027F9080C15}" name="Value" dataDxfId="39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D45E108-7766-4658-BB33-6AE064BE4DF8}" name="Other_input_data" displayName="Other_input_data" ref="B24:E31" totalsRowShown="0" headerRowDxfId="395" dataDxfId="394">
  <autoFilter ref="B24:E31" xr:uid="{0586F62A-6D4D-4164-8A3C-58646D4C4D8E}"/>
  <tableColumns count="4">
    <tableColumn id="1" xr3:uid="{B6EC55E2-BB15-45FC-BB1F-D773BB9C7CFC}" name="Parameter" dataDxfId="393"/>
    <tableColumn id="2" xr3:uid="{E93F2038-2D33-4478-BCBF-6F21709125C6}" name="Type" dataDxfId="392"/>
    <tableColumn id="3" xr3:uid="{CBD50A4D-BEEB-4CBF-9324-3E8426AE9866}" name="Unit" dataDxfId="391"/>
    <tableColumn id="4" xr3:uid="{EE9F31B6-C0B4-463D-B1C9-37C9711A1C29}" name="Value" dataDxfId="39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412E6CC-FC2A-414F-AF9C-670B346575BE}" name="Vapor_System" displayName="Vapor_System" ref="B79:F114" totalsRowShown="0" headerRowDxfId="389" dataDxfId="388">
  <autoFilter ref="B79:F114" xr:uid="{93761CCF-61CE-CD4C-8E01-AD1628798552}"/>
  <tableColumns count="5">
    <tableColumn id="1" xr3:uid="{0B07B382-7D99-3144-A47F-B78181F2FE7F}" name="Parameter" dataDxfId="387"/>
    <tableColumn id="2" xr3:uid="{97D38E81-D5D8-2440-A8AB-840CAAF4E1D6}" name="Type" dataDxfId="386"/>
    <tableColumn id="3" xr3:uid="{FB72752E-D90C-2E4C-9A1A-C577CCD046E9}" name="Unit" dataDxfId="385"/>
    <tableColumn id="4" xr3:uid="{069BBAAC-6AFA-594E-A1D0-804C059BB3CE}" name="Current" dataDxfId="384">
      <calculatedColumnFormula>INDEX(Current_plant_configuration[],MATCH($E$13,Current_plant_configuration[Plant name],0),MATCH(Vapor_System[[#This Row],[Type]],Current_plant_configuration[#Headers],0))</calculatedColumnFormula>
    </tableColumn>
    <tableColumn id="5" xr3:uid="{893C4272-2705-1640-B82F-AE5FD9E0EAB5}" name="Future" dataDxfId="383">
      <calculatedColumnFormula>IF(Vapor_Tech=C83,Vapor_System[[#This Row],[Current]]+Vapor_Number,Vapor_System[[#This Row],[Current]])</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5E9351E-B99F-BE45-80FD-492968580B28}" name="Steam_System" displayName="Steam_System" ref="B48:F75" totalsRowShown="0" headerRowDxfId="382" dataDxfId="381">
  <autoFilter ref="B48:F75" xr:uid="{8A3DC3DA-9913-9148-BCF7-BF11A1422311}"/>
  <tableColumns count="5">
    <tableColumn id="1" xr3:uid="{5424C937-CAF6-824A-91CE-4A4FFDA02C31}" name="Parameter" dataDxfId="380"/>
    <tableColumn id="2" xr3:uid="{8EEDD5E2-1CC7-444E-B579-454A6275CFDD}" name="Type" dataDxfId="379"/>
    <tableColumn id="3" xr3:uid="{C276E93A-D596-DC40-AE91-4EF3AE0F53CC}" name="Unit" dataDxfId="378"/>
    <tableColumn id="4" xr3:uid="{9F88E9CF-0A98-674F-9D6F-CC54E3BA2BBA}" name="Current" dataDxfId="377">
      <calculatedColumnFormula>INDEX(Current_plant_configuration[],MATCH($E$13,Current_plant_configuration[Plant name],0),MATCH(Steam_System[[#This Row],[Type]],Current_plant_configuration[#Headers],0))</calculatedColumnFormula>
    </tableColumn>
    <tableColumn id="5" xr3:uid="{CD7251EA-378C-874F-935B-C5B7E86A6C29}" name="Future" dataDxfId="376">
      <calculatedColumnFormula>IF(Vapor_Tech=C52,Steam_System[[#This Row],[Current]]+Vapor_Number,Steam_System[[#This Row],[Current]])</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C9F8662-3F68-A949-A3AB-D4FBADE3AC6B}" name="FinalResults34" displayName="FinalResults34" ref="B117:G123" totalsRowShown="0" headerRowDxfId="375" dataDxfId="374">
  <autoFilter ref="B117:G123" xr:uid="{CF8DC230-D119-444E-8A4C-04648D35EAB1}"/>
  <tableColumns count="6">
    <tableColumn id="1" xr3:uid="{82C7C420-8B7E-A94F-856D-BDB34550D1E8}" name="Plant name" dataDxfId="373" dataCellStyle="Calculation"/>
    <tableColumn id="2" xr3:uid="{7C698205-5522-AF4D-AC32-9EB98BF4D38A}" name="Current" dataDxfId="372">
      <calculatedColumnFormula>E70</calculatedColumnFormula>
    </tableColumn>
    <tableColumn id="3" xr3:uid="{C07B8C63-80D4-BF43-A42D-9E70703B25AE}" name="Future" dataDxfId="371"/>
    <tableColumn id="4" xr3:uid="{1B8C4ED8-09B9-3A47-852D-180C00EEF7CB}" name="Net energy usage" dataDxfId="370">
      <calculatedColumnFormula>FinalResults34[[#This Row],[Future]]-FinalResults34[[#This Row],[Current]]</calculatedColumnFormula>
    </tableColumn>
    <tableColumn id="6" xr3:uid="{1347EBC3-A6FD-9E46-970E-2496AE10AFC5}" name="Net energy usage baseline" dataDxfId="369">
      <calculatedColumnFormula>FinalResults34[[#This Row],[Current]]*(1/((1+Efficiency_gain)^(Investment_year-2016))*Production_uncertainty-1)</calculatedColumnFormula>
    </tableColumn>
    <tableColumn id="5" xr3:uid="{BDB30601-336D-7F45-8A31-6606FA3D6B45}" name="Unit" dataDxfId="36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80BBDA1-2F6C-FB43-BBA3-C8D13DC7E74D}" name="Chosen_tech_data35" displayName="Chosen_tech_data35" ref="B127:D134" totalsRowShown="0" headerRowDxfId="367" dataDxfId="366">
  <autoFilter ref="B127:D134" xr:uid="{EACF8126-3CE5-624C-A6F3-14DA52A0B537}"/>
  <tableColumns count="3">
    <tableColumn id="1" xr3:uid="{052ABBEF-085D-A748-B55E-559C7A95F330}" name="Parameter" dataDxfId="365" totalsRowDxfId="364"/>
    <tableColumn id="4" xr3:uid="{22C7C906-C3C3-F346-92F0-C5D5EE21B320}" name="Steam Technology" dataDxfId="363" totalsRowDxfId="362">
      <calculatedColumnFormula>INDEX(Process_characteristics[],MATCH(Tec_chosen,Process_characteristics[Process name],0),MATCH(#REF!,Process_characteristics[#Headers],0))</calculatedColumnFormula>
    </tableColumn>
    <tableColumn id="3" xr3:uid="{28B7EDD0-1602-1D4C-8E2D-A94B6088C8B8}" name="Vaporization Technology" dataDxfId="361" totalsRowDxfId="360">
      <calculatedColumnFormula>INDEX(Process_characteristics[],MATCH(Vapor_Tech,Process_characteristics[Process name],0),MATCH(#REF!,Process_characteristics[#Headers],0))*Vapor_Number</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280F011-9140-984B-AC62-4A3DEFB3A921}" name="Revenues36" displayName="Revenues36" ref="B172:X178" totalsRowShown="0" headerRowDxfId="359" dataDxfId="358">
  <autoFilter ref="B172:X178" xr:uid="{71A9593C-71E4-4444-8B77-EDA7017E1D98}"/>
  <tableColumns count="23">
    <tableColumn id="1" xr3:uid="{B9A2533E-65D9-3A4F-A27C-38D2602B0803}" name="Parameter" dataDxfId="357"/>
    <tableColumn id="25" xr3:uid="{5D60CF19-502D-B14D-B1F5-3FD4EF51C5C0}" name="What" dataDxfId="356"/>
    <tableColumn id="2" xr3:uid="{744F3DFD-9D30-234A-AA1C-B406D4B553D8}" name="Unit" dataDxfId="355"/>
    <tableColumn id="3" xr3:uid="{6A0D5A1E-895B-4349-937A-49313A4DBB4E}" name="1" dataDxfId="354"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4" xr3:uid="{3E82E618-8292-C544-83F3-A4F3C7EE395C}" name="2" dataDxfId="353"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5" xr3:uid="{301FBEC5-FF96-9E42-8932-477607753774}" name="3" dataDxfId="352"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6" xr3:uid="{A5D71F57-4C2B-A44B-A050-E49F6B4CCB9F}" name="4" dataDxfId="351"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7" xr3:uid="{FF0FFD0E-93D7-7A41-BEF4-F93426F00D30}" name="5" dataDxfId="350"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8" xr3:uid="{97CC2934-CB42-F74E-B278-B447A7673CCC}" name="6" dataDxfId="349"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9" xr3:uid="{E0F3DAC8-7F72-1E49-A5FB-64484576E320}" name="7" dataDxfId="348"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0" xr3:uid="{29656DD5-2B7C-8949-8629-282695622A21}" name="8" dataDxfId="347"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1" xr3:uid="{7B57B0CF-D3BD-3043-BB8F-B5B589EFA136}" name="9" dataDxfId="346"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2" xr3:uid="{11C3AAC1-2621-1C44-B2E5-72F1588DBAC3}" name="10" dataDxfId="345"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3" xr3:uid="{220931FF-F468-B448-9BAD-5B98FF9C4A33}" name="11" dataDxfId="344"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4" xr3:uid="{DB470C4C-DA00-514D-9716-AE21B5984E64}" name="12" dataDxfId="343"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5" xr3:uid="{09330384-2F37-D240-985D-89FE14F52871}" name="13" dataDxfId="342"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6" xr3:uid="{4924B8FB-ABDB-7A45-8737-029406311EE8}" name="14" dataDxfId="341"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7" xr3:uid="{923258FE-5185-244B-BD54-DC19D3958722}" name="15" dataDxfId="340"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8" xr3:uid="{13D1673E-C0DB-D944-8395-44ED5DE6F4BC}" name="16" dataDxfId="339"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9" xr3:uid="{3FF7C99C-7882-B24E-A83B-3A185A004B89}" name="17" dataDxfId="338" dataCellStyle="Calculation"/>
    <tableColumn id="20" xr3:uid="{D48942BD-C6F9-9A41-8757-EF216E3EF279}" name="18" dataDxfId="337" dataCellStyle="Calculation"/>
    <tableColumn id="21" xr3:uid="{16294FE2-63B1-774E-A914-12A4A7CB5B81}" name="19" dataDxfId="336" dataCellStyle="Calculation"/>
    <tableColumn id="22" xr3:uid="{E8C2CD60-9798-4147-8749-3CAB7749C677}" name="20" dataDxfId="335" dataCellStyle="Calcul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3" Type="http://schemas.openxmlformats.org/officeDocument/2006/relationships/table" Target="../tables/table4.xml"/><Relationship Id="rId7" Type="http://schemas.openxmlformats.org/officeDocument/2006/relationships/table" Target="../tables/table8.xml"/><Relationship Id="rId12" Type="http://schemas.openxmlformats.org/officeDocument/2006/relationships/table" Target="../tables/table13.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11" Type="http://schemas.openxmlformats.org/officeDocument/2006/relationships/table" Target="../tables/table12.xml"/><Relationship Id="rId5" Type="http://schemas.openxmlformats.org/officeDocument/2006/relationships/table" Target="../tables/table6.xml"/><Relationship Id="rId15" Type="http://schemas.openxmlformats.org/officeDocument/2006/relationships/table" Target="../tables/table1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workbookViewId="0">
      <selection activeCell="E18" sqref="E18"/>
    </sheetView>
  </sheetViews>
  <sheetFormatPr defaultColWidth="8.85546875" defaultRowHeight="15" x14ac:dyDescent="0.25"/>
  <sheetData>
    <row r="1" spans="1:15" x14ac:dyDescent="0.25">
      <c r="A1">
        <v>1</v>
      </c>
    </row>
    <row r="3" spans="1:15" ht="20.25" thickBot="1" x14ac:dyDescent="0.35">
      <c r="B3" s="12" t="s">
        <v>71</v>
      </c>
      <c r="C3" s="12"/>
      <c r="D3" s="12"/>
      <c r="E3" s="12"/>
      <c r="F3" s="12"/>
      <c r="G3" s="12"/>
      <c r="H3" s="12"/>
      <c r="I3" s="12"/>
      <c r="J3" s="12"/>
      <c r="K3" s="12"/>
      <c r="L3" s="12"/>
      <c r="M3" s="12"/>
      <c r="N3" s="12"/>
      <c r="O3" s="12"/>
    </row>
    <row r="4" spans="1:15" ht="15.75" thickTop="1" x14ac:dyDescent="0.25"/>
    <row r="5" spans="1:15" x14ac:dyDescent="0.25">
      <c r="B5" t="s">
        <v>69</v>
      </c>
    </row>
    <row r="6" spans="1:15" x14ac:dyDescent="0.25">
      <c r="B6" t="s">
        <v>70</v>
      </c>
    </row>
    <row r="9" spans="1:15" x14ac:dyDescent="0.25">
      <c r="B9" t="s">
        <v>68</v>
      </c>
    </row>
    <row r="12" spans="1:15" x14ac:dyDescent="0.25">
      <c r="B12" t="s">
        <v>72</v>
      </c>
      <c r="E12" t="s">
        <v>76</v>
      </c>
    </row>
    <row r="13" spans="1:15" x14ac:dyDescent="0.25">
      <c r="B13" t="s">
        <v>73</v>
      </c>
      <c r="E13" t="s">
        <v>77</v>
      </c>
    </row>
    <row r="14" spans="1:15" x14ac:dyDescent="0.25">
      <c r="B14" t="s">
        <v>74</v>
      </c>
      <c r="E14" t="s">
        <v>78</v>
      </c>
    </row>
    <row r="15" spans="1:15" x14ac:dyDescent="0.25">
      <c r="B15" t="s">
        <v>55</v>
      </c>
      <c r="E15" t="s">
        <v>79</v>
      </c>
    </row>
    <row r="16" spans="1:15" x14ac:dyDescent="0.25">
      <c r="B16" t="s">
        <v>61</v>
      </c>
      <c r="E16" s="13" t="str">
        <f>'Company_data'!C4</f>
        <v>Plant specific data</v>
      </c>
    </row>
    <row r="17" spans="2:5" x14ac:dyDescent="0.25">
      <c r="B17" t="s">
        <v>59</v>
      </c>
      <c r="E17" s="13" t="str">
        <f>'Technology characteristics'!C4</f>
        <v>Overview of energy, material and financial data related to processes per paper and board category</v>
      </c>
    </row>
    <row r="18" spans="2:5" x14ac:dyDescent="0.25">
      <c r="B18" t="s">
        <v>63</v>
      </c>
      <c r="E18" s="13" t="str">
        <f>'Current plant configuration'!C4</f>
        <v>Overview of mill specific production capacity data</v>
      </c>
    </row>
    <row r="19" spans="2:5" x14ac:dyDescent="0.25">
      <c r="B19" t="s">
        <v>66</v>
      </c>
      <c r="E19" s="13" t="e">
        <f>#REF!</f>
        <v>#REF!</v>
      </c>
    </row>
    <row r="20" spans="2:5" x14ac:dyDescent="0.25">
      <c r="B20" t="s">
        <v>64</v>
      </c>
      <c r="E20" s="13" t="str">
        <f>Commodity_data!C4</f>
        <v>Overview of paper and board related commodity data</v>
      </c>
    </row>
    <row r="21" spans="2:5" x14ac:dyDescent="0.25">
      <c r="B21" t="s">
        <v>75</v>
      </c>
      <c r="E21" t="s">
        <v>80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tint="0.39997558519241921"/>
  </sheetPr>
  <dimension ref="B2:AN71"/>
  <sheetViews>
    <sheetView showGridLines="0" workbookViewId="0">
      <pane xSplit="3" ySplit="10" topLeftCell="AG11" activePane="bottomRight" state="frozen"/>
      <selection pane="topRight" activeCell="D1" sqref="D1"/>
      <selection pane="bottomLeft" activeCell="A8" sqref="A8"/>
      <selection pane="bottomRight" activeCell="AN22" sqref="AN22"/>
    </sheetView>
  </sheetViews>
  <sheetFormatPr defaultColWidth="8.85546875" defaultRowHeight="11.25" x14ac:dyDescent="0.2"/>
  <cols>
    <col min="1" max="1" width="8.85546875" style="1"/>
    <col min="2" max="2" width="24.140625" style="1" customWidth="1"/>
    <col min="3" max="3" width="14.140625" style="1" customWidth="1"/>
    <col min="4" max="10" width="9.140625" style="1" customWidth="1"/>
    <col min="11" max="24" width="10" style="1" customWidth="1"/>
    <col min="25" max="25" width="10.42578125" style="1" customWidth="1"/>
    <col min="26" max="29" width="10" style="1" customWidth="1"/>
    <col min="30" max="16384" width="8.85546875" style="1"/>
  </cols>
  <sheetData>
    <row r="2" spans="2:40" x14ac:dyDescent="0.2">
      <c r="B2" s="1" t="s">
        <v>44</v>
      </c>
      <c r="C2" s="10" t="s">
        <v>86</v>
      </c>
    </row>
    <row r="3" spans="2:40" x14ac:dyDescent="0.2">
      <c r="B3" s="1" t="s">
        <v>45</v>
      </c>
      <c r="C3" s="1" t="s">
        <v>83</v>
      </c>
    </row>
    <row r="4" spans="2:40" x14ac:dyDescent="0.2">
      <c r="B4" s="1" t="s">
        <v>46</v>
      </c>
      <c r="C4" s="1" t="s">
        <v>47</v>
      </c>
    </row>
    <row r="6" spans="2:40" x14ac:dyDescent="0.2">
      <c r="B6" s="1" t="s">
        <v>74</v>
      </c>
    </row>
    <row r="7" spans="2:40" x14ac:dyDescent="0.2">
      <c r="B7" s="1" t="s">
        <v>229</v>
      </c>
      <c r="C7" s="8"/>
    </row>
    <row r="8" spans="2:40" x14ac:dyDescent="0.2">
      <c r="B8" s="9"/>
    </row>
    <row r="9" spans="2:40" x14ac:dyDescent="0.2">
      <c r="B9" s="6" t="s">
        <v>51</v>
      </c>
    </row>
    <row r="10" spans="2:40" x14ac:dyDescent="0.2">
      <c r="B10" s="4" t="s">
        <v>28</v>
      </c>
      <c r="C10" s="2" t="s">
        <v>4</v>
      </c>
      <c r="D10" s="2" t="s">
        <v>7</v>
      </c>
      <c r="E10" s="2" t="s">
        <v>8</v>
      </c>
      <c r="F10" s="2" t="s">
        <v>9</v>
      </c>
      <c r="G10" s="2" t="s">
        <v>10</v>
      </c>
      <c r="H10" s="2" t="s">
        <v>11</v>
      </c>
      <c r="I10" s="2" t="s">
        <v>12</v>
      </c>
      <c r="J10" s="2" t="s">
        <v>13</v>
      </c>
      <c r="K10" s="2" t="s">
        <v>14</v>
      </c>
      <c r="L10" s="2" t="s">
        <v>15</v>
      </c>
      <c r="M10" s="2" t="s">
        <v>16</v>
      </c>
      <c r="N10" s="2" t="s">
        <v>17</v>
      </c>
      <c r="O10" s="2" t="s">
        <v>18</v>
      </c>
      <c r="P10" s="2" t="s">
        <v>19</v>
      </c>
      <c r="Q10" s="2" t="s">
        <v>20</v>
      </c>
      <c r="R10" s="2" t="s">
        <v>21</v>
      </c>
      <c r="S10" s="2" t="s">
        <v>22</v>
      </c>
      <c r="T10" s="2" t="s">
        <v>23</v>
      </c>
      <c r="U10" s="2" t="s">
        <v>24</v>
      </c>
      <c r="V10" s="2" t="s">
        <v>25</v>
      </c>
      <c r="W10" s="2" t="s">
        <v>26</v>
      </c>
      <c r="X10" s="2" t="s">
        <v>27</v>
      </c>
      <c r="Y10" s="2" t="s">
        <v>102</v>
      </c>
      <c r="Z10" s="2" t="s">
        <v>103</v>
      </c>
      <c r="AA10" s="2" t="s">
        <v>104</v>
      </c>
      <c r="AB10" s="2" t="s">
        <v>105</v>
      </c>
      <c r="AC10" s="3" t="s">
        <v>106</v>
      </c>
      <c r="AD10" s="190" t="s">
        <v>521</v>
      </c>
      <c r="AE10" s="3" t="s">
        <v>522</v>
      </c>
      <c r="AF10" s="190" t="s">
        <v>523</v>
      </c>
      <c r="AG10" s="3" t="s">
        <v>524</v>
      </c>
      <c r="AH10" s="190" t="s">
        <v>525</v>
      </c>
      <c r="AI10" s="3" t="s">
        <v>526</v>
      </c>
      <c r="AJ10" s="190" t="s">
        <v>527</v>
      </c>
      <c r="AK10" s="3" t="s">
        <v>528</v>
      </c>
      <c r="AL10" s="190" t="s">
        <v>529</v>
      </c>
      <c r="AM10" s="190" t="s">
        <v>530</v>
      </c>
      <c r="AN10" s="29" t="s">
        <v>231</v>
      </c>
    </row>
    <row r="11" spans="2:40" x14ac:dyDescent="0.2">
      <c r="B11" s="8" t="s">
        <v>100</v>
      </c>
      <c r="C11" s="8" t="s">
        <v>1</v>
      </c>
      <c r="D11" s="31">
        <f>INDEX(Overview_scenarios[],MATCH(ScenarioParameters[[#This Row],[Parameter]]&amp;ScenarioParameters[[#This Row],[Tag scenario]],Overview_scenarios[Tag Parameter&amp;scenario],0),MATCH(D$10,Overview_scenarios[#Headers],0))</f>
        <v>5.9340349272770538</v>
      </c>
      <c r="E11" s="31">
        <f>INDEX(Overview_scenarios[],MATCH(ScenarioParameters[[#This Row],[Parameter]]&amp;ScenarioParameters[[#This Row],[Tag scenario]],Overview_scenarios[Tag Parameter&amp;scenario],0),MATCH(E$10,Overview_scenarios[#Headers],0))</f>
        <v>4.1862929338246184</v>
      </c>
      <c r="F11" s="31">
        <f>INDEX(Overview_scenarios[],MATCH(ScenarioParameters[[#This Row],[Parameter]]&amp;ScenarioParameters[[#This Row],[Tag scenario]],Overview_scenarios[Tag Parameter&amp;scenario],0),MATCH(F$10,Overview_scenarios[#Headers],0))</f>
        <v>4.5351151007293531</v>
      </c>
      <c r="G11" s="31">
        <f>INDEX(Overview_scenarios[],MATCH(ScenarioParameters[[#This Row],[Parameter]]&amp;ScenarioParameters[[#This Row],[Tag scenario]],Overview_scenarios[Tag Parameter&amp;scenario],0),MATCH(G$10,Overview_scenarios[#Headers],0))</f>
        <v>4.5066819395705782</v>
      </c>
      <c r="H11" s="31">
        <f>INDEX(Overview_scenarios[],MATCH(ScenarioParameters[[#This Row],[Parameter]]&amp;ScenarioParameters[[#This Row],[Tag scenario]],Overview_scenarios[Tag Parameter&amp;scenario],0),MATCH(H$10,Overview_scenarios[#Headers],0))</f>
        <v>4.4185385163073718</v>
      </c>
      <c r="I11" s="31">
        <f>INDEX(Overview_scenarios[],MATCH(ScenarioParameters[[#This Row],[Parameter]]&amp;ScenarioParameters[[#This Row],[Tag scenario]],Overview_scenarios[Tag Parameter&amp;scenario],0),MATCH(I$10,Overview_scenarios[#Headers],0))</f>
        <v>4.8166052129819779</v>
      </c>
      <c r="J11" s="31">
        <f>INDEX(Overview_scenarios[],MATCH(ScenarioParameters[[#This Row],[Parameter]]&amp;ScenarioParameters[[#This Row],[Tag scenario]],Overview_scenarios[Tag Parameter&amp;scenario],0),MATCH(J$10,Overview_scenarios[#Headers],0))</f>
        <v>5.214671638495278</v>
      </c>
      <c r="K11" s="31">
        <f>INDEX(Overview_scenarios[],MATCH(ScenarioParameters[[#This Row],[Parameter]]&amp;ScenarioParameters[[#This Row],[Tag scenario]],Overview_scenarios[Tag Parameter&amp;scenario],0),MATCH(K$10,Overview_scenarios[#Headers],0))</f>
        <v>5.6127380640085764</v>
      </c>
      <c r="L11" s="31">
        <f>INDEX(Overview_scenarios[],MATCH(ScenarioParameters[[#This Row],[Parameter]]&amp;ScenarioParameters[[#This Row],[Tag scenario]],Overview_scenarios[Tag Parameter&amp;scenario],0),MATCH(L$10,Overview_scenarios[#Headers],0))</f>
        <v>6.0108044895218757</v>
      </c>
      <c r="M11" s="31">
        <f>INDEX(Overview_scenarios[],MATCH(ScenarioParameters[[#This Row],[Parameter]]&amp;ScenarioParameters[[#This Row],[Tag scenario]],Overview_scenarios[Tag Parameter&amp;scenario],0),MATCH(M$10,Overview_scenarios[#Headers],0))</f>
        <v>6.4088714573577885</v>
      </c>
      <c r="N11" s="31">
        <f>INDEX(Overview_scenarios[],MATCH(ScenarioParameters[[#This Row],[Parameter]]&amp;ScenarioParameters[[#This Row],[Tag scenario]],Overview_scenarios[Tag Parameter&amp;scenario],0),MATCH(N$10,Overview_scenarios[#Headers],0))</f>
        <v>6.8069378828710878</v>
      </c>
      <c r="O11" s="31">
        <f>INDEX(Overview_scenarios[],MATCH(ScenarioParameters[[#This Row],[Parameter]]&amp;ScenarioParameters[[#This Row],[Tag scenario]],Overview_scenarios[Tag Parameter&amp;scenario],0),MATCH(O$10,Overview_scenarios[#Headers],0))</f>
        <v>7.207847705848657</v>
      </c>
      <c r="P11" s="31">
        <f>INDEX(Overview_scenarios[],MATCH(ScenarioParameters[[#This Row],[Parameter]]&amp;ScenarioParameters[[#This Row],[Tag scenario]],Overview_scenarios[Tag Parameter&amp;scenario],0),MATCH(P$10,Overview_scenarios[#Headers],0))</f>
        <v>7.6059141313619554</v>
      </c>
      <c r="Q11" s="31">
        <f>INDEX(Overview_scenarios[],MATCH(ScenarioParameters[[#This Row],[Parameter]]&amp;ScenarioParameters[[#This Row],[Tag scenario]],Overview_scenarios[Tag Parameter&amp;scenario],0),MATCH(Q$10,Overview_scenarios[#Headers],0))</f>
        <v>8.0039805568752556</v>
      </c>
      <c r="R11" s="31">
        <f>INDEX(Overview_scenarios[],MATCH(ScenarioParameters[[#This Row],[Parameter]]&amp;ScenarioParameters[[#This Row],[Tag scenario]],Overview_scenarios[Tag Parameter&amp;scenario],0),MATCH(R$10,Overview_scenarios[#Headers],0))</f>
        <v>8.4020469823885549</v>
      </c>
      <c r="S11" s="31">
        <f>INDEX(Overview_scenarios[],MATCH(ScenarioParameters[[#This Row],[Parameter]]&amp;ScenarioParameters[[#This Row],[Tag scenario]],Overview_scenarios[Tag Parameter&amp;scenario],0),MATCH(S$10,Overview_scenarios[#Headers],0))</f>
        <v>8.8001139502244694</v>
      </c>
      <c r="T11" s="31">
        <f>INDEX(Overview_scenarios[],MATCH(ScenarioParameters[[#This Row],[Parameter]]&amp;ScenarioParameters[[#This Row],[Tag scenario]],Overview_scenarios[Tag Parameter&amp;scenario],0),MATCH(T$10,Overview_scenarios[#Headers],0))</f>
        <v>8.9024738727186712</v>
      </c>
      <c r="U11" s="31">
        <f>INDEX(Overview_scenarios[],MATCH(ScenarioParameters[[#This Row],[Parameter]]&amp;ScenarioParameters[[#This Row],[Tag scenario]],Overview_scenarios[Tag Parameter&amp;scenario],0),MATCH(U$10,Overview_scenarios[#Headers],0))</f>
        <v>9.004833795212873</v>
      </c>
      <c r="V11" s="31">
        <f>INDEX(Overview_scenarios[],MATCH(ScenarioParameters[[#This Row],[Parameter]]&amp;ScenarioParameters[[#This Row],[Tag scenario]],Overview_scenarios[Tag Parameter&amp;scenario],0),MATCH(V$10,Overview_scenarios[#Headers],0))</f>
        <v>9.1071937177070748</v>
      </c>
      <c r="W11" s="31">
        <f>INDEX(Overview_scenarios[],MATCH(ScenarioParameters[[#This Row],[Parameter]]&amp;ScenarioParameters[[#This Row],[Tag scenario]],Overview_scenarios[Tag Parameter&amp;scenario],0),MATCH(W$10,Overview_scenarios[#Headers],0))</f>
        <v>9.2095536402012748</v>
      </c>
      <c r="X11" s="31">
        <f>INDEX(Overview_scenarios[],MATCH(ScenarioParameters[[#This Row],[Parameter]]&amp;ScenarioParameters[[#This Row],[Tag scenario]],Overview_scenarios[Tag Parameter&amp;scenario],0),MATCH(X$10,Overview_scenarios[#Headers],0))</f>
        <v>9.3119135626954783</v>
      </c>
      <c r="Y11" s="14">
        <f>ScenarioParameters[[#This Row],[2035]]</f>
        <v>9.3119135626954783</v>
      </c>
      <c r="Z11" s="14">
        <f>ScenarioParameters[[#This Row],[2035]]</f>
        <v>9.3119135626954783</v>
      </c>
      <c r="AA11" s="14">
        <f>ScenarioParameters[[#This Row],[2035]]</f>
        <v>9.3119135626954783</v>
      </c>
      <c r="AB11" s="14">
        <f>ScenarioParameters[[#This Row],[2035]]</f>
        <v>9.3119135626954783</v>
      </c>
      <c r="AC11" s="14">
        <f>ScenarioParameters[[#This Row],[2035]]</f>
        <v>9.3119135626954783</v>
      </c>
      <c r="AD11" s="14">
        <f>ScenarioParameters[[#This Row],[2036]]</f>
        <v>9.3119135626954783</v>
      </c>
      <c r="AE11" s="14">
        <f>ScenarioParameters[[#This Row],[2037]]</f>
        <v>9.3119135626954783</v>
      </c>
      <c r="AF11" s="14">
        <f>ScenarioParameters[[#This Row],[2038]]</f>
        <v>9.3119135626954783</v>
      </c>
      <c r="AG11" s="14">
        <f>ScenarioParameters[[#This Row],[2039]]</f>
        <v>9.3119135626954783</v>
      </c>
      <c r="AH11" s="14">
        <f>ScenarioParameters[[#This Row],[2040]]</f>
        <v>9.3119135626954783</v>
      </c>
      <c r="AI11" s="14">
        <f>ScenarioParameters[[#This Row],[2041]]</f>
        <v>9.3119135626954783</v>
      </c>
      <c r="AJ11" s="14">
        <f>ScenarioParameters[[#This Row],[2042]]</f>
        <v>9.3119135626954783</v>
      </c>
      <c r="AK11" s="14">
        <f>ScenarioParameters[[#This Row],[2043]]</f>
        <v>9.3119135626954783</v>
      </c>
      <c r="AL11" s="14">
        <f>ScenarioParameters[[#This Row],[2044]]</f>
        <v>9.3119135626954783</v>
      </c>
      <c r="AM11" s="14">
        <f>ScenarioParameters[[#This Row],[2044]]</f>
        <v>9.3119135626954783</v>
      </c>
      <c r="AN11" s="30">
        <f>FLOOR(Experiment!$C$8,1)</f>
        <v>1</v>
      </c>
    </row>
    <row r="12" spans="2:40" x14ac:dyDescent="0.2">
      <c r="B12" s="8" t="s">
        <v>101</v>
      </c>
      <c r="C12" s="8" t="s">
        <v>1</v>
      </c>
      <c r="D12" s="31">
        <f>INDEX(Overview_scenarios[],MATCH(ScenarioParameters[[#This Row],[Parameter]]&amp;ScenarioParameters[[#This Row],[Tag scenario]],Overview_scenarios[Tag Parameter&amp;scenario],0),MATCH(D$10,Overview_scenarios[#Headers],0))</f>
        <v>13.111110528310139</v>
      </c>
      <c r="E12" s="31">
        <f>INDEX(Overview_scenarios[],MATCH(ScenarioParameters[[#This Row],[Parameter]]&amp;ScenarioParameters[[#This Row],[Tag scenario]],Overview_scenarios[Tag Parameter&amp;scenario],0),MATCH(E$10,Overview_scenarios[#Headers],0))</f>
        <v>10.972568684253179</v>
      </c>
      <c r="F12" s="31">
        <f>INDEX(Overview_scenarios[],MATCH(ScenarioParameters[[#This Row],[Parameter]]&amp;ScenarioParameters[[#This Row],[Tag scenario]],Overview_scenarios[Tag Parameter&amp;scenario],0),MATCH(F$10,Overview_scenarios[#Headers],0))</f>
        <v>9.2499997880723743</v>
      </c>
      <c r="G12" s="31">
        <f>INDEX(Overview_scenarios[],MATCH(ScenarioParameters[[#This Row],[Parameter]]&amp;ScenarioParameters[[#This Row],[Tag scenario]],Overview_scenarios[Tag Parameter&amp;scenario],0),MATCH(G$10,Overview_scenarios[#Headers],0))</f>
        <v>9.0000000264909552</v>
      </c>
      <c r="H12" s="31">
        <f>INDEX(Overview_scenarios[],MATCH(ScenarioParameters[[#This Row],[Parameter]]&amp;ScenarioParameters[[#This Row],[Tag scenario]],Overview_scenarios[Tag Parameter&amp;scenario],0),MATCH(H$10,Overview_scenarios[#Headers],0))</f>
        <v>8.6666663487752267</v>
      </c>
      <c r="I12" s="31">
        <f>INDEX(Overview_scenarios[],MATCH(ScenarioParameters[[#This Row],[Parameter]]&amp;ScenarioParameters[[#This Row],[Tag scenario]],Overview_scenarios[Tag Parameter&amp;scenario],0),MATCH(I$10,Overview_scenarios[#Headers],0))</f>
        <v>9.0277777777777768</v>
      </c>
      <c r="J12" s="31">
        <f>INDEX(Overview_scenarios[],MATCH(ScenarioParameters[[#This Row],[Parameter]]&amp;ScenarioParameters[[#This Row],[Tag scenario]],Overview_scenarios[Tag Parameter&amp;scenario],0),MATCH(J$10,Overview_scenarios[#Headers],0))</f>
        <v>9.6944444709353981</v>
      </c>
      <c r="K12" s="31">
        <f>INDEX(Overview_scenarios[],MATCH(ScenarioParameters[[#This Row],[Parameter]]&amp;ScenarioParameters[[#This Row],[Tag scenario]],Overview_scenarios[Tag Parameter&amp;scenario],0),MATCH(K$10,Overview_scenarios[#Headers],0))</f>
        <v>10.888889100816513</v>
      </c>
      <c r="L12" s="31">
        <f>INDEX(Overview_scenarios[],MATCH(ScenarioParameters[[#This Row],[Parameter]]&amp;ScenarioParameters[[#This Row],[Tag scenario]],Overview_scenarios[Tag Parameter&amp;scenario],0),MATCH(L$10,Overview_scenarios[#Headers],0))</f>
        <v>11.750000052981907</v>
      </c>
      <c r="M12" s="31">
        <f>INDEX(Overview_scenarios[],MATCH(ScenarioParameters[[#This Row],[Parameter]]&amp;ScenarioParameters[[#This Row],[Tag scenario]],Overview_scenarios[Tag Parameter&amp;scenario],0),MATCH(M$10,Overview_scenarios[#Headers],0))</f>
        <v>12.361110581292046</v>
      </c>
      <c r="N12" s="31">
        <f>INDEX(Overview_scenarios[],MATCH(ScenarioParameters[[#This Row],[Parameter]]&amp;ScenarioParameters[[#This Row],[Tag scenario]],Overview_scenarios[Tag Parameter&amp;scenario],0),MATCH(N$10,Overview_scenarios[#Headers],0))</f>
        <v>13.194444444444443</v>
      </c>
      <c r="O12" s="31">
        <f>INDEX(Overview_scenarios[],MATCH(ScenarioParameters[[#This Row],[Parameter]]&amp;ScenarioParameters[[#This Row],[Tag scenario]],Overview_scenarios[Tag Parameter&amp;scenario],0),MATCH(O$10,Overview_scenarios[#Headers],0))</f>
        <v>13.305555449591743</v>
      </c>
      <c r="P12" s="31">
        <f>INDEX(Overview_scenarios[],MATCH(ScenarioParameters[[#This Row],[Parameter]]&amp;ScenarioParameters[[#This Row],[Tag scenario]],Overview_scenarios[Tag Parameter&amp;scenario],0),MATCH(P$10,Overview_scenarios[#Headers],0))</f>
        <v>13.166666030883789</v>
      </c>
      <c r="Q12" s="31">
        <f>INDEX(Overview_scenarios[],MATCH(ScenarioParameters[[#This Row],[Parameter]]&amp;ScenarioParameters[[#This Row],[Tag scenario]],Overview_scenarios[Tag Parameter&amp;scenario],0),MATCH(Q$10,Overview_scenarios[#Headers],0))</f>
        <v>12.805555926428902</v>
      </c>
      <c r="R12" s="31">
        <f>INDEX(Overview_scenarios[],MATCH(ScenarioParameters[[#This Row],[Parameter]]&amp;ScenarioParameters[[#This Row],[Tag scenario]],Overview_scenarios[Tag Parameter&amp;scenario],0),MATCH(R$10,Overview_scenarios[#Headers],0))</f>
        <v>12.44444449742635</v>
      </c>
      <c r="S12" s="31">
        <f>INDEX(Overview_scenarios[],MATCH(ScenarioParameters[[#This Row],[Parameter]]&amp;ScenarioParameters[[#This Row],[Tag scenario]],Overview_scenarios[Tag Parameter&amp;scenario],0),MATCH(S$10,Overview_scenarios[#Headers],0))</f>
        <v>12.000000476837158</v>
      </c>
      <c r="T12" s="31">
        <f>INDEX(Overview_scenarios[],MATCH(ScenarioParameters[[#This Row],[Parameter]]&amp;ScenarioParameters[[#This Row],[Tag scenario]],Overview_scenarios[Tag Parameter&amp;scenario],0),MATCH(T$10,Overview_scenarios[#Headers],0))</f>
        <v>12.266667154100205</v>
      </c>
      <c r="U12" s="31">
        <f>INDEX(Overview_scenarios[],MATCH(ScenarioParameters[[#This Row],[Parameter]]&amp;ScenarioParameters[[#This Row],[Tag scenario]],Overview_scenarios[Tag Parameter&amp;scenario],0),MATCH(U$10,Overview_scenarios[#Headers],0))</f>
        <v>12.533333831363255</v>
      </c>
      <c r="V12" s="31">
        <f>INDEX(Overview_scenarios[],MATCH(ScenarioParameters[[#This Row],[Parameter]]&amp;ScenarioParameters[[#This Row],[Tag scenario]],Overview_scenarios[Tag Parameter&amp;scenario],0),MATCH(V$10,Overview_scenarios[#Headers],0))</f>
        <v>12.800000508626301</v>
      </c>
      <c r="W12" s="31">
        <f>INDEX(Overview_scenarios[],MATCH(ScenarioParameters[[#This Row],[Parameter]]&amp;ScenarioParameters[[#This Row],[Tag scenario]],Overview_scenarios[Tag Parameter&amp;scenario],0),MATCH(W$10,Overview_scenarios[#Headers],0))</f>
        <v>13.066667185889351</v>
      </c>
      <c r="X12" s="31">
        <f>INDEX(Overview_scenarios[],MATCH(ScenarioParameters[[#This Row],[Parameter]]&amp;ScenarioParameters[[#This Row],[Tag scenario]],Overview_scenarios[Tag Parameter&amp;scenario],0),MATCH(X$10,Overview_scenarios[#Headers],0))</f>
        <v>13.333333863152397</v>
      </c>
      <c r="Y12" s="15">
        <f>ScenarioParameters[[#This Row],[2035]]</f>
        <v>13.333333863152397</v>
      </c>
      <c r="Z12" s="15">
        <f>ScenarioParameters[[#This Row],[2035]]</f>
        <v>13.333333863152397</v>
      </c>
      <c r="AA12" s="15">
        <f>ScenarioParameters[[#This Row],[2035]]</f>
        <v>13.333333863152397</v>
      </c>
      <c r="AB12" s="15">
        <f>ScenarioParameters[[#This Row],[2035]]</f>
        <v>13.333333863152397</v>
      </c>
      <c r="AC12" s="15">
        <f>ScenarioParameters[[#This Row],[2035]]</f>
        <v>13.333333863152397</v>
      </c>
      <c r="AD12" s="15">
        <f>ScenarioParameters[[#This Row],[2036]]</f>
        <v>13.333333863152397</v>
      </c>
      <c r="AE12" s="15">
        <f>ScenarioParameters[[#This Row],[2037]]</f>
        <v>13.333333863152397</v>
      </c>
      <c r="AF12" s="15">
        <f>ScenarioParameters[[#This Row],[2038]]</f>
        <v>13.333333863152397</v>
      </c>
      <c r="AG12" s="15">
        <f>ScenarioParameters[[#This Row],[2039]]</f>
        <v>13.333333863152397</v>
      </c>
      <c r="AH12" s="15">
        <f>ScenarioParameters[[#This Row],[2040]]</f>
        <v>13.333333863152397</v>
      </c>
      <c r="AI12" s="15">
        <f>ScenarioParameters[[#This Row],[2041]]</f>
        <v>13.333333863152397</v>
      </c>
      <c r="AJ12" s="15">
        <f>ScenarioParameters[[#This Row],[2042]]</f>
        <v>13.333333863152397</v>
      </c>
      <c r="AK12" s="15">
        <f>ScenarioParameters[[#This Row],[2043]]</f>
        <v>13.333333863152397</v>
      </c>
      <c r="AL12" s="15">
        <f>ScenarioParameters[[#This Row],[2044]]</f>
        <v>13.333333863152397</v>
      </c>
      <c r="AM12" s="15">
        <f>ScenarioParameters[[#This Row],[2044]]</f>
        <v>13.333333863152397</v>
      </c>
      <c r="AN12" s="30">
        <f>FLOOR(Experiment!$C$8,1)</f>
        <v>1</v>
      </c>
    </row>
    <row r="13" spans="2:40" x14ac:dyDescent="0.2">
      <c r="B13" s="18" t="s">
        <v>32</v>
      </c>
      <c r="C13" s="18" t="s">
        <v>40</v>
      </c>
      <c r="D13" s="31">
        <f>INDEX(Overview_scenarios[],MATCH(ScenarioParameters[[#This Row],[Parameter]]&amp;ScenarioParameters[[#This Row],[Tag scenario]],Overview_scenarios[Tag Parameter&amp;scenario],0),MATCH(D$10,Overview_scenarios[#Headers],0))</f>
        <v>7.6807980000000002</v>
      </c>
      <c r="E13" s="31">
        <f>INDEX(Overview_scenarios[],MATCH(ScenarioParameters[[#This Row],[Parameter]]&amp;ScenarioParameters[[#This Row],[Tag scenario]],Overview_scenarios[Tag Parameter&amp;scenario],0),MATCH(E$10,Overview_scenarios[#Headers],0))</f>
        <v>5.1870320000000003</v>
      </c>
      <c r="F13" s="31">
        <f>INDEX(Overview_scenarios[],MATCH(ScenarioParameters[[#This Row],[Parameter]]&amp;ScenarioParameters[[#This Row],[Tag scenario]],Overview_scenarios[Tag Parameter&amp;scenario],0),MATCH(F$10,Overview_scenarios[#Headers],0))</f>
        <v>5.3865340000000002</v>
      </c>
      <c r="G13" s="31">
        <f>INDEX(Overview_scenarios[],MATCH(ScenarioParameters[[#This Row],[Parameter]]&amp;ScenarioParameters[[#This Row],[Tag scenario]],Overview_scenarios[Tag Parameter&amp;scenario],0),MATCH(G$10,Overview_scenarios[#Headers],0))</f>
        <v>5.4862840000000004</v>
      </c>
      <c r="H13" s="31">
        <f>INDEX(Overview_scenarios[],MATCH(ScenarioParameters[[#This Row],[Parameter]]&amp;ScenarioParameters[[#This Row],[Tag scenario]],Overview_scenarios[Tag Parameter&amp;scenario],0),MATCH(H$10,Overview_scenarios[#Headers],0))</f>
        <v>5.5860349999999999</v>
      </c>
      <c r="I13" s="31">
        <f>INDEX(Overview_scenarios[],MATCH(ScenarioParameters[[#This Row],[Parameter]]&amp;ScenarioParameters[[#This Row],[Tag scenario]],Overview_scenarios[Tag Parameter&amp;scenario],0),MATCH(I$10,Overview_scenarios[#Headers],0))</f>
        <v>6.5835410000000003</v>
      </c>
      <c r="J13" s="31">
        <f>INDEX(Overview_scenarios[],MATCH(ScenarioParameters[[#This Row],[Parameter]]&amp;ScenarioParameters[[#This Row],[Tag scenario]],Overview_scenarios[Tag Parameter&amp;scenario],0),MATCH(J$10,Overview_scenarios[#Headers],0))</f>
        <v>7.581048</v>
      </c>
      <c r="K13" s="31">
        <f>INDEX(Overview_scenarios[],MATCH(ScenarioParameters[[#This Row],[Parameter]]&amp;ScenarioParameters[[#This Row],[Tag scenario]],Overview_scenarios[Tag Parameter&amp;scenario],0),MATCH(K$10,Overview_scenarios[#Headers],0))</f>
        <v>8.4788029999999992</v>
      </c>
      <c r="L13" s="31">
        <f>INDEX(Overview_scenarios[],MATCH(ScenarioParameters[[#This Row],[Parameter]]&amp;ScenarioParameters[[#This Row],[Tag scenario]],Overview_scenarios[Tag Parameter&amp;scenario],0),MATCH(L$10,Overview_scenarios[#Headers],0))</f>
        <v>9.2768080000000008</v>
      </c>
      <c r="M13" s="31">
        <f>INDEX(Overview_scenarios[],MATCH(ScenarioParameters[[#This Row],[Parameter]]&amp;ScenarioParameters[[#This Row],[Tag scenario]],Overview_scenarios[Tag Parameter&amp;scenario],0),MATCH(M$10,Overview_scenarios[#Headers],0))</f>
        <v>10.074809999999999</v>
      </c>
      <c r="N13" s="31">
        <f>INDEX(Overview_scenarios[],MATCH(ScenarioParameters[[#This Row],[Parameter]]&amp;ScenarioParameters[[#This Row],[Tag scenario]],Overview_scenarios[Tag Parameter&amp;scenario],0),MATCH(N$10,Overview_scenarios[#Headers],0))</f>
        <v>10.872820000000001</v>
      </c>
      <c r="O13" s="31">
        <f>INDEX(Overview_scenarios[],MATCH(ScenarioParameters[[#This Row],[Parameter]]&amp;ScenarioParameters[[#This Row],[Tag scenario]],Overview_scenarios[Tag Parameter&amp;scenario],0),MATCH(O$10,Overview_scenarios[#Headers],0))</f>
        <v>11.770569999999999</v>
      </c>
      <c r="P13" s="31">
        <f>INDEX(Overview_scenarios[],MATCH(ScenarioParameters[[#This Row],[Parameter]]&amp;ScenarioParameters[[#This Row],[Tag scenario]],Overview_scenarios[Tag Parameter&amp;scenario],0),MATCH(P$10,Overview_scenarios[#Headers],0))</f>
        <v>12.86783</v>
      </c>
      <c r="Q13" s="31">
        <f>INDEX(Overview_scenarios[],MATCH(ScenarioParameters[[#This Row],[Parameter]]&amp;ScenarioParameters[[#This Row],[Tag scenario]],Overview_scenarios[Tag Parameter&amp;scenario],0),MATCH(Q$10,Overview_scenarios[#Headers],0))</f>
        <v>13.86534</v>
      </c>
      <c r="R13" s="31">
        <f>INDEX(Overview_scenarios[],MATCH(ScenarioParameters[[#This Row],[Parameter]]&amp;ScenarioParameters[[#This Row],[Tag scenario]],Overview_scenarios[Tag Parameter&amp;scenario],0),MATCH(R$10,Overview_scenarios[#Headers],0))</f>
        <v>15.062340000000001</v>
      </c>
      <c r="S13" s="31">
        <f>INDEX(Overview_scenarios[],MATCH(ScenarioParameters[[#This Row],[Parameter]]&amp;ScenarioParameters[[#This Row],[Tag scenario]],Overview_scenarios[Tag Parameter&amp;scenario],0),MATCH(S$10,Overview_scenarios[#Headers],0))</f>
        <v>16.359100000000002</v>
      </c>
      <c r="T13" s="31">
        <f>INDEX(Overview_scenarios[],MATCH(ScenarioParameters[[#This Row],[Parameter]]&amp;ScenarioParameters[[#This Row],[Tag scenario]],Overview_scenarios[Tag Parameter&amp;scenario],0),MATCH(T$10,Overview_scenarios[#Headers],0))</f>
        <v>18.014960000000002</v>
      </c>
      <c r="U13" s="31">
        <f>INDEX(Overview_scenarios[],MATCH(ScenarioParameters[[#This Row],[Parameter]]&amp;ScenarioParameters[[#This Row],[Tag scenario]],Overview_scenarios[Tag Parameter&amp;scenario],0),MATCH(U$10,Overview_scenarios[#Headers],0))</f>
        <v>19.670820000000003</v>
      </c>
      <c r="V13" s="31">
        <f>INDEX(Overview_scenarios[],MATCH(ScenarioParameters[[#This Row],[Parameter]]&amp;ScenarioParameters[[#This Row],[Tag scenario]],Overview_scenarios[Tag Parameter&amp;scenario],0),MATCH(V$10,Overview_scenarios[#Headers],0))</f>
        <v>21.326680000000003</v>
      </c>
      <c r="W13" s="31">
        <f>INDEX(Overview_scenarios[],MATCH(ScenarioParameters[[#This Row],[Parameter]]&amp;ScenarioParameters[[#This Row],[Tag scenario]],Overview_scenarios[Tag Parameter&amp;scenario],0),MATCH(W$10,Overview_scenarios[#Headers],0))</f>
        <v>22.98254</v>
      </c>
      <c r="X13" s="31">
        <f>INDEX(Overview_scenarios[],MATCH(ScenarioParameters[[#This Row],[Parameter]]&amp;ScenarioParameters[[#This Row],[Tag scenario]],Overview_scenarios[Tag Parameter&amp;scenario],0),MATCH(X$10,Overview_scenarios[#Headers],0))</f>
        <v>24.638400000000001</v>
      </c>
      <c r="Y13" s="15">
        <f>ScenarioParameters[[#This Row],[2035]]</f>
        <v>24.638400000000001</v>
      </c>
      <c r="Z13" s="15">
        <f>ScenarioParameters[[#This Row],[2035]]</f>
        <v>24.638400000000001</v>
      </c>
      <c r="AA13" s="15">
        <f>ScenarioParameters[[#This Row],[2035]]</f>
        <v>24.638400000000001</v>
      </c>
      <c r="AB13" s="15">
        <f>ScenarioParameters[[#This Row],[2035]]</f>
        <v>24.638400000000001</v>
      </c>
      <c r="AC13" s="15">
        <f>ScenarioParameters[[#This Row],[2035]]</f>
        <v>24.638400000000001</v>
      </c>
      <c r="AD13" s="15">
        <f>ScenarioParameters[[#This Row],[2036]]</f>
        <v>24.638400000000001</v>
      </c>
      <c r="AE13" s="15">
        <f>ScenarioParameters[[#This Row],[2037]]</f>
        <v>24.638400000000001</v>
      </c>
      <c r="AF13" s="15">
        <f>ScenarioParameters[[#This Row],[2038]]</f>
        <v>24.638400000000001</v>
      </c>
      <c r="AG13" s="15">
        <f>ScenarioParameters[[#This Row],[2039]]</f>
        <v>24.638400000000001</v>
      </c>
      <c r="AH13" s="15">
        <f>ScenarioParameters[[#This Row],[2040]]</f>
        <v>24.638400000000001</v>
      </c>
      <c r="AI13" s="15">
        <f>ScenarioParameters[[#This Row],[2041]]</f>
        <v>24.638400000000001</v>
      </c>
      <c r="AJ13" s="15">
        <f>ScenarioParameters[[#This Row],[2042]]</f>
        <v>24.638400000000001</v>
      </c>
      <c r="AK13" s="15">
        <f>ScenarioParameters[[#This Row],[2043]]</f>
        <v>24.638400000000001</v>
      </c>
      <c r="AL13" s="15">
        <f>ScenarioParameters[[#This Row],[2044]]</f>
        <v>24.638400000000001</v>
      </c>
      <c r="AM13" s="15">
        <f>ScenarioParameters[[#This Row],[2044]]</f>
        <v>24.638400000000001</v>
      </c>
      <c r="AN13" s="30">
        <f>FLOOR(Experiment!$C$8,1)</f>
        <v>1</v>
      </c>
    </row>
    <row r="14" spans="2:40" x14ac:dyDescent="0.2">
      <c r="B14" s="8" t="s">
        <v>2</v>
      </c>
      <c r="C14" s="8" t="s">
        <v>1</v>
      </c>
      <c r="D14" s="31">
        <f>INDEX(Overview_scenarios[],MATCH(ScenarioParameters[[#This Row],[Parameter]]&amp;ScenarioParameters[[#This Row],[Tag scenario]],Overview_scenarios[Tag Parameter&amp;scenario],0),MATCH(D$10,Overview_scenarios[#Headers],0))</f>
        <v>8.5</v>
      </c>
      <c r="E14" s="31">
        <f>INDEX(Overview_scenarios[],MATCH(ScenarioParameters[[#This Row],[Parameter]]&amp;ScenarioParameters[[#This Row],[Tag scenario]],Overview_scenarios[Tag Parameter&amp;scenario],0),MATCH(E$10,Overview_scenarios[#Headers],0))</f>
        <v>9.4</v>
      </c>
      <c r="F14" s="31">
        <f>INDEX(Overview_scenarios[],MATCH(ScenarioParameters[[#This Row],[Parameter]]&amp;ScenarioParameters[[#This Row],[Tag scenario]],Overview_scenarios[Tag Parameter&amp;scenario],0),MATCH(F$10,Overview_scenarios[#Headers],0))</f>
        <v>9.1</v>
      </c>
      <c r="G14" s="31">
        <f>INDEX(Overview_scenarios[],MATCH(ScenarioParameters[[#This Row],[Parameter]]&amp;ScenarioParameters[[#This Row],[Tag scenario]],Overview_scenarios[Tag Parameter&amp;scenario],0),MATCH(G$10,Overview_scenarios[#Headers],0))</f>
        <v>10</v>
      </c>
      <c r="H14" s="31">
        <f>INDEX(Overview_scenarios[],MATCH(ScenarioParameters[[#This Row],[Parameter]]&amp;ScenarioParameters[[#This Row],[Tag scenario]],Overview_scenarios[Tag Parameter&amp;scenario],0),MATCH(H$10,Overview_scenarios[#Headers],0))</f>
        <v>10.379999999999999</v>
      </c>
      <c r="I14" s="31">
        <f>INDEX(Overview_scenarios[],MATCH(ScenarioParameters[[#This Row],[Parameter]]&amp;ScenarioParameters[[#This Row],[Tag scenario]],Overview_scenarios[Tag Parameter&amp;scenario],0),MATCH(I$10,Overview_scenarios[#Headers],0))</f>
        <v>10.76</v>
      </c>
      <c r="J14" s="31">
        <f>INDEX(Overview_scenarios[],MATCH(ScenarioParameters[[#This Row],[Parameter]]&amp;ScenarioParameters[[#This Row],[Tag scenario]],Overview_scenarios[Tag Parameter&amp;scenario],0),MATCH(J$10,Overview_scenarios[#Headers],0))</f>
        <v>10.474</v>
      </c>
      <c r="K14" s="31">
        <f>INDEX(Overview_scenarios[],MATCH(ScenarioParameters[[#This Row],[Parameter]]&amp;ScenarioParameters[[#This Row],[Tag scenario]],Overview_scenarios[Tag Parameter&amp;scenario],0),MATCH(K$10,Overview_scenarios[#Headers],0))</f>
        <v>10.188000000000001</v>
      </c>
      <c r="L14" s="31">
        <f>INDEX(Overview_scenarios[],MATCH(ScenarioParameters[[#This Row],[Parameter]]&amp;ScenarioParameters[[#This Row],[Tag scenario]],Overview_scenarios[Tag Parameter&amp;scenario],0),MATCH(L$10,Overview_scenarios[#Headers],0))</f>
        <v>9.9019999999999992</v>
      </c>
      <c r="M14" s="31">
        <f>INDEX(Overview_scenarios[],MATCH(ScenarioParameters[[#This Row],[Parameter]]&amp;ScenarioParameters[[#This Row],[Tag scenario]],Overview_scenarios[Tag Parameter&amp;scenario],0),MATCH(M$10,Overview_scenarios[#Headers],0))</f>
        <v>9.6159999999999997</v>
      </c>
      <c r="N14" s="31">
        <f>INDEX(Overview_scenarios[],MATCH(ScenarioParameters[[#This Row],[Parameter]]&amp;ScenarioParameters[[#This Row],[Tag scenario]],Overview_scenarios[Tag Parameter&amp;scenario],0),MATCH(N$10,Overview_scenarios[#Headers],0))</f>
        <v>9.33</v>
      </c>
      <c r="O14" s="31">
        <f>INDEX(Overview_scenarios[],MATCH(ScenarioParameters[[#This Row],[Parameter]]&amp;ScenarioParameters[[#This Row],[Tag scenario]],Overview_scenarios[Tag Parameter&amp;scenario],0),MATCH(O$10,Overview_scenarios[#Headers],0))</f>
        <v>9.468</v>
      </c>
      <c r="P14" s="31">
        <f>INDEX(Overview_scenarios[],MATCH(ScenarioParameters[[#This Row],[Parameter]]&amp;ScenarioParameters[[#This Row],[Tag scenario]],Overview_scenarios[Tag Parameter&amp;scenario],0),MATCH(P$10,Overview_scenarios[#Headers],0))</f>
        <v>9.6059999999999999</v>
      </c>
      <c r="Q14" s="31">
        <f>INDEX(Overview_scenarios[],MATCH(ScenarioParameters[[#This Row],[Parameter]]&amp;ScenarioParameters[[#This Row],[Tag scenario]],Overview_scenarios[Tag Parameter&amp;scenario],0),MATCH(Q$10,Overview_scenarios[#Headers],0))</f>
        <v>9.7439999999999998</v>
      </c>
      <c r="R14" s="31">
        <f>INDEX(Overview_scenarios[],MATCH(ScenarioParameters[[#This Row],[Parameter]]&amp;ScenarioParameters[[#This Row],[Tag scenario]],Overview_scenarios[Tag Parameter&amp;scenario],0),MATCH(R$10,Overview_scenarios[#Headers],0))</f>
        <v>9.8819999999999997</v>
      </c>
      <c r="S14" s="31">
        <f>INDEX(Overview_scenarios[],MATCH(ScenarioParameters[[#This Row],[Parameter]]&amp;ScenarioParameters[[#This Row],[Tag scenario]],Overview_scenarios[Tag Parameter&amp;scenario],0),MATCH(S$10,Overview_scenarios[#Headers],0))</f>
        <v>10.02</v>
      </c>
      <c r="T14" s="31">
        <f>INDEX(Overview_scenarios[],MATCH(ScenarioParameters[[#This Row],[Parameter]]&amp;ScenarioParameters[[#This Row],[Tag scenario]],Overview_scenarios[Tag Parameter&amp;scenario],0),MATCH(T$10,Overview_scenarios[#Headers],0))</f>
        <v>10.02</v>
      </c>
      <c r="U14" s="31">
        <f>INDEX(Overview_scenarios[],MATCH(ScenarioParameters[[#This Row],[Parameter]]&amp;ScenarioParameters[[#This Row],[Tag scenario]],Overview_scenarios[Tag Parameter&amp;scenario],0),MATCH(U$10,Overview_scenarios[#Headers],0))</f>
        <v>10.02</v>
      </c>
      <c r="V14" s="31">
        <f>INDEX(Overview_scenarios[],MATCH(ScenarioParameters[[#This Row],[Parameter]]&amp;ScenarioParameters[[#This Row],[Tag scenario]],Overview_scenarios[Tag Parameter&amp;scenario],0),MATCH(V$10,Overview_scenarios[#Headers],0))</f>
        <v>10.02</v>
      </c>
      <c r="W14" s="31">
        <f>INDEX(Overview_scenarios[],MATCH(ScenarioParameters[[#This Row],[Parameter]]&amp;ScenarioParameters[[#This Row],[Tag scenario]],Overview_scenarios[Tag Parameter&amp;scenario],0),MATCH(W$10,Overview_scenarios[#Headers],0))</f>
        <v>10.02</v>
      </c>
      <c r="X14" s="31">
        <f>INDEX(Overview_scenarios[],MATCH(ScenarioParameters[[#This Row],[Parameter]]&amp;ScenarioParameters[[#This Row],[Tag scenario]],Overview_scenarios[Tag Parameter&amp;scenario],0),MATCH(X$10,Overview_scenarios[#Headers],0))</f>
        <v>10.02</v>
      </c>
      <c r="Y14" s="14">
        <f>ScenarioParameters[[#This Row],[2035]]</f>
        <v>10.02</v>
      </c>
      <c r="Z14" s="14">
        <f>ScenarioParameters[[#This Row],[2035]]</f>
        <v>10.02</v>
      </c>
      <c r="AA14" s="14">
        <f>ScenarioParameters[[#This Row],[2035]]</f>
        <v>10.02</v>
      </c>
      <c r="AB14" s="14">
        <f>ScenarioParameters[[#This Row],[2035]]</f>
        <v>10.02</v>
      </c>
      <c r="AC14" s="14">
        <f>ScenarioParameters[[#This Row],[2035]]</f>
        <v>10.02</v>
      </c>
      <c r="AD14" s="14">
        <f>ScenarioParameters[[#This Row],[2036]]</f>
        <v>10.02</v>
      </c>
      <c r="AE14" s="14">
        <f>ScenarioParameters[[#This Row],[2037]]</f>
        <v>10.02</v>
      </c>
      <c r="AF14" s="14">
        <f>ScenarioParameters[[#This Row],[2038]]</f>
        <v>10.02</v>
      </c>
      <c r="AG14" s="14">
        <f>ScenarioParameters[[#This Row],[2039]]</f>
        <v>10.02</v>
      </c>
      <c r="AH14" s="14">
        <f>ScenarioParameters[[#This Row],[2040]]</f>
        <v>10.02</v>
      </c>
      <c r="AI14" s="14">
        <f>ScenarioParameters[[#This Row],[2041]]</f>
        <v>10.02</v>
      </c>
      <c r="AJ14" s="14">
        <f>ScenarioParameters[[#This Row],[2042]]</f>
        <v>10.02</v>
      </c>
      <c r="AK14" s="14">
        <f>ScenarioParameters[[#This Row],[2043]]</f>
        <v>10.02</v>
      </c>
      <c r="AL14" s="14">
        <f>ScenarioParameters[[#This Row],[2044]]</f>
        <v>10.02</v>
      </c>
      <c r="AM14" s="14">
        <f>ScenarioParameters[[#This Row],[2044]]</f>
        <v>10.02</v>
      </c>
      <c r="AN14" s="30">
        <f>FLOOR(Experiment!$C$8,1)</f>
        <v>1</v>
      </c>
    </row>
    <row r="15" spans="2:40" x14ac:dyDescent="0.2">
      <c r="B15" s="8" t="s">
        <v>3</v>
      </c>
      <c r="C15" s="8" t="s">
        <v>1</v>
      </c>
      <c r="D15" s="31">
        <f>INDEX(Overview_scenarios[],MATCH(ScenarioParameters[[#This Row],[Parameter]]&amp;ScenarioParameters[[#This Row],[Tag scenario]],Overview_scenarios[Tag Parameter&amp;scenario],0),MATCH(D$10,Overview_scenarios[#Headers],0))</f>
        <v>5.3</v>
      </c>
      <c r="E15" s="31">
        <f>INDEX(Overview_scenarios[],MATCH(ScenarioParameters[[#This Row],[Parameter]]&amp;ScenarioParameters[[#This Row],[Tag scenario]],Overview_scenarios[Tag Parameter&amp;scenario],0),MATCH(E$10,Overview_scenarios[#Headers],0))</f>
        <v>5.4</v>
      </c>
      <c r="F15" s="31">
        <f>INDEX(Overview_scenarios[],MATCH(ScenarioParameters[[#This Row],[Parameter]]&amp;ScenarioParameters[[#This Row],[Tag scenario]],Overview_scenarios[Tag Parameter&amp;scenario],0),MATCH(F$10,Overview_scenarios[#Headers],0))</f>
        <v>5.6</v>
      </c>
      <c r="G15" s="31">
        <f>INDEX(Overview_scenarios[],MATCH(ScenarioParameters[[#This Row],[Parameter]]&amp;ScenarioParameters[[#This Row],[Tag scenario]],Overview_scenarios[Tag Parameter&amp;scenario],0),MATCH(G$10,Overview_scenarios[#Headers],0))</f>
        <v>5.6</v>
      </c>
      <c r="H15" s="31">
        <f>INDEX(Overview_scenarios[],MATCH(ScenarioParameters[[#This Row],[Parameter]]&amp;ScenarioParameters[[#This Row],[Tag scenario]],Overview_scenarios[Tag Parameter&amp;scenario],0),MATCH(H$10,Overview_scenarios[#Headers],0))</f>
        <v>5.6</v>
      </c>
      <c r="I15" s="31">
        <f>INDEX(Overview_scenarios[],MATCH(ScenarioParameters[[#This Row],[Parameter]]&amp;ScenarioParameters[[#This Row],[Tag scenario]],Overview_scenarios[Tag Parameter&amp;scenario],0),MATCH(I$10,Overview_scenarios[#Headers],0))</f>
        <v>5.6</v>
      </c>
      <c r="J15" s="31">
        <f>INDEX(Overview_scenarios[],MATCH(ScenarioParameters[[#This Row],[Parameter]]&amp;ScenarioParameters[[#This Row],[Tag scenario]],Overview_scenarios[Tag Parameter&amp;scenario],0),MATCH(J$10,Overview_scenarios[#Headers],0))</f>
        <v>5.6</v>
      </c>
      <c r="K15" s="31">
        <f>INDEX(Overview_scenarios[],MATCH(ScenarioParameters[[#This Row],[Parameter]]&amp;ScenarioParameters[[#This Row],[Tag scenario]],Overview_scenarios[Tag Parameter&amp;scenario],0),MATCH(K$10,Overview_scenarios[#Headers],0))</f>
        <v>5.6</v>
      </c>
      <c r="L15" s="31">
        <f>INDEX(Overview_scenarios[],MATCH(ScenarioParameters[[#This Row],[Parameter]]&amp;ScenarioParameters[[#This Row],[Tag scenario]],Overview_scenarios[Tag Parameter&amp;scenario],0),MATCH(L$10,Overview_scenarios[#Headers],0))</f>
        <v>5.6</v>
      </c>
      <c r="M15" s="31">
        <f>INDEX(Overview_scenarios[],MATCH(ScenarioParameters[[#This Row],[Parameter]]&amp;ScenarioParameters[[#This Row],[Tag scenario]],Overview_scenarios[Tag Parameter&amp;scenario],0),MATCH(M$10,Overview_scenarios[#Headers],0))</f>
        <v>5.6</v>
      </c>
      <c r="N15" s="31">
        <f>INDEX(Overview_scenarios[],MATCH(ScenarioParameters[[#This Row],[Parameter]]&amp;ScenarioParameters[[#This Row],[Tag scenario]],Overview_scenarios[Tag Parameter&amp;scenario],0),MATCH(N$10,Overview_scenarios[#Headers],0))</f>
        <v>5.6</v>
      </c>
      <c r="O15" s="31">
        <f>INDEX(Overview_scenarios[],MATCH(ScenarioParameters[[#This Row],[Parameter]]&amp;ScenarioParameters[[#This Row],[Tag scenario]],Overview_scenarios[Tag Parameter&amp;scenario],0),MATCH(O$10,Overview_scenarios[#Headers],0))</f>
        <v>5.6</v>
      </c>
      <c r="P15" s="31">
        <f>INDEX(Overview_scenarios[],MATCH(ScenarioParameters[[#This Row],[Parameter]]&amp;ScenarioParameters[[#This Row],[Tag scenario]],Overview_scenarios[Tag Parameter&amp;scenario],0),MATCH(P$10,Overview_scenarios[#Headers],0))</f>
        <v>5.6</v>
      </c>
      <c r="Q15" s="31">
        <f>INDEX(Overview_scenarios[],MATCH(ScenarioParameters[[#This Row],[Parameter]]&amp;ScenarioParameters[[#This Row],[Tag scenario]],Overview_scenarios[Tag Parameter&amp;scenario],0),MATCH(Q$10,Overview_scenarios[#Headers],0))</f>
        <v>5.6</v>
      </c>
      <c r="R15" s="31">
        <f>INDEX(Overview_scenarios[],MATCH(ScenarioParameters[[#This Row],[Parameter]]&amp;ScenarioParameters[[#This Row],[Tag scenario]],Overview_scenarios[Tag Parameter&amp;scenario],0),MATCH(R$10,Overview_scenarios[#Headers],0))</f>
        <v>5.6</v>
      </c>
      <c r="S15" s="31">
        <f>INDEX(Overview_scenarios[],MATCH(ScenarioParameters[[#This Row],[Parameter]]&amp;ScenarioParameters[[#This Row],[Tag scenario]],Overview_scenarios[Tag Parameter&amp;scenario],0),MATCH(S$10,Overview_scenarios[#Headers],0))</f>
        <v>5.6</v>
      </c>
      <c r="T15" s="31">
        <f>INDEX(Overview_scenarios[],MATCH(ScenarioParameters[[#This Row],[Parameter]]&amp;ScenarioParameters[[#This Row],[Tag scenario]],Overview_scenarios[Tag Parameter&amp;scenario],0),MATCH(T$10,Overview_scenarios[#Headers],0))</f>
        <v>5.6</v>
      </c>
      <c r="U15" s="31">
        <f>INDEX(Overview_scenarios[],MATCH(ScenarioParameters[[#This Row],[Parameter]]&amp;ScenarioParameters[[#This Row],[Tag scenario]],Overview_scenarios[Tag Parameter&amp;scenario],0),MATCH(U$10,Overview_scenarios[#Headers],0))</f>
        <v>5.6</v>
      </c>
      <c r="V15" s="31">
        <f>INDEX(Overview_scenarios[],MATCH(ScenarioParameters[[#This Row],[Parameter]]&amp;ScenarioParameters[[#This Row],[Tag scenario]],Overview_scenarios[Tag Parameter&amp;scenario],0),MATCH(V$10,Overview_scenarios[#Headers],0))</f>
        <v>5.6</v>
      </c>
      <c r="W15" s="31">
        <f>INDEX(Overview_scenarios[],MATCH(ScenarioParameters[[#This Row],[Parameter]]&amp;ScenarioParameters[[#This Row],[Tag scenario]],Overview_scenarios[Tag Parameter&amp;scenario],0),MATCH(W$10,Overview_scenarios[#Headers],0))</f>
        <v>5.6</v>
      </c>
      <c r="X15" s="31">
        <f>INDEX(Overview_scenarios[],MATCH(ScenarioParameters[[#This Row],[Parameter]]&amp;ScenarioParameters[[#This Row],[Tag scenario]],Overview_scenarios[Tag Parameter&amp;scenario],0),MATCH(X$10,Overview_scenarios[#Headers],0))</f>
        <v>5.6</v>
      </c>
      <c r="Y15" s="14">
        <f>ScenarioParameters[[#This Row],[2035]]</f>
        <v>5.6</v>
      </c>
      <c r="Z15" s="14">
        <f>ScenarioParameters[[#This Row],[2035]]</f>
        <v>5.6</v>
      </c>
      <c r="AA15" s="14">
        <f>ScenarioParameters[[#This Row],[2035]]</f>
        <v>5.6</v>
      </c>
      <c r="AB15" s="14">
        <f>ScenarioParameters[[#This Row],[2035]]</f>
        <v>5.6</v>
      </c>
      <c r="AC15" s="14">
        <f>ScenarioParameters[[#This Row],[2035]]</f>
        <v>5.6</v>
      </c>
      <c r="AD15" s="14">
        <f>ScenarioParameters[[#This Row],[2036]]</f>
        <v>5.6</v>
      </c>
      <c r="AE15" s="14">
        <f>ScenarioParameters[[#This Row],[2037]]</f>
        <v>5.6</v>
      </c>
      <c r="AF15" s="14">
        <f>ScenarioParameters[[#This Row],[2038]]</f>
        <v>5.6</v>
      </c>
      <c r="AG15" s="14">
        <f>ScenarioParameters[[#This Row],[2039]]</f>
        <v>5.6</v>
      </c>
      <c r="AH15" s="14">
        <f>ScenarioParameters[[#This Row],[2040]]</f>
        <v>5.6</v>
      </c>
      <c r="AI15" s="14">
        <f>ScenarioParameters[[#This Row],[2041]]</f>
        <v>5.6</v>
      </c>
      <c r="AJ15" s="14">
        <f>ScenarioParameters[[#This Row],[2042]]</f>
        <v>5.6</v>
      </c>
      <c r="AK15" s="14">
        <f>ScenarioParameters[[#This Row],[2043]]</f>
        <v>5.6</v>
      </c>
      <c r="AL15" s="14">
        <f>ScenarioParameters[[#This Row],[2044]]</f>
        <v>5.6</v>
      </c>
      <c r="AM15" s="14">
        <f>ScenarioParameters[[#This Row],[2044]]</f>
        <v>5.6</v>
      </c>
      <c r="AN15" s="30">
        <f>FLOOR(Experiment!$C$8,1)</f>
        <v>1</v>
      </c>
    </row>
    <row r="16" spans="2:40" x14ac:dyDescent="0.2">
      <c r="B16" s="8" t="s">
        <v>39</v>
      </c>
      <c r="C16" s="8" t="s">
        <v>1</v>
      </c>
      <c r="D16" s="31">
        <f>INDEX(Overview_scenarios[],MATCH(ScenarioParameters[[#This Row],[Parameter]]&amp;ScenarioParameters[[#This Row],[Tag scenario]],Overview_scenarios[Tag Parameter&amp;scenario],0),MATCH(D$10,Overview_scenarios[#Headers],0))</f>
        <v>2.2000000000000002</v>
      </c>
      <c r="E16" s="31">
        <f>INDEX(Overview_scenarios[],MATCH(ScenarioParameters[[#This Row],[Parameter]]&amp;ScenarioParameters[[#This Row],[Tag scenario]],Overview_scenarios[Tag Parameter&amp;scenario],0),MATCH(E$10,Overview_scenarios[#Headers],0))</f>
        <v>2.2000000000000002</v>
      </c>
      <c r="F16" s="31">
        <f>INDEX(Overview_scenarios[],MATCH(ScenarioParameters[[#This Row],[Parameter]]&amp;ScenarioParameters[[#This Row],[Tag scenario]],Overview_scenarios[Tag Parameter&amp;scenario],0),MATCH(F$10,Overview_scenarios[#Headers],0))</f>
        <v>1.9</v>
      </c>
      <c r="G16" s="31">
        <f>INDEX(Overview_scenarios[],MATCH(ScenarioParameters[[#This Row],[Parameter]]&amp;ScenarioParameters[[#This Row],[Tag scenario]],Overview_scenarios[Tag Parameter&amp;scenario],0),MATCH(G$10,Overview_scenarios[#Headers],0))</f>
        <v>0</v>
      </c>
      <c r="H16" s="31">
        <f>INDEX(Overview_scenarios[],MATCH(ScenarioParameters[[#This Row],[Parameter]]&amp;ScenarioParameters[[#This Row],[Tag scenario]],Overview_scenarios[Tag Parameter&amp;scenario],0),MATCH(H$10,Overview_scenarios[#Headers],0))</f>
        <v>0.17500000000000002</v>
      </c>
      <c r="I16" s="31">
        <f>INDEX(Overview_scenarios[],MATCH(ScenarioParameters[[#This Row],[Parameter]]&amp;ScenarioParameters[[#This Row],[Tag scenario]],Overview_scenarios[Tag Parameter&amp;scenario],0),MATCH(I$10,Overview_scenarios[#Headers],0))</f>
        <v>0.35000000000000003</v>
      </c>
      <c r="J16" s="31">
        <f>INDEX(Overview_scenarios[],MATCH(ScenarioParameters[[#This Row],[Parameter]]&amp;ScenarioParameters[[#This Row],[Tag scenario]],Overview_scenarios[Tag Parameter&amp;scenario],0),MATCH(J$10,Overview_scenarios[#Headers],0))</f>
        <v>0.52500000000000002</v>
      </c>
      <c r="K16" s="31">
        <f>INDEX(Overview_scenarios[],MATCH(ScenarioParameters[[#This Row],[Parameter]]&amp;ScenarioParameters[[#This Row],[Tag scenario]],Overview_scenarios[Tag Parameter&amp;scenario],0),MATCH(K$10,Overview_scenarios[#Headers],0))</f>
        <v>0.70000000000000007</v>
      </c>
      <c r="L16" s="31">
        <f>INDEX(Overview_scenarios[],MATCH(ScenarioParameters[[#This Row],[Parameter]]&amp;ScenarioParameters[[#This Row],[Tag scenario]],Overview_scenarios[Tag Parameter&amp;scenario],0),MATCH(L$10,Overview_scenarios[#Headers],0))</f>
        <v>0.87500000000000011</v>
      </c>
      <c r="M16" s="31">
        <f>INDEX(Overview_scenarios[],MATCH(ScenarioParameters[[#This Row],[Parameter]]&amp;ScenarioParameters[[#This Row],[Tag scenario]],Overview_scenarios[Tag Parameter&amp;scenario],0),MATCH(M$10,Overview_scenarios[#Headers],0))</f>
        <v>1.05</v>
      </c>
      <c r="N16" s="31">
        <f>INDEX(Overview_scenarios[],MATCH(ScenarioParameters[[#This Row],[Parameter]]&amp;ScenarioParameters[[#This Row],[Tag scenario]],Overview_scenarios[Tag Parameter&amp;scenario],0),MATCH(N$10,Overview_scenarios[#Headers],0))</f>
        <v>1.2250000000000001</v>
      </c>
      <c r="O16" s="31">
        <f>INDEX(Overview_scenarios[],MATCH(ScenarioParameters[[#This Row],[Parameter]]&amp;ScenarioParameters[[#This Row],[Tag scenario]],Overview_scenarios[Tag Parameter&amp;scenario],0),MATCH(O$10,Overview_scenarios[#Headers],0))</f>
        <v>1.4000000000000001</v>
      </c>
      <c r="P16" s="31">
        <f>INDEX(Overview_scenarios[],MATCH(ScenarioParameters[[#This Row],[Parameter]]&amp;ScenarioParameters[[#This Row],[Tag scenario]],Overview_scenarios[Tag Parameter&amp;scenario],0),MATCH(P$10,Overview_scenarios[#Headers],0))</f>
        <v>1.5750000000000002</v>
      </c>
      <c r="Q16" s="31">
        <f>INDEX(Overview_scenarios[],MATCH(ScenarioParameters[[#This Row],[Parameter]]&amp;ScenarioParameters[[#This Row],[Tag scenario]],Overview_scenarios[Tag Parameter&amp;scenario],0),MATCH(Q$10,Overview_scenarios[#Headers],0))</f>
        <v>1.7500000000000002</v>
      </c>
      <c r="R16" s="31">
        <f>INDEX(Overview_scenarios[],MATCH(ScenarioParameters[[#This Row],[Parameter]]&amp;ScenarioParameters[[#This Row],[Tag scenario]],Overview_scenarios[Tag Parameter&amp;scenario],0),MATCH(R$10,Overview_scenarios[#Headers],0))</f>
        <v>1.9250000000000003</v>
      </c>
      <c r="S16" s="31">
        <f>INDEX(Overview_scenarios[],MATCH(ScenarioParameters[[#This Row],[Parameter]]&amp;ScenarioParameters[[#This Row],[Tag scenario]],Overview_scenarios[Tag Parameter&amp;scenario],0),MATCH(S$10,Overview_scenarios[#Headers],0))</f>
        <v>2.1</v>
      </c>
      <c r="T16" s="31">
        <f>INDEX(Overview_scenarios[],MATCH(ScenarioParameters[[#This Row],[Parameter]]&amp;ScenarioParameters[[#This Row],[Tag scenario]],Overview_scenarios[Tag Parameter&amp;scenario],0),MATCH(T$10,Overview_scenarios[#Headers],0))</f>
        <v>2.1</v>
      </c>
      <c r="U16" s="31">
        <f>INDEX(Overview_scenarios[],MATCH(ScenarioParameters[[#This Row],[Parameter]]&amp;ScenarioParameters[[#This Row],[Tag scenario]],Overview_scenarios[Tag Parameter&amp;scenario],0),MATCH(U$10,Overview_scenarios[#Headers],0))</f>
        <v>2.1</v>
      </c>
      <c r="V16" s="31">
        <f>INDEX(Overview_scenarios[],MATCH(ScenarioParameters[[#This Row],[Parameter]]&amp;ScenarioParameters[[#This Row],[Tag scenario]],Overview_scenarios[Tag Parameter&amp;scenario],0),MATCH(V$10,Overview_scenarios[#Headers],0))</f>
        <v>2.1</v>
      </c>
      <c r="W16" s="31">
        <f>INDEX(Overview_scenarios[],MATCH(ScenarioParameters[[#This Row],[Parameter]]&amp;ScenarioParameters[[#This Row],[Tag scenario]],Overview_scenarios[Tag Parameter&amp;scenario],0),MATCH(W$10,Overview_scenarios[#Headers],0))</f>
        <v>2.1</v>
      </c>
      <c r="X16" s="31">
        <f>INDEX(Overview_scenarios[],MATCH(ScenarioParameters[[#This Row],[Parameter]]&amp;ScenarioParameters[[#This Row],[Tag scenario]],Overview_scenarios[Tag Parameter&amp;scenario],0),MATCH(X$10,Overview_scenarios[#Headers],0))</f>
        <v>2.1</v>
      </c>
      <c r="Y16" s="14">
        <f>ScenarioParameters[[#This Row],[2035]]</f>
        <v>2.1</v>
      </c>
      <c r="Z16" s="14">
        <f>ScenarioParameters[[#This Row],[2035]]</f>
        <v>2.1</v>
      </c>
      <c r="AA16" s="14">
        <f>ScenarioParameters[[#This Row],[2035]]</f>
        <v>2.1</v>
      </c>
      <c r="AB16" s="14">
        <f>ScenarioParameters[[#This Row],[2035]]</f>
        <v>2.1</v>
      </c>
      <c r="AC16" s="14">
        <f>ScenarioParameters[[#This Row],[2035]]</f>
        <v>2.1</v>
      </c>
      <c r="AD16" s="14">
        <f>ScenarioParameters[[#This Row],[2036]]</f>
        <v>2.1</v>
      </c>
      <c r="AE16" s="14">
        <f>ScenarioParameters[[#This Row],[2037]]</f>
        <v>2.1</v>
      </c>
      <c r="AF16" s="14">
        <f>ScenarioParameters[[#This Row],[2038]]</f>
        <v>2.1</v>
      </c>
      <c r="AG16" s="14">
        <f>ScenarioParameters[[#This Row],[2039]]</f>
        <v>2.1</v>
      </c>
      <c r="AH16" s="14">
        <f>ScenarioParameters[[#This Row],[2040]]</f>
        <v>2.1</v>
      </c>
      <c r="AI16" s="14">
        <f>ScenarioParameters[[#This Row],[2041]]</f>
        <v>2.1</v>
      </c>
      <c r="AJ16" s="14">
        <f>ScenarioParameters[[#This Row],[2042]]</f>
        <v>2.1</v>
      </c>
      <c r="AK16" s="14">
        <f>ScenarioParameters[[#This Row],[2043]]</f>
        <v>2.1</v>
      </c>
      <c r="AL16" s="14">
        <f>ScenarioParameters[[#This Row],[2044]]</f>
        <v>2.1</v>
      </c>
      <c r="AM16" s="14">
        <f>ScenarioParameters[[#This Row],[2044]]</f>
        <v>2.1</v>
      </c>
      <c r="AN16" s="30">
        <f>FLOOR(Experiment!$C$8,1)</f>
        <v>1</v>
      </c>
    </row>
    <row r="17" spans="2:40" x14ac:dyDescent="0.2">
      <c r="B17" s="8" t="s">
        <v>41</v>
      </c>
      <c r="C17" s="8" t="s">
        <v>1</v>
      </c>
      <c r="D17" s="31">
        <f>INDEX(Overview_scenarios[],MATCH(ScenarioParameters[[#This Row],[Parameter]]&amp;ScenarioParameters[[#This Row],[Tag scenario]],Overview_scenarios[Tag Parameter&amp;scenario],0),MATCH(D$10,Overview_scenarios[#Headers],0))</f>
        <v>7.4627883331485663</v>
      </c>
      <c r="E17" s="31">
        <f>INDEX(Overview_scenarios[],MATCH(ScenarioParameters[[#This Row],[Parameter]]&amp;ScenarioParameters[[#This Row],[Tag scenario]],Overview_scenarios[Tag Parameter&amp;scenario],0),MATCH(E$10,Overview_scenarios[#Headers],0))</f>
        <v>6.9987270424817334</v>
      </c>
      <c r="F17" s="31">
        <f>INDEX(Overview_scenarios[],MATCH(ScenarioParameters[[#This Row],[Parameter]]&amp;ScenarioParameters[[#This Row],[Tag scenario]],Overview_scenarios[Tag Parameter&amp;scenario],0),MATCH(F$10,Overview_scenarios[#Headers],0))</f>
        <v>6.5346657518149005</v>
      </c>
      <c r="G17" s="31">
        <f>INDEX(Overview_scenarios[],MATCH(ScenarioParameters[[#This Row],[Parameter]]&amp;ScenarioParameters[[#This Row],[Tag scenario]],Overview_scenarios[Tag Parameter&amp;scenario],0),MATCH(G$10,Overview_scenarios[#Headers],0))</f>
        <v>6.0706044611480685</v>
      </c>
      <c r="H17" s="31">
        <f>INDEX(Overview_scenarios[],MATCH(ScenarioParameters[[#This Row],[Parameter]]&amp;ScenarioParameters[[#This Row],[Tag scenario]],Overview_scenarios[Tag Parameter&amp;scenario],0),MATCH(H$10,Overview_scenarios[#Headers],0))</f>
        <v>5.6065431704812356</v>
      </c>
      <c r="I17" s="31">
        <f>INDEX(Overview_scenarios[],MATCH(ScenarioParameters[[#This Row],[Parameter]]&amp;ScenarioParameters[[#This Row],[Tag scenario]],Overview_scenarios[Tag Parameter&amp;scenario],0),MATCH(I$10,Overview_scenarios[#Headers],0))</f>
        <v>5.1424818798144027</v>
      </c>
      <c r="J17" s="31">
        <f>INDEX(Overview_scenarios[],MATCH(ScenarioParameters[[#This Row],[Parameter]]&amp;ScenarioParameters[[#This Row],[Tag scenario]],Overview_scenarios[Tag Parameter&amp;scenario],0),MATCH(J$10,Overview_scenarios[#Headers],0))</f>
        <v>5.0864546149725447</v>
      </c>
      <c r="K17" s="31">
        <f>INDEX(Overview_scenarios[],MATCH(ScenarioParameters[[#This Row],[Parameter]]&amp;ScenarioParameters[[#This Row],[Tag scenario]],Overview_scenarios[Tag Parameter&amp;scenario],0),MATCH(K$10,Overview_scenarios[#Headers],0))</f>
        <v>5.0304273501306866</v>
      </c>
      <c r="L17" s="31">
        <f>INDEX(Overview_scenarios[],MATCH(ScenarioParameters[[#This Row],[Parameter]]&amp;ScenarioParameters[[#This Row],[Tag scenario]],Overview_scenarios[Tag Parameter&amp;scenario],0),MATCH(L$10,Overview_scenarios[#Headers],0))</f>
        <v>4.9744000852888277</v>
      </c>
      <c r="M17" s="31">
        <f>INDEX(Overview_scenarios[],MATCH(ScenarioParameters[[#This Row],[Parameter]]&amp;ScenarioParameters[[#This Row],[Tag scenario]],Overview_scenarios[Tag Parameter&amp;scenario],0),MATCH(M$10,Overview_scenarios[#Headers],0))</f>
        <v>4.9183728204469697</v>
      </c>
      <c r="N17" s="31">
        <f>INDEX(Overview_scenarios[],MATCH(ScenarioParameters[[#This Row],[Parameter]]&amp;ScenarioParameters[[#This Row],[Tag scenario]],Overview_scenarios[Tag Parameter&amp;scenario],0),MATCH(N$10,Overview_scenarios[#Headers],0))</f>
        <v>4.8623455556051116</v>
      </c>
      <c r="O17" s="31">
        <f>INDEX(Overview_scenarios[],MATCH(ScenarioParameters[[#This Row],[Parameter]]&amp;ScenarioParameters[[#This Row],[Tag scenario]],Overview_scenarios[Tag Parameter&amp;scenario],0),MATCH(O$10,Overview_scenarios[#Headers],0))</f>
        <v>4.8063182907632536</v>
      </c>
      <c r="P17" s="31">
        <f>INDEX(Overview_scenarios[],MATCH(ScenarioParameters[[#This Row],[Parameter]]&amp;ScenarioParameters[[#This Row],[Tag scenario]],Overview_scenarios[Tag Parameter&amp;scenario],0),MATCH(P$10,Overview_scenarios[#Headers],0))</f>
        <v>4.7502910259213955</v>
      </c>
      <c r="Q17" s="31">
        <f>INDEX(Overview_scenarios[],MATCH(ScenarioParameters[[#This Row],[Parameter]]&amp;ScenarioParameters[[#This Row],[Tag scenario]],Overview_scenarios[Tag Parameter&amp;scenario],0),MATCH(Q$10,Overview_scenarios[#Headers],0))</f>
        <v>4.6942637610795366</v>
      </c>
      <c r="R17" s="31">
        <f>INDEX(Overview_scenarios[],MATCH(ScenarioParameters[[#This Row],[Parameter]]&amp;ScenarioParameters[[#This Row],[Tag scenario]],Overview_scenarios[Tag Parameter&amp;scenario],0),MATCH(R$10,Overview_scenarios[#Headers],0))</f>
        <v>4.6382364962376785</v>
      </c>
      <c r="S17" s="31">
        <f>INDEX(Overview_scenarios[],MATCH(ScenarioParameters[[#This Row],[Parameter]]&amp;ScenarioParameters[[#This Row],[Tag scenario]],Overview_scenarios[Tag Parameter&amp;scenario],0),MATCH(S$10,Overview_scenarios[#Headers],0))</f>
        <v>4.5822092313958205</v>
      </c>
      <c r="T17" s="31">
        <f>INDEX(Overview_scenarios[],MATCH(ScenarioParameters[[#This Row],[Parameter]]&amp;ScenarioParameters[[#This Row],[Tag scenario]],Overview_scenarios[Tag Parameter&amp;scenario],0),MATCH(T$10,Overview_scenarios[#Headers],0))</f>
        <v>4.5822092313958205</v>
      </c>
      <c r="U17" s="31">
        <f>INDEX(Overview_scenarios[],MATCH(ScenarioParameters[[#This Row],[Parameter]]&amp;ScenarioParameters[[#This Row],[Tag scenario]],Overview_scenarios[Tag Parameter&amp;scenario],0),MATCH(U$10,Overview_scenarios[#Headers],0))</f>
        <v>4.5822092313958205</v>
      </c>
      <c r="V17" s="31">
        <f>INDEX(Overview_scenarios[],MATCH(ScenarioParameters[[#This Row],[Parameter]]&amp;ScenarioParameters[[#This Row],[Tag scenario]],Overview_scenarios[Tag Parameter&amp;scenario],0),MATCH(V$10,Overview_scenarios[#Headers],0))</f>
        <v>4.5822092313958205</v>
      </c>
      <c r="W17" s="31">
        <f>INDEX(Overview_scenarios[],MATCH(ScenarioParameters[[#This Row],[Parameter]]&amp;ScenarioParameters[[#This Row],[Tag scenario]],Overview_scenarios[Tag Parameter&amp;scenario],0),MATCH(W$10,Overview_scenarios[#Headers],0))</f>
        <v>4.5822092313958205</v>
      </c>
      <c r="X17" s="31">
        <f>INDEX(Overview_scenarios[],MATCH(ScenarioParameters[[#This Row],[Parameter]]&amp;ScenarioParameters[[#This Row],[Tag scenario]],Overview_scenarios[Tag Parameter&amp;scenario],0),MATCH(X$10,Overview_scenarios[#Headers],0))</f>
        <v>4.5822092313958205</v>
      </c>
      <c r="Y17" s="14">
        <f>ScenarioParameters[[#This Row],[2035]]</f>
        <v>4.5822092313958205</v>
      </c>
      <c r="Z17" s="14">
        <f>ScenarioParameters[[#This Row],[2035]]</f>
        <v>4.5822092313958205</v>
      </c>
      <c r="AA17" s="14">
        <f>ScenarioParameters[[#This Row],[2035]]</f>
        <v>4.5822092313958205</v>
      </c>
      <c r="AB17" s="14">
        <f>ScenarioParameters[[#This Row],[2035]]</f>
        <v>4.5822092313958205</v>
      </c>
      <c r="AC17" s="14">
        <f>ScenarioParameters[[#This Row],[2035]]</f>
        <v>4.5822092313958205</v>
      </c>
      <c r="AD17" s="14">
        <f>ScenarioParameters[[#This Row],[2036]]</f>
        <v>4.5822092313958205</v>
      </c>
      <c r="AE17" s="14">
        <f>ScenarioParameters[[#This Row],[2037]]</f>
        <v>4.5822092313958205</v>
      </c>
      <c r="AF17" s="14">
        <f>ScenarioParameters[[#This Row],[2038]]</f>
        <v>4.5822092313958205</v>
      </c>
      <c r="AG17" s="14">
        <f>ScenarioParameters[[#This Row],[2039]]</f>
        <v>4.5822092313958205</v>
      </c>
      <c r="AH17" s="14">
        <f>ScenarioParameters[[#This Row],[2040]]</f>
        <v>4.5822092313958205</v>
      </c>
      <c r="AI17" s="14">
        <f>ScenarioParameters[[#This Row],[2041]]</f>
        <v>4.5822092313958205</v>
      </c>
      <c r="AJ17" s="14">
        <f>ScenarioParameters[[#This Row],[2042]]</f>
        <v>4.5822092313958205</v>
      </c>
      <c r="AK17" s="14">
        <f>ScenarioParameters[[#This Row],[2043]]</f>
        <v>4.5822092313958205</v>
      </c>
      <c r="AL17" s="14">
        <f>ScenarioParameters[[#This Row],[2044]]</f>
        <v>4.5822092313958205</v>
      </c>
      <c r="AM17" s="14">
        <f>ScenarioParameters[[#This Row],[2044]]</f>
        <v>4.5822092313958205</v>
      </c>
      <c r="AN17" s="30">
        <f>FLOOR(Experiment!$C$8,1)</f>
        <v>1</v>
      </c>
    </row>
    <row r="18" spans="2:40" x14ac:dyDescent="0.2">
      <c r="B18" s="8" t="s">
        <v>42</v>
      </c>
      <c r="C18" s="8" t="s">
        <v>107</v>
      </c>
      <c r="D18" s="31">
        <f>INDEX(Overview_scenarios[],MATCH(ScenarioParameters[[#This Row],[Parameter]]&amp;ScenarioParameters[[#This Row],[Tag scenario]],Overview_scenarios[Tag Parameter&amp;scenario],0),MATCH(D$10,Overview_scenarios[#Headers],0))</f>
        <v>0.18823880999999998</v>
      </c>
      <c r="E18" s="31">
        <f>INDEX(Overview_scenarios[],MATCH(ScenarioParameters[[#This Row],[Parameter]]&amp;ScenarioParameters[[#This Row],[Tag scenario]],Overview_scenarios[Tag Parameter&amp;scenario],0),MATCH(E$10,Overview_scenarios[#Headers],0))</f>
        <v>0.18823880999999998</v>
      </c>
      <c r="F18" s="31">
        <f>INDEX(Overview_scenarios[],MATCH(ScenarioParameters[[#This Row],[Parameter]]&amp;ScenarioParameters[[#This Row],[Tag scenario]],Overview_scenarios[Tag Parameter&amp;scenario],0),MATCH(F$10,Overview_scenarios[#Headers],0))</f>
        <v>0.1893487073508387</v>
      </c>
      <c r="G18" s="31">
        <f>INDEX(Overview_scenarios[],MATCH(ScenarioParameters[[#This Row],[Parameter]]&amp;ScenarioParameters[[#This Row],[Tag scenario]],Overview_scenarios[Tag Parameter&amp;scenario],0),MATCH(G$10,Overview_scenarios[#Headers],0))</f>
        <v>0.18487948395479167</v>
      </c>
      <c r="H18" s="31">
        <f>INDEX(Overview_scenarios[],MATCH(ScenarioParameters[[#This Row],[Parameter]]&amp;ScenarioParameters[[#This Row],[Tag scenario]],Overview_scenarios[Tag Parameter&amp;scenario],0),MATCH(H$10,Overview_scenarios[#Headers],0))</f>
        <v>0.18605348585868617</v>
      </c>
      <c r="I18" s="31">
        <f>INDEX(Overview_scenarios[],MATCH(ScenarioParameters[[#This Row],[Parameter]]&amp;ScenarioParameters[[#This Row],[Tag scenario]],Overview_scenarios[Tag Parameter&amp;scenario],0),MATCH(I$10,Overview_scenarios[#Headers],0))</f>
        <v>0.1874511076762419</v>
      </c>
      <c r="J18" s="31">
        <f>INDEX(Overview_scenarios[],MATCH(ScenarioParameters[[#This Row],[Parameter]]&amp;ScenarioParameters[[#This Row],[Tag scenario]],Overview_scenarios[Tag Parameter&amp;scenario],0),MATCH(J$10,Overview_scenarios[#Headers],0))</f>
        <v>0.1874511076762419</v>
      </c>
      <c r="K18" s="31">
        <f>INDEX(Overview_scenarios[],MATCH(ScenarioParameters[[#This Row],[Parameter]]&amp;ScenarioParameters[[#This Row],[Tag scenario]],Overview_scenarios[Tag Parameter&amp;scenario],0),MATCH(K$10,Overview_scenarios[#Headers],0))</f>
        <v>0.1874511076762419</v>
      </c>
      <c r="L18" s="31">
        <f>INDEX(Overview_scenarios[],MATCH(ScenarioParameters[[#This Row],[Parameter]]&amp;ScenarioParameters[[#This Row],[Tag scenario]],Overview_scenarios[Tag Parameter&amp;scenario],0),MATCH(L$10,Overview_scenarios[#Headers],0))</f>
        <v>0.18592498731734458</v>
      </c>
      <c r="M18" s="31">
        <f>INDEX(Overview_scenarios[],MATCH(ScenarioParameters[[#This Row],[Parameter]]&amp;ScenarioParameters[[#This Row],[Tag scenario]],Overview_scenarios[Tag Parameter&amp;scenario],0),MATCH(M$10,Overview_scenarios[#Headers],0))</f>
        <v>0.18592498731734458</v>
      </c>
      <c r="N18" s="31">
        <f>INDEX(Overview_scenarios[],MATCH(ScenarioParameters[[#This Row],[Parameter]]&amp;ScenarioParameters[[#This Row],[Tag scenario]],Overview_scenarios[Tag Parameter&amp;scenario],0),MATCH(N$10,Overview_scenarios[#Headers],0))</f>
        <v>0.18528094235275058</v>
      </c>
      <c r="O18" s="31">
        <f>INDEX(Overview_scenarios[],MATCH(ScenarioParameters[[#This Row],[Parameter]]&amp;ScenarioParameters[[#This Row],[Tag scenario]],Overview_scenarios[Tag Parameter&amp;scenario],0),MATCH(O$10,Overview_scenarios[#Headers],0))</f>
        <v>0.18528094235275058</v>
      </c>
      <c r="P18" s="31">
        <f>INDEX(Overview_scenarios[],MATCH(ScenarioParameters[[#This Row],[Parameter]]&amp;ScenarioParameters[[#This Row],[Tag scenario]],Overview_scenarios[Tag Parameter&amp;scenario],0),MATCH(P$10,Overview_scenarios[#Headers],0))</f>
        <v>0.18528094235275058</v>
      </c>
      <c r="Q18" s="31">
        <f>INDEX(Overview_scenarios[],MATCH(ScenarioParameters[[#This Row],[Parameter]]&amp;ScenarioParameters[[#This Row],[Tag scenario]],Overview_scenarios[Tag Parameter&amp;scenario],0),MATCH(Q$10,Overview_scenarios[#Headers],0))</f>
        <v>0.18528094235275058</v>
      </c>
      <c r="R18" s="31">
        <f>INDEX(Overview_scenarios[],MATCH(ScenarioParameters[[#This Row],[Parameter]]&amp;ScenarioParameters[[#This Row],[Tag scenario]],Overview_scenarios[Tag Parameter&amp;scenario],0),MATCH(R$10,Overview_scenarios[#Headers],0))</f>
        <v>0.18528094235275058</v>
      </c>
      <c r="S18" s="31">
        <f>INDEX(Overview_scenarios[],MATCH(ScenarioParameters[[#This Row],[Parameter]]&amp;ScenarioParameters[[#This Row],[Tag scenario]],Overview_scenarios[Tag Parameter&amp;scenario],0),MATCH(S$10,Overview_scenarios[#Headers],0))</f>
        <v>0.18689769182297636</v>
      </c>
      <c r="T18" s="31">
        <f>INDEX(Overview_scenarios[],MATCH(ScenarioParameters[[#This Row],[Parameter]]&amp;ScenarioParameters[[#This Row],[Tag scenario]],Overview_scenarios[Tag Parameter&amp;scenario],0),MATCH(T$10,Overview_scenarios[#Headers],0))</f>
        <v>0.19339295361193606</v>
      </c>
      <c r="U18" s="31">
        <f>INDEX(Overview_scenarios[],MATCH(ScenarioParameters[[#This Row],[Parameter]]&amp;ScenarioParameters[[#This Row],[Tag scenario]],Overview_scenarios[Tag Parameter&amp;scenario],0),MATCH(U$10,Overview_scenarios[#Headers],0))</f>
        <v>0.1998882154008958</v>
      </c>
      <c r="V18" s="31">
        <f>INDEX(Overview_scenarios[],MATCH(ScenarioParameters[[#This Row],[Parameter]]&amp;ScenarioParameters[[#This Row],[Tag scenario]],Overview_scenarios[Tag Parameter&amp;scenario],0),MATCH(V$10,Overview_scenarios[#Headers],0))</f>
        <v>0.2063834771898555</v>
      </c>
      <c r="W18" s="31">
        <f>INDEX(Overview_scenarios[],MATCH(ScenarioParameters[[#This Row],[Parameter]]&amp;ScenarioParameters[[#This Row],[Tag scenario]],Overview_scenarios[Tag Parameter&amp;scenario],0),MATCH(W$10,Overview_scenarios[#Headers],0))</f>
        <v>0.21287873897881526</v>
      </c>
      <c r="X18" s="31">
        <f>INDEX(Overview_scenarios[],MATCH(ScenarioParameters[[#This Row],[Parameter]]&amp;ScenarioParameters[[#This Row],[Tag scenario]],Overview_scenarios[Tag Parameter&amp;scenario],0),MATCH(X$10,Overview_scenarios[#Headers],0))</f>
        <v>0.21937400076777497</v>
      </c>
      <c r="Y18" s="16">
        <f>ScenarioParameters[[#This Row],[2035]]</f>
        <v>0.21937400076777497</v>
      </c>
      <c r="Z18" s="16">
        <f>ScenarioParameters[[#This Row],[2035]]</f>
        <v>0.21937400076777497</v>
      </c>
      <c r="AA18" s="16">
        <f>ScenarioParameters[[#This Row],[2035]]</f>
        <v>0.21937400076777497</v>
      </c>
      <c r="AB18" s="16">
        <f>ScenarioParameters[[#This Row],[2035]]</f>
        <v>0.21937400076777497</v>
      </c>
      <c r="AC18" s="16">
        <f>ScenarioParameters[[#This Row],[2035]]</f>
        <v>0.21937400076777497</v>
      </c>
      <c r="AD18" s="16">
        <f>ScenarioParameters[[#This Row],[2036]]</f>
        <v>0.21937400076777497</v>
      </c>
      <c r="AE18" s="16">
        <f>ScenarioParameters[[#This Row],[2037]]</f>
        <v>0.21937400076777497</v>
      </c>
      <c r="AF18" s="16">
        <f>ScenarioParameters[[#This Row],[2038]]</f>
        <v>0.21937400076777497</v>
      </c>
      <c r="AG18" s="16">
        <f>ScenarioParameters[[#This Row],[2039]]</f>
        <v>0.21937400076777497</v>
      </c>
      <c r="AH18" s="16">
        <f>ScenarioParameters[[#This Row],[2040]]</f>
        <v>0.21937400076777497</v>
      </c>
      <c r="AI18" s="16">
        <f>ScenarioParameters[[#This Row],[2041]]</f>
        <v>0.21937400076777497</v>
      </c>
      <c r="AJ18" s="16">
        <f>ScenarioParameters[[#This Row],[2042]]</f>
        <v>0.21937400076777497</v>
      </c>
      <c r="AK18" s="16">
        <f>ScenarioParameters[[#This Row],[2043]]</f>
        <v>0.21937400076777497</v>
      </c>
      <c r="AL18" s="16">
        <f>ScenarioParameters[[#This Row],[2044]]</f>
        <v>0.21937400076777497</v>
      </c>
      <c r="AM18" s="16">
        <f>ScenarioParameters[[#This Row],[2044]]</f>
        <v>0.21937400076777497</v>
      </c>
      <c r="AN18" s="30">
        <f>FLOOR(Experiment!$C$8,1)</f>
        <v>1</v>
      </c>
    </row>
    <row r="19" spans="2:40" x14ac:dyDescent="0.2">
      <c r="B19" s="8" t="s">
        <v>43</v>
      </c>
      <c r="C19" s="8" t="s">
        <v>6</v>
      </c>
      <c r="D19" s="31">
        <f>INDEX(Overview_scenarios[],MATCH(ScenarioParameters[[#This Row],[Parameter]]&amp;ScenarioParameters[[#This Row],[Tag scenario]],Overview_scenarios[Tag Parameter&amp;scenario],0),MATCH(D$10,Overview_scenarios[#Headers],0))</f>
        <v>0.41425307320000004</v>
      </c>
      <c r="E19" s="31">
        <f>INDEX(Overview_scenarios[],MATCH(ScenarioParameters[[#This Row],[Parameter]]&amp;ScenarioParameters[[#This Row],[Tag scenario]],Overview_scenarios[Tag Parameter&amp;scenario],0),MATCH(E$10,Overview_scenarios[#Headers],0))</f>
        <v>0.41425307320000004</v>
      </c>
      <c r="F19" s="31">
        <f>INDEX(Overview_scenarios[],MATCH(ScenarioParameters[[#This Row],[Parameter]]&amp;ScenarioParameters[[#This Row],[Tag scenario]],Overview_scenarios[Tag Parameter&amp;scenario],0),MATCH(F$10,Overview_scenarios[#Headers],0))</f>
        <v>0.4142696022652263</v>
      </c>
      <c r="G19" s="31">
        <f>INDEX(Overview_scenarios[],MATCH(ScenarioParameters[[#This Row],[Parameter]]&amp;ScenarioParameters[[#This Row],[Tag scenario]],Overview_scenarios[Tag Parameter&amp;scenario],0),MATCH(G$10,Overview_scenarios[#Headers],0))</f>
        <v>0.41444905275659949</v>
      </c>
      <c r="H19" s="31">
        <f>INDEX(Overview_scenarios[],MATCH(ScenarioParameters[[#This Row],[Parameter]]&amp;ScenarioParameters[[#This Row],[Tag scenario]],Overview_scenarios[Tag Parameter&amp;scenario],0),MATCH(H$10,Overview_scenarios[#Headers],0))</f>
        <v>0.41108138234117542</v>
      </c>
      <c r="I19" s="31">
        <f>INDEX(Overview_scenarios[],MATCH(ScenarioParameters[[#This Row],[Parameter]]&amp;ScenarioParameters[[#This Row],[Tag scenario]],Overview_scenarios[Tag Parameter&amp;scenario],0),MATCH(I$10,Overview_scenarios[#Headers],0))</f>
        <v>0.40836320464647224</v>
      </c>
      <c r="J19" s="31">
        <f>INDEX(Overview_scenarios[],MATCH(ScenarioParameters[[#This Row],[Parameter]]&amp;ScenarioParameters[[#This Row],[Tag scenario]],Overview_scenarios[Tag Parameter&amp;scenario],0),MATCH(J$10,Overview_scenarios[#Headers],0))</f>
        <v>0.40836320464647224</v>
      </c>
      <c r="K19" s="31">
        <f>INDEX(Overview_scenarios[],MATCH(ScenarioParameters[[#This Row],[Parameter]]&amp;ScenarioParameters[[#This Row],[Tag scenario]],Overview_scenarios[Tag Parameter&amp;scenario],0),MATCH(K$10,Overview_scenarios[#Headers],0))</f>
        <v>0.40836320464647224</v>
      </c>
      <c r="L19" s="31">
        <f>INDEX(Overview_scenarios[],MATCH(ScenarioParameters[[#This Row],[Parameter]]&amp;ScenarioParameters[[#This Row],[Tag scenario]],Overview_scenarios[Tag Parameter&amp;scenario],0),MATCH(L$10,Overview_scenarios[#Headers],0))</f>
        <v>0.41173025271072511</v>
      </c>
      <c r="M19" s="31">
        <f>INDEX(Overview_scenarios[],MATCH(ScenarioParameters[[#This Row],[Parameter]]&amp;ScenarioParameters[[#This Row],[Tag scenario]],Overview_scenarios[Tag Parameter&amp;scenario],0),MATCH(M$10,Overview_scenarios[#Headers],0))</f>
        <v>0.41173025271072511</v>
      </c>
      <c r="N19" s="31">
        <f>INDEX(Overview_scenarios[],MATCH(ScenarioParameters[[#This Row],[Parameter]]&amp;ScenarioParameters[[#This Row],[Tag scenario]],Overview_scenarios[Tag Parameter&amp;scenario],0),MATCH(N$10,Overview_scenarios[#Headers],0))</f>
        <v>0.41296149923645914</v>
      </c>
      <c r="O19" s="31">
        <f>INDEX(Overview_scenarios[],MATCH(ScenarioParameters[[#This Row],[Parameter]]&amp;ScenarioParameters[[#This Row],[Tag scenario]],Overview_scenarios[Tag Parameter&amp;scenario],0),MATCH(O$10,Overview_scenarios[#Headers],0))</f>
        <v>0.41296149923645914</v>
      </c>
      <c r="P19" s="31">
        <f>INDEX(Overview_scenarios[],MATCH(ScenarioParameters[[#This Row],[Parameter]]&amp;ScenarioParameters[[#This Row],[Tag scenario]],Overview_scenarios[Tag Parameter&amp;scenario],0),MATCH(P$10,Overview_scenarios[#Headers],0))</f>
        <v>0.41296149923645914</v>
      </c>
      <c r="Q19" s="31">
        <f>INDEX(Overview_scenarios[],MATCH(ScenarioParameters[[#This Row],[Parameter]]&amp;ScenarioParameters[[#This Row],[Tag scenario]],Overview_scenarios[Tag Parameter&amp;scenario],0),MATCH(Q$10,Overview_scenarios[#Headers],0))</f>
        <v>0.41296149923645914</v>
      </c>
      <c r="R19" s="31">
        <f>INDEX(Overview_scenarios[],MATCH(ScenarioParameters[[#This Row],[Parameter]]&amp;ScenarioParameters[[#This Row],[Tag scenario]],Overview_scenarios[Tag Parameter&amp;scenario],0),MATCH(R$10,Overview_scenarios[#Headers],0))</f>
        <v>0.41296149923645914</v>
      </c>
      <c r="S19" s="31">
        <f>INDEX(Overview_scenarios[],MATCH(ScenarioParameters[[#This Row],[Parameter]]&amp;ScenarioParameters[[#This Row],[Tag scenario]],Overview_scenarios[Tag Parameter&amp;scenario],0),MATCH(S$10,Overview_scenarios[#Headers],0))</f>
        <v>0.40323711622094927</v>
      </c>
      <c r="T19" s="31">
        <f>INDEX(Overview_scenarios[],MATCH(ScenarioParameters[[#This Row],[Parameter]]&amp;ScenarioParameters[[#This Row],[Tag scenario]],Overview_scenarios[Tag Parameter&amp;scenario],0),MATCH(T$10,Overview_scenarios[#Headers],0))</f>
        <v>0.4059441218535777</v>
      </c>
      <c r="U19" s="31">
        <f>INDEX(Overview_scenarios[],MATCH(ScenarioParameters[[#This Row],[Parameter]]&amp;ScenarioParameters[[#This Row],[Tag scenario]],Overview_scenarios[Tag Parameter&amp;scenario],0),MATCH(U$10,Overview_scenarios[#Headers],0))</f>
        <v>0.40865112748620608</v>
      </c>
      <c r="V19" s="31">
        <f>INDEX(Overview_scenarios[],MATCH(ScenarioParameters[[#This Row],[Parameter]]&amp;ScenarioParameters[[#This Row],[Tag scenario]],Overview_scenarios[Tag Parameter&amp;scenario],0),MATCH(V$10,Overview_scenarios[#Headers],0))</f>
        <v>0.41135813311883451</v>
      </c>
      <c r="W19" s="31">
        <f>INDEX(Overview_scenarios[],MATCH(ScenarioParameters[[#This Row],[Parameter]]&amp;ScenarioParameters[[#This Row],[Tag scenario]],Overview_scenarios[Tag Parameter&amp;scenario],0),MATCH(W$10,Overview_scenarios[#Headers],0))</f>
        <v>0.41406513875146289</v>
      </c>
      <c r="X19" s="31">
        <f>INDEX(Overview_scenarios[],MATCH(ScenarioParameters[[#This Row],[Parameter]]&amp;ScenarioParameters[[#This Row],[Tag scenario]],Overview_scenarios[Tag Parameter&amp;scenario],0),MATCH(X$10,Overview_scenarios[#Headers],0))</f>
        <v>0.41677214438409133</v>
      </c>
      <c r="Y19" s="17">
        <f>ScenarioParameters[[#This Row],[2035]]</f>
        <v>0.41677214438409133</v>
      </c>
      <c r="Z19" s="17">
        <f>ScenarioParameters[[#This Row],[2035]]</f>
        <v>0.41677214438409133</v>
      </c>
      <c r="AA19" s="17">
        <f>ScenarioParameters[[#This Row],[2035]]</f>
        <v>0.41677214438409133</v>
      </c>
      <c r="AB19" s="17">
        <f>ScenarioParameters[[#This Row],[2035]]</f>
        <v>0.41677214438409133</v>
      </c>
      <c r="AC19" s="17">
        <f>ScenarioParameters[[#This Row],[2035]]</f>
        <v>0.41677214438409133</v>
      </c>
      <c r="AD19" s="17">
        <f>ScenarioParameters[[#This Row],[2036]]</f>
        <v>0.41677214438409133</v>
      </c>
      <c r="AE19" s="17">
        <f>ScenarioParameters[[#This Row],[2037]]</f>
        <v>0.41677214438409133</v>
      </c>
      <c r="AF19" s="17">
        <f>ScenarioParameters[[#This Row],[2038]]</f>
        <v>0.41677214438409133</v>
      </c>
      <c r="AG19" s="17">
        <f>ScenarioParameters[[#This Row],[2039]]</f>
        <v>0.41677214438409133</v>
      </c>
      <c r="AH19" s="17">
        <f>ScenarioParameters[[#This Row],[2040]]</f>
        <v>0.41677214438409133</v>
      </c>
      <c r="AI19" s="17">
        <f>ScenarioParameters[[#This Row],[2041]]</f>
        <v>0.41677214438409133</v>
      </c>
      <c r="AJ19" s="17">
        <f>ScenarioParameters[[#This Row],[2042]]</f>
        <v>0.41677214438409133</v>
      </c>
      <c r="AK19" s="17">
        <f>ScenarioParameters[[#This Row],[2043]]</f>
        <v>0.41677214438409133</v>
      </c>
      <c r="AL19" s="17">
        <f>ScenarioParameters[[#This Row],[2044]]</f>
        <v>0.41677214438409133</v>
      </c>
      <c r="AM19" s="17">
        <f>ScenarioParameters[[#This Row],[2044]]</f>
        <v>0.41677214438409133</v>
      </c>
      <c r="AN19" s="30">
        <f>FLOOR(Experiment!$C$8,1)</f>
        <v>1</v>
      </c>
    </row>
    <row r="20" spans="2:40" x14ac:dyDescent="0.2">
      <c r="B20" s="8" t="s">
        <v>54</v>
      </c>
      <c r="C20" s="8" t="s">
        <v>216</v>
      </c>
      <c r="D20" s="31">
        <f>INDEX(Overview_scenarios[],MATCH(ScenarioParameters[[#This Row],[Parameter]]&amp;ScenarioParameters[[#This Row],[Tag scenario]],Overview_scenarios[Tag Parameter&amp;scenario],0),MATCH(D$10,Overview_scenarios[#Headers],0))</f>
        <v>41.666666666666664</v>
      </c>
      <c r="E20" s="31">
        <f>INDEX(Overview_scenarios[],MATCH(ScenarioParameters[[#This Row],[Parameter]]&amp;ScenarioParameters[[#This Row],[Tag scenario]],Overview_scenarios[Tag Parameter&amp;scenario],0),MATCH(E$10,Overview_scenarios[#Headers],0))</f>
        <v>40.862499999999997</v>
      </c>
      <c r="F20" s="31">
        <f>INDEX(Overview_scenarios[],MATCH(ScenarioParameters[[#This Row],[Parameter]]&amp;ScenarioParameters[[#This Row],[Tag scenario]],Overview_scenarios[Tag Parameter&amp;scenario],0),MATCH(F$10,Overview_scenarios[#Headers],0))</f>
        <v>40.05833333333333</v>
      </c>
      <c r="G20" s="31">
        <f>INDEX(Overview_scenarios[],MATCH(ScenarioParameters[[#This Row],[Parameter]]&amp;ScenarioParameters[[#This Row],[Tag scenario]],Overview_scenarios[Tag Parameter&amp;scenario],0),MATCH(G$10,Overview_scenarios[#Headers],0))</f>
        <v>39.25416666666667</v>
      </c>
      <c r="H20" s="31">
        <f>INDEX(Overview_scenarios[],MATCH(ScenarioParameters[[#This Row],[Parameter]]&amp;ScenarioParameters[[#This Row],[Tag scenario]],Overview_scenarios[Tag Parameter&amp;scenario],0),MATCH(H$10,Overview_scenarios[#Headers],0))</f>
        <v>38.450000000000003</v>
      </c>
      <c r="I20" s="31">
        <f>INDEX(Overview_scenarios[],MATCH(ScenarioParameters[[#This Row],[Parameter]]&amp;ScenarioParameters[[#This Row],[Tag scenario]],Overview_scenarios[Tag Parameter&amp;scenario],0),MATCH(I$10,Overview_scenarios[#Headers],0))</f>
        <v>37.645833333333336</v>
      </c>
      <c r="J20" s="31">
        <f>INDEX(Overview_scenarios[],MATCH(ScenarioParameters[[#This Row],[Parameter]]&amp;ScenarioParameters[[#This Row],[Tag scenario]],Overview_scenarios[Tag Parameter&amp;scenario],0),MATCH(J$10,Overview_scenarios[#Headers],0))</f>
        <v>36.841666666666669</v>
      </c>
      <c r="K20" s="31">
        <f>INDEX(Overview_scenarios[],MATCH(ScenarioParameters[[#This Row],[Parameter]]&amp;ScenarioParameters[[#This Row],[Tag scenario]],Overview_scenarios[Tag Parameter&amp;scenario],0),MATCH(K$10,Overview_scenarios[#Headers],0))</f>
        <v>36.037500000000001</v>
      </c>
      <c r="L20" s="31">
        <f>INDEX(Overview_scenarios[],MATCH(ScenarioParameters[[#This Row],[Parameter]]&amp;ScenarioParameters[[#This Row],[Tag scenario]],Overview_scenarios[Tag Parameter&amp;scenario],0),MATCH(L$10,Overview_scenarios[#Headers],0))</f>
        <v>35.233333333333334</v>
      </c>
      <c r="M20" s="31">
        <f>INDEX(Overview_scenarios[],MATCH(ScenarioParameters[[#This Row],[Parameter]]&amp;ScenarioParameters[[#This Row],[Tag scenario]],Overview_scenarios[Tag Parameter&amp;scenario],0),MATCH(M$10,Overview_scenarios[#Headers],0))</f>
        <v>34.429166666666667</v>
      </c>
      <c r="N20" s="31">
        <f>INDEX(Overview_scenarios[],MATCH(ScenarioParameters[[#This Row],[Parameter]]&amp;ScenarioParameters[[#This Row],[Tag scenario]],Overview_scenarios[Tag Parameter&amp;scenario],0),MATCH(N$10,Overview_scenarios[#Headers],0))</f>
        <v>33.625</v>
      </c>
      <c r="O20" s="31">
        <f>INDEX(Overview_scenarios[],MATCH(ScenarioParameters[[#This Row],[Parameter]]&amp;ScenarioParameters[[#This Row],[Tag scenario]],Overview_scenarios[Tag Parameter&amp;scenario],0),MATCH(O$10,Overview_scenarios[#Headers],0))</f>
        <v>32.820833333333333</v>
      </c>
      <c r="P20" s="31">
        <f>INDEX(Overview_scenarios[],MATCH(ScenarioParameters[[#This Row],[Parameter]]&amp;ScenarioParameters[[#This Row],[Tag scenario]],Overview_scenarios[Tag Parameter&amp;scenario],0),MATCH(P$10,Overview_scenarios[#Headers],0))</f>
        <v>32.016666666666666</v>
      </c>
      <c r="Q20" s="31">
        <f>INDEX(Overview_scenarios[],MATCH(ScenarioParameters[[#This Row],[Parameter]]&amp;ScenarioParameters[[#This Row],[Tag scenario]],Overview_scenarios[Tag Parameter&amp;scenario],0),MATCH(Q$10,Overview_scenarios[#Headers],0))</f>
        <v>31.212499999999999</v>
      </c>
      <c r="R20" s="31">
        <f>INDEX(Overview_scenarios[],MATCH(ScenarioParameters[[#This Row],[Parameter]]&amp;ScenarioParameters[[#This Row],[Tag scenario]],Overview_scenarios[Tag Parameter&amp;scenario],0),MATCH(R$10,Overview_scenarios[#Headers],0))</f>
        <v>30.408333333333335</v>
      </c>
      <c r="S20" s="31">
        <f>INDEX(Overview_scenarios[],MATCH(ScenarioParameters[[#This Row],[Parameter]]&amp;ScenarioParameters[[#This Row],[Tag scenario]],Overview_scenarios[Tag Parameter&amp;scenario],0),MATCH(S$10,Overview_scenarios[#Headers],0))</f>
        <v>29.604166666666668</v>
      </c>
      <c r="T20" s="31">
        <f>INDEX(Overview_scenarios[],MATCH(ScenarioParameters[[#This Row],[Parameter]]&amp;ScenarioParameters[[#This Row],[Tag scenario]],Overview_scenarios[Tag Parameter&amp;scenario],0),MATCH(T$10,Overview_scenarios[#Headers],0))</f>
        <v>28.8</v>
      </c>
      <c r="U20" s="31">
        <f>INDEX(Overview_scenarios[],MATCH(ScenarioParameters[[#This Row],[Parameter]]&amp;ScenarioParameters[[#This Row],[Tag scenario]],Overview_scenarios[Tag Parameter&amp;scenario],0),MATCH(U$10,Overview_scenarios[#Headers],0))</f>
        <v>27.995833333333334</v>
      </c>
      <c r="V20" s="31">
        <f>INDEX(Overview_scenarios[],MATCH(ScenarioParameters[[#This Row],[Parameter]]&amp;ScenarioParameters[[#This Row],[Tag scenario]],Overview_scenarios[Tag Parameter&amp;scenario],0),MATCH(V$10,Overview_scenarios[#Headers],0))</f>
        <v>27.191666666666666</v>
      </c>
      <c r="W20" s="31">
        <f>INDEX(Overview_scenarios[],MATCH(ScenarioParameters[[#This Row],[Parameter]]&amp;ScenarioParameters[[#This Row],[Tag scenario]],Overview_scenarios[Tag Parameter&amp;scenario],0),MATCH(W$10,Overview_scenarios[#Headers],0))</f>
        <v>26.387499999999999</v>
      </c>
      <c r="X20" s="31">
        <f>INDEX(Overview_scenarios[],MATCH(ScenarioParameters[[#This Row],[Parameter]]&amp;ScenarioParameters[[#This Row],[Tag scenario]],Overview_scenarios[Tag Parameter&amp;scenario],0),MATCH(X$10,Overview_scenarios[#Headers],0))</f>
        <v>25.583333333333332</v>
      </c>
      <c r="Y20" s="14">
        <f>ScenarioParameters[[#This Row],[2035]]</f>
        <v>25.583333333333332</v>
      </c>
      <c r="Z20" s="14">
        <f>ScenarioParameters[[#This Row],[2035]]</f>
        <v>25.583333333333332</v>
      </c>
      <c r="AA20" s="14">
        <f>ScenarioParameters[[#This Row],[2035]]</f>
        <v>25.583333333333332</v>
      </c>
      <c r="AB20" s="14">
        <f>ScenarioParameters[[#This Row],[2035]]</f>
        <v>25.583333333333332</v>
      </c>
      <c r="AC20" s="14">
        <f>ScenarioParameters[[#This Row],[2035]]</f>
        <v>25.583333333333332</v>
      </c>
      <c r="AD20" s="14">
        <f>ScenarioParameters[[#This Row],[2036]]</f>
        <v>25.583333333333332</v>
      </c>
      <c r="AE20" s="14">
        <f>ScenarioParameters[[#This Row],[2037]]</f>
        <v>25.583333333333332</v>
      </c>
      <c r="AF20" s="14">
        <f>ScenarioParameters[[#This Row],[2038]]</f>
        <v>25.583333333333332</v>
      </c>
      <c r="AG20" s="14">
        <f>ScenarioParameters[[#This Row],[2039]]</f>
        <v>25.583333333333332</v>
      </c>
      <c r="AH20" s="14">
        <f>ScenarioParameters[[#This Row],[2040]]</f>
        <v>25.583333333333332</v>
      </c>
      <c r="AI20" s="14">
        <f>ScenarioParameters[[#This Row],[2041]]</f>
        <v>25.583333333333332</v>
      </c>
      <c r="AJ20" s="14">
        <f>ScenarioParameters[[#This Row],[2042]]</f>
        <v>25.583333333333332</v>
      </c>
      <c r="AK20" s="14">
        <f>ScenarioParameters[[#This Row],[2043]]</f>
        <v>25.583333333333332</v>
      </c>
      <c r="AL20" s="14">
        <f>ScenarioParameters[[#This Row],[2044]]</f>
        <v>25.583333333333332</v>
      </c>
      <c r="AM20" s="14">
        <f>ScenarioParameters[[#This Row],[2044]]</f>
        <v>25.583333333333332</v>
      </c>
      <c r="AN20" s="30">
        <f>FLOOR(Experiment!$C$8,1)</f>
        <v>1</v>
      </c>
    </row>
    <row r="21" spans="2:40" x14ac:dyDescent="0.2">
      <c r="B21" s="8" t="s">
        <v>85</v>
      </c>
      <c r="C21" s="8" t="s">
        <v>217</v>
      </c>
      <c r="D21" s="31">
        <f>INDEX(Overview_scenarios[],MATCH(ScenarioParameters[[#This Row],[Parameter]]&amp;ScenarioParameters[[#This Row],[Tag scenario]],Overview_scenarios[Tag Parameter&amp;scenario],0),MATCH(D$10,Overview_scenarios[#Headers],0))</f>
        <v>1.3204225352112677</v>
      </c>
      <c r="E21" s="31">
        <f>INDEX(Overview_scenarios[],MATCH(ScenarioParameters[[#This Row],[Parameter]]&amp;ScenarioParameters[[#This Row],[Tag scenario]],Overview_scenarios[Tag Parameter&amp;scenario],0),MATCH(E$10,Overview_scenarios[#Headers],0))</f>
        <v>1.3268651765666464</v>
      </c>
      <c r="F21" s="31">
        <f>INDEX(Overview_scenarios[],MATCH(ScenarioParameters[[#This Row],[Parameter]]&amp;ScenarioParameters[[#This Row],[Tag scenario]],Overview_scenarios[Tag Parameter&amp;scenario],0),MATCH(F$10,Overview_scenarios[#Headers],0))</f>
        <v>1.333307817922025</v>
      </c>
      <c r="G21" s="31">
        <f>INDEX(Overview_scenarios[],MATCH(ScenarioParameters[[#This Row],[Parameter]]&amp;ScenarioParameters[[#This Row],[Tag scenario]],Overview_scenarios[Tag Parameter&amp;scenario],0),MATCH(G$10,Overview_scenarios[#Headers],0))</f>
        <v>1.3397504592774037</v>
      </c>
      <c r="H21" s="31">
        <f>INDEX(Overview_scenarios[],MATCH(ScenarioParameters[[#This Row],[Parameter]]&amp;ScenarioParameters[[#This Row],[Tag scenario]],Overview_scenarios[Tag Parameter&amp;scenario],0),MATCH(H$10,Overview_scenarios[#Headers],0))</f>
        <v>1.3461931006327823</v>
      </c>
      <c r="I21" s="31">
        <f>INDEX(Overview_scenarios[],MATCH(ScenarioParameters[[#This Row],[Parameter]]&amp;ScenarioParameters[[#This Row],[Tag scenario]],Overview_scenarios[Tag Parameter&amp;scenario],0),MATCH(I$10,Overview_scenarios[#Headers],0))</f>
        <v>1.3526357419881612</v>
      </c>
      <c r="J21" s="31">
        <f>INDEX(Overview_scenarios[],MATCH(ScenarioParameters[[#This Row],[Parameter]]&amp;ScenarioParameters[[#This Row],[Tag scenario]],Overview_scenarios[Tag Parameter&amp;scenario],0),MATCH(J$10,Overview_scenarios[#Headers],0))</f>
        <v>1.3590783833435396</v>
      </c>
      <c r="K21" s="31">
        <f>INDEX(Overview_scenarios[],MATCH(ScenarioParameters[[#This Row],[Parameter]]&amp;ScenarioParameters[[#This Row],[Tag scenario]],Overview_scenarios[Tag Parameter&amp;scenario],0),MATCH(K$10,Overview_scenarios[#Headers],0))</f>
        <v>1.3655210246989182</v>
      </c>
      <c r="L21" s="31">
        <f>INDEX(Overview_scenarios[],MATCH(ScenarioParameters[[#This Row],[Parameter]]&amp;ScenarioParameters[[#This Row],[Tag scenario]],Overview_scenarios[Tag Parameter&amp;scenario],0),MATCH(L$10,Overview_scenarios[#Headers],0))</f>
        <v>1.3719636660542969</v>
      </c>
      <c r="M21" s="31">
        <f>INDEX(Overview_scenarios[],MATCH(ScenarioParameters[[#This Row],[Parameter]]&amp;ScenarioParameters[[#This Row],[Tag scenario]],Overview_scenarios[Tag Parameter&amp;scenario],0),MATCH(M$10,Overview_scenarios[#Headers],0))</f>
        <v>1.3784063074096755</v>
      </c>
      <c r="N21" s="31">
        <f>INDEX(Overview_scenarios[],MATCH(ScenarioParameters[[#This Row],[Parameter]]&amp;ScenarioParameters[[#This Row],[Tag scenario]],Overview_scenarios[Tag Parameter&amp;scenario],0),MATCH(N$10,Overview_scenarios[#Headers],0))</f>
        <v>1.3848489487650542</v>
      </c>
      <c r="O21" s="31">
        <f>INDEX(Overview_scenarios[],MATCH(ScenarioParameters[[#This Row],[Parameter]]&amp;ScenarioParameters[[#This Row],[Tag scenario]],Overview_scenarios[Tag Parameter&amp;scenario],0),MATCH(O$10,Overview_scenarios[#Headers],0))</f>
        <v>1.3912915901204328</v>
      </c>
      <c r="P21" s="31">
        <f>INDEX(Overview_scenarios[],MATCH(ScenarioParameters[[#This Row],[Parameter]]&amp;ScenarioParameters[[#This Row],[Tag scenario]],Overview_scenarios[Tag Parameter&amp;scenario],0),MATCH(P$10,Overview_scenarios[#Headers],0))</f>
        <v>1.3977342314758114</v>
      </c>
      <c r="Q21" s="31">
        <f>INDEX(Overview_scenarios[],MATCH(ScenarioParameters[[#This Row],[Parameter]]&amp;ScenarioParameters[[#This Row],[Tag scenario]],Overview_scenarios[Tag Parameter&amp;scenario],0),MATCH(Q$10,Overview_scenarios[#Headers],0))</f>
        <v>1.4041768728311901</v>
      </c>
      <c r="R21" s="31">
        <f>INDEX(Overview_scenarios[],MATCH(ScenarioParameters[[#This Row],[Parameter]]&amp;ScenarioParameters[[#This Row],[Tag scenario]],Overview_scenarios[Tag Parameter&amp;scenario],0),MATCH(R$10,Overview_scenarios[#Headers],0))</f>
        <v>1.4106195141865687</v>
      </c>
      <c r="S21" s="31">
        <f>INDEX(Overview_scenarios[],MATCH(ScenarioParameters[[#This Row],[Parameter]]&amp;ScenarioParameters[[#This Row],[Tag scenario]],Overview_scenarios[Tag Parameter&amp;scenario],0),MATCH(S$10,Overview_scenarios[#Headers],0))</f>
        <v>1.4170621555419474</v>
      </c>
      <c r="T21" s="31">
        <f>INDEX(Overview_scenarios[],MATCH(ScenarioParameters[[#This Row],[Parameter]]&amp;ScenarioParameters[[#This Row],[Tag scenario]],Overview_scenarios[Tag Parameter&amp;scenario],0),MATCH(T$10,Overview_scenarios[#Headers],0))</f>
        <v>1.423504796897326</v>
      </c>
      <c r="U21" s="31">
        <f>INDEX(Overview_scenarios[],MATCH(ScenarioParameters[[#This Row],[Parameter]]&amp;ScenarioParameters[[#This Row],[Tag scenario]],Overview_scenarios[Tag Parameter&amp;scenario],0),MATCH(U$10,Overview_scenarios[#Headers],0))</f>
        <v>1.4299474382527047</v>
      </c>
      <c r="V21" s="31">
        <f>INDEX(Overview_scenarios[],MATCH(ScenarioParameters[[#This Row],[Parameter]]&amp;ScenarioParameters[[#This Row],[Tag scenario]],Overview_scenarios[Tag Parameter&amp;scenario],0),MATCH(V$10,Overview_scenarios[#Headers],0))</f>
        <v>1.4363900796080835</v>
      </c>
      <c r="W21" s="31">
        <f>INDEX(Overview_scenarios[],MATCH(ScenarioParameters[[#This Row],[Parameter]]&amp;ScenarioParameters[[#This Row],[Tag scenario]],Overview_scenarios[Tag Parameter&amp;scenario],0),MATCH(W$10,Overview_scenarios[#Headers],0))</f>
        <v>1.4428327209634619</v>
      </c>
      <c r="X21" s="31">
        <f>INDEX(Overview_scenarios[],MATCH(ScenarioParameters[[#This Row],[Parameter]]&amp;ScenarioParameters[[#This Row],[Tag scenario]],Overview_scenarios[Tag Parameter&amp;scenario],0),MATCH(X$10,Overview_scenarios[#Headers],0))</f>
        <v>1.4492753623188406</v>
      </c>
      <c r="Y21" s="14">
        <f>ScenarioParameters[[#This Row],[2035]]</f>
        <v>1.4492753623188406</v>
      </c>
      <c r="Z21" s="14">
        <f>ScenarioParameters[[#This Row],[2035]]</f>
        <v>1.4492753623188406</v>
      </c>
      <c r="AA21" s="14">
        <f>ScenarioParameters[[#This Row],[2035]]</f>
        <v>1.4492753623188406</v>
      </c>
      <c r="AB21" s="14">
        <f>ScenarioParameters[[#This Row],[2035]]</f>
        <v>1.4492753623188406</v>
      </c>
      <c r="AC21" s="14">
        <f>ScenarioParameters[[#This Row],[2035]]</f>
        <v>1.4492753623188406</v>
      </c>
      <c r="AD21" s="14">
        <f>ScenarioParameters[[#This Row],[2036]]</f>
        <v>1.4492753623188406</v>
      </c>
      <c r="AE21" s="14">
        <f>ScenarioParameters[[#This Row],[2037]]</f>
        <v>1.4492753623188406</v>
      </c>
      <c r="AF21" s="14">
        <f>ScenarioParameters[[#This Row],[2038]]</f>
        <v>1.4492753623188406</v>
      </c>
      <c r="AG21" s="14">
        <f>ScenarioParameters[[#This Row],[2039]]</f>
        <v>1.4492753623188406</v>
      </c>
      <c r="AH21" s="14">
        <f>ScenarioParameters[[#This Row],[2040]]</f>
        <v>1.4492753623188406</v>
      </c>
      <c r="AI21" s="14">
        <f>ScenarioParameters[[#This Row],[2041]]</f>
        <v>1.4492753623188406</v>
      </c>
      <c r="AJ21" s="14">
        <f>ScenarioParameters[[#This Row],[2042]]</f>
        <v>1.4492753623188406</v>
      </c>
      <c r="AK21" s="14">
        <f>ScenarioParameters[[#This Row],[2043]]</f>
        <v>1.4492753623188406</v>
      </c>
      <c r="AL21" s="14">
        <f>ScenarioParameters[[#This Row],[2044]]</f>
        <v>1.4492753623188406</v>
      </c>
      <c r="AM21" s="14">
        <f>ScenarioParameters[[#This Row],[2044]]</f>
        <v>1.4492753623188406</v>
      </c>
      <c r="AN21" s="30">
        <f>FLOOR(Experiment!$C$8,1)</f>
        <v>1</v>
      </c>
    </row>
    <row r="22" spans="2:40" x14ac:dyDescent="0.2">
      <c r="B22" s="8" t="s">
        <v>84</v>
      </c>
      <c r="C22" s="8" t="s">
        <v>215</v>
      </c>
      <c r="D22" s="31">
        <f>INDEX(Overview_scenarios[],MATCH(ScenarioParameters[[#This Row],[Parameter]]&amp;ScenarioParameters[[#This Row],[Tag scenario]],Overview_scenarios[Tag Parameter&amp;scenario],0),MATCH(D$10,Overview_scenarios[#Headers],0))</f>
        <v>7.4999999999999997E-2</v>
      </c>
      <c r="E22" s="31">
        <f>INDEX(Overview_scenarios[],MATCH(ScenarioParameters[[#This Row],[Parameter]]&amp;ScenarioParameters[[#This Row],[Tag scenario]],Overview_scenarios[Tag Parameter&amp;scenario],0),MATCH(E$10,Overview_scenarios[#Headers],0))</f>
        <v>7.1661594202898554E-2</v>
      </c>
      <c r="F22" s="31">
        <f>INDEX(Overview_scenarios[],MATCH(ScenarioParameters[[#This Row],[Parameter]]&amp;ScenarioParameters[[#This Row],[Tag scenario]],Overview_scenarios[Tag Parameter&amp;scenario],0),MATCH(F$10,Overview_scenarios[#Headers],0))</f>
        <v>6.8323188405797097E-2</v>
      </c>
      <c r="G22" s="31">
        <f>INDEX(Overview_scenarios[],MATCH(ScenarioParameters[[#This Row],[Parameter]]&amp;ScenarioParameters[[#This Row],[Tag scenario]],Overview_scenarios[Tag Parameter&amp;scenario],0),MATCH(G$10,Overview_scenarios[#Headers],0))</f>
        <v>6.4984782608695654E-2</v>
      </c>
      <c r="H22" s="31">
        <f>INDEX(Overview_scenarios[],MATCH(ScenarioParameters[[#This Row],[Parameter]]&amp;ScenarioParameters[[#This Row],[Tag scenario]],Overview_scenarios[Tag Parameter&amp;scenario],0),MATCH(H$10,Overview_scenarios[#Headers],0))</f>
        <v>6.1646376811594204E-2</v>
      </c>
      <c r="I22" s="31">
        <f>INDEX(Overview_scenarios[],MATCH(ScenarioParameters[[#This Row],[Parameter]]&amp;ScenarioParameters[[#This Row],[Tag scenario]],Overview_scenarios[Tag Parameter&amp;scenario],0),MATCH(I$10,Overview_scenarios[#Headers],0))</f>
        <v>5.8307971014492761E-2</v>
      </c>
      <c r="J22" s="31">
        <f>INDEX(Overview_scenarios[],MATCH(ScenarioParameters[[#This Row],[Parameter]]&amp;ScenarioParameters[[#This Row],[Tag scenario]],Overview_scenarios[Tag Parameter&amp;scenario],0),MATCH(J$10,Overview_scenarios[#Headers],0))</f>
        <v>5.4969565217391304E-2</v>
      </c>
      <c r="K22" s="31">
        <f>INDEX(Overview_scenarios[],MATCH(ScenarioParameters[[#This Row],[Parameter]]&amp;ScenarioParameters[[#This Row],[Tag scenario]],Overview_scenarios[Tag Parameter&amp;scenario],0),MATCH(K$10,Overview_scenarios[#Headers],0))</f>
        <v>5.1631159420289854E-2</v>
      </c>
      <c r="L22" s="31">
        <f>INDEX(Overview_scenarios[],MATCH(ScenarioParameters[[#This Row],[Parameter]]&amp;ScenarioParameters[[#This Row],[Tag scenario]],Overview_scenarios[Tag Parameter&amp;scenario],0),MATCH(L$10,Overview_scenarios[#Headers],0))</f>
        <v>4.8292753623188404E-2</v>
      </c>
      <c r="M22" s="31">
        <f>INDEX(Overview_scenarios[],MATCH(ScenarioParameters[[#This Row],[Parameter]]&amp;ScenarioParameters[[#This Row],[Tag scenario]],Overview_scenarios[Tag Parameter&amp;scenario],0),MATCH(M$10,Overview_scenarios[#Headers],0))</f>
        <v>4.4954347826086961E-2</v>
      </c>
      <c r="N22" s="31">
        <f>INDEX(Overview_scenarios[],MATCH(ScenarioParameters[[#This Row],[Parameter]]&amp;ScenarioParameters[[#This Row],[Tag scenario]],Overview_scenarios[Tag Parameter&amp;scenario],0),MATCH(N$10,Overview_scenarios[#Headers],0))</f>
        <v>4.1615942028985511E-2</v>
      </c>
      <c r="O22" s="31">
        <f>INDEX(Overview_scenarios[],MATCH(ScenarioParameters[[#This Row],[Parameter]]&amp;ScenarioParameters[[#This Row],[Tag scenario]],Overview_scenarios[Tag Parameter&amp;scenario],0),MATCH(O$10,Overview_scenarios[#Headers],0))</f>
        <v>3.8277536231884055E-2</v>
      </c>
      <c r="P22" s="31">
        <f>INDEX(Overview_scenarios[],MATCH(ScenarioParameters[[#This Row],[Parameter]]&amp;ScenarioParameters[[#This Row],[Tag scenario]],Overview_scenarios[Tag Parameter&amp;scenario],0),MATCH(P$10,Overview_scenarios[#Headers],0))</f>
        <v>3.4939130434782611E-2</v>
      </c>
      <c r="Q22" s="31">
        <f>INDEX(Overview_scenarios[],MATCH(ScenarioParameters[[#This Row],[Parameter]]&amp;ScenarioParameters[[#This Row],[Tag scenario]],Overview_scenarios[Tag Parameter&amp;scenario],0),MATCH(Q$10,Overview_scenarios[#Headers],0))</f>
        <v>3.1600724637681162E-2</v>
      </c>
      <c r="R22" s="31">
        <f>INDEX(Overview_scenarios[],MATCH(ScenarioParameters[[#This Row],[Parameter]]&amp;ScenarioParameters[[#This Row],[Tag scenario]],Overview_scenarios[Tag Parameter&amp;scenario],0),MATCH(R$10,Overview_scenarios[#Headers],0))</f>
        <v>2.8262318840579712E-2</v>
      </c>
      <c r="S22" s="31">
        <f>INDEX(Overview_scenarios[],MATCH(ScenarioParameters[[#This Row],[Parameter]]&amp;ScenarioParameters[[#This Row],[Tag scenario]],Overview_scenarios[Tag Parameter&amp;scenario],0),MATCH(S$10,Overview_scenarios[#Headers],0))</f>
        <v>2.4923913043478265E-2</v>
      </c>
      <c r="T22" s="31">
        <f>INDEX(Overview_scenarios[],MATCH(ScenarioParameters[[#This Row],[Parameter]]&amp;ScenarioParameters[[#This Row],[Tag scenario]],Overview_scenarios[Tag Parameter&amp;scenario],0),MATCH(T$10,Overview_scenarios[#Headers],0))</f>
        <v>2.1585507246376815E-2</v>
      </c>
      <c r="U22" s="31">
        <f>INDEX(Overview_scenarios[],MATCH(ScenarioParameters[[#This Row],[Parameter]]&amp;ScenarioParameters[[#This Row],[Tag scenario]],Overview_scenarios[Tag Parameter&amp;scenario],0),MATCH(U$10,Overview_scenarios[#Headers],0))</f>
        <v>1.8247101449275365E-2</v>
      </c>
      <c r="V22" s="31">
        <f>INDEX(Overview_scenarios[],MATCH(ScenarioParameters[[#This Row],[Parameter]]&amp;ScenarioParameters[[#This Row],[Tag scenario]],Overview_scenarios[Tag Parameter&amp;scenario],0),MATCH(V$10,Overview_scenarios[#Headers],0))</f>
        <v>1.490869565217392E-2</v>
      </c>
      <c r="W22" s="31">
        <f>INDEX(Overview_scenarios[],MATCH(ScenarioParameters[[#This Row],[Parameter]]&amp;ScenarioParameters[[#This Row],[Tag scenario]],Overview_scenarios[Tag Parameter&amp;scenario],0),MATCH(W$10,Overview_scenarios[#Headers],0))</f>
        <v>1.1570289855072469E-2</v>
      </c>
      <c r="X22" s="31">
        <f>INDEX(Overview_scenarios[],MATCH(ScenarioParameters[[#This Row],[Parameter]]&amp;ScenarioParameters[[#This Row],[Tag scenario]],Overview_scenarios[Tag Parameter&amp;scenario],0),MATCH(X$10,Overview_scenarios[#Headers],0))</f>
        <v>8.2318840579710152E-3</v>
      </c>
      <c r="Y22" s="14">
        <f>ScenarioParameters[[#This Row],[2035]]</f>
        <v>8.2318840579710152E-3</v>
      </c>
      <c r="Z22" s="14">
        <f>ScenarioParameters[[#This Row],[2035]]</f>
        <v>8.2318840579710152E-3</v>
      </c>
      <c r="AA22" s="14">
        <f>ScenarioParameters[[#This Row],[2035]]</f>
        <v>8.2318840579710152E-3</v>
      </c>
      <c r="AB22" s="14">
        <f>ScenarioParameters[[#This Row],[2035]]</f>
        <v>8.2318840579710152E-3</v>
      </c>
      <c r="AC22" s="14">
        <f>ScenarioParameters[[#This Row],[2035]]</f>
        <v>8.2318840579710152E-3</v>
      </c>
      <c r="AD22" s="14">
        <f>ScenarioParameters[[#This Row],[2036]]</f>
        <v>8.2318840579710152E-3</v>
      </c>
      <c r="AE22" s="14">
        <f>ScenarioParameters[[#This Row],[2037]]</f>
        <v>8.2318840579710152E-3</v>
      </c>
      <c r="AF22" s="14">
        <f>ScenarioParameters[[#This Row],[2038]]</f>
        <v>8.2318840579710152E-3</v>
      </c>
      <c r="AG22" s="14">
        <f>ScenarioParameters[[#This Row],[2039]]</f>
        <v>8.2318840579710152E-3</v>
      </c>
      <c r="AH22" s="14">
        <f>ScenarioParameters[[#This Row],[2040]]</f>
        <v>8.2318840579710152E-3</v>
      </c>
      <c r="AI22" s="14">
        <f>ScenarioParameters[[#This Row],[2041]]</f>
        <v>8.2318840579710152E-3</v>
      </c>
      <c r="AJ22" s="14">
        <f>ScenarioParameters[[#This Row],[2042]]</f>
        <v>8.2318840579710152E-3</v>
      </c>
      <c r="AK22" s="14">
        <f>ScenarioParameters[[#This Row],[2043]]</f>
        <v>8.2318840579710152E-3</v>
      </c>
      <c r="AL22" s="14">
        <f>ScenarioParameters[[#This Row],[2044]]</f>
        <v>8.2318840579710152E-3</v>
      </c>
      <c r="AM22" s="14">
        <f>ScenarioParameters[[#This Row],[2044]]</f>
        <v>8.2318840579710152E-3</v>
      </c>
      <c r="AN22" s="30">
        <f>FLOOR(Experiment!$C$8,1)</f>
        <v>1</v>
      </c>
    </row>
    <row r="25" spans="2:40" x14ac:dyDescent="0.2">
      <c r="B25" s="1" t="s">
        <v>230</v>
      </c>
      <c r="C25" s="1" t="s">
        <v>234</v>
      </c>
    </row>
    <row r="26" spans="2:40" x14ac:dyDescent="0.2">
      <c r="B26" s="1" t="s">
        <v>233</v>
      </c>
      <c r="C26" s="27" t="s">
        <v>242</v>
      </c>
    </row>
    <row r="27" spans="2:40" x14ac:dyDescent="0.2">
      <c r="B27" s="1" t="s">
        <v>241</v>
      </c>
      <c r="C27" s="1" t="s">
        <v>243</v>
      </c>
    </row>
    <row r="29" spans="2:40" x14ac:dyDescent="0.2">
      <c r="B29" s="1" t="s">
        <v>244</v>
      </c>
    </row>
    <row r="33" spans="2:31" x14ac:dyDescent="0.2">
      <c r="C33" s="6"/>
    </row>
    <row r="34" spans="2:31" x14ac:dyDescent="0.2">
      <c r="B34" s="6" t="s">
        <v>232</v>
      </c>
    </row>
    <row r="35" spans="2:31" x14ac:dyDescent="0.2">
      <c r="B35" s="20" t="s">
        <v>28</v>
      </c>
      <c r="C35" s="21" t="s">
        <v>4</v>
      </c>
      <c r="D35" s="21" t="s">
        <v>7</v>
      </c>
      <c r="E35" s="21" t="s">
        <v>8</v>
      </c>
      <c r="F35" s="21" t="s">
        <v>9</v>
      </c>
      <c r="G35" s="21" t="s">
        <v>10</v>
      </c>
      <c r="H35" s="21" t="s">
        <v>11</v>
      </c>
      <c r="I35" s="21" t="s">
        <v>12</v>
      </c>
      <c r="J35" s="21" t="s">
        <v>13</v>
      </c>
      <c r="K35" s="21" t="s">
        <v>14</v>
      </c>
      <c r="L35" s="21" t="s">
        <v>15</v>
      </c>
      <c r="M35" s="21" t="s">
        <v>16</v>
      </c>
      <c r="N35" s="21" t="s">
        <v>17</v>
      </c>
      <c r="O35" s="21" t="s">
        <v>18</v>
      </c>
      <c r="P35" s="21" t="s">
        <v>19</v>
      </c>
      <c r="Q35" s="21" t="s">
        <v>20</v>
      </c>
      <c r="R35" s="21" t="s">
        <v>21</v>
      </c>
      <c r="S35" s="21" t="s">
        <v>22</v>
      </c>
      <c r="T35" s="21" t="s">
        <v>23</v>
      </c>
      <c r="U35" s="21" t="s">
        <v>24</v>
      </c>
      <c r="V35" s="21" t="s">
        <v>25</v>
      </c>
      <c r="W35" s="21" t="s">
        <v>26</v>
      </c>
      <c r="X35" s="21" t="s">
        <v>27</v>
      </c>
      <c r="Y35" s="1" t="s">
        <v>239</v>
      </c>
      <c r="Z35" s="28" t="s">
        <v>235</v>
      </c>
      <c r="AA35" s="28" t="s">
        <v>236</v>
      </c>
      <c r="AB35" s="28" t="s">
        <v>237</v>
      </c>
      <c r="AC35" s="28" t="s">
        <v>238</v>
      </c>
      <c r="AD35" s="28" t="s">
        <v>231</v>
      </c>
      <c r="AE35" s="28" t="s">
        <v>240</v>
      </c>
    </row>
    <row r="36" spans="2:31" x14ac:dyDescent="0.2">
      <c r="B36" s="18" t="s">
        <v>100</v>
      </c>
      <c r="C36" s="18" t="s">
        <v>1</v>
      </c>
      <c r="D36" s="19">
        <v>5.9340349272770538</v>
      </c>
      <c r="E36" s="19">
        <v>4.1862929338246184</v>
      </c>
      <c r="F36" s="19">
        <v>4.5351151007293531</v>
      </c>
      <c r="G36" s="19">
        <v>4.5066819395705782</v>
      </c>
      <c r="H36" s="19">
        <v>4.4185385163073718</v>
      </c>
      <c r="I36" s="19">
        <v>4.8166052129819779</v>
      </c>
      <c r="J36" s="19">
        <v>5.214671638495278</v>
      </c>
      <c r="K36" s="19">
        <v>5.6127380640085764</v>
      </c>
      <c r="L36" s="19">
        <v>6.0108044895218757</v>
      </c>
      <c r="M36" s="19">
        <v>6.4088714573577885</v>
      </c>
      <c r="N36" s="19">
        <v>6.8069378828710878</v>
      </c>
      <c r="O36" s="19">
        <v>7.207847705848657</v>
      </c>
      <c r="P36" s="19">
        <v>7.6059141313619554</v>
      </c>
      <c r="Q36" s="19">
        <v>8.0039805568752556</v>
      </c>
      <c r="R36" s="19">
        <v>8.4020469823885549</v>
      </c>
      <c r="S36" s="19">
        <v>8.8001139502244694</v>
      </c>
      <c r="T36" s="19">
        <v>8.9024738727186712</v>
      </c>
      <c r="U36" s="19">
        <v>9.004833795212873</v>
      </c>
      <c r="V36" s="19">
        <v>9.1071937177070748</v>
      </c>
      <c r="W36" s="19">
        <v>9.2095536402012748</v>
      </c>
      <c r="X36" s="19">
        <v>9.3119135626954783</v>
      </c>
      <c r="AD36" s="8">
        <v>1</v>
      </c>
      <c r="AE36" s="7" t="str">
        <f>Overview_scenarios[[#This Row],[Parameter]]&amp;Overview_scenarios[[#This Row],[Tag scenario]]</f>
        <v>Wholesale price natural gas excl margins1</v>
      </c>
    </row>
    <row r="37" spans="2:31" x14ac:dyDescent="0.2">
      <c r="B37" s="18" t="s">
        <v>101</v>
      </c>
      <c r="C37" s="18" t="s">
        <v>1</v>
      </c>
      <c r="D37" s="19">
        <v>13.111110528310139</v>
      </c>
      <c r="E37" s="19">
        <v>10.972568684253179</v>
      </c>
      <c r="F37" s="19">
        <v>9.2499997880723743</v>
      </c>
      <c r="G37" s="19">
        <v>9.0000000264909552</v>
      </c>
      <c r="H37" s="19">
        <v>8.6666663487752267</v>
      </c>
      <c r="I37" s="19">
        <v>9.0277777777777768</v>
      </c>
      <c r="J37" s="19">
        <v>9.6944444709353981</v>
      </c>
      <c r="K37" s="19">
        <v>10.888889100816513</v>
      </c>
      <c r="L37" s="19">
        <v>11.750000052981907</v>
      </c>
      <c r="M37" s="19">
        <v>12.361110581292046</v>
      </c>
      <c r="N37" s="19">
        <v>13.194444444444443</v>
      </c>
      <c r="O37" s="19">
        <v>13.305555449591743</v>
      </c>
      <c r="P37" s="19">
        <v>13.166666030883789</v>
      </c>
      <c r="Q37" s="19">
        <v>12.805555926428902</v>
      </c>
      <c r="R37" s="19">
        <v>12.44444449742635</v>
      </c>
      <c r="S37" s="19">
        <v>12.000000476837158</v>
      </c>
      <c r="T37" s="19">
        <v>12.266667154100205</v>
      </c>
      <c r="U37" s="19">
        <v>12.533333831363255</v>
      </c>
      <c r="V37" s="19">
        <v>12.800000508626301</v>
      </c>
      <c r="W37" s="19">
        <v>13.066667185889351</v>
      </c>
      <c r="X37" s="19">
        <v>13.333333863152397</v>
      </c>
      <c r="AD37" s="8">
        <v>1</v>
      </c>
      <c r="AE37" s="7" t="str">
        <f>Overview_scenarios[[#This Row],[Parameter]]&amp;Overview_scenarios[[#This Row],[Tag scenario]]</f>
        <v>Wholesale price electricity excl margins1</v>
      </c>
    </row>
    <row r="38" spans="2:31" x14ac:dyDescent="0.2">
      <c r="B38" s="18" t="s">
        <v>32</v>
      </c>
      <c r="C38" s="18" t="s">
        <v>40</v>
      </c>
      <c r="D38" s="19">
        <v>7.6807980000000002</v>
      </c>
      <c r="E38" s="19">
        <v>5.1870320000000003</v>
      </c>
      <c r="F38" s="19">
        <v>5.3865340000000002</v>
      </c>
      <c r="G38" s="19">
        <v>5.4862840000000004</v>
      </c>
      <c r="H38" s="19">
        <v>5.5860349999999999</v>
      </c>
      <c r="I38" s="19">
        <v>6.5835410000000003</v>
      </c>
      <c r="J38" s="19">
        <v>7.581048</v>
      </c>
      <c r="K38" s="19">
        <v>8.4788029999999992</v>
      </c>
      <c r="L38" s="19">
        <v>9.2768080000000008</v>
      </c>
      <c r="M38" s="19">
        <v>10.074809999999999</v>
      </c>
      <c r="N38" s="19">
        <v>10.872820000000001</v>
      </c>
      <c r="O38" s="19">
        <v>11.770569999999999</v>
      </c>
      <c r="P38" s="19">
        <v>12.86783</v>
      </c>
      <c r="Q38" s="19">
        <v>13.86534</v>
      </c>
      <c r="R38" s="19">
        <v>15.062340000000001</v>
      </c>
      <c r="S38" s="19">
        <v>16.359100000000002</v>
      </c>
      <c r="T38" s="19">
        <v>18.014960000000002</v>
      </c>
      <c r="U38" s="19">
        <v>19.670820000000003</v>
      </c>
      <c r="V38" s="19">
        <v>21.326680000000003</v>
      </c>
      <c r="W38" s="19">
        <v>22.98254</v>
      </c>
      <c r="X38" s="19">
        <v>24.638400000000001</v>
      </c>
      <c r="AD38" s="8">
        <v>1</v>
      </c>
      <c r="AE38" s="7" t="str">
        <f>Overview_scenarios[[#This Row],[Parameter]]&amp;Overview_scenarios[[#This Row],[Tag scenario]]</f>
        <v>CO21</v>
      </c>
    </row>
    <row r="39" spans="2:31" x14ac:dyDescent="0.2">
      <c r="B39" s="18" t="s">
        <v>2</v>
      </c>
      <c r="C39" s="18" t="s">
        <v>1</v>
      </c>
      <c r="D39" s="19">
        <v>8.5</v>
      </c>
      <c r="E39" s="19">
        <v>9.4</v>
      </c>
      <c r="F39" s="19">
        <v>9.1</v>
      </c>
      <c r="G39" s="19">
        <v>10</v>
      </c>
      <c r="H39" s="19">
        <v>10.379999999999999</v>
      </c>
      <c r="I39" s="19">
        <v>10.76</v>
      </c>
      <c r="J39" s="19">
        <v>10.474</v>
      </c>
      <c r="K39" s="19">
        <v>10.188000000000001</v>
      </c>
      <c r="L39" s="19">
        <v>9.9019999999999992</v>
      </c>
      <c r="M39" s="19">
        <v>9.6159999999999997</v>
      </c>
      <c r="N39" s="19">
        <v>9.33</v>
      </c>
      <c r="O39" s="19">
        <v>9.468</v>
      </c>
      <c r="P39" s="19">
        <v>9.6059999999999999</v>
      </c>
      <c r="Q39" s="19">
        <v>9.7439999999999998</v>
      </c>
      <c r="R39" s="19">
        <v>9.8819999999999997</v>
      </c>
      <c r="S39" s="19">
        <v>10.02</v>
      </c>
      <c r="T39" s="19">
        <v>10.02</v>
      </c>
      <c r="U39" s="19">
        <v>10.02</v>
      </c>
      <c r="V39" s="19">
        <v>10.02</v>
      </c>
      <c r="W39" s="19">
        <v>10.02</v>
      </c>
      <c r="X39" s="19">
        <v>10.02</v>
      </c>
      <c r="AD39" s="8">
        <v>1</v>
      </c>
      <c r="AE39" s="7" t="str">
        <f>Overview_scenarios[[#This Row],[Parameter]]&amp;Overview_scenarios[[#This Row],[Tag scenario]]</f>
        <v>Wood pellets1</v>
      </c>
    </row>
    <row r="40" spans="2:31" x14ac:dyDescent="0.2">
      <c r="B40" s="18" t="s">
        <v>3</v>
      </c>
      <c r="C40" s="18" t="s">
        <v>1</v>
      </c>
      <c r="D40" s="19">
        <v>5.3</v>
      </c>
      <c r="E40" s="19">
        <v>5.4</v>
      </c>
      <c r="F40" s="19">
        <v>5.6</v>
      </c>
      <c r="G40" s="19">
        <v>5.6</v>
      </c>
      <c r="H40" s="19">
        <v>5.6</v>
      </c>
      <c r="I40" s="19">
        <v>5.6</v>
      </c>
      <c r="J40" s="19">
        <v>5.6</v>
      </c>
      <c r="K40" s="19">
        <v>5.6</v>
      </c>
      <c r="L40" s="19">
        <v>5.6</v>
      </c>
      <c r="M40" s="19">
        <v>5.6</v>
      </c>
      <c r="N40" s="19">
        <v>5.6</v>
      </c>
      <c r="O40" s="19">
        <v>5.6</v>
      </c>
      <c r="P40" s="19">
        <v>5.6</v>
      </c>
      <c r="Q40" s="19">
        <v>5.6</v>
      </c>
      <c r="R40" s="19">
        <v>5.6</v>
      </c>
      <c r="S40" s="19">
        <v>5.6</v>
      </c>
      <c r="T40" s="19">
        <v>5.6</v>
      </c>
      <c r="U40" s="19">
        <v>5.6</v>
      </c>
      <c r="V40" s="19">
        <v>5.6</v>
      </c>
      <c r="W40" s="19">
        <v>5.6</v>
      </c>
      <c r="X40" s="19">
        <v>5.6</v>
      </c>
      <c r="AD40" s="8">
        <v>1</v>
      </c>
      <c r="AE40" s="7" t="str">
        <f>Overview_scenarios[[#This Row],[Parameter]]&amp;Overview_scenarios[[#This Row],[Tag scenario]]</f>
        <v>Wood chips1</v>
      </c>
    </row>
    <row r="41" spans="2:31" x14ac:dyDescent="0.2">
      <c r="B41" s="18" t="s">
        <v>39</v>
      </c>
      <c r="C41" s="18" t="s">
        <v>1</v>
      </c>
      <c r="D41" s="19">
        <v>2.2000000000000002</v>
      </c>
      <c r="E41" s="19">
        <v>2.2000000000000002</v>
      </c>
      <c r="F41" s="19">
        <v>1.9</v>
      </c>
      <c r="G41" s="19">
        <v>0</v>
      </c>
      <c r="H41" s="19">
        <v>0.17500000000000002</v>
      </c>
      <c r="I41" s="19">
        <v>0.35000000000000003</v>
      </c>
      <c r="J41" s="19">
        <v>0.52500000000000002</v>
      </c>
      <c r="K41" s="19">
        <v>0.70000000000000007</v>
      </c>
      <c r="L41" s="19">
        <v>0.87500000000000011</v>
      </c>
      <c r="M41" s="19">
        <v>1.05</v>
      </c>
      <c r="N41" s="19">
        <v>1.2250000000000001</v>
      </c>
      <c r="O41" s="19">
        <v>1.4000000000000001</v>
      </c>
      <c r="P41" s="19">
        <v>1.5750000000000002</v>
      </c>
      <c r="Q41" s="19">
        <v>1.7500000000000002</v>
      </c>
      <c r="R41" s="19">
        <v>1.9250000000000003</v>
      </c>
      <c r="S41" s="19">
        <v>2.1</v>
      </c>
      <c r="T41" s="19">
        <v>2.1</v>
      </c>
      <c r="U41" s="19">
        <v>2.1</v>
      </c>
      <c r="V41" s="19">
        <v>2.1</v>
      </c>
      <c r="W41" s="19">
        <v>2.1</v>
      </c>
      <c r="X41" s="19">
        <v>2.1</v>
      </c>
      <c r="AD41" s="8">
        <v>1</v>
      </c>
      <c r="AE41" s="7" t="str">
        <f>Overview_scenarios[[#This Row],[Parameter]]&amp;Overview_scenarios[[#This Row],[Tag scenario]]</f>
        <v>B-wood1</v>
      </c>
    </row>
    <row r="42" spans="2:31" x14ac:dyDescent="0.2">
      <c r="B42" s="18" t="s">
        <v>41</v>
      </c>
      <c r="C42" s="18" t="s">
        <v>1</v>
      </c>
      <c r="D42" s="19">
        <v>7.4627883331485663</v>
      </c>
      <c r="E42" s="19">
        <v>6.9987270424817334</v>
      </c>
      <c r="F42" s="19">
        <v>6.5346657518149005</v>
      </c>
      <c r="G42" s="19">
        <v>6.0706044611480685</v>
      </c>
      <c r="H42" s="19">
        <v>5.6065431704812356</v>
      </c>
      <c r="I42" s="19">
        <v>5.1424818798144027</v>
      </c>
      <c r="J42" s="19">
        <v>5.0864546149725447</v>
      </c>
      <c r="K42" s="19">
        <v>5.0304273501306866</v>
      </c>
      <c r="L42" s="19">
        <v>4.9744000852888277</v>
      </c>
      <c r="M42" s="19">
        <v>4.9183728204469697</v>
      </c>
      <c r="N42" s="19">
        <v>4.8623455556051116</v>
      </c>
      <c r="O42" s="19">
        <v>4.8063182907632536</v>
      </c>
      <c r="P42" s="19">
        <v>4.7502910259213955</v>
      </c>
      <c r="Q42" s="19">
        <v>4.6942637610795366</v>
      </c>
      <c r="R42" s="19">
        <v>4.6382364962376785</v>
      </c>
      <c r="S42" s="19">
        <v>4.5822092313958205</v>
      </c>
      <c r="T42" s="19">
        <v>4.5822092313958205</v>
      </c>
      <c r="U42" s="19">
        <v>4.5822092313958205</v>
      </c>
      <c r="V42" s="19">
        <v>4.5822092313958205</v>
      </c>
      <c r="W42" s="19">
        <v>4.5822092313958205</v>
      </c>
      <c r="X42" s="19">
        <v>4.5822092313958205</v>
      </c>
      <c r="AD42" s="8">
        <v>1</v>
      </c>
      <c r="AE42" s="7" t="str">
        <f>Overview_scenarios[[#This Row],[Parameter]]&amp;Overview_scenarios[[#This Row],[Tag scenario]]</f>
        <v>Agricultural waste streams1</v>
      </c>
    </row>
    <row r="43" spans="2:31" x14ac:dyDescent="0.2">
      <c r="B43" s="18" t="s">
        <v>42</v>
      </c>
      <c r="C43" s="18" t="s">
        <v>107</v>
      </c>
      <c r="D43" s="22">
        <v>0.18823880999999998</v>
      </c>
      <c r="E43" s="22">
        <v>0.18823880999999998</v>
      </c>
      <c r="F43" s="22">
        <v>0.1893487073508387</v>
      </c>
      <c r="G43" s="22">
        <v>0.18487948395479167</v>
      </c>
      <c r="H43" s="22">
        <v>0.18605348585868617</v>
      </c>
      <c r="I43" s="22">
        <v>0.1874511076762419</v>
      </c>
      <c r="J43" s="22">
        <v>0.1874511076762419</v>
      </c>
      <c r="K43" s="22">
        <v>0.1874511076762419</v>
      </c>
      <c r="L43" s="22">
        <v>0.18592498731734458</v>
      </c>
      <c r="M43" s="22">
        <v>0.18592498731734458</v>
      </c>
      <c r="N43" s="22">
        <v>0.18528094235275058</v>
      </c>
      <c r="O43" s="22">
        <v>0.18528094235275058</v>
      </c>
      <c r="P43" s="22">
        <v>0.18528094235275058</v>
      </c>
      <c r="Q43" s="22">
        <v>0.18528094235275058</v>
      </c>
      <c r="R43" s="22">
        <v>0.18528094235275058</v>
      </c>
      <c r="S43" s="22">
        <v>0.18689769182297636</v>
      </c>
      <c r="T43" s="22">
        <v>0.19339295361193606</v>
      </c>
      <c r="U43" s="22">
        <v>0.1998882154008958</v>
      </c>
      <c r="V43" s="22">
        <v>0.2063834771898555</v>
      </c>
      <c r="W43" s="22">
        <v>0.21287873897881526</v>
      </c>
      <c r="X43" s="22">
        <v>0.21937400076777497</v>
      </c>
      <c r="AD43" s="8">
        <v>1</v>
      </c>
      <c r="AE43" s="7" t="str">
        <f>Overview_scenarios[[#This Row],[Parameter]]&amp;Overview_scenarios[[#This Row],[Tag scenario]]</f>
        <v>CO2 intensity of power generation1</v>
      </c>
    </row>
    <row r="44" spans="2:31" x14ac:dyDescent="0.2">
      <c r="B44" s="18" t="s">
        <v>43</v>
      </c>
      <c r="C44" s="18" t="s">
        <v>6</v>
      </c>
      <c r="D44" s="23">
        <v>0.41425307320000004</v>
      </c>
      <c r="E44" s="23">
        <v>0.41425307320000004</v>
      </c>
      <c r="F44" s="23">
        <v>0.4142696022652263</v>
      </c>
      <c r="G44" s="23">
        <v>0.41444905275659949</v>
      </c>
      <c r="H44" s="23">
        <v>0.41108138234117542</v>
      </c>
      <c r="I44" s="23">
        <v>0.40836320464647224</v>
      </c>
      <c r="J44" s="23">
        <v>0.40836320464647224</v>
      </c>
      <c r="K44" s="23">
        <v>0.40836320464647224</v>
      </c>
      <c r="L44" s="23">
        <v>0.41173025271072511</v>
      </c>
      <c r="M44" s="23">
        <v>0.41173025271072511</v>
      </c>
      <c r="N44" s="23">
        <v>0.41296149923645914</v>
      </c>
      <c r="O44" s="23">
        <v>0.41296149923645914</v>
      </c>
      <c r="P44" s="23">
        <v>0.41296149923645914</v>
      </c>
      <c r="Q44" s="23">
        <v>0.41296149923645914</v>
      </c>
      <c r="R44" s="23">
        <v>0.41296149923645914</v>
      </c>
      <c r="S44" s="23">
        <v>0.40323711622094927</v>
      </c>
      <c r="T44" s="23">
        <v>0.4059441218535777</v>
      </c>
      <c r="U44" s="23">
        <v>0.40865112748620608</v>
      </c>
      <c r="V44" s="23">
        <v>0.41135813311883451</v>
      </c>
      <c r="W44" s="23">
        <v>0.41406513875146289</v>
      </c>
      <c r="X44" s="23">
        <v>0.41677214438409133</v>
      </c>
      <c r="AD44" s="8">
        <v>1</v>
      </c>
      <c r="AE44" s="7" t="str">
        <f>Overview_scenarios[[#This Row],[Parameter]]&amp;Overview_scenarios[[#This Row],[Tag scenario]]</f>
        <v>Primary energy conversion factor electricity1</v>
      </c>
    </row>
    <row r="45" spans="2:31" x14ac:dyDescent="0.2">
      <c r="B45" s="18" t="s">
        <v>54</v>
      </c>
      <c r="C45" s="18" t="s">
        <v>216</v>
      </c>
      <c r="D45" s="24">
        <v>41.666666666666664</v>
      </c>
      <c r="E45" s="24">
        <v>40.862499999999997</v>
      </c>
      <c r="F45" s="24">
        <v>40.05833333333333</v>
      </c>
      <c r="G45" s="24">
        <v>39.25416666666667</v>
      </c>
      <c r="H45" s="24">
        <v>38.450000000000003</v>
      </c>
      <c r="I45" s="24">
        <v>37.645833333333336</v>
      </c>
      <c r="J45" s="24">
        <v>36.841666666666669</v>
      </c>
      <c r="K45" s="24">
        <v>36.037500000000001</v>
      </c>
      <c r="L45" s="24">
        <v>35.233333333333334</v>
      </c>
      <c r="M45" s="24">
        <v>34.429166666666667</v>
      </c>
      <c r="N45" s="24">
        <v>33.625</v>
      </c>
      <c r="O45" s="24">
        <v>32.820833333333333</v>
      </c>
      <c r="P45" s="24">
        <v>32.016666666666666</v>
      </c>
      <c r="Q45" s="24">
        <v>31.212499999999999</v>
      </c>
      <c r="R45" s="24">
        <v>30.408333333333335</v>
      </c>
      <c r="S45" s="24">
        <v>29.604166666666668</v>
      </c>
      <c r="T45" s="24">
        <v>28.8</v>
      </c>
      <c r="U45" s="24">
        <v>27.995833333333334</v>
      </c>
      <c r="V45" s="24">
        <v>27.191666666666666</v>
      </c>
      <c r="W45" s="24">
        <v>26.387499999999999</v>
      </c>
      <c r="X45" s="24">
        <v>25.583333333333332</v>
      </c>
      <c r="AD45" s="8">
        <v>1</v>
      </c>
      <c r="AE45" s="7" t="str">
        <f>Overview_scenarios[[#This Row],[Parameter]]&amp;Overview_scenarios[[#This Row],[Tag scenario]]</f>
        <v>H21</v>
      </c>
    </row>
    <row r="46" spans="2:31" x14ac:dyDescent="0.2">
      <c r="B46" s="18" t="s">
        <v>85</v>
      </c>
      <c r="C46" s="18" t="s">
        <v>217</v>
      </c>
      <c r="D46" s="19">
        <v>1.3204225352112677</v>
      </c>
      <c r="E46" s="19">
        <v>1.3268651765666464</v>
      </c>
      <c r="F46" s="19">
        <v>1.333307817922025</v>
      </c>
      <c r="G46" s="19">
        <v>1.3397504592774037</v>
      </c>
      <c r="H46" s="19">
        <v>1.3461931006327823</v>
      </c>
      <c r="I46" s="19">
        <v>1.3526357419881612</v>
      </c>
      <c r="J46" s="19">
        <v>1.3590783833435396</v>
      </c>
      <c r="K46" s="19">
        <v>1.3655210246989182</v>
      </c>
      <c r="L46" s="19">
        <v>1.3719636660542969</v>
      </c>
      <c r="M46" s="19">
        <v>1.3784063074096755</v>
      </c>
      <c r="N46" s="19">
        <v>1.3848489487650542</v>
      </c>
      <c r="O46" s="19">
        <v>1.3912915901204328</v>
      </c>
      <c r="P46" s="19">
        <v>1.3977342314758114</v>
      </c>
      <c r="Q46" s="19">
        <v>1.4041768728311901</v>
      </c>
      <c r="R46" s="19">
        <v>1.4106195141865687</v>
      </c>
      <c r="S46" s="19">
        <v>1.4170621555419474</v>
      </c>
      <c r="T46" s="19">
        <v>1.423504796897326</v>
      </c>
      <c r="U46" s="19">
        <v>1.4299474382527047</v>
      </c>
      <c r="V46" s="19">
        <v>1.4363900796080835</v>
      </c>
      <c r="W46" s="19">
        <v>1.4428327209634619</v>
      </c>
      <c r="X46" s="19">
        <v>1.4492753623188406</v>
      </c>
      <c r="AD46" s="8">
        <v>1</v>
      </c>
      <c r="AE46" s="7" t="str">
        <f>Overview_scenarios[[#This Row],[Parameter]]&amp;Overview_scenarios[[#This Row],[Tag scenario]]</f>
        <v>Primary energy consumption H2 generation1</v>
      </c>
    </row>
    <row r="47" spans="2:31" x14ac:dyDescent="0.2">
      <c r="B47" s="18" t="s">
        <v>84</v>
      </c>
      <c r="C47" s="18" t="s">
        <v>215</v>
      </c>
      <c r="D47" s="19">
        <v>7.4999999999999997E-2</v>
      </c>
      <c r="E47" s="19">
        <v>7.1661594202898554E-2</v>
      </c>
      <c r="F47" s="19">
        <v>6.8323188405797097E-2</v>
      </c>
      <c r="G47" s="19">
        <v>6.4984782608695654E-2</v>
      </c>
      <c r="H47" s="19">
        <v>6.1646376811594204E-2</v>
      </c>
      <c r="I47" s="19">
        <v>5.8307971014492761E-2</v>
      </c>
      <c r="J47" s="19">
        <v>5.4969565217391304E-2</v>
      </c>
      <c r="K47" s="19">
        <v>5.1631159420289854E-2</v>
      </c>
      <c r="L47" s="19">
        <v>4.8292753623188404E-2</v>
      </c>
      <c r="M47" s="19">
        <v>4.4954347826086961E-2</v>
      </c>
      <c r="N47" s="19">
        <v>4.1615942028985511E-2</v>
      </c>
      <c r="O47" s="19">
        <v>3.8277536231884055E-2</v>
      </c>
      <c r="P47" s="19">
        <v>3.4939130434782611E-2</v>
      </c>
      <c r="Q47" s="19">
        <v>3.1600724637681162E-2</v>
      </c>
      <c r="R47" s="19">
        <v>2.8262318840579712E-2</v>
      </c>
      <c r="S47" s="19">
        <v>2.4923913043478265E-2</v>
      </c>
      <c r="T47" s="19">
        <v>2.1585507246376815E-2</v>
      </c>
      <c r="U47" s="19">
        <v>1.8247101449275365E-2</v>
      </c>
      <c r="V47" s="19">
        <v>1.490869565217392E-2</v>
      </c>
      <c r="W47" s="19">
        <v>1.1570289855072469E-2</v>
      </c>
      <c r="X47" s="19">
        <v>8.2318840579710152E-3</v>
      </c>
      <c r="AD47" s="8">
        <v>1</v>
      </c>
      <c r="AE47" s="7" t="str">
        <f>Overview_scenarios[[#This Row],[Parameter]]&amp;Overview_scenarios[[#This Row],[Tag scenario]]</f>
        <v>CO2 intensity of H2 generation1</v>
      </c>
    </row>
    <row r="48" spans="2:31" x14ac:dyDescent="0.2">
      <c r="B48" s="18" t="s">
        <v>100</v>
      </c>
      <c r="C48" s="18" t="s">
        <v>1</v>
      </c>
      <c r="D48" s="14">
        <f>D36</f>
        <v>5.9340349272770538</v>
      </c>
      <c r="E48" s="14">
        <f t="shared" ref="E48:G48" si="0">E36</f>
        <v>4.1862929338246184</v>
      </c>
      <c r="F48" s="14">
        <f t="shared" si="0"/>
        <v>4.5351151007293531</v>
      </c>
      <c r="G48" s="14">
        <f t="shared" si="0"/>
        <v>4.5066819395705782</v>
      </c>
      <c r="H48" s="11">
        <v>6.8239977253340909</v>
      </c>
      <c r="I48" s="37">
        <f>$H48+(I$35-$H$35)*(($N48-$H48)/($N$35-$H$35))</f>
        <v>7.1083309638896779</v>
      </c>
      <c r="J48" s="37">
        <f t="shared" ref="J48:M50" si="1">$H48+(J$35-$H$35)*(($N48-$H48)/($N$35-$H$35))</f>
        <v>7.3926642024452649</v>
      </c>
      <c r="K48" s="37">
        <f t="shared" si="1"/>
        <v>7.6769974410008519</v>
      </c>
      <c r="L48" s="37">
        <f t="shared" si="1"/>
        <v>7.9613306795564398</v>
      </c>
      <c r="M48" s="37">
        <f t="shared" si="1"/>
        <v>8.2456639181120259</v>
      </c>
      <c r="N48" s="11">
        <v>8.5299971566676138</v>
      </c>
      <c r="O48" s="38">
        <f>$N48+(O$35-$N$35)*(($X48-$N48)/($X$35-$N$35))</f>
        <v>8.6152971282342907</v>
      </c>
      <c r="P48" s="38">
        <f t="shared" ref="P48:W50" si="2">$N48+(P$35-$N$35)*(($X48-$N48)/($X$35-$N$35))</f>
        <v>8.7005970998009659</v>
      </c>
      <c r="Q48" s="38">
        <f t="shared" si="2"/>
        <v>8.7858970713676428</v>
      </c>
      <c r="R48" s="38">
        <f t="shared" si="2"/>
        <v>8.8711970429343179</v>
      </c>
      <c r="S48" s="38">
        <f t="shared" si="2"/>
        <v>8.9564970145009948</v>
      </c>
      <c r="T48" s="38">
        <f t="shared" si="2"/>
        <v>9.0417969860676717</v>
      </c>
      <c r="U48" s="38">
        <f t="shared" si="2"/>
        <v>9.1270969576343468</v>
      </c>
      <c r="V48" s="38">
        <f t="shared" si="2"/>
        <v>9.2123969292010237</v>
      </c>
      <c r="W48" s="38">
        <f t="shared" si="2"/>
        <v>9.2976969007676988</v>
      </c>
      <c r="X48" s="11">
        <v>9.3829968723343757</v>
      </c>
      <c r="Y48" s="5"/>
      <c r="AD48" s="8">
        <v>2</v>
      </c>
      <c r="AE48" s="7" t="str">
        <f>Overview_scenarios[[#This Row],[Parameter]]&amp;Overview_scenarios[[#This Row],[Tag scenario]]</f>
        <v>Wholesale price natural gas excl margins2</v>
      </c>
    </row>
    <row r="49" spans="2:31" x14ac:dyDescent="0.2">
      <c r="B49" s="18" t="s">
        <v>101</v>
      </c>
      <c r="C49" s="18" t="s">
        <v>1</v>
      </c>
      <c r="D49" s="14">
        <f>D37</f>
        <v>13.111110528310139</v>
      </c>
      <c r="E49" s="14">
        <f t="shared" ref="E49:G49" si="3">E37</f>
        <v>10.972568684253179</v>
      </c>
      <c r="F49" s="14">
        <f t="shared" si="3"/>
        <v>9.2499997880723743</v>
      </c>
      <c r="G49" s="14">
        <f t="shared" si="3"/>
        <v>9.0000000264909552</v>
      </c>
      <c r="H49" s="11">
        <v>14.166666666666666</v>
      </c>
      <c r="I49" s="37">
        <f>$H49+(I$35-$H$35)*(($N49-$H49)/($N$35-$H$35))</f>
        <v>15.046296296296296</v>
      </c>
      <c r="J49" s="37">
        <f t="shared" si="1"/>
        <v>15.925925925925926</v>
      </c>
      <c r="K49" s="37">
        <f t="shared" si="1"/>
        <v>16.805555555555554</v>
      </c>
      <c r="L49" s="37">
        <f t="shared" si="1"/>
        <v>17.685185185185183</v>
      </c>
      <c r="M49" s="37">
        <f t="shared" si="1"/>
        <v>18.564814814814813</v>
      </c>
      <c r="N49" s="11">
        <v>19.444444444444443</v>
      </c>
      <c r="O49" s="38">
        <f t="shared" ref="O49:O50" si="4">$N49+(O$35-$N$35)*(($X49-$N49)/($X$35-$N$35))</f>
        <v>20</v>
      </c>
      <c r="P49" s="38">
        <f t="shared" si="2"/>
        <v>20.555555555555554</v>
      </c>
      <c r="Q49" s="38">
        <f t="shared" si="2"/>
        <v>21.111111111111111</v>
      </c>
      <c r="R49" s="38">
        <f t="shared" si="2"/>
        <v>21.666666666666664</v>
      </c>
      <c r="S49" s="38">
        <f t="shared" si="2"/>
        <v>22.222222222222221</v>
      </c>
      <c r="T49" s="38">
        <f t="shared" si="2"/>
        <v>22.777777777777779</v>
      </c>
      <c r="U49" s="38">
        <f t="shared" si="2"/>
        <v>23.333333333333332</v>
      </c>
      <c r="V49" s="38">
        <f t="shared" si="2"/>
        <v>23.888888888888889</v>
      </c>
      <c r="W49" s="38">
        <f t="shared" si="2"/>
        <v>24.444444444444443</v>
      </c>
      <c r="X49" s="11">
        <v>25</v>
      </c>
      <c r="Y49" s="5"/>
      <c r="AD49" s="8">
        <v>2</v>
      </c>
      <c r="AE49" s="7" t="str">
        <f>Overview_scenarios[[#This Row],[Parameter]]&amp;Overview_scenarios[[#This Row],[Tag scenario]]</f>
        <v>Wholesale price electricity excl margins2</v>
      </c>
    </row>
    <row r="50" spans="2:31" x14ac:dyDescent="0.2">
      <c r="B50" s="18" t="s">
        <v>32</v>
      </c>
      <c r="C50" s="18" t="s">
        <v>40</v>
      </c>
      <c r="D50" s="14">
        <f t="shared" ref="D50:G50" si="5">D38</f>
        <v>7.6807980000000002</v>
      </c>
      <c r="E50" s="14">
        <f t="shared" si="5"/>
        <v>5.1870320000000003</v>
      </c>
      <c r="F50" s="14">
        <f t="shared" si="5"/>
        <v>5.3865340000000002</v>
      </c>
      <c r="G50" s="14">
        <f t="shared" si="5"/>
        <v>5.4862840000000004</v>
      </c>
      <c r="H50" s="11">
        <v>20</v>
      </c>
      <c r="I50" s="37">
        <f>$H50+(I$35-$H$35)*(($N50-$H50)/($N$35-$H$35))</f>
        <v>22.5</v>
      </c>
      <c r="J50" s="37">
        <f t="shared" si="1"/>
        <v>25</v>
      </c>
      <c r="K50" s="37">
        <f t="shared" si="1"/>
        <v>27.5</v>
      </c>
      <c r="L50" s="37">
        <f t="shared" si="1"/>
        <v>30</v>
      </c>
      <c r="M50" s="37">
        <f t="shared" si="1"/>
        <v>32.5</v>
      </c>
      <c r="N50" s="11">
        <v>35</v>
      </c>
      <c r="O50" s="38">
        <f t="shared" si="4"/>
        <v>43</v>
      </c>
      <c r="P50" s="38">
        <f t="shared" si="2"/>
        <v>51</v>
      </c>
      <c r="Q50" s="38">
        <f t="shared" si="2"/>
        <v>59</v>
      </c>
      <c r="R50" s="38">
        <f t="shared" si="2"/>
        <v>67</v>
      </c>
      <c r="S50" s="38">
        <f t="shared" si="2"/>
        <v>75</v>
      </c>
      <c r="T50" s="38">
        <f t="shared" si="2"/>
        <v>83</v>
      </c>
      <c r="U50" s="38">
        <f t="shared" si="2"/>
        <v>91</v>
      </c>
      <c r="V50" s="38">
        <f t="shared" si="2"/>
        <v>99</v>
      </c>
      <c r="W50" s="38">
        <f t="shared" si="2"/>
        <v>107</v>
      </c>
      <c r="X50" s="11">
        <v>115</v>
      </c>
      <c r="Y50" s="5"/>
      <c r="AD50" s="8">
        <v>2</v>
      </c>
      <c r="AE50" s="7" t="str">
        <f>Overview_scenarios[[#This Row],[Parameter]]&amp;Overview_scenarios[[#This Row],[Tag scenario]]</f>
        <v>CO22</v>
      </c>
    </row>
    <row r="51" spans="2:31" x14ac:dyDescent="0.2">
      <c r="B51" s="18" t="s">
        <v>2</v>
      </c>
      <c r="C51" s="18" t="s">
        <v>1</v>
      </c>
      <c r="D51" s="14">
        <f t="shared" ref="D51:G51" si="6">D39</f>
        <v>8.5</v>
      </c>
      <c r="E51" s="14">
        <f t="shared" si="6"/>
        <v>9.4</v>
      </c>
      <c r="F51" s="14">
        <f t="shared" si="6"/>
        <v>9.1</v>
      </c>
      <c r="G51" s="14">
        <f t="shared" si="6"/>
        <v>10</v>
      </c>
      <c r="H51" s="14">
        <f t="shared" ref="H51:X51" si="7">H39</f>
        <v>10.379999999999999</v>
      </c>
      <c r="I51" s="14">
        <f t="shared" si="7"/>
        <v>10.76</v>
      </c>
      <c r="J51" s="14">
        <f t="shared" si="7"/>
        <v>10.474</v>
      </c>
      <c r="K51" s="14">
        <f t="shared" si="7"/>
        <v>10.188000000000001</v>
      </c>
      <c r="L51" s="14">
        <f t="shared" si="7"/>
        <v>9.9019999999999992</v>
      </c>
      <c r="M51" s="14">
        <f t="shared" si="7"/>
        <v>9.6159999999999997</v>
      </c>
      <c r="N51" s="14">
        <f t="shared" si="7"/>
        <v>9.33</v>
      </c>
      <c r="O51" s="14">
        <f t="shared" si="7"/>
        <v>9.468</v>
      </c>
      <c r="P51" s="14">
        <f t="shared" si="7"/>
        <v>9.6059999999999999</v>
      </c>
      <c r="Q51" s="14">
        <f t="shared" si="7"/>
        <v>9.7439999999999998</v>
      </c>
      <c r="R51" s="14">
        <f t="shared" si="7"/>
        <v>9.8819999999999997</v>
      </c>
      <c r="S51" s="14">
        <f t="shared" si="7"/>
        <v>10.02</v>
      </c>
      <c r="T51" s="14">
        <f t="shared" si="7"/>
        <v>10.02</v>
      </c>
      <c r="U51" s="14">
        <f t="shared" si="7"/>
        <v>10.02</v>
      </c>
      <c r="V51" s="14">
        <f t="shared" si="7"/>
        <v>10.02</v>
      </c>
      <c r="W51" s="14">
        <f t="shared" si="7"/>
        <v>10.02</v>
      </c>
      <c r="X51" s="14">
        <f t="shared" si="7"/>
        <v>10.02</v>
      </c>
      <c r="Y51" s="5"/>
      <c r="AD51" s="8">
        <v>2</v>
      </c>
      <c r="AE51" s="7" t="str">
        <f>Overview_scenarios[[#This Row],[Parameter]]&amp;Overview_scenarios[[#This Row],[Tag scenario]]</f>
        <v>Wood pellets2</v>
      </c>
    </row>
    <row r="52" spans="2:31" x14ac:dyDescent="0.2">
      <c r="B52" s="18" t="s">
        <v>3</v>
      </c>
      <c r="C52" s="18" t="s">
        <v>1</v>
      </c>
      <c r="D52" s="14">
        <f t="shared" ref="D52:G52" si="8">D40</f>
        <v>5.3</v>
      </c>
      <c r="E52" s="14">
        <f t="shared" si="8"/>
        <v>5.4</v>
      </c>
      <c r="F52" s="14">
        <f t="shared" si="8"/>
        <v>5.6</v>
      </c>
      <c r="G52" s="14">
        <f t="shared" si="8"/>
        <v>5.6</v>
      </c>
      <c r="H52" s="14">
        <f t="shared" ref="H52:X52" si="9">H40</f>
        <v>5.6</v>
      </c>
      <c r="I52" s="14">
        <f t="shared" si="9"/>
        <v>5.6</v>
      </c>
      <c r="J52" s="14">
        <f t="shared" si="9"/>
        <v>5.6</v>
      </c>
      <c r="K52" s="14">
        <f t="shared" si="9"/>
        <v>5.6</v>
      </c>
      <c r="L52" s="14">
        <f t="shared" si="9"/>
        <v>5.6</v>
      </c>
      <c r="M52" s="14">
        <f t="shared" si="9"/>
        <v>5.6</v>
      </c>
      <c r="N52" s="14">
        <f t="shared" si="9"/>
        <v>5.6</v>
      </c>
      <c r="O52" s="14">
        <f t="shared" si="9"/>
        <v>5.6</v>
      </c>
      <c r="P52" s="14">
        <f t="shared" si="9"/>
        <v>5.6</v>
      </c>
      <c r="Q52" s="14">
        <f t="shared" si="9"/>
        <v>5.6</v>
      </c>
      <c r="R52" s="14">
        <f t="shared" si="9"/>
        <v>5.6</v>
      </c>
      <c r="S52" s="14">
        <f t="shared" si="9"/>
        <v>5.6</v>
      </c>
      <c r="T52" s="14">
        <f t="shared" si="9"/>
        <v>5.6</v>
      </c>
      <c r="U52" s="14">
        <f t="shared" si="9"/>
        <v>5.6</v>
      </c>
      <c r="V52" s="14">
        <f t="shared" si="9"/>
        <v>5.6</v>
      </c>
      <c r="W52" s="14">
        <f t="shared" si="9"/>
        <v>5.6</v>
      </c>
      <c r="X52" s="14">
        <f t="shared" si="9"/>
        <v>5.6</v>
      </c>
      <c r="Y52" s="5"/>
      <c r="AD52" s="8">
        <v>2</v>
      </c>
      <c r="AE52" s="7" t="str">
        <f>Overview_scenarios[[#This Row],[Parameter]]&amp;Overview_scenarios[[#This Row],[Tag scenario]]</f>
        <v>Wood chips2</v>
      </c>
    </row>
    <row r="53" spans="2:31" x14ac:dyDescent="0.2">
      <c r="B53" s="18" t="s">
        <v>39</v>
      </c>
      <c r="C53" s="18" t="s">
        <v>1</v>
      </c>
      <c r="D53" s="14">
        <f t="shared" ref="D53:G53" si="10">D41</f>
        <v>2.2000000000000002</v>
      </c>
      <c r="E53" s="14">
        <f t="shared" si="10"/>
        <v>2.2000000000000002</v>
      </c>
      <c r="F53" s="14">
        <f t="shared" si="10"/>
        <v>1.9</v>
      </c>
      <c r="G53" s="14">
        <f t="shared" si="10"/>
        <v>0</v>
      </c>
      <c r="H53" s="14">
        <f t="shared" ref="H53:X53" si="11">H41</f>
        <v>0.17500000000000002</v>
      </c>
      <c r="I53" s="14">
        <f t="shared" si="11"/>
        <v>0.35000000000000003</v>
      </c>
      <c r="J53" s="14">
        <f t="shared" si="11"/>
        <v>0.52500000000000002</v>
      </c>
      <c r="K53" s="14">
        <f t="shared" si="11"/>
        <v>0.70000000000000007</v>
      </c>
      <c r="L53" s="14">
        <f t="shared" si="11"/>
        <v>0.87500000000000011</v>
      </c>
      <c r="M53" s="14">
        <f t="shared" si="11"/>
        <v>1.05</v>
      </c>
      <c r="N53" s="14">
        <f t="shared" si="11"/>
        <v>1.2250000000000001</v>
      </c>
      <c r="O53" s="14">
        <f t="shared" si="11"/>
        <v>1.4000000000000001</v>
      </c>
      <c r="P53" s="14">
        <f t="shared" si="11"/>
        <v>1.5750000000000002</v>
      </c>
      <c r="Q53" s="14">
        <f t="shared" si="11"/>
        <v>1.7500000000000002</v>
      </c>
      <c r="R53" s="14">
        <f t="shared" si="11"/>
        <v>1.9250000000000003</v>
      </c>
      <c r="S53" s="14">
        <f t="shared" si="11"/>
        <v>2.1</v>
      </c>
      <c r="T53" s="14">
        <f t="shared" si="11"/>
        <v>2.1</v>
      </c>
      <c r="U53" s="14">
        <f t="shared" si="11"/>
        <v>2.1</v>
      </c>
      <c r="V53" s="14">
        <f t="shared" si="11"/>
        <v>2.1</v>
      </c>
      <c r="W53" s="14">
        <f t="shared" si="11"/>
        <v>2.1</v>
      </c>
      <c r="X53" s="14">
        <f t="shared" si="11"/>
        <v>2.1</v>
      </c>
      <c r="Y53" s="5"/>
      <c r="AD53" s="8">
        <v>2</v>
      </c>
      <c r="AE53" s="7" t="str">
        <f>Overview_scenarios[[#This Row],[Parameter]]&amp;Overview_scenarios[[#This Row],[Tag scenario]]</f>
        <v>B-wood2</v>
      </c>
    </row>
    <row r="54" spans="2:31" x14ac:dyDescent="0.2">
      <c r="B54" s="18" t="s">
        <v>41</v>
      </c>
      <c r="C54" s="18" t="s">
        <v>1</v>
      </c>
      <c r="D54" s="14">
        <f t="shared" ref="D54:G54" si="12">D42</f>
        <v>7.4627883331485663</v>
      </c>
      <c r="E54" s="14">
        <f t="shared" si="12"/>
        <v>6.9987270424817334</v>
      </c>
      <c r="F54" s="14">
        <f t="shared" si="12"/>
        <v>6.5346657518149005</v>
      </c>
      <c r="G54" s="14">
        <f t="shared" si="12"/>
        <v>6.0706044611480685</v>
      </c>
      <c r="H54" s="14">
        <f t="shared" ref="H54:X54" si="13">H42</f>
        <v>5.6065431704812356</v>
      </c>
      <c r="I54" s="14">
        <f t="shared" si="13"/>
        <v>5.1424818798144027</v>
      </c>
      <c r="J54" s="14">
        <f t="shared" si="13"/>
        <v>5.0864546149725447</v>
      </c>
      <c r="K54" s="14">
        <f t="shared" si="13"/>
        <v>5.0304273501306866</v>
      </c>
      <c r="L54" s="14">
        <f t="shared" si="13"/>
        <v>4.9744000852888277</v>
      </c>
      <c r="M54" s="14">
        <f t="shared" si="13"/>
        <v>4.9183728204469697</v>
      </c>
      <c r="N54" s="14">
        <f t="shared" si="13"/>
        <v>4.8623455556051116</v>
      </c>
      <c r="O54" s="14">
        <f t="shared" si="13"/>
        <v>4.8063182907632536</v>
      </c>
      <c r="P54" s="14">
        <f t="shared" si="13"/>
        <v>4.7502910259213955</v>
      </c>
      <c r="Q54" s="14">
        <f t="shared" si="13"/>
        <v>4.6942637610795366</v>
      </c>
      <c r="R54" s="14">
        <f t="shared" si="13"/>
        <v>4.6382364962376785</v>
      </c>
      <c r="S54" s="14">
        <f t="shared" si="13"/>
        <v>4.5822092313958205</v>
      </c>
      <c r="T54" s="14">
        <f t="shared" si="13"/>
        <v>4.5822092313958205</v>
      </c>
      <c r="U54" s="14">
        <f t="shared" si="13"/>
        <v>4.5822092313958205</v>
      </c>
      <c r="V54" s="14">
        <f t="shared" si="13"/>
        <v>4.5822092313958205</v>
      </c>
      <c r="W54" s="14">
        <f t="shared" si="13"/>
        <v>4.5822092313958205</v>
      </c>
      <c r="X54" s="14">
        <f t="shared" si="13"/>
        <v>4.5822092313958205</v>
      </c>
      <c r="Y54" s="5"/>
      <c r="AD54" s="8">
        <v>2</v>
      </c>
      <c r="AE54" s="7" t="str">
        <f>Overview_scenarios[[#This Row],[Parameter]]&amp;Overview_scenarios[[#This Row],[Tag scenario]]</f>
        <v>Agricultural waste streams2</v>
      </c>
    </row>
    <row r="55" spans="2:31" x14ac:dyDescent="0.2">
      <c r="B55" s="18" t="s">
        <v>42</v>
      </c>
      <c r="C55" s="18" t="s">
        <v>107</v>
      </c>
      <c r="D55" s="14">
        <f t="shared" ref="D55:G55" si="14">D43</f>
        <v>0.18823880999999998</v>
      </c>
      <c r="E55" s="14">
        <f t="shared" si="14"/>
        <v>0.18823880999999998</v>
      </c>
      <c r="F55" s="14">
        <f t="shared" si="14"/>
        <v>0.1893487073508387</v>
      </c>
      <c r="G55" s="14">
        <f t="shared" si="14"/>
        <v>0.18487948395479167</v>
      </c>
      <c r="H55" s="14">
        <f t="shared" ref="H55:X55" si="15">H43</f>
        <v>0.18605348585868617</v>
      </c>
      <c r="I55" s="14">
        <f t="shared" si="15"/>
        <v>0.1874511076762419</v>
      </c>
      <c r="J55" s="14">
        <f t="shared" si="15"/>
        <v>0.1874511076762419</v>
      </c>
      <c r="K55" s="14">
        <f t="shared" si="15"/>
        <v>0.1874511076762419</v>
      </c>
      <c r="L55" s="14">
        <f t="shared" si="15"/>
        <v>0.18592498731734458</v>
      </c>
      <c r="M55" s="14">
        <f t="shared" si="15"/>
        <v>0.18592498731734458</v>
      </c>
      <c r="N55" s="14">
        <f t="shared" si="15"/>
        <v>0.18528094235275058</v>
      </c>
      <c r="O55" s="14">
        <f t="shared" si="15"/>
        <v>0.18528094235275058</v>
      </c>
      <c r="P55" s="14">
        <f t="shared" si="15"/>
        <v>0.18528094235275058</v>
      </c>
      <c r="Q55" s="14">
        <f t="shared" si="15"/>
        <v>0.18528094235275058</v>
      </c>
      <c r="R55" s="14">
        <f t="shared" si="15"/>
        <v>0.18528094235275058</v>
      </c>
      <c r="S55" s="14">
        <f t="shared" si="15"/>
        <v>0.18689769182297636</v>
      </c>
      <c r="T55" s="14">
        <f t="shared" si="15"/>
        <v>0.19339295361193606</v>
      </c>
      <c r="U55" s="14">
        <f t="shared" si="15"/>
        <v>0.1998882154008958</v>
      </c>
      <c r="V55" s="14">
        <f t="shared" si="15"/>
        <v>0.2063834771898555</v>
      </c>
      <c r="W55" s="14">
        <f t="shared" si="15"/>
        <v>0.21287873897881526</v>
      </c>
      <c r="X55" s="14">
        <f t="shared" si="15"/>
        <v>0.21937400076777497</v>
      </c>
      <c r="Y55" s="5"/>
      <c r="AD55" s="8">
        <v>2</v>
      </c>
      <c r="AE55" s="7" t="str">
        <f>Overview_scenarios[[#This Row],[Parameter]]&amp;Overview_scenarios[[#This Row],[Tag scenario]]</f>
        <v>CO2 intensity of power generation2</v>
      </c>
    </row>
    <row r="56" spans="2:31" x14ac:dyDescent="0.2">
      <c r="B56" s="18" t="s">
        <v>43</v>
      </c>
      <c r="C56" s="18" t="s">
        <v>6</v>
      </c>
      <c r="D56" s="14">
        <f t="shared" ref="D56:G56" si="16">D44</f>
        <v>0.41425307320000004</v>
      </c>
      <c r="E56" s="14">
        <f t="shared" si="16"/>
        <v>0.41425307320000004</v>
      </c>
      <c r="F56" s="14">
        <f t="shared" si="16"/>
        <v>0.4142696022652263</v>
      </c>
      <c r="G56" s="14">
        <f t="shared" si="16"/>
        <v>0.41444905275659949</v>
      </c>
      <c r="H56" s="14">
        <f t="shared" ref="H56:X56" si="17">H44</f>
        <v>0.41108138234117542</v>
      </c>
      <c r="I56" s="14">
        <f t="shared" si="17"/>
        <v>0.40836320464647224</v>
      </c>
      <c r="J56" s="14">
        <f t="shared" si="17"/>
        <v>0.40836320464647224</v>
      </c>
      <c r="K56" s="14">
        <f t="shared" si="17"/>
        <v>0.40836320464647224</v>
      </c>
      <c r="L56" s="14">
        <f t="shared" si="17"/>
        <v>0.41173025271072511</v>
      </c>
      <c r="M56" s="14">
        <f t="shared" si="17"/>
        <v>0.41173025271072511</v>
      </c>
      <c r="N56" s="14">
        <f t="shared" si="17"/>
        <v>0.41296149923645914</v>
      </c>
      <c r="O56" s="14">
        <f t="shared" si="17"/>
        <v>0.41296149923645914</v>
      </c>
      <c r="P56" s="14">
        <f t="shared" si="17"/>
        <v>0.41296149923645914</v>
      </c>
      <c r="Q56" s="14">
        <f t="shared" si="17"/>
        <v>0.41296149923645914</v>
      </c>
      <c r="R56" s="14">
        <f t="shared" si="17"/>
        <v>0.41296149923645914</v>
      </c>
      <c r="S56" s="14">
        <f t="shared" si="17"/>
        <v>0.40323711622094927</v>
      </c>
      <c r="T56" s="14">
        <f t="shared" si="17"/>
        <v>0.4059441218535777</v>
      </c>
      <c r="U56" s="14">
        <f t="shared" si="17"/>
        <v>0.40865112748620608</v>
      </c>
      <c r="V56" s="14">
        <f t="shared" si="17"/>
        <v>0.41135813311883451</v>
      </c>
      <c r="W56" s="14">
        <f t="shared" si="17"/>
        <v>0.41406513875146289</v>
      </c>
      <c r="X56" s="14">
        <f t="shared" si="17"/>
        <v>0.41677214438409133</v>
      </c>
      <c r="Y56" s="5"/>
      <c r="AD56" s="8">
        <v>2</v>
      </c>
      <c r="AE56" s="7" t="str">
        <f>Overview_scenarios[[#This Row],[Parameter]]&amp;Overview_scenarios[[#This Row],[Tag scenario]]</f>
        <v>Primary energy conversion factor electricity2</v>
      </c>
    </row>
    <row r="57" spans="2:31" x14ac:dyDescent="0.2">
      <c r="B57" s="18" t="s">
        <v>54</v>
      </c>
      <c r="C57" s="18" t="s">
        <v>216</v>
      </c>
      <c r="D57" s="14">
        <f t="shared" ref="D57:G57" si="18">D45</f>
        <v>41.666666666666664</v>
      </c>
      <c r="E57" s="14">
        <f t="shared" si="18"/>
        <v>40.862499999999997</v>
      </c>
      <c r="F57" s="14">
        <f t="shared" si="18"/>
        <v>40.05833333333333</v>
      </c>
      <c r="G57" s="14">
        <f t="shared" si="18"/>
        <v>39.25416666666667</v>
      </c>
      <c r="H57" s="14">
        <f t="shared" ref="H57:X57" si="19">H45</f>
        <v>38.450000000000003</v>
      </c>
      <c r="I57" s="14">
        <f t="shared" si="19"/>
        <v>37.645833333333336</v>
      </c>
      <c r="J57" s="14">
        <f t="shared" si="19"/>
        <v>36.841666666666669</v>
      </c>
      <c r="K57" s="14">
        <f t="shared" si="19"/>
        <v>36.037500000000001</v>
      </c>
      <c r="L57" s="14">
        <f t="shared" si="19"/>
        <v>35.233333333333334</v>
      </c>
      <c r="M57" s="14">
        <f t="shared" si="19"/>
        <v>34.429166666666667</v>
      </c>
      <c r="N57" s="14">
        <f t="shared" si="19"/>
        <v>33.625</v>
      </c>
      <c r="O57" s="14">
        <f t="shared" si="19"/>
        <v>32.820833333333333</v>
      </c>
      <c r="P57" s="14">
        <f t="shared" si="19"/>
        <v>32.016666666666666</v>
      </c>
      <c r="Q57" s="14">
        <f t="shared" si="19"/>
        <v>31.212499999999999</v>
      </c>
      <c r="R57" s="14">
        <f t="shared" si="19"/>
        <v>30.408333333333335</v>
      </c>
      <c r="S57" s="14">
        <f t="shared" si="19"/>
        <v>29.604166666666668</v>
      </c>
      <c r="T57" s="14">
        <f t="shared" si="19"/>
        <v>28.8</v>
      </c>
      <c r="U57" s="14">
        <f t="shared" si="19"/>
        <v>27.995833333333334</v>
      </c>
      <c r="V57" s="14">
        <f t="shared" si="19"/>
        <v>27.191666666666666</v>
      </c>
      <c r="W57" s="14">
        <f t="shared" si="19"/>
        <v>26.387499999999999</v>
      </c>
      <c r="X57" s="14">
        <f t="shared" si="19"/>
        <v>25.583333333333332</v>
      </c>
      <c r="Y57" s="5"/>
      <c r="AD57" s="8">
        <v>2</v>
      </c>
      <c r="AE57" s="7" t="str">
        <f>Overview_scenarios[[#This Row],[Parameter]]&amp;Overview_scenarios[[#This Row],[Tag scenario]]</f>
        <v>H22</v>
      </c>
    </row>
    <row r="58" spans="2:31" x14ac:dyDescent="0.2">
      <c r="B58" s="18" t="s">
        <v>85</v>
      </c>
      <c r="C58" s="18" t="s">
        <v>217</v>
      </c>
      <c r="D58" s="14">
        <f t="shared" ref="D58:G58" si="20">D46</f>
        <v>1.3204225352112677</v>
      </c>
      <c r="E58" s="14">
        <f t="shared" si="20"/>
        <v>1.3268651765666464</v>
      </c>
      <c r="F58" s="14">
        <f t="shared" si="20"/>
        <v>1.333307817922025</v>
      </c>
      <c r="G58" s="14">
        <f t="shared" si="20"/>
        <v>1.3397504592774037</v>
      </c>
      <c r="H58" s="14">
        <f t="shared" ref="H58:X58" si="21">H46</f>
        <v>1.3461931006327823</v>
      </c>
      <c r="I58" s="14">
        <f t="shared" si="21"/>
        <v>1.3526357419881612</v>
      </c>
      <c r="J58" s="14">
        <f t="shared" si="21"/>
        <v>1.3590783833435396</v>
      </c>
      <c r="K58" s="14">
        <f t="shared" si="21"/>
        <v>1.3655210246989182</v>
      </c>
      <c r="L58" s="14">
        <f t="shared" si="21"/>
        <v>1.3719636660542969</v>
      </c>
      <c r="M58" s="14">
        <f t="shared" si="21"/>
        <v>1.3784063074096755</v>
      </c>
      <c r="N58" s="14">
        <f t="shared" si="21"/>
        <v>1.3848489487650542</v>
      </c>
      <c r="O58" s="14">
        <f t="shared" si="21"/>
        <v>1.3912915901204328</v>
      </c>
      <c r="P58" s="14">
        <f t="shared" si="21"/>
        <v>1.3977342314758114</v>
      </c>
      <c r="Q58" s="14">
        <f t="shared" si="21"/>
        <v>1.4041768728311901</v>
      </c>
      <c r="R58" s="14">
        <f t="shared" si="21"/>
        <v>1.4106195141865687</v>
      </c>
      <c r="S58" s="14">
        <f t="shared" si="21"/>
        <v>1.4170621555419474</v>
      </c>
      <c r="T58" s="14">
        <f t="shared" si="21"/>
        <v>1.423504796897326</v>
      </c>
      <c r="U58" s="14">
        <f t="shared" si="21"/>
        <v>1.4299474382527047</v>
      </c>
      <c r="V58" s="14">
        <f t="shared" si="21"/>
        <v>1.4363900796080835</v>
      </c>
      <c r="W58" s="14">
        <f t="shared" si="21"/>
        <v>1.4428327209634619</v>
      </c>
      <c r="X58" s="14">
        <f t="shared" si="21"/>
        <v>1.4492753623188406</v>
      </c>
      <c r="Y58" s="5"/>
      <c r="AD58" s="8">
        <v>2</v>
      </c>
      <c r="AE58" s="7" t="str">
        <f>Overview_scenarios[[#This Row],[Parameter]]&amp;Overview_scenarios[[#This Row],[Tag scenario]]</f>
        <v>Primary energy consumption H2 generation2</v>
      </c>
    </row>
    <row r="59" spans="2:31" x14ac:dyDescent="0.2">
      <c r="B59" s="18" t="s">
        <v>84</v>
      </c>
      <c r="C59" s="18" t="s">
        <v>215</v>
      </c>
      <c r="D59" s="14">
        <f t="shared" ref="D59:G59" si="22">D47</f>
        <v>7.4999999999999997E-2</v>
      </c>
      <c r="E59" s="14">
        <f t="shared" si="22"/>
        <v>7.1661594202898554E-2</v>
      </c>
      <c r="F59" s="14">
        <f t="shared" si="22"/>
        <v>6.8323188405797097E-2</v>
      </c>
      <c r="G59" s="14">
        <f t="shared" si="22"/>
        <v>6.4984782608695654E-2</v>
      </c>
      <c r="H59" s="14">
        <f t="shared" ref="H59:X59" si="23">H47</f>
        <v>6.1646376811594204E-2</v>
      </c>
      <c r="I59" s="14">
        <f t="shared" si="23"/>
        <v>5.8307971014492761E-2</v>
      </c>
      <c r="J59" s="14">
        <f t="shared" si="23"/>
        <v>5.4969565217391304E-2</v>
      </c>
      <c r="K59" s="14">
        <f t="shared" si="23"/>
        <v>5.1631159420289854E-2</v>
      </c>
      <c r="L59" s="14">
        <f t="shared" si="23"/>
        <v>4.8292753623188404E-2</v>
      </c>
      <c r="M59" s="14">
        <f t="shared" si="23"/>
        <v>4.4954347826086961E-2</v>
      </c>
      <c r="N59" s="14">
        <f t="shared" si="23"/>
        <v>4.1615942028985511E-2</v>
      </c>
      <c r="O59" s="14">
        <f t="shared" si="23"/>
        <v>3.8277536231884055E-2</v>
      </c>
      <c r="P59" s="14">
        <f t="shared" si="23"/>
        <v>3.4939130434782611E-2</v>
      </c>
      <c r="Q59" s="14">
        <f t="shared" si="23"/>
        <v>3.1600724637681162E-2</v>
      </c>
      <c r="R59" s="14">
        <f t="shared" si="23"/>
        <v>2.8262318840579712E-2</v>
      </c>
      <c r="S59" s="14">
        <f t="shared" si="23"/>
        <v>2.4923913043478265E-2</v>
      </c>
      <c r="T59" s="14">
        <f t="shared" si="23"/>
        <v>2.1585507246376815E-2</v>
      </c>
      <c r="U59" s="14">
        <f t="shared" si="23"/>
        <v>1.8247101449275365E-2</v>
      </c>
      <c r="V59" s="14">
        <f t="shared" si="23"/>
        <v>1.490869565217392E-2</v>
      </c>
      <c r="W59" s="14">
        <f t="shared" si="23"/>
        <v>1.1570289855072469E-2</v>
      </c>
      <c r="X59" s="14">
        <f t="shared" si="23"/>
        <v>8.2318840579710152E-3</v>
      </c>
      <c r="Y59" s="5"/>
      <c r="AD59" s="8">
        <v>2</v>
      </c>
      <c r="AE59" s="7" t="str">
        <f>Overview_scenarios[[#This Row],[Parameter]]&amp;Overview_scenarios[[#This Row],[Tag scenario]]</f>
        <v>CO2 intensity of H2 generation2</v>
      </c>
    </row>
    <row r="60" spans="2:31" x14ac:dyDescent="0.2">
      <c r="B60" s="25" t="s">
        <v>100</v>
      </c>
      <c r="C60" s="25" t="s">
        <v>1</v>
      </c>
      <c r="D60" s="36">
        <f>D36</f>
        <v>5.9340349272770538</v>
      </c>
      <c r="E60" s="36">
        <f t="shared" ref="E60:G60" si="24">E36</f>
        <v>4.1862929338246184</v>
      </c>
      <c r="F60" s="36">
        <f t="shared" si="24"/>
        <v>4.5351151007293531</v>
      </c>
      <c r="G60" s="36">
        <f t="shared" si="24"/>
        <v>4.5066819395705782</v>
      </c>
      <c r="H60" s="40">
        <v>4.2649985783338069</v>
      </c>
      <c r="I60" s="39">
        <f>$H60+(I$35-$H$35)*(($N60-$H60)/($N$35-$H$35))</f>
        <v>4.2649985783338069</v>
      </c>
      <c r="J60" s="39">
        <f t="shared" ref="J60:M60" si="25">$H60+(J$35-$H$35)*(($N60-$H60)/($N$35-$H$35))</f>
        <v>4.2649985783338069</v>
      </c>
      <c r="K60" s="39">
        <f t="shared" si="25"/>
        <v>4.2649985783338069</v>
      </c>
      <c r="L60" s="39">
        <f t="shared" si="25"/>
        <v>4.2649985783338069</v>
      </c>
      <c r="M60" s="39">
        <f t="shared" si="25"/>
        <v>4.2649985783338069</v>
      </c>
      <c r="N60" s="40">
        <v>4.2649985783338069</v>
      </c>
      <c r="O60" s="41">
        <f t="shared" ref="O60:W62" si="26">$N60+(O$35-$N$35)*(($X60-$N60)/($X$35-$N$35))</f>
        <v>4.321865226044924</v>
      </c>
      <c r="P60" s="41">
        <f t="shared" si="26"/>
        <v>4.3787318737560419</v>
      </c>
      <c r="Q60" s="41">
        <f t="shared" si="26"/>
        <v>4.4355985214671589</v>
      </c>
      <c r="R60" s="41">
        <f t="shared" si="26"/>
        <v>4.4924651691782769</v>
      </c>
      <c r="S60" s="41">
        <f t="shared" si="26"/>
        <v>4.5493318168893939</v>
      </c>
      <c r="T60" s="41">
        <f t="shared" si="26"/>
        <v>4.606198464600511</v>
      </c>
      <c r="U60" s="41">
        <f t="shared" si="26"/>
        <v>4.6630651123116289</v>
      </c>
      <c r="V60" s="41">
        <f t="shared" si="26"/>
        <v>4.7199317600227459</v>
      </c>
      <c r="W60" s="41">
        <f t="shared" si="26"/>
        <v>4.7767984077338639</v>
      </c>
      <c r="X60" s="40">
        <v>4.8336650554449809</v>
      </c>
      <c r="AC60" s="32"/>
      <c r="AD60" s="33">
        <v>3</v>
      </c>
      <c r="AE60" s="34" t="str">
        <f>Overview_scenarios[[#This Row],[Parameter]]&amp;Overview_scenarios[[#This Row],[Tag scenario]]</f>
        <v>Wholesale price natural gas excl margins3</v>
      </c>
    </row>
    <row r="61" spans="2:31" x14ac:dyDescent="0.2">
      <c r="B61" s="25" t="s">
        <v>101</v>
      </c>
      <c r="C61" s="25" t="s">
        <v>1</v>
      </c>
      <c r="D61" s="36">
        <f t="shared" ref="D61:G71" si="27">D37</f>
        <v>13.111110528310139</v>
      </c>
      <c r="E61" s="36">
        <f t="shared" si="27"/>
        <v>10.972568684253179</v>
      </c>
      <c r="F61" s="36">
        <f t="shared" si="27"/>
        <v>9.2499997880723743</v>
      </c>
      <c r="G61" s="36">
        <f t="shared" si="27"/>
        <v>9.0000000264909552</v>
      </c>
      <c r="H61" s="40">
        <v>7.2222222222222223</v>
      </c>
      <c r="I61" s="39">
        <f t="shared" ref="I61:M62" si="28">$H61+(I$35-$H$35)*(($N61-$H61)/($N$35-$H$35))</f>
        <v>7.4074074074074074</v>
      </c>
      <c r="J61" s="39">
        <f t="shared" si="28"/>
        <v>7.5925925925925926</v>
      </c>
      <c r="K61" s="39">
        <f t="shared" si="28"/>
        <v>7.7777777777777786</v>
      </c>
      <c r="L61" s="39">
        <f t="shared" si="28"/>
        <v>7.9629629629629637</v>
      </c>
      <c r="M61" s="39">
        <f t="shared" si="28"/>
        <v>8.1481481481481488</v>
      </c>
      <c r="N61" s="40">
        <v>8.3333333333333339</v>
      </c>
      <c r="O61" s="41">
        <f t="shared" si="26"/>
        <v>8.3333333333333339</v>
      </c>
      <c r="P61" s="41">
        <f t="shared" si="26"/>
        <v>8.3333333333333339</v>
      </c>
      <c r="Q61" s="41">
        <f t="shared" si="26"/>
        <v>8.3333333333333339</v>
      </c>
      <c r="R61" s="41">
        <f t="shared" si="26"/>
        <v>8.3333333333333339</v>
      </c>
      <c r="S61" s="41">
        <f t="shared" si="26"/>
        <v>8.3333333333333339</v>
      </c>
      <c r="T61" s="41">
        <f t="shared" si="26"/>
        <v>8.3333333333333339</v>
      </c>
      <c r="U61" s="41">
        <f t="shared" si="26"/>
        <v>8.3333333333333339</v>
      </c>
      <c r="V61" s="41">
        <f t="shared" si="26"/>
        <v>8.3333333333333339</v>
      </c>
      <c r="W61" s="41">
        <f t="shared" si="26"/>
        <v>8.3333333333333339</v>
      </c>
      <c r="X61" s="40">
        <v>8.3333333333333339</v>
      </c>
      <c r="AC61" s="32"/>
      <c r="AD61" s="33">
        <v>3</v>
      </c>
      <c r="AE61" s="34" t="str">
        <f>Overview_scenarios[[#This Row],[Parameter]]&amp;Overview_scenarios[[#This Row],[Tag scenario]]</f>
        <v>Wholesale price electricity excl margins3</v>
      </c>
    </row>
    <row r="62" spans="2:31" x14ac:dyDescent="0.2">
      <c r="B62" s="25" t="s">
        <v>32</v>
      </c>
      <c r="C62" s="25" t="s">
        <v>40</v>
      </c>
      <c r="D62" s="36">
        <f t="shared" si="27"/>
        <v>7.6807980000000002</v>
      </c>
      <c r="E62" s="36">
        <f t="shared" si="27"/>
        <v>5.1870320000000003</v>
      </c>
      <c r="F62" s="36">
        <f t="shared" si="27"/>
        <v>5.3865340000000002</v>
      </c>
      <c r="G62" s="36">
        <f t="shared" si="27"/>
        <v>5.4862840000000004</v>
      </c>
      <c r="H62" s="40">
        <v>5.5860349999999999</v>
      </c>
      <c r="I62" s="39">
        <f t="shared" si="28"/>
        <v>6.3216958333333331</v>
      </c>
      <c r="J62" s="39">
        <f t="shared" si="28"/>
        <v>7.0573566666666663</v>
      </c>
      <c r="K62" s="39">
        <f t="shared" si="28"/>
        <v>7.7930174999999995</v>
      </c>
      <c r="L62" s="39">
        <f t="shared" si="28"/>
        <v>8.5286783333333336</v>
      </c>
      <c r="M62" s="39">
        <f t="shared" si="28"/>
        <v>9.2643391666666659</v>
      </c>
      <c r="N62" s="40">
        <v>10</v>
      </c>
      <c r="O62" s="41">
        <f t="shared" si="26"/>
        <v>11</v>
      </c>
      <c r="P62" s="41">
        <f t="shared" si="26"/>
        <v>12</v>
      </c>
      <c r="Q62" s="41">
        <f t="shared" si="26"/>
        <v>13</v>
      </c>
      <c r="R62" s="41">
        <f t="shared" si="26"/>
        <v>14</v>
      </c>
      <c r="S62" s="41">
        <f t="shared" si="26"/>
        <v>15</v>
      </c>
      <c r="T62" s="41">
        <f t="shared" si="26"/>
        <v>16</v>
      </c>
      <c r="U62" s="41">
        <f t="shared" si="26"/>
        <v>17</v>
      </c>
      <c r="V62" s="41">
        <f t="shared" si="26"/>
        <v>18</v>
      </c>
      <c r="W62" s="41">
        <f t="shared" si="26"/>
        <v>19</v>
      </c>
      <c r="X62" s="40">
        <v>20</v>
      </c>
      <c r="AC62" s="32"/>
      <c r="AD62" s="33">
        <v>3</v>
      </c>
      <c r="AE62" s="34" t="str">
        <f>Overview_scenarios[[#This Row],[Parameter]]&amp;Overview_scenarios[[#This Row],[Tag scenario]]</f>
        <v>CO23</v>
      </c>
    </row>
    <row r="63" spans="2:31" x14ac:dyDescent="0.2">
      <c r="B63" s="25" t="s">
        <v>2</v>
      </c>
      <c r="C63" s="25" t="s">
        <v>1</v>
      </c>
      <c r="D63" s="36">
        <f t="shared" si="27"/>
        <v>8.5</v>
      </c>
      <c r="E63" s="36">
        <f t="shared" si="27"/>
        <v>9.4</v>
      </c>
      <c r="F63" s="36">
        <f t="shared" si="27"/>
        <v>9.1</v>
      </c>
      <c r="G63" s="36">
        <f t="shared" si="27"/>
        <v>10</v>
      </c>
      <c r="H63" s="36">
        <f t="shared" ref="H63:X63" si="29">H39</f>
        <v>10.379999999999999</v>
      </c>
      <c r="I63" s="36">
        <f t="shared" si="29"/>
        <v>10.76</v>
      </c>
      <c r="J63" s="36">
        <f t="shared" si="29"/>
        <v>10.474</v>
      </c>
      <c r="K63" s="36">
        <f t="shared" si="29"/>
        <v>10.188000000000001</v>
      </c>
      <c r="L63" s="36">
        <f t="shared" si="29"/>
        <v>9.9019999999999992</v>
      </c>
      <c r="M63" s="36">
        <f t="shared" si="29"/>
        <v>9.6159999999999997</v>
      </c>
      <c r="N63" s="36">
        <f t="shared" si="29"/>
        <v>9.33</v>
      </c>
      <c r="O63" s="36">
        <f t="shared" si="29"/>
        <v>9.468</v>
      </c>
      <c r="P63" s="36">
        <f t="shared" si="29"/>
        <v>9.6059999999999999</v>
      </c>
      <c r="Q63" s="36">
        <f t="shared" si="29"/>
        <v>9.7439999999999998</v>
      </c>
      <c r="R63" s="36">
        <f t="shared" si="29"/>
        <v>9.8819999999999997</v>
      </c>
      <c r="S63" s="36">
        <f t="shared" si="29"/>
        <v>10.02</v>
      </c>
      <c r="T63" s="36">
        <f t="shared" si="29"/>
        <v>10.02</v>
      </c>
      <c r="U63" s="36">
        <f t="shared" si="29"/>
        <v>10.02</v>
      </c>
      <c r="V63" s="36">
        <f t="shared" si="29"/>
        <v>10.02</v>
      </c>
      <c r="W63" s="36">
        <f t="shared" si="29"/>
        <v>10.02</v>
      </c>
      <c r="X63" s="36">
        <f t="shared" si="29"/>
        <v>10.02</v>
      </c>
      <c r="AC63" s="32"/>
      <c r="AD63" s="33">
        <v>3</v>
      </c>
      <c r="AE63" s="34" t="str">
        <f>Overview_scenarios[[#This Row],[Parameter]]&amp;Overview_scenarios[[#This Row],[Tag scenario]]</f>
        <v>Wood pellets3</v>
      </c>
    </row>
    <row r="64" spans="2:31" x14ac:dyDescent="0.2">
      <c r="B64" s="25" t="s">
        <v>3</v>
      </c>
      <c r="C64" s="25" t="s">
        <v>1</v>
      </c>
      <c r="D64" s="36">
        <f t="shared" si="27"/>
        <v>5.3</v>
      </c>
      <c r="E64" s="36">
        <f t="shared" si="27"/>
        <v>5.4</v>
      </c>
      <c r="F64" s="36">
        <f t="shared" si="27"/>
        <v>5.6</v>
      </c>
      <c r="G64" s="36">
        <f t="shared" si="27"/>
        <v>5.6</v>
      </c>
      <c r="H64" s="36">
        <f t="shared" ref="H64:X64" si="30">H40</f>
        <v>5.6</v>
      </c>
      <c r="I64" s="36">
        <f t="shared" si="30"/>
        <v>5.6</v>
      </c>
      <c r="J64" s="36">
        <f t="shared" si="30"/>
        <v>5.6</v>
      </c>
      <c r="K64" s="36">
        <f t="shared" si="30"/>
        <v>5.6</v>
      </c>
      <c r="L64" s="36">
        <f t="shared" si="30"/>
        <v>5.6</v>
      </c>
      <c r="M64" s="36">
        <f t="shared" si="30"/>
        <v>5.6</v>
      </c>
      <c r="N64" s="36">
        <f t="shared" si="30"/>
        <v>5.6</v>
      </c>
      <c r="O64" s="36">
        <f t="shared" si="30"/>
        <v>5.6</v>
      </c>
      <c r="P64" s="36">
        <f t="shared" si="30"/>
        <v>5.6</v>
      </c>
      <c r="Q64" s="36">
        <f t="shared" si="30"/>
        <v>5.6</v>
      </c>
      <c r="R64" s="36">
        <f t="shared" si="30"/>
        <v>5.6</v>
      </c>
      <c r="S64" s="36">
        <f t="shared" si="30"/>
        <v>5.6</v>
      </c>
      <c r="T64" s="36">
        <f t="shared" si="30"/>
        <v>5.6</v>
      </c>
      <c r="U64" s="36">
        <f t="shared" si="30"/>
        <v>5.6</v>
      </c>
      <c r="V64" s="36">
        <f t="shared" si="30"/>
        <v>5.6</v>
      </c>
      <c r="W64" s="36">
        <f t="shared" si="30"/>
        <v>5.6</v>
      </c>
      <c r="X64" s="36">
        <f t="shared" si="30"/>
        <v>5.6</v>
      </c>
      <c r="AC64" s="32"/>
      <c r="AD64" s="33">
        <v>3</v>
      </c>
      <c r="AE64" s="34" t="str">
        <f>Overview_scenarios[[#This Row],[Parameter]]&amp;Overview_scenarios[[#This Row],[Tag scenario]]</f>
        <v>Wood chips3</v>
      </c>
    </row>
    <row r="65" spans="2:31" x14ac:dyDescent="0.2">
      <c r="B65" s="25" t="s">
        <v>39</v>
      </c>
      <c r="C65" s="25" t="s">
        <v>1</v>
      </c>
      <c r="D65" s="36">
        <f t="shared" si="27"/>
        <v>2.2000000000000002</v>
      </c>
      <c r="E65" s="36">
        <f t="shared" si="27"/>
        <v>2.2000000000000002</v>
      </c>
      <c r="F65" s="36">
        <f t="shared" si="27"/>
        <v>1.9</v>
      </c>
      <c r="G65" s="36">
        <f t="shared" si="27"/>
        <v>0</v>
      </c>
      <c r="H65" s="36">
        <f t="shared" ref="H65:X65" si="31">H41</f>
        <v>0.17500000000000002</v>
      </c>
      <c r="I65" s="36">
        <f t="shared" si="31"/>
        <v>0.35000000000000003</v>
      </c>
      <c r="J65" s="36">
        <f t="shared" si="31"/>
        <v>0.52500000000000002</v>
      </c>
      <c r="K65" s="36">
        <f t="shared" si="31"/>
        <v>0.70000000000000007</v>
      </c>
      <c r="L65" s="36">
        <f t="shared" si="31"/>
        <v>0.87500000000000011</v>
      </c>
      <c r="M65" s="36">
        <f t="shared" si="31"/>
        <v>1.05</v>
      </c>
      <c r="N65" s="36">
        <f t="shared" si="31"/>
        <v>1.2250000000000001</v>
      </c>
      <c r="O65" s="36">
        <f t="shared" si="31"/>
        <v>1.4000000000000001</v>
      </c>
      <c r="P65" s="36">
        <f t="shared" si="31"/>
        <v>1.5750000000000002</v>
      </c>
      <c r="Q65" s="36">
        <f t="shared" si="31"/>
        <v>1.7500000000000002</v>
      </c>
      <c r="R65" s="36">
        <f t="shared" si="31"/>
        <v>1.9250000000000003</v>
      </c>
      <c r="S65" s="36">
        <f t="shared" si="31"/>
        <v>2.1</v>
      </c>
      <c r="T65" s="36">
        <f t="shared" si="31"/>
        <v>2.1</v>
      </c>
      <c r="U65" s="36">
        <f t="shared" si="31"/>
        <v>2.1</v>
      </c>
      <c r="V65" s="36">
        <f t="shared" si="31"/>
        <v>2.1</v>
      </c>
      <c r="W65" s="36">
        <f t="shared" si="31"/>
        <v>2.1</v>
      </c>
      <c r="X65" s="36">
        <f t="shared" si="31"/>
        <v>2.1</v>
      </c>
      <c r="AC65" s="32"/>
      <c r="AD65" s="33">
        <v>3</v>
      </c>
      <c r="AE65" s="34" t="str">
        <f>Overview_scenarios[[#This Row],[Parameter]]&amp;Overview_scenarios[[#This Row],[Tag scenario]]</f>
        <v>B-wood3</v>
      </c>
    </row>
    <row r="66" spans="2:31" x14ac:dyDescent="0.2">
      <c r="B66" s="25" t="s">
        <v>41</v>
      </c>
      <c r="C66" s="25" t="s">
        <v>1</v>
      </c>
      <c r="D66" s="36">
        <f t="shared" si="27"/>
        <v>7.4627883331485663</v>
      </c>
      <c r="E66" s="36">
        <f t="shared" si="27"/>
        <v>6.9987270424817334</v>
      </c>
      <c r="F66" s="36">
        <f t="shared" si="27"/>
        <v>6.5346657518149005</v>
      </c>
      <c r="G66" s="36">
        <f t="shared" si="27"/>
        <v>6.0706044611480685</v>
      </c>
      <c r="H66" s="36">
        <f t="shared" ref="H66:X66" si="32">H42</f>
        <v>5.6065431704812356</v>
      </c>
      <c r="I66" s="36">
        <f t="shared" si="32"/>
        <v>5.1424818798144027</v>
      </c>
      <c r="J66" s="36">
        <f t="shared" si="32"/>
        <v>5.0864546149725447</v>
      </c>
      <c r="K66" s="36">
        <f t="shared" si="32"/>
        <v>5.0304273501306866</v>
      </c>
      <c r="L66" s="36">
        <f t="shared" si="32"/>
        <v>4.9744000852888277</v>
      </c>
      <c r="M66" s="36">
        <f t="shared" si="32"/>
        <v>4.9183728204469697</v>
      </c>
      <c r="N66" s="36">
        <f t="shared" si="32"/>
        <v>4.8623455556051116</v>
      </c>
      <c r="O66" s="36">
        <f t="shared" si="32"/>
        <v>4.8063182907632536</v>
      </c>
      <c r="P66" s="36">
        <f t="shared" si="32"/>
        <v>4.7502910259213955</v>
      </c>
      <c r="Q66" s="36">
        <f t="shared" si="32"/>
        <v>4.6942637610795366</v>
      </c>
      <c r="R66" s="36">
        <f t="shared" si="32"/>
        <v>4.6382364962376785</v>
      </c>
      <c r="S66" s="36">
        <f t="shared" si="32"/>
        <v>4.5822092313958205</v>
      </c>
      <c r="T66" s="36">
        <f t="shared" si="32"/>
        <v>4.5822092313958205</v>
      </c>
      <c r="U66" s="36">
        <f t="shared" si="32"/>
        <v>4.5822092313958205</v>
      </c>
      <c r="V66" s="36">
        <f t="shared" si="32"/>
        <v>4.5822092313958205</v>
      </c>
      <c r="W66" s="36">
        <f t="shared" si="32"/>
        <v>4.5822092313958205</v>
      </c>
      <c r="X66" s="36">
        <f t="shared" si="32"/>
        <v>4.5822092313958205</v>
      </c>
      <c r="AC66" s="32"/>
      <c r="AD66" s="33">
        <v>3</v>
      </c>
      <c r="AE66" s="34" t="str">
        <f>Overview_scenarios[[#This Row],[Parameter]]&amp;Overview_scenarios[[#This Row],[Tag scenario]]</f>
        <v>Agricultural waste streams3</v>
      </c>
    </row>
    <row r="67" spans="2:31" x14ac:dyDescent="0.2">
      <c r="B67" s="25" t="s">
        <v>42</v>
      </c>
      <c r="C67" s="25" t="s">
        <v>107</v>
      </c>
      <c r="D67" s="36">
        <f t="shared" si="27"/>
        <v>0.18823880999999998</v>
      </c>
      <c r="E67" s="36">
        <f t="shared" si="27"/>
        <v>0.18823880999999998</v>
      </c>
      <c r="F67" s="36">
        <f t="shared" si="27"/>
        <v>0.1893487073508387</v>
      </c>
      <c r="G67" s="36">
        <f t="shared" si="27"/>
        <v>0.18487948395479167</v>
      </c>
      <c r="H67" s="36">
        <f t="shared" ref="H67:X67" si="33">H43</f>
        <v>0.18605348585868617</v>
      </c>
      <c r="I67" s="36">
        <f t="shared" si="33"/>
        <v>0.1874511076762419</v>
      </c>
      <c r="J67" s="36">
        <f t="shared" si="33"/>
        <v>0.1874511076762419</v>
      </c>
      <c r="K67" s="36">
        <f t="shared" si="33"/>
        <v>0.1874511076762419</v>
      </c>
      <c r="L67" s="36">
        <f t="shared" si="33"/>
        <v>0.18592498731734458</v>
      </c>
      <c r="M67" s="36">
        <f t="shared" si="33"/>
        <v>0.18592498731734458</v>
      </c>
      <c r="N67" s="36">
        <f t="shared" si="33"/>
        <v>0.18528094235275058</v>
      </c>
      <c r="O67" s="36">
        <f t="shared" si="33"/>
        <v>0.18528094235275058</v>
      </c>
      <c r="P67" s="36">
        <f t="shared" si="33"/>
        <v>0.18528094235275058</v>
      </c>
      <c r="Q67" s="36">
        <f t="shared" si="33"/>
        <v>0.18528094235275058</v>
      </c>
      <c r="R67" s="36">
        <f t="shared" si="33"/>
        <v>0.18528094235275058</v>
      </c>
      <c r="S67" s="36">
        <f t="shared" si="33"/>
        <v>0.18689769182297636</v>
      </c>
      <c r="T67" s="36">
        <f t="shared" si="33"/>
        <v>0.19339295361193606</v>
      </c>
      <c r="U67" s="36">
        <f t="shared" si="33"/>
        <v>0.1998882154008958</v>
      </c>
      <c r="V67" s="36">
        <f t="shared" si="33"/>
        <v>0.2063834771898555</v>
      </c>
      <c r="W67" s="36">
        <f t="shared" si="33"/>
        <v>0.21287873897881526</v>
      </c>
      <c r="X67" s="36">
        <f t="shared" si="33"/>
        <v>0.21937400076777497</v>
      </c>
      <c r="AC67" s="32"/>
      <c r="AD67" s="33">
        <v>3</v>
      </c>
      <c r="AE67" s="34" t="str">
        <f>Overview_scenarios[[#This Row],[Parameter]]&amp;Overview_scenarios[[#This Row],[Tag scenario]]</f>
        <v>CO2 intensity of power generation3</v>
      </c>
    </row>
    <row r="68" spans="2:31" x14ac:dyDescent="0.2">
      <c r="B68" s="25" t="s">
        <v>43</v>
      </c>
      <c r="C68" s="25" t="s">
        <v>6</v>
      </c>
      <c r="D68" s="36">
        <f t="shared" si="27"/>
        <v>0.41425307320000004</v>
      </c>
      <c r="E68" s="36">
        <f t="shared" si="27"/>
        <v>0.41425307320000004</v>
      </c>
      <c r="F68" s="36">
        <f t="shared" si="27"/>
        <v>0.4142696022652263</v>
      </c>
      <c r="G68" s="36">
        <f t="shared" si="27"/>
        <v>0.41444905275659949</v>
      </c>
      <c r="H68" s="36">
        <f t="shared" ref="H68:X68" si="34">H44</f>
        <v>0.41108138234117542</v>
      </c>
      <c r="I68" s="36">
        <f t="shared" si="34"/>
        <v>0.40836320464647224</v>
      </c>
      <c r="J68" s="36">
        <f t="shared" si="34"/>
        <v>0.40836320464647224</v>
      </c>
      <c r="K68" s="36">
        <f t="shared" si="34"/>
        <v>0.40836320464647224</v>
      </c>
      <c r="L68" s="36">
        <f t="shared" si="34"/>
        <v>0.41173025271072511</v>
      </c>
      <c r="M68" s="36">
        <f t="shared" si="34"/>
        <v>0.41173025271072511</v>
      </c>
      <c r="N68" s="36">
        <f t="shared" si="34"/>
        <v>0.41296149923645914</v>
      </c>
      <c r="O68" s="36">
        <f t="shared" si="34"/>
        <v>0.41296149923645914</v>
      </c>
      <c r="P68" s="36">
        <f t="shared" si="34"/>
        <v>0.41296149923645914</v>
      </c>
      <c r="Q68" s="36">
        <f t="shared" si="34"/>
        <v>0.41296149923645914</v>
      </c>
      <c r="R68" s="36">
        <f t="shared" si="34"/>
        <v>0.41296149923645914</v>
      </c>
      <c r="S68" s="36">
        <f t="shared" si="34"/>
        <v>0.40323711622094927</v>
      </c>
      <c r="T68" s="36">
        <f t="shared" si="34"/>
        <v>0.4059441218535777</v>
      </c>
      <c r="U68" s="36">
        <f t="shared" si="34"/>
        <v>0.40865112748620608</v>
      </c>
      <c r="V68" s="36">
        <f t="shared" si="34"/>
        <v>0.41135813311883451</v>
      </c>
      <c r="W68" s="36">
        <f t="shared" si="34"/>
        <v>0.41406513875146289</v>
      </c>
      <c r="X68" s="36">
        <f t="shared" si="34"/>
        <v>0.41677214438409133</v>
      </c>
      <c r="AC68" s="32"/>
      <c r="AD68" s="33">
        <v>3</v>
      </c>
      <c r="AE68" s="34" t="str">
        <f>Overview_scenarios[[#This Row],[Parameter]]&amp;Overview_scenarios[[#This Row],[Tag scenario]]</f>
        <v>Primary energy conversion factor electricity3</v>
      </c>
    </row>
    <row r="69" spans="2:31" x14ac:dyDescent="0.2">
      <c r="B69" s="25" t="s">
        <v>54</v>
      </c>
      <c r="C69" s="25" t="s">
        <v>216</v>
      </c>
      <c r="D69" s="36">
        <f t="shared" si="27"/>
        <v>41.666666666666664</v>
      </c>
      <c r="E69" s="36">
        <f t="shared" si="27"/>
        <v>40.862499999999997</v>
      </c>
      <c r="F69" s="36">
        <f t="shared" si="27"/>
        <v>40.05833333333333</v>
      </c>
      <c r="G69" s="36">
        <f t="shared" si="27"/>
        <v>39.25416666666667</v>
      </c>
      <c r="H69" s="36">
        <f t="shared" ref="H69:X69" si="35">H45</f>
        <v>38.450000000000003</v>
      </c>
      <c r="I69" s="36">
        <f t="shared" si="35"/>
        <v>37.645833333333336</v>
      </c>
      <c r="J69" s="36">
        <f t="shared" si="35"/>
        <v>36.841666666666669</v>
      </c>
      <c r="K69" s="36">
        <f t="shared" si="35"/>
        <v>36.037500000000001</v>
      </c>
      <c r="L69" s="36">
        <f t="shared" si="35"/>
        <v>35.233333333333334</v>
      </c>
      <c r="M69" s="36">
        <f t="shared" si="35"/>
        <v>34.429166666666667</v>
      </c>
      <c r="N69" s="36">
        <f t="shared" si="35"/>
        <v>33.625</v>
      </c>
      <c r="O69" s="36">
        <f t="shared" si="35"/>
        <v>32.820833333333333</v>
      </c>
      <c r="P69" s="36">
        <f t="shared" si="35"/>
        <v>32.016666666666666</v>
      </c>
      <c r="Q69" s="36">
        <f t="shared" si="35"/>
        <v>31.212499999999999</v>
      </c>
      <c r="R69" s="36">
        <f t="shared" si="35"/>
        <v>30.408333333333335</v>
      </c>
      <c r="S69" s="36">
        <f t="shared" si="35"/>
        <v>29.604166666666668</v>
      </c>
      <c r="T69" s="36">
        <f t="shared" si="35"/>
        <v>28.8</v>
      </c>
      <c r="U69" s="36">
        <f t="shared" si="35"/>
        <v>27.995833333333334</v>
      </c>
      <c r="V69" s="36">
        <f t="shared" si="35"/>
        <v>27.191666666666666</v>
      </c>
      <c r="W69" s="36">
        <f t="shared" si="35"/>
        <v>26.387499999999999</v>
      </c>
      <c r="X69" s="36">
        <f t="shared" si="35"/>
        <v>25.583333333333332</v>
      </c>
      <c r="AC69" s="32"/>
      <c r="AD69" s="33">
        <v>3</v>
      </c>
      <c r="AE69" s="34" t="str">
        <f>Overview_scenarios[[#This Row],[Parameter]]&amp;Overview_scenarios[[#This Row],[Tag scenario]]</f>
        <v>H23</v>
      </c>
    </row>
    <row r="70" spans="2:31" x14ac:dyDescent="0.2">
      <c r="B70" s="25" t="s">
        <v>85</v>
      </c>
      <c r="C70" s="25" t="s">
        <v>217</v>
      </c>
      <c r="D70" s="36">
        <f t="shared" si="27"/>
        <v>1.3204225352112677</v>
      </c>
      <c r="E70" s="36">
        <f t="shared" si="27"/>
        <v>1.3268651765666464</v>
      </c>
      <c r="F70" s="36">
        <f t="shared" si="27"/>
        <v>1.333307817922025</v>
      </c>
      <c r="G70" s="36">
        <f t="shared" si="27"/>
        <v>1.3397504592774037</v>
      </c>
      <c r="H70" s="36">
        <f t="shared" ref="H70:X70" si="36">H46</f>
        <v>1.3461931006327823</v>
      </c>
      <c r="I70" s="36">
        <f t="shared" si="36"/>
        <v>1.3526357419881612</v>
      </c>
      <c r="J70" s="36">
        <f t="shared" si="36"/>
        <v>1.3590783833435396</v>
      </c>
      <c r="K70" s="36">
        <f t="shared" si="36"/>
        <v>1.3655210246989182</v>
      </c>
      <c r="L70" s="36">
        <f t="shared" si="36"/>
        <v>1.3719636660542969</v>
      </c>
      <c r="M70" s="36">
        <f t="shared" si="36"/>
        <v>1.3784063074096755</v>
      </c>
      <c r="N70" s="36">
        <f t="shared" si="36"/>
        <v>1.3848489487650542</v>
      </c>
      <c r="O70" s="36">
        <f t="shared" si="36"/>
        <v>1.3912915901204328</v>
      </c>
      <c r="P70" s="36">
        <f t="shared" si="36"/>
        <v>1.3977342314758114</v>
      </c>
      <c r="Q70" s="36">
        <f t="shared" si="36"/>
        <v>1.4041768728311901</v>
      </c>
      <c r="R70" s="36">
        <f t="shared" si="36"/>
        <v>1.4106195141865687</v>
      </c>
      <c r="S70" s="36">
        <f t="shared" si="36"/>
        <v>1.4170621555419474</v>
      </c>
      <c r="T70" s="36">
        <f t="shared" si="36"/>
        <v>1.423504796897326</v>
      </c>
      <c r="U70" s="36">
        <f t="shared" si="36"/>
        <v>1.4299474382527047</v>
      </c>
      <c r="V70" s="36">
        <f t="shared" si="36"/>
        <v>1.4363900796080835</v>
      </c>
      <c r="W70" s="36">
        <f t="shared" si="36"/>
        <v>1.4428327209634619</v>
      </c>
      <c r="X70" s="36">
        <f t="shared" si="36"/>
        <v>1.4492753623188406</v>
      </c>
      <c r="AC70" s="32"/>
      <c r="AD70" s="33">
        <v>3</v>
      </c>
      <c r="AE70" s="34" t="str">
        <f>Overview_scenarios[[#This Row],[Parameter]]&amp;Overview_scenarios[[#This Row],[Tag scenario]]</f>
        <v>Primary energy consumption H2 generation3</v>
      </c>
    </row>
    <row r="71" spans="2:31" x14ac:dyDescent="0.2">
      <c r="B71" s="26" t="s">
        <v>84</v>
      </c>
      <c r="C71" s="26" t="s">
        <v>215</v>
      </c>
      <c r="D71" s="36">
        <f t="shared" si="27"/>
        <v>7.4999999999999997E-2</v>
      </c>
      <c r="E71" s="36">
        <f t="shared" si="27"/>
        <v>7.1661594202898554E-2</v>
      </c>
      <c r="F71" s="36">
        <f t="shared" si="27"/>
        <v>6.8323188405797097E-2</v>
      </c>
      <c r="G71" s="36">
        <f t="shared" si="27"/>
        <v>6.4984782608695654E-2</v>
      </c>
      <c r="H71" s="36">
        <f t="shared" ref="H71:X71" si="37">H47</f>
        <v>6.1646376811594204E-2</v>
      </c>
      <c r="I71" s="36">
        <f t="shared" si="37"/>
        <v>5.8307971014492761E-2</v>
      </c>
      <c r="J71" s="36">
        <f t="shared" si="37"/>
        <v>5.4969565217391304E-2</v>
      </c>
      <c r="K71" s="36">
        <f t="shared" si="37"/>
        <v>5.1631159420289854E-2</v>
      </c>
      <c r="L71" s="36">
        <f t="shared" si="37"/>
        <v>4.8292753623188404E-2</v>
      </c>
      <c r="M71" s="36">
        <f t="shared" si="37"/>
        <v>4.4954347826086961E-2</v>
      </c>
      <c r="N71" s="36">
        <f t="shared" si="37"/>
        <v>4.1615942028985511E-2</v>
      </c>
      <c r="O71" s="36">
        <f t="shared" si="37"/>
        <v>3.8277536231884055E-2</v>
      </c>
      <c r="P71" s="36">
        <f t="shared" si="37"/>
        <v>3.4939130434782611E-2</v>
      </c>
      <c r="Q71" s="36">
        <f t="shared" si="37"/>
        <v>3.1600724637681162E-2</v>
      </c>
      <c r="R71" s="36">
        <f t="shared" si="37"/>
        <v>2.8262318840579712E-2</v>
      </c>
      <c r="S71" s="36">
        <f t="shared" si="37"/>
        <v>2.4923913043478265E-2</v>
      </c>
      <c r="T71" s="36">
        <f t="shared" si="37"/>
        <v>2.1585507246376815E-2</v>
      </c>
      <c r="U71" s="36">
        <f t="shared" si="37"/>
        <v>1.8247101449275365E-2</v>
      </c>
      <c r="V71" s="36">
        <f t="shared" si="37"/>
        <v>1.490869565217392E-2</v>
      </c>
      <c r="W71" s="36">
        <f t="shared" si="37"/>
        <v>1.1570289855072469E-2</v>
      </c>
      <c r="X71" s="36">
        <f t="shared" si="37"/>
        <v>8.2318840579710152E-3</v>
      </c>
      <c r="Y71" s="5"/>
      <c r="Z71" s="5"/>
      <c r="AA71" s="5"/>
      <c r="AB71" s="5"/>
      <c r="AC71" s="32"/>
      <c r="AD71" s="33">
        <v>3</v>
      </c>
      <c r="AE71" s="35" t="str">
        <f>Overview_scenarios[[#This Row],[Parameter]]&amp;Overview_scenarios[[#This Row],[Tag scenario]]</f>
        <v>CO2 intensity of H2 generation3</v>
      </c>
    </row>
  </sheetData>
  <pageMargins left="0.7" right="0.7" top="0.75" bottom="0.75" header="0.3" footer="0.3"/>
  <pageSetup paperSize="9" orientation="portrait" r:id="rId1"/>
  <tableParts count="2">
    <tablePart r:id="rId2"/>
    <tablePart r:id="rId3"/>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366AD-1F1E-B248-B600-DD191B3C8858}">
  <sheetPr>
    <tabColor theme="4" tint="0.39997558519241921"/>
  </sheetPr>
  <dimension ref="B2:I63"/>
  <sheetViews>
    <sheetView tabSelected="1" topLeftCell="A35" workbookViewId="0">
      <selection activeCell="C49" sqref="C49"/>
    </sheetView>
  </sheetViews>
  <sheetFormatPr defaultColWidth="10.85546875" defaultRowHeight="15" x14ac:dyDescent="0.25"/>
  <cols>
    <col min="1" max="1" width="2.42578125" style="158" customWidth="1"/>
    <col min="2" max="2" width="46.7109375" style="158" bestFit="1" customWidth="1"/>
    <col min="3" max="3" width="36" style="158" customWidth="1"/>
    <col min="4" max="4" width="10.85546875" style="158" hidden="1" customWidth="1"/>
    <col min="5" max="5" width="10.85546875" style="158" customWidth="1"/>
    <col min="6" max="6" width="24" style="158" bestFit="1" customWidth="1"/>
    <col min="7" max="7" width="72.42578125" style="158" bestFit="1" customWidth="1"/>
    <col min="8" max="16384" width="10.85546875" style="158"/>
  </cols>
  <sheetData>
    <row r="2" spans="2:9" ht="48.95" customHeight="1" x14ac:dyDescent="0.35">
      <c r="B2" s="193" t="s">
        <v>494</v>
      </c>
      <c r="C2" s="193"/>
      <c r="D2" s="193"/>
      <c r="E2" s="193"/>
      <c r="F2" s="193"/>
      <c r="G2" s="193"/>
    </row>
    <row r="5" spans="2:9" ht="21" x14ac:dyDescent="0.35">
      <c r="B5" s="163" t="s">
        <v>461</v>
      </c>
      <c r="C5" s="159"/>
      <c r="D5" s="159"/>
      <c r="E5" s="159"/>
      <c r="F5" s="159"/>
      <c r="G5" s="159"/>
    </row>
    <row r="7" spans="2:9" x14ac:dyDescent="0.25">
      <c r="B7" s="166" t="s">
        <v>28</v>
      </c>
      <c r="C7" s="167" t="s">
        <v>5</v>
      </c>
      <c r="D7" s="168" t="s">
        <v>4</v>
      </c>
      <c r="E7" s="168"/>
      <c r="F7" s="167" t="s">
        <v>485</v>
      </c>
      <c r="G7" s="167" t="s">
        <v>458</v>
      </c>
    </row>
    <row r="8" spans="2:9" x14ac:dyDescent="0.25">
      <c r="B8" s="160" t="s">
        <v>457</v>
      </c>
      <c r="C8" s="164">
        <v>1</v>
      </c>
      <c r="D8" s="161" t="s">
        <v>227</v>
      </c>
      <c r="E8" s="161"/>
      <c r="F8" s="182" t="s">
        <v>486</v>
      </c>
      <c r="G8" s="164" t="s">
        <v>459</v>
      </c>
    </row>
    <row r="9" spans="2:9" x14ac:dyDescent="0.25">
      <c r="B9" s="160" t="s">
        <v>38</v>
      </c>
      <c r="C9" s="164">
        <v>0.04</v>
      </c>
      <c r="D9" s="161" t="s">
        <v>191</v>
      </c>
      <c r="E9" s="161"/>
      <c r="F9" s="182" t="s">
        <v>487</v>
      </c>
      <c r="G9" s="164" t="s">
        <v>518</v>
      </c>
    </row>
    <row r="10" spans="2:9" x14ac:dyDescent="0.25">
      <c r="B10" s="181" t="s">
        <v>475</v>
      </c>
      <c r="C10" s="164">
        <v>1</v>
      </c>
      <c r="D10" s="161" t="s">
        <v>191</v>
      </c>
      <c r="E10" s="161"/>
      <c r="F10" s="182" t="s">
        <v>506</v>
      </c>
      <c r="G10" s="164" t="s">
        <v>519</v>
      </c>
      <c r="I10" s="158" t="s">
        <v>507</v>
      </c>
    </row>
    <row r="11" spans="2:9" x14ac:dyDescent="0.25">
      <c r="B11" s="181" t="s">
        <v>476</v>
      </c>
      <c r="C11" s="164">
        <v>5.0000000000000001E-3</v>
      </c>
      <c r="D11" s="161" t="s">
        <v>191</v>
      </c>
      <c r="E11" s="161"/>
      <c r="F11" s="182" t="s">
        <v>488</v>
      </c>
      <c r="G11" s="164" t="s">
        <v>482</v>
      </c>
    </row>
    <row r="12" spans="2:9" x14ac:dyDescent="0.25">
      <c r="B12" s="162"/>
      <c r="C12" s="165"/>
      <c r="D12" s="159"/>
      <c r="E12" s="159"/>
      <c r="F12" s="183"/>
      <c r="G12" s="165"/>
    </row>
    <row r="14" spans="2:9" ht="21" x14ac:dyDescent="0.35">
      <c r="B14" s="163" t="s">
        <v>460</v>
      </c>
      <c r="C14" s="159"/>
      <c r="D14" s="159"/>
      <c r="E14" s="159"/>
      <c r="F14" s="159"/>
      <c r="G14" s="159"/>
    </row>
    <row r="16" spans="2:9" x14ac:dyDescent="0.25">
      <c r="B16" s="166" t="s">
        <v>28</v>
      </c>
      <c r="C16" s="167" t="s">
        <v>5</v>
      </c>
      <c r="D16" s="168" t="s">
        <v>4</v>
      </c>
      <c r="E16" s="168" t="s">
        <v>4</v>
      </c>
      <c r="F16" s="167" t="s">
        <v>485</v>
      </c>
      <c r="G16" s="167" t="s">
        <v>458</v>
      </c>
    </row>
    <row r="17" spans="2:7" x14ac:dyDescent="0.25">
      <c r="B17" s="160" t="s">
        <v>463</v>
      </c>
      <c r="C17" s="164">
        <v>1</v>
      </c>
      <c r="D17" s="161" t="s">
        <v>227</v>
      </c>
      <c r="E17" s="161" t="s">
        <v>227</v>
      </c>
      <c r="F17" s="182" t="s">
        <v>489</v>
      </c>
      <c r="G17" s="164" t="s">
        <v>464</v>
      </c>
    </row>
    <row r="18" spans="2:7" x14ac:dyDescent="0.25">
      <c r="B18" s="160"/>
      <c r="C18" s="164"/>
      <c r="D18" s="161"/>
      <c r="E18" s="161"/>
      <c r="F18" s="182"/>
      <c r="G18" s="164"/>
    </row>
    <row r="19" spans="2:7" x14ac:dyDescent="0.25">
      <c r="B19" s="179" t="s">
        <v>465</v>
      </c>
      <c r="C19" s="164">
        <v>2</v>
      </c>
      <c r="D19" s="161" t="s">
        <v>227</v>
      </c>
      <c r="E19" s="161" t="s">
        <v>227</v>
      </c>
      <c r="F19" s="182" t="s">
        <v>511</v>
      </c>
      <c r="G19" s="164" t="s">
        <v>469</v>
      </c>
    </row>
    <row r="20" spans="2:7" x14ac:dyDescent="0.25">
      <c r="B20" s="181" t="s">
        <v>483</v>
      </c>
      <c r="C20" s="164">
        <v>0</v>
      </c>
      <c r="D20" s="161" t="s">
        <v>492</v>
      </c>
      <c r="E20" s="161" t="s">
        <v>492</v>
      </c>
      <c r="F20" s="182" t="s">
        <v>490</v>
      </c>
      <c r="G20" s="164" t="s">
        <v>520</v>
      </c>
    </row>
    <row r="21" spans="2:7" x14ac:dyDescent="0.25">
      <c r="B21" s="160"/>
      <c r="C21" s="164"/>
      <c r="D21" s="161"/>
      <c r="E21" s="161"/>
      <c r="F21" s="182"/>
      <c r="G21" s="164"/>
    </row>
    <row r="22" spans="2:7" x14ac:dyDescent="0.25">
      <c r="B22" s="179" t="s">
        <v>466</v>
      </c>
      <c r="C22" s="164">
        <v>3</v>
      </c>
      <c r="D22" s="161" t="s">
        <v>227</v>
      </c>
      <c r="E22" s="161" t="s">
        <v>227</v>
      </c>
      <c r="F22" s="182" t="s">
        <v>512</v>
      </c>
      <c r="G22" s="164" t="s">
        <v>467</v>
      </c>
    </row>
    <row r="23" spans="2:7" x14ac:dyDescent="0.25">
      <c r="B23" s="181" t="s">
        <v>484</v>
      </c>
      <c r="C23" s="164">
        <v>0</v>
      </c>
      <c r="D23" s="161" t="s">
        <v>492</v>
      </c>
      <c r="E23" s="161" t="s">
        <v>492</v>
      </c>
      <c r="F23" s="182" t="s">
        <v>491</v>
      </c>
      <c r="G23" s="164" t="s">
        <v>468</v>
      </c>
    </row>
    <row r="24" spans="2:7" x14ac:dyDescent="0.25">
      <c r="B24" s="160"/>
      <c r="C24" s="164"/>
      <c r="D24" s="161"/>
      <c r="E24" s="161"/>
      <c r="F24" s="182"/>
      <c r="G24" s="164"/>
    </row>
    <row r="25" spans="2:7" x14ac:dyDescent="0.25">
      <c r="B25" s="181" t="s">
        <v>443</v>
      </c>
      <c r="C25" s="164">
        <v>2020</v>
      </c>
      <c r="D25" s="161" t="s">
        <v>29</v>
      </c>
      <c r="E25" s="161" t="s">
        <v>29</v>
      </c>
      <c r="F25" s="182" t="s">
        <v>493</v>
      </c>
      <c r="G25" s="164"/>
    </row>
    <row r="26" spans="2:7" x14ac:dyDescent="0.25">
      <c r="B26" s="160"/>
      <c r="C26" s="164"/>
      <c r="D26" s="161"/>
      <c r="E26" s="161"/>
      <c r="F26" s="182"/>
      <c r="G26" s="164"/>
    </row>
    <row r="27" spans="2:7" x14ac:dyDescent="0.25">
      <c r="B27" s="181" t="s">
        <v>504</v>
      </c>
      <c r="C27" s="164">
        <v>0.2</v>
      </c>
      <c r="D27" s="161"/>
      <c r="E27" s="161" t="s">
        <v>191</v>
      </c>
      <c r="F27" s="182" t="s">
        <v>548</v>
      </c>
      <c r="G27" s="164" t="s">
        <v>550</v>
      </c>
    </row>
    <row r="28" spans="2:7" x14ac:dyDescent="0.25">
      <c r="B28" s="181" t="s">
        <v>505</v>
      </c>
      <c r="C28" s="164">
        <v>0.2</v>
      </c>
      <c r="D28" s="161"/>
      <c r="E28" s="161" t="s">
        <v>191</v>
      </c>
      <c r="F28" s="182" t="s">
        <v>549</v>
      </c>
      <c r="G28" s="164" t="s">
        <v>551</v>
      </c>
    </row>
    <row r="29" spans="2:7" x14ac:dyDescent="0.25">
      <c r="B29" s="162"/>
      <c r="C29" s="165"/>
      <c r="D29" s="159"/>
      <c r="E29" s="159"/>
      <c r="F29" s="183"/>
      <c r="G29" s="165"/>
    </row>
    <row r="32" spans="2:7" ht="21" x14ac:dyDescent="0.35">
      <c r="B32" s="163" t="s">
        <v>462</v>
      </c>
      <c r="C32" s="159"/>
      <c r="D32" s="159"/>
      <c r="E32" s="159"/>
      <c r="F32" s="159"/>
      <c r="G32" s="159"/>
    </row>
    <row r="34" spans="2:7" x14ac:dyDescent="0.25">
      <c r="B34" s="166" t="s">
        <v>28</v>
      </c>
      <c r="C34" s="167" t="s">
        <v>5</v>
      </c>
      <c r="D34" s="168" t="s">
        <v>4</v>
      </c>
      <c r="E34" s="167" t="s">
        <v>4</v>
      </c>
      <c r="F34" s="167" t="s">
        <v>485</v>
      </c>
      <c r="G34" s="167" t="s">
        <v>458</v>
      </c>
    </row>
    <row r="35" spans="2:7" s="170" customFormat="1" x14ac:dyDescent="0.25">
      <c r="B35" s="171" t="s">
        <v>481</v>
      </c>
      <c r="C35" s="172" t="str">
        <f>Steam_Tech</f>
        <v>Steam generation; Electric boiler</v>
      </c>
      <c r="D35" s="186" t="str">
        <f>C35</f>
        <v>Steam generation; Electric boiler</v>
      </c>
      <c r="E35" s="174" t="s">
        <v>427</v>
      </c>
      <c r="F35" s="184" t="s">
        <v>495</v>
      </c>
      <c r="G35" s="174"/>
    </row>
    <row r="36" spans="2:7" s="170" customFormat="1" ht="30" x14ac:dyDescent="0.25">
      <c r="B36" s="171" t="s">
        <v>480</v>
      </c>
      <c r="C36" s="172" t="str">
        <f>Vapor_Tech</f>
        <v>Vaporization; Mechanic vapor recompression</v>
      </c>
      <c r="D36" s="186" t="str">
        <f t="shared" ref="D36:D37" si="0">C36</f>
        <v>Vaporization; Mechanic vapor recompression</v>
      </c>
      <c r="E36" s="174" t="s">
        <v>427</v>
      </c>
      <c r="F36" s="184" t="s">
        <v>496</v>
      </c>
      <c r="G36" s="174"/>
    </row>
    <row r="37" spans="2:7" s="170" customFormat="1" x14ac:dyDescent="0.25">
      <c r="B37" s="171" t="s">
        <v>477</v>
      </c>
      <c r="C37" s="172" t="str">
        <f>Plant_name</f>
        <v>AkzoNobel Hengelo</v>
      </c>
      <c r="D37" s="186" t="str">
        <f t="shared" si="0"/>
        <v>AkzoNobel Hengelo</v>
      </c>
      <c r="E37" s="174" t="s">
        <v>427</v>
      </c>
      <c r="F37" s="184" t="s">
        <v>497</v>
      </c>
      <c r="G37" s="174"/>
    </row>
    <row r="38" spans="2:7" s="170" customFormat="1" x14ac:dyDescent="0.25">
      <c r="B38" s="171" t="s">
        <v>478</v>
      </c>
      <c r="C38" s="176">
        <f>Template_calc!E15</f>
        <v>2451</v>
      </c>
      <c r="D38" s="186">
        <f>C38</f>
        <v>2451</v>
      </c>
      <c r="E38" s="174" t="s">
        <v>479</v>
      </c>
      <c r="F38" s="184" t="s">
        <v>498</v>
      </c>
      <c r="G38" s="174"/>
    </row>
    <row r="39" spans="2:7" s="170" customFormat="1" x14ac:dyDescent="0.25">
      <c r="B39" s="171"/>
      <c r="C39" s="176"/>
      <c r="D39" s="173"/>
      <c r="E39" s="174"/>
      <c r="F39" s="184"/>
      <c r="G39" s="174"/>
    </row>
    <row r="40" spans="2:7" x14ac:dyDescent="0.25">
      <c r="B40" s="160" t="s">
        <v>470</v>
      </c>
      <c r="C40" s="169">
        <f ca="1">Template_calc!F39</f>
        <v>-1.885928213596344E-6</v>
      </c>
      <c r="D40" s="186">
        <f ca="1">C40</f>
        <v>-1.885928213596344E-6</v>
      </c>
      <c r="E40" s="164" t="s">
        <v>471</v>
      </c>
      <c r="F40" s="182" t="s">
        <v>552</v>
      </c>
      <c r="G40" s="164"/>
    </row>
    <row r="41" spans="2:7" x14ac:dyDescent="0.25">
      <c r="B41" s="160" t="s">
        <v>472</v>
      </c>
      <c r="C41" s="169">
        <f ca="1">-Template_calc!F40</f>
        <v>-81850.116354451355</v>
      </c>
      <c r="D41" s="186">
        <f t="shared" ref="D41:D44" ca="1" si="1">C41</f>
        <v>-81850.116354451355</v>
      </c>
      <c r="E41" s="164" t="s">
        <v>266</v>
      </c>
      <c r="F41" s="182" t="s">
        <v>499</v>
      </c>
      <c r="G41" s="164"/>
    </row>
    <row r="42" spans="2:7" x14ac:dyDescent="0.25">
      <c r="B42" s="160" t="s">
        <v>544</v>
      </c>
      <c r="C42" s="169">
        <f ca="1">-Template_calc!F41/1000</f>
        <v>-4.9041839683537187</v>
      </c>
      <c r="D42" s="186">
        <f t="shared" ca="1" si="1"/>
        <v>-4.9041839683537187</v>
      </c>
      <c r="E42" s="164" t="s">
        <v>308</v>
      </c>
      <c r="F42" s="182" t="s">
        <v>546</v>
      </c>
      <c r="G42" s="164"/>
    </row>
    <row r="43" spans="2:7" x14ac:dyDescent="0.25">
      <c r="B43" s="160" t="s">
        <v>545</v>
      </c>
      <c r="C43" s="169">
        <f ca="1">-Template_calc!F42/1000</f>
        <v>-0.39341869689545772</v>
      </c>
      <c r="D43" s="186">
        <f t="shared" ca="1" si="1"/>
        <v>-0.39341869689545772</v>
      </c>
      <c r="E43" s="164" t="s">
        <v>308</v>
      </c>
      <c r="F43" s="182" t="s">
        <v>547</v>
      </c>
      <c r="G43" s="164"/>
    </row>
    <row r="44" spans="2:7" x14ac:dyDescent="0.25">
      <c r="B44" s="160" t="s">
        <v>474</v>
      </c>
      <c r="C44" s="169">
        <f ca="1">-Template_calc!F43/1000</f>
        <v>-5.2976026652491779</v>
      </c>
      <c r="D44" s="186">
        <f t="shared" ca="1" si="1"/>
        <v>-5.2976026652491779</v>
      </c>
      <c r="E44" s="164" t="s">
        <v>308</v>
      </c>
      <c r="F44" s="182" t="s">
        <v>500</v>
      </c>
      <c r="G44" s="164"/>
    </row>
    <row r="45" spans="2:7" x14ac:dyDescent="0.25">
      <c r="B45" s="160"/>
      <c r="C45" s="169"/>
      <c r="D45" s="186"/>
      <c r="E45" s="164"/>
      <c r="F45" s="182"/>
      <c r="G45" s="164"/>
    </row>
    <row r="46" spans="2:7" x14ac:dyDescent="0.25">
      <c r="B46" s="160" t="s">
        <v>553</v>
      </c>
      <c r="C46" s="191">
        <f>(C56-C55)/C55</f>
        <v>-1.9752478298689143E-2</v>
      </c>
      <c r="D46" s="192">
        <f>C46</f>
        <v>-1.9752478298689143E-2</v>
      </c>
      <c r="E46" s="164" t="s">
        <v>191</v>
      </c>
      <c r="F46" s="182" t="s">
        <v>555</v>
      </c>
      <c r="G46" s="164"/>
    </row>
    <row r="47" spans="2:7" x14ac:dyDescent="0.25">
      <c r="B47" s="160" t="s">
        <v>554</v>
      </c>
      <c r="C47" s="191">
        <f>(C59-C58)/C58</f>
        <v>-1.9442100133293949E-2</v>
      </c>
      <c r="D47" s="192">
        <f>C47</f>
        <v>-1.9442100133293949E-2</v>
      </c>
      <c r="E47" s="164" t="s">
        <v>191</v>
      </c>
      <c r="F47" s="182" t="s">
        <v>556</v>
      </c>
      <c r="G47" s="164"/>
    </row>
    <row r="48" spans="2:7" x14ac:dyDescent="0.25">
      <c r="B48" s="160"/>
      <c r="C48" s="191"/>
      <c r="D48" s="192"/>
      <c r="E48" s="164"/>
      <c r="F48" s="182"/>
      <c r="G48" s="164"/>
    </row>
    <row r="49" spans="2:7" x14ac:dyDescent="0.25">
      <c r="B49" s="160" t="s">
        <v>552</v>
      </c>
      <c r="C49" s="169">
        <f ca="1">C40</f>
        <v>-1.885928213596344E-6</v>
      </c>
      <c r="D49" s="192"/>
      <c r="E49" s="164"/>
      <c r="F49" s="182"/>
      <c r="G49" s="164"/>
    </row>
    <row r="50" spans="2:7" x14ac:dyDescent="0.25">
      <c r="B50" s="160"/>
      <c r="C50" s="169"/>
      <c r="D50" s="186"/>
      <c r="E50" s="164"/>
      <c r="F50" s="182"/>
      <c r="G50" s="164"/>
    </row>
    <row r="51" spans="2:7" x14ac:dyDescent="0.25">
      <c r="B51" s="179" t="s">
        <v>509</v>
      </c>
      <c r="C51" s="175">
        <f>-INDEX(ChangeEnergyCO2[],6,2030-C25+4)</f>
        <v>-4904.18396835372</v>
      </c>
      <c r="D51" s="186">
        <f t="shared" ref="D51:D62" si="2">C51</f>
        <v>-4904.18396835372</v>
      </c>
      <c r="E51" s="164" t="s">
        <v>53</v>
      </c>
      <c r="F51" s="182" t="s">
        <v>539</v>
      </c>
      <c r="G51" s="164"/>
    </row>
    <row r="52" spans="2:7" x14ac:dyDescent="0.25">
      <c r="B52" s="179" t="s">
        <v>510</v>
      </c>
      <c r="C52" s="169">
        <f>-SUM(INDEX(ChangeEnergyCO2[],7,2030-Investment_year+4),INDEX(ChangeEnergyCO2[],8,2030-Investment_year+4))</f>
        <v>-389.60151903353886</v>
      </c>
      <c r="D52" s="186">
        <f t="shared" si="2"/>
        <v>-389.60151903353886</v>
      </c>
      <c r="E52" s="164" t="s">
        <v>53</v>
      </c>
      <c r="F52" s="182" t="s">
        <v>540</v>
      </c>
      <c r="G52" s="164"/>
    </row>
    <row r="53" spans="2:7" x14ac:dyDescent="0.25">
      <c r="B53" s="179" t="s">
        <v>508</v>
      </c>
      <c r="C53" s="169">
        <f>-INDEX(ChangeEnergyCO2[],9,2030-Investment_year+4)</f>
        <v>-5293.7854873872593</v>
      </c>
      <c r="D53" s="186">
        <f t="shared" si="2"/>
        <v>-5293.7854873872593</v>
      </c>
      <c r="E53" s="164" t="s">
        <v>53</v>
      </c>
      <c r="F53" s="182" t="s">
        <v>541</v>
      </c>
      <c r="G53" s="164"/>
    </row>
    <row r="54" spans="2:7" x14ac:dyDescent="0.25">
      <c r="B54" s="179"/>
      <c r="C54" s="169"/>
      <c r="D54" s="186"/>
      <c r="E54" s="164"/>
      <c r="F54" s="182"/>
      <c r="G54" s="164"/>
    </row>
    <row r="55" spans="2:7" x14ac:dyDescent="0.25">
      <c r="B55" s="179" t="s">
        <v>532</v>
      </c>
      <c r="C55" s="169">
        <f>(Template_calc!C122*1000)</f>
        <v>248281.95703823087</v>
      </c>
      <c r="D55" s="186"/>
      <c r="E55" s="164" t="s">
        <v>53</v>
      </c>
      <c r="F55" s="182" t="s">
        <v>537</v>
      </c>
      <c r="G55" s="164"/>
    </row>
    <row r="56" spans="2:7" x14ac:dyDescent="0.25">
      <c r="B56" s="179" t="s">
        <v>531</v>
      </c>
      <c r="C56" s="175">
        <f>(Template_calc!C122*1000)-INDEX(ChangeEnergyCO2[],6,2030-Investment_year+4)</f>
        <v>243377.77306987715</v>
      </c>
      <c r="D56" s="187">
        <f t="shared" si="2"/>
        <v>243377.77306987715</v>
      </c>
      <c r="E56" s="164" t="s">
        <v>53</v>
      </c>
      <c r="F56" s="182" t="s">
        <v>538</v>
      </c>
      <c r="G56" s="164"/>
    </row>
    <row r="57" spans="2:7" x14ac:dyDescent="0.25">
      <c r="B57" s="179"/>
      <c r="C57" s="175"/>
      <c r="D57" s="187"/>
      <c r="E57" s="164"/>
      <c r="F57" s="182"/>
      <c r="G57" s="164"/>
    </row>
    <row r="58" spans="2:7" x14ac:dyDescent="0.25">
      <c r="B58" s="179" t="s">
        <v>534</v>
      </c>
      <c r="C58" s="175">
        <f>Template_calc!C119*10^6*Template_calc!E149</f>
        <v>20039.065551686916</v>
      </c>
      <c r="D58" s="187"/>
      <c r="E58" s="164" t="s">
        <v>53</v>
      </c>
      <c r="F58" s="182" t="s">
        <v>535</v>
      </c>
      <c r="G58" s="164"/>
    </row>
    <row r="59" spans="2:7" x14ac:dyDescent="0.25">
      <c r="B59" s="179" t="s">
        <v>533</v>
      </c>
      <c r="C59" s="175">
        <f>C58+C52</f>
        <v>19649.464032653377</v>
      </c>
      <c r="D59" s="187"/>
      <c r="E59" s="164" t="s">
        <v>53</v>
      </c>
      <c r="F59" s="182" t="s">
        <v>536</v>
      </c>
      <c r="G59" s="164"/>
    </row>
    <row r="60" spans="2:7" x14ac:dyDescent="0.25">
      <c r="B60" s="160"/>
      <c r="C60" s="169"/>
      <c r="D60" s="186"/>
      <c r="E60" s="164"/>
      <c r="F60" s="182"/>
      <c r="G60" s="164"/>
    </row>
    <row r="61" spans="2:7" x14ac:dyDescent="0.25">
      <c r="B61" s="160" t="s">
        <v>501</v>
      </c>
      <c r="C61" s="185">
        <f>INDEX(UsedScenarioParameters[], 1,Investment_year-2015+4)</f>
        <v>5.7799262555783733</v>
      </c>
      <c r="D61" s="186">
        <f t="shared" si="2"/>
        <v>5.7799262555783733</v>
      </c>
      <c r="E61" s="164" t="s">
        <v>503</v>
      </c>
      <c r="F61" s="182"/>
      <c r="G61" s="164"/>
    </row>
    <row r="62" spans="2:7" x14ac:dyDescent="0.25">
      <c r="B62" s="160" t="s">
        <v>502</v>
      </c>
      <c r="C62" s="185">
        <f>INDEX(UsedScenarioParameters[], 2,Investment_year-2015+4)</f>
        <v>8.3055555555555536</v>
      </c>
      <c r="D62" s="186">
        <f t="shared" si="2"/>
        <v>8.3055555555555536</v>
      </c>
      <c r="E62" s="164" t="s">
        <v>503</v>
      </c>
      <c r="F62" s="182"/>
      <c r="G62" s="164"/>
    </row>
    <row r="63" spans="2:7" x14ac:dyDescent="0.25">
      <c r="B63" s="162"/>
      <c r="C63" s="165"/>
      <c r="D63" s="159"/>
      <c r="E63" s="165"/>
      <c r="F63" s="183"/>
      <c r="G63" s="165"/>
    </row>
  </sheetData>
  <mergeCells count="1">
    <mergeCell ref="B2:G2"/>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tint="0.39997558519241921"/>
  </sheetPr>
  <dimension ref="A1:AD285"/>
  <sheetViews>
    <sheetView showGridLines="0" zoomScaleNormal="100" workbookViewId="0">
      <selection activeCell="E19" sqref="E19"/>
    </sheetView>
  </sheetViews>
  <sheetFormatPr defaultColWidth="8.85546875" defaultRowHeight="15" x14ac:dyDescent="0.25"/>
  <cols>
    <col min="1" max="1" width="9.140625" style="42" customWidth="1"/>
    <col min="2" max="2" width="33.28515625" style="44" customWidth="1"/>
    <col min="3" max="3" width="33.28515625" style="42" customWidth="1"/>
    <col min="4" max="4" width="20" style="42" customWidth="1"/>
    <col min="5" max="20" width="17.85546875" style="42" customWidth="1"/>
    <col min="21" max="26" width="17.85546875" style="59" customWidth="1"/>
    <col min="27" max="30" width="17.85546875" style="42" customWidth="1"/>
    <col min="31" max="31" width="29.140625" style="42" customWidth="1"/>
    <col min="32" max="32" width="33.140625" style="42" customWidth="1"/>
    <col min="33" max="33" width="28.140625" style="42" customWidth="1"/>
    <col min="34" max="34" width="29.140625" style="42" customWidth="1"/>
    <col min="35" max="35" width="33.140625" style="42" customWidth="1"/>
    <col min="36" max="36" width="28.140625" style="42" customWidth="1"/>
    <col min="37" max="37" width="29.140625" style="42" customWidth="1"/>
    <col min="38" max="38" width="33.140625" style="42" customWidth="1"/>
    <col min="39" max="39" width="28.140625" style="42" customWidth="1"/>
    <col min="40" max="40" width="27.140625" style="42" customWidth="1"/>
    <col min="41" max="41" width="27.85546875" style="42" customWidth="1"/>
    <col min="42" max="42" width="26.140625" style="42" customWidth="1"/>
    <col min="43" max="43" width="20.85546875" style="42" customWidth="1"/>
    <col min="44" max="44" width="24.85546875" style="42" customWidth="1"/>
    <col min="45" max="45" width="32.42578125" style="42" customWidth="1"/>
    <col min="46" max="46" width="31.42578125" style="42" customWidth="1"/>
    <col min="47" max="47" width="32.140625" style="42" customWidth="1"/>
    <col min="48" max="48" width="31.140625" style="42" customWidth="1"/>
    <col min="49" max="49" width="32.42578125" style="42" customWidth="1"/>
    <col min="50" max="50" width="31.42578125" style="42" customWidth="1"/>
    <col min="51" max="51" width="34.140625" style="42" customWidth="1"/>
    <col min="52" max="52" width="33.140625" style="42" customWidth="1"/>
    <col min="53" max="53" width="20" style="42" customWidth="1"/>
    <col min="54" max="54" width="9" style="42" customWidth="1"/>
    <col min="55" max="16384" width="8.85546875" style="42"/>
  </cols>
  <sheetData>
    <row r="1" spans="1:26" x14ac:dyDescent="0.25">
      <c r="A1" s="43"/>
      <c r="U1" s="42"/>
      <c r="V1" s="42"/>
      <c r="W1" s="42"/>
      <c r="X1" s="42"/>
      <c r="Y1" s="42"/>
      <c r="Z1" s="42"/>
    </row>
    <row r="2" spans="1:26" x14ac:dyDescent="0.25">
      <c r="B2" s="44" t="s">
        <v>44</v>
      </c>
      <c r="C2" s="45" t="s">
        <v>109</v>
      </c>
      <c r="U2" s="42"/>
      <c r="V2" s="42"/>
      <c r="W2" s="42"/>
      <c r="X2" s="42"/>
      <c r="Y2" s="42"/>
      <c r="Z2" s="42"/>
    </row>
    <row r="3" spans="1:26" x14ac:dyDescent="0.25">
      <c r="B3" s="44" t="s">
        <v>45</v>
      </c>
      <c r="C3" s="42" t="s">
        <v>67</v>
      </c>
      <c r="U3" s="42"/>
      <c r="V3" s="42"/>
      <c r="W3" s="42"/>
      <c r="X3" s="42"/>
      <c r="Y3" s="42"/>
      <c r="Z3" s="42"/>
    </row>
    <row r="4" spans="1:26" x14ac:dyDescent="0.25">
      <c r="B4" s="42" t="s">
        <v>46</v>
      </c>
      <c r="C4" s="42" t="s">
        <v>82</v>
      </c>
      <c r="U4" s="42"/>
      <c r="V4" s="42"/>
      <c r="W4" s="42"/>
      <c r="X4" s="42"/>
      <c r="Y4" s="42"/>
      <c r="Z4" s="42"/>
    </row>
    <row r="5" spans="1:26" x14ac:dyDescent="0.25">
      <c r="B5" s="42"/>
      <c r="U5" s="42"/>
      <c r="V5" s="42"/>
      <c r="W5" s="42"/>
      <c r="X5" s="42"/>
      <c r="Y5" s="42"/>
      <c r="Z5" s="42"/>
    </row>
    <row r="6" spans="1:26" x14ac:dyDescent="0.25">
      <c r="B6" s="42"/>
      <c r="U6" s="42"/>
      <c r="V6" s="42"/>
      <c r="W6" s="42"/>
      <c r="X6" s="42"/>
      <c r="Y6" s="42"/>
      <c r="Z6" s="42"/>
    </row>
    <row r="7" spans="1:26" x14ac:dyDescent="0.25">
      <c r="B7" s="42"/>
      <c r="U7" s="42"/>
      <c r="V7" s="42"/>
      <c r="W7" s="42"/>
      <c r="X7" s="42"/>
      <c r="Y7" s="42"/>
      <c r="Z7" s="42"/>
    </row>
    <row r="8" spans="1:26" ht="19.5" thickBot="1" x14ac:dyDescent="0.35">
      <c r="B8" s="103" t="s">
        <v>87</v>
      </c>
      <c r="C8" s="46"/>
      <c r="D8" s="46"/>
      <c r="E8" s="46"/>
      <c r="F8" s="46"/>
      <c r="G8" s="46"/>
      <c r="H8" s="46"/>
      <c r="U8" s="42"/>
      <c r="V8" s="42"/>
      <c r="W8" s="42"/>
      <c r="X8" s="42"/>
      <c r="Y8" s="42"/>
      <c r="Z8" s="42"/>
    </row>
    <row r="9" spans="1:26" ht="15.75" thickTop="1" x14ac:dyDescent="0.25">
      <c r="B9" s="42"/>
      <c r="U9" s="42"/>
      <c r="V9" s="42"/>
      <c r="W9" s="42"/>
      <c r="X9" s="42"/>
      <c r="Y9" s="42"/>
      <c r="Z9" s="42"/>
    </row>
    <row r="10" spans="1:26" x14ac:dyDescent="0.25">
      <c r="B10" s="47" t="s">
        <v>432</v>
      </c>
      <c r="U10" s="42"/>
      <c r="V10" s="42"/>
      <c r="W10" s="42"/>
      <c r="X10" s="42"/>
      <c r="Y10" s="42"/>
      <c r="Z10" s="42"/>
    </row>
    <row r="11" spans="1:26" ht="18.75" x14ac:dyDescent="0.3">
      <c r="B11" s="102" t="s">
        <v>295</v>
      </c>
      <c r="U11" s="42"/>
      <c r="V11" s="42"/>
      <c r="W11" s="42"/>
      <c r="X11" s="42"/>
      <c r="Y11" s="42"/>
      <c r="Z11" s="42"/>
    </row>
    <row r="12" spans="1:26" x14ac:dyDescent="0.25">
      <c r="B12" s="48" t="s">
        <v>28</v>
      </c>
      <c r="C12" s="48" t="s">
        <v>89</v>
      </c>
      <c r="D12" s="146" t="s">
        <v>4</v>
      </c>
      <c r="E12" s="48" t="s">
        <v>5</v>
      </c>
      <c r="U12" s="42"/>
      <c r="V12" s="42"/>
      <c r="W12" s="42"/>
      <c r="X12" s="42"/>
      <c r="Y12" s="42"/>
      <c r="Z12" s="42"/>
    </row>
    <row r="13" spans="1:26" x14ac:dyDescent="0.25">
      <c r="B13" s="49" t="s">
        <v>88</v>
      </c>
      <c r="C13" s="49"/>
      <c r="D13" s="49" t="s">
        <v>5</v>
      </c>
      <c r="E13" s="98" t="str">
        <f>INDEX(Current_plant_configuration[],FLOOR(Experiment!$C$17,1),1)</f>
        <v>AkzoNobel Hengelo</v>
      </c>
      <c r="F13" s="47" t="s">
        <v>224</v>
      </c>
      <c r="U13" s="42"/>
      <c r="V13" s="42"/>
      <c r="W13" s="42"/>
      <c r="X13" s="42"/>
      <c r="Y13" s="42"/>
      <c r="Z13" s="42"/>
    </row>
    <row r="14" spans="1:26" x14ac:dyDescent="0.25">
      <c r="B14" s="49" t="s">
        <v>264</v>
      </c>
      <c r="C14" s="49" t="s">
        <v>263</v>
      </c>
      <c r="D14" s="49" t="s">
        <v>5</v>
      </c>
      <c r="E14" s="99" t="str">
        <f>INDEX(Current_plant_configuration[],MATCH($E$13,Current_plant_configuration[Plant name],0),MATCH(Plant_data[[#This Row],[Type]],Current_plant_configuration[#Headers],0))</f>
        <v>Salt (98%)</v>
      </c>
      <c r="U14" s="42"/>
      <c r="V14" s="42"/>
      <c r="W14" s="42"/>
      <c r="X14" s="42"/>
      <c r="Y14" s="42"/>
      <c r="Z14" s="42"/>
    </row>
    <row r="15" spans="1:26" x14ac:dyDescent="0.25">
      <c r="B15" s="51" t="s">
        <v>213</v>
      </c>
      <c r="C15" s="49" t="s">
        <v>265</v>
      </c>
      <c r="D15" s="49" t="s">
        <v>185</v>
      </c>
      <c r="E15" s="100">
        <f>INDEX(Current_plant_configuration[],MATCH($E$13,Current_plant_configuration[Plant name],0),MATCH(Plant_data[[#This Row],[Type]],Current_plant_configuration[#Headers],0))</f>
        <v>2451</v>
      </c>
      <c r="G15" s="42" t="s">
        <v>59</v>
      </c>
      <c r="U15" s="42"/>
      <c r="V15" s="42"/>
      <c r="W15" s="42"/>
      <c r="X15" s="42"/>
      <c r="Y15" s="42"/>
      <c r="Z15" s="42"/>
    </row>
    <row r="16" spans="1:26" x14ac:dyDescent="0.25">
      <c r="A16" s="47"/>
      <c r="B16" s="49" t="s">
        <v>377</v>
      </c>
      <c r="C16" s="49"/>
      <c r="D16" s="49" t="s">
        <v>5</v>
      </c>
      <c r="E16" s="98" t="str">
        <f>INDEX(Process_characteristics[],Experiment!C19+1,1)</f>
        <v>Steam generation; Electric boiler</v>
      </c>
      <c r="F16" s="47" t="s">
        <v>379</v>
      </c>
      <c r="U16" s="42"/>
      <c r="V16" s="42"/>
      <c r="W16" s="42"/>
      <c r="X16" s="42"/>
      <c r="Y16" s="42"/>
      <c r="Z16" s="42"/>
    </row>
    <row r="17" spans="1:26" x14ac:dyDescent="0.25">
      <c r="A17" s="47"/>
      <c r="B17" s="49"/>
      <c r="C17" s="49"/>
      <c r="D17" s="49" t="s">
        <v>4</v>
      </c>
      <c r="E17" s="98">
        <f>FLOOR(Steam_tech_amount,1)</f>
        <v>0</v>
      </c>
      <c r="F17" s="47" t="s">
        <v>416</v>
      </c>
      <c r="U17" s="42"/>
      <c r="V17" s="42"/>
      <c r="W17" s="42"/>
      <c r="X17" s="42"/>
      <c r="Y17" s="42"/>
      <c r="Z17" s="42"/>
    </row>
    <row r="18" spans="1:26" x14ac:dyDescent="0.25">
      <c r="A18" s="47"/>
      <c r="B18" s="49" t="s">
        <v>376</v>
      </c>
      <c r="C18" s="49"/>
      <c r="D18" s="49" t="s">
        <v>5</v>
      </c>
      <c r="E18" s="98" t="str">
        <f>INDEX(Process_characteristics[],Experiment!C22+7,1)</f>
        <v>Vaporization; Mechanic vapor recompression</v>
      </c>
      <c r="F18" s="47" t="s">
        <v>380</v>
      </c>
      <c r="U18" s="42"/>
      <c r="V18" s="42"/>
      <c r="W18" s="42"/>
      <c r="X18" s="42"/>
      <c r="Y18" s="42"/>
      <c r="Z18" s="42"/>
    </row>
    <row r="19" spans="1:26" x14ac:dyDescent="0.25">
      <c r="A19" s="47"/>
      <c r="B19" s="49"/>
      <c r="C19" s="49"/>
      <c r="D19" s="49" t="s">
        <v>4</v>
      </c>
      <c r="E19" s="98">
        <f>FLOOR(Vapor_tech_amount,1)</f>
        <v>0</v>
      </c>
      <c r="F19" s="47" t="s">
        <v>381</v>
      </c>
      <c r="U19" s="42"/>
      <c r="V19" s="42"/>
      <c r="W19" s="42"/>
      <c r="X19" s="42"/>
      <c r="Y19" s="42"/>
      <c r="Z19" s="42"/>
    </row>
    <row r="20" spans="1:26" x14ac:dyDescent="0.25">
      <c r="A20" s="47"/>
      <c r="B20" s="53" t="s">
        <v>74</v>
      </c>
      <c r="C20" s="54"/>
      <c r="D20" s="42" t="s">
        <v>5</v>
      </c>
      <c r="E20" s="120">
        <f>Price_scenario</f>
        <v>1</v>
      </c>
      <c r="F20" s="47" t="s">
        <v>382</v>
      </c>
      <c r="U20" s="42"/>
      <c r="V20" s="42"/>
      <c r="W20" s="42"/>
      <c r="X20" s="42"/>
      <c r="Y20" s="42"/>
      <c r="Z20" s="42"/>
    </row>
    <row r="21" spans="1:26" x14ac:dyDescent="0.25">
      <c r="A21" s="47"/>
      <c r="B21" s="53"/>
      <c r="C21" s="54"/>
      <c r="E21" s="121"/>
      <c r="F21" s="47"/>
      <c r="U21" s="42"/>
      <c r="V21" s="42"/>
      <c r="W21" s="42"/>
      <c r="X21" s="42"/>
      <c r="Y21" s="42"/>
      <c r="Z21" s="42"/>
    </row>
    <row r="22" spans="1:26" x14ac:dyDescent="0.25">
      <c r="B22" s="55" t="s">
        <v>120</v>
      </c>
      <c r="U22" s="42"/>
      <c r="V22" s="42"/>
      <c r="W22" s="42"/>
      <c r="X22" s="42"/>
      <c r="Y22" s="42"/>
      <c r="Z22" s="42"/>
    </row>
    <row r="23" spans="1:26" ht="18.75" x14ac:dyDescent="0.3">
      <c r="B23" s="101" t="s">
        <v>95</v>
      </c>
      <c r="U23" s="42"/>
      <c r="V23" s="42"/>
      <c r="W23" s="42"/>
      <c r="X23" s="42"/>
      <c r="Y23" s="42"/>
      <c r="Z23" s="42"/>
    </row>
    <row r="24" spans="1:26" x14ac:dyDescent="0.25">
      <c r="B24" s="48" t="s">
        <v>28</v>
      </c>
      <c r="C24" s="49" t="s">
        <v>89</v>
      </c>
      <c r="D24" s="49" t="s">
        <v>4</v>
      </c>
      <c r="E24" s="49" t="s">
        <v>5</v>
      </c>
      <c r="U24" s="42"/>
      <c r="V24" s="42"/>
      <c r="W24" s="42"/>
      <c r="X24" s="42"/>
      <c r="Y24" s="42"/>
      <c r="Z24" s="42"/>
    </row>
    <row r="25" spans="1:26" x14ac:dyDescent="0.25">
      <c r="B25" s="48" t="s">
        <v>424</v>
      </c>
      <c r="C25" s="49" t="s">
        <v>92</v>
      </c>
      <c r="D25" s="49" t="s">
        <v>0</v>
      </c>
      <c r="E25" s="138">
        <f>SUM(C131,D131)</f>
        <v>0</v>
      </c>
      <c r="G25" s="126">
        <v>80362244.98750177</v>
      </c>
      <c r="U25" s="42"/>
      <c r="V25" s="42"/>
      <c r="W25" s="42"/>
      <c r="X25" s="42"/>
      <c r="Y25" s="42"/>
      <c r="Z25" s="42"/>
    </row>
    <row r="26" spans="1:26" x14ac:dyDescent="0.25">
      <c r="B26" s="48" t="s">
        <v>425</v>
      </c>
      <c r="C26" s="49" t="s">
        <v>92</v>
      </c>
      <c r="D26" s="49" t="s">
        <v>0</v>
      </c>
      <c r="E26" s="138">
        <f>SUM(C132,D132)</f>
        <v>0</v>
      </c>
      <c r="U26" s="42"/>
      <c r="V26" s="42"/>
      <c r="W26" s="42"/>
      <c r="X26" s="42"/>
      <c r="Y26" s="42"/>
      <c r="Z26" s="42"/>
    </row>
    <row r="27" spans="1:26" x14ac:dyDescent="0.25">
      <c r="B27" s="48" t="s">
        <v>250</v>
      </c>
      <c r="C27" s="49" t="s">
        <v>92</v>
      </c>
      <c r="D27" s="49" t="s">
        <v>329</v>
      </c>
      <c r="E27" s="49">
        <f>IFERROR(Disc_rate/(1-(1+Disc_rate)^(-Lifetime)),0)</f>
        <v>0.12329094433013638</v>
      </c>
      <c r="U27" s="42"/>
      <c r="V27" s="42"/>
      <c r="W27" s="42"/>
      <c r="X27" s="42"/>
      <c r="Y27" s="42"/>
      <c r="Z27" s="42"/>
    </row>
    <row r="28" spans="1:26" x14ac:dyDescent="0.25">
      <c r="B28" s="51" t="s">
        <v>38</v>
      </c>
      <c r="C28" s="49" t="s">
        <v>92</v>
      </c>
      <c r="D28" s="49" t="s">
        <v>6</v>
      </c>
      <c r="E28" s="142">
        <f>Experiment!C9</f>
        <v>0.04</v>
      </c>
      <c r="F28" s="47" t="s">
        <v>218</v>
      </c>
      <c r="U28" s="42"/>
      <c r="V28" s="42"/>
      <c r="W28" s="42"/>
      <c r="X28" s="42"/>
      <c r="Y28" s="42"/>
      <c r="Z28" s="42"/>
    </row>
    <row r="29" spans="1:26" x14ac:dyDescent="0.25">
      <c r="B29" s="51" t="s">
        <v>93</v>
      </c>
      <c r="C29" s="49" t="s">
        <v>94</v>
      </c>
      <c r="D29" s="49" t="s">
        <v>249</v>
      </c>
      <c r="E29" s="143">
        <v>56.8</v>
      </c>
      <c r="U29" s="42"/>
      <c r="V29" s="42"/>
      <c r="W29" s="42"/>
      <c r="X29" s="42"/>
      <c r="Y29" s="42"/>
      <c r="Z29" s="42"/>
    </row>
    <row r="30" spans="1:26" x14ac:dyDescent="0.25">
      <c r="B30" s="51" t="s">
        <v>30</v>
      </c>
      <c r="C30" s="49" t="s">
        <v>92</v>
      </c>
      <c r="D30" s="49" t="s">
        <v>108</v>
      </c>
      <c r="E30" s="56">
        <f>MAX(C130,D130)</f>
        <v>10</v>
      </c>
      <c r="F30" s="47" t="s">
        <v>30</v>
      </c>
      <c r="U30" s="42"/>
      <c r="V30" s="42"/>
      <c r="W30" s="42"/>
      <c r="X30" s="42"/>
      <c r="Y30" s="42"/>
      <c r="Z30" s="42"/>
    </row>
    <row r="31" spans="1:26" x14ac:dyDescent="0.25">
      <c r="B31" s="51" t="s">
        <v>443</v>
      </c>
      <c r="C31" s="49" t="s">
        <v>92</v>
      </c>
      <c r="D31" s="49" t="s">
        <v>29</v>
      </c>
      <c r="E31" s="148">
        <f>FLOOR(Investment_year,1)</f>
        <v>2020</v>
      </c>
      <c r="F31" s="47"/>
      <c r="U31" s="42"/>
      <c r="V31" s="42"/>
      <c r="W31" s="42"/>
      <c r="X31" s="42"/>
      <c r="Y31" s="42"/>
      <c r="Z31" s="42"/>
    </row>
    <row r="32" spans="1:26" x14ac:dyDescent="0.25">
      <c r="U32" s="42"/>
      <c r="V32" s="42"/>
      <c r="W32" s="42"/>
      <c r="X32" s="42"/>
      <c r="Y32" s="42"/>
      <c r="Z32" s="42"/>
    </row>
    <row r="33" spans="1:26" x14ac:dyDescent="0.25">
      <c r="A33" s="47"/>
      <c r="B33" s="53"/>
      <c r="C33" s="54"/>
      <c r="E33" s="121"/>
      <c r="F33" s="47"/>
      <c r="U33" s="42"/>
      <c r="V33" s="42"/>
      <c r="W33" s="42"/>
      <c r="X33" s="42"/>
      <c r="Y33" s="42"/>
      <c r="Z33" s="42"/>
    </row>
    <row r="34" spans="1:26" x14ac:dyDescent="0.25">
      <c r="B34" s="55" t="s">
        <v>431</v>
      </c>
    </row>
    <row r="35" spans="1:26" ht="18.75" x14ac:dyDescent="0.3">
      <c r="B35" s="101" t="s">
        <v>430</v>
      </c>
    </row>
    <row r="36" spans="1:26" ht="15" customHeight="1" x14ac:dyDescent="0.25">
      <c r="B36" s="74" t="s">
        <v>88</v>
      </c>
      <c r="C36" s="75" t="s">
        <v>428</v>
      </c>
      <c r="D36" s="76" t="s">
        <v>37</v>
      </c>
      <c r="E36" s="77" t="s">
        <v>4</v>
      </c>
      <c r="F36" s="77" t="s">
        <v>5</v>
      </c>
      <c r="G36" s="42" t="s">
        <v>74</v>
      </c>
      <c r="R36" s="59"/>
      <c r="S36" s="59"/>
      <c r="T36" s="59"/>
      <c r="X36" s="42"/>
      <c r="Y36" s="42"/>
      <c r="Z36" s="42"/>
    </row>
    <row r="37" spans="1:26" ht="15" customHeight="1" x14ac:dyDescent="0.25">
      <c r="B37" s="78" t="str">
        <f t="shared" ref="B37:B44" si="0">Plant_name</f>
        <v>AkzoNobel Hengelo</v>
      </c>
      <c r="C37" s="79" t="str">
        <f t="shared" ref="C37:C44" si="1">Steam_Tech &amp;" and " &amp; Vapor_Tech</f>
        <v>Steam generation; Electric boiler and Vaporization; Mechanic vapor recompression</v>
      </c>
      <c r="D37" s="80" t="s">
        <v>48</v>
      </c>
      <c r="E37" s="62" t="s">
        <v>0</v>
      </c>
      <c r="F37" s="81">
        <f ca="1">IFERROR(SUM(OFFSET($E$184,0,0,1,Lifetime)),0)</f>
        <v>7014600.03611161</v>
      </c>
      <c r="G37" s="50">
        <f t="shared" ref="G37:G44" si="2">CO2scenario</f>
        <v>1</v>
      </c>
      <c r="R37" s="59"/>
      <c r="S37" s="59"/>
      <c r="T37" s="59"/>
      <c r="X37" s="42"/>
      <c r="Y37" s="42"/>
      <c r="Z37" s="42"/>
    </row>
    <row r="38" spans="1:26" ht="15" customHeight="1" x14ac:dyDescent="0.25">
      <c r="B38" s="78" t="str">
        <f t="shared" si="0"/>
        <v>AkzoNobel Hengelo</v>
      </c>
      <c r="C38" s="79" t="str">
        <f t="shared" si="1"/>
        <v>Steam generation; Electric boiler and Vaporization; Mechanic vapor recompression</v>
      </c>
      <c r="D38" s="80" t="s">
        <v>517</v>
      </c>
      <c r="E38" s="62" t="s">
        <v>0</v>
      </c>
      <c r="F38" s="81">
        <f ca="1">IFERROR(SUM(OFFSET($E$220,0,0,1,Lifetime)),0)</f>
        <v>7014600.0361134959</v>
      </c>
      <c r="G38" s="50">
        <f t="shared" si="2"/>
        <v>1</v>
      </c>
      <c r="R38" s="59"/>
      <c r="S38" s="59"/>
      <c r="T38" s="59"/>
      <c r="X38" s="42"/>
      <c r="Y38" s="42"/>
      <c r="Z38" s="42"/>
    </row>
    <row r="39" spans="1:26" ht="15" customHeight="1" x14ac:dyDescent="0.25">
      <c r="B39" s="78" t="str">
        <f t="shared" si="0"/>
        <v>AkzoNobel Hengelo</v>
      </c>
      <c r="C39" s="79" t="str">
        <f t="shared" si="1"/>
        <v>Steam generation; Electric boiler and Vaporization; Mechanic vapor recompression</v>
      </c>
      <c r="D39" s="80" t="str">
        <f>"Net Present Value (interest rate = "&amp;Disc_rate*100&amp;"%)"</f>
        <v>Net Present Value (interest rate = 4%)</v>
      </c>
      <c r="E39" s="62" t="s">
        <v>0</v>
      </c>
      <c r="F39" s="73">
        <f ca="1">IFERROR($F$37-F38-E25,0)</f>
        <v>-1.885928213596344E-6</v>
      </c>
      <c r="G39" s="50">
        <f t="shared" si="2"/>
        <v>1</v>
      </c>
      <c r="H39" s="43"/>
      <c r="R39" s="59"/>
      <c r="S39" s="59"/>
      <c r="T39" s="59"/>
      <c r="X39" s="42"/>
      <c r="Y39" s="42"/>
      <c r="Z39" s="42"/>
    </row>
    <row r="40" spans="1:26" ht="15" customHeight="1" x14ac:dyDescent="0.25">
      <c r="B40" s="78" t="str">
        <f t="shared" si="0"/>
        <v>AkzoNobel Hengelo</v>
      </c>
      <c r="C40" s="79" t="str">
        <f t="shared" si="1"/>
        <v>Steam generation; Electric boiler and Vaporization; Mechanic vapor recompression</v>
      </c>
      <c r="D40" s="80" t="s">
        <v>222</v>
      </c>
      <c r="E40" s="62" t="s">
        <v>247</v>
      </c>
      <c r="F40" s="52">
        <f ca="1">IFERROR(SUM(OFFSET($E$163,0,0,1,Lifetime))/Lifetime,0)</f>
        <v>81850.116354451355</v>
      </c>
      <c r="G40" s="50">
        <f t="shared" si="2"/>
        <v>1</v>
      </c>
      <c r="R40" s="59"/>
      <c r="S40" s="59"/>
      <c r="T40" s="59"/>
      <c r="X40" s="42"/>
      <c r="Y40" s="42"/>
      <c r="Z40" s="42"/>
    </row>
    <row r="41" spans="1:26" ht="15" customHeight="1" x14ac:dyDescent="0.25">
      <c r="B41" s="78" t="str">
        <f t="shared" si="0"/>
        <v>AkzoNobel Hengelo</v>
      </c>
      <c r="C41" s="79" t="str">
        <f t="shared" si="1"/>
        <v>Steam generation; Electric boiler and Vaporization; Mechanic vapor recompression</v>
      </c>
      <c r="D41" s="80" t="s">
        <v>542</v>
      </c>
      <c r="E41" s="62" t="s">
        <v>248</v>
      </c>
      <c r="F41" s="52">
        <f ca="1">IFERROR(SUM(OFFSET($E$164,0,0,1,Lifetime))/Lifetime,0)</f>
        <v>4904.1839683537191</v>
      </c>
      <c r="G41" s="50">
        <f t="shared" si="2"/>
        <v>1</v>
      </c>
      <c r="R41" s="59"/>
      <c r="S41" s="59"/>
      <c r="T41" s="59"/>
      <c r="X41" s="42"/>
      <c r="Y41" s="42"/>
      <c r="Z41" s="42"/>
    </row>
    <row r="42" spans="1:26" ht="15" customHeight="1" x14ac:dyDescent="0.25">
      <c r="B42" s="78" t="str">
        <f t="shared" si="0"/>
        <v>AkzoNobel Hengelo</v>
      </c>
      <c r="C42" s="79" t="str">
        <f t="shared" si="1"/>
        <v>Steam generation; Electric boiler and Vaporization; Mechanic vapor recompression</v>
      </c>
      <c r="D42" s="80" t="s">
        <v>543</v>
      </c>
      <c r="E42" s="62" t="s">
        <v>248</v>
      </c>
      <c r="F42" s="82">
        <f ca="1">IFERROR(SUM(OFFSET($E$165,0,0,1,Lifetime))/Lifetime,0)</f>
        <v>393.41869689545774</v>
      </c>
      <c r="G42" s="50">
        <f t="shared" si="2"/>
        <v>1</v>
      </c>
      <c r="R42" s="59"/>
      <c r="S42" s="59"/>
      <c r="T42" s="59"/>
      <c r="X42" s="42"/>
      <c r="Y42" s="42"/>
      <c r="Z42" s="42"/>
    </row>
    <row r="43" spans="1:26" ht="15" customHeight="1" x14ac:dyDescent="0.25">
      <c r="B43" s="78" t="str">
        <f t="shared" si="0"/>
        <v>AkzoNobel Hengelo</v>
      </c>
      <c r="C43" s="79" t="str">
        <f t="shared" si="1"/>
        <v>Steam generation; Electric boiler and Vaporization; Mechanic vapor recompression</v>
      </c>
      <c r="D43" s="80" t="s">
        <v>543</v>
      </c>
      <c r="E43" s="62" t="s">
        <v>248</v>
      </c>
      <c r="F43" s="82">
        <f ca="1">IFERROR(SUM(OFFSET($E$167,0,0,1,Lifetime))/Lifetime,0)</f>
        <v>5297.6026652491782</v>
      </c>
      <c r="G43" s="50">
        <f t="shared" si="2"/>
        <v>1</v>
      </c>
      <c r="R43" s="59"/>
      <c r="S43" s="59"/>
      <c r="T43" s="59"/>
      <c r="X43" s="42"/>
      <c r="Y43" s="42"/>
      <c r="Z43" s="42"/>
    </row>
    <row r="44" spans="1:26" ht="15" customHeight="1" x14ac:dyDescent="0.25">
      <c r="B44" s="128" t="str">
        <f t="shared" si="0"/>
        <v>AkzoNobel Hengelo</v>
      </c>
      <c r="C44" s="79" t="str">
        <f t="shared" si="1"/>
        <v>Steam generation; Electric boiler and Vaporization; Mechanic vapor recompression</v>
      </c>
      <c r="D44" s="83" t="s">
        <v>245</v>
      </c>
      <c r="E44" s="84" t="s">
        <v>246</v>
      </c>
      <c r="F44" s="137">
        <f ca="1">IFERROR(($F$37+E25)*E27/(F112),0)</f>
        <v>242035.36401368128</v>
      </c>
      <c r="G44" s="129">
        <f t="shared" si="2"/>
        <v>1</v>
      </c>
      <c r="T44" s="59"/>
      <c r="Z44" s="42"/>
    </row>
    <row r="45" spans="1:26" s="59" customFormat="1" ht="15" customHeight="1" x14ac:dyDescent="0.25">
      <c r="B45" s="133"/>
      <c r="C45" s="80"/>
      <c r="D45" s="80"/>
      <c r="E45" s="62"/>
      <c r="F45" s="124"/>
      <c r="G45" s="134"/>
    </row>
    <row r="46" spans="1:26" x14ac:dyDescent="0.25">
      <c r="A46" s="47"/>
      <c r="B46" s="53"/>
      <c r="C46" s="54"/>
      <c r="E46" s="121"/>
      <c r="F46" s="47"/>
      <c r="U46" s="42"/>
      <c r="V46" s="42"/>
      <c r="W46" s="42"/>
      <c r="X46" s="42"/>
      <c r="Y46" s="42"/>
      <c r="Z46" s="42"/>
    </row>
    <row r="47" spans="1:26" ht="18.75" x14ac:dyDescent="0.3">
      <c r="B47" s="101" t="s">
        <v>259</v>
      </c>
      <c r="U47" s="42"/>
      <c r="V47" s="42"/>
      <c r="W47" s="42"/>
      <c r="X47" s="42"/>
      <c r="Y47" s="42"/>
      <c r="Z47" s="42"/>
    </row>
    <row r="48" spans="1:26" x14ac:dyDescent="0.25">
      <c r="B48" s="48" t="s">
        <v>28</v>
      </c>
      <c r="C48" s="48" t="s">
        <v>89</v>
      </c>
      <c r="D48" s="48" t="s">
        <v>4</v>
      </c>
      <c r="E48" s="48" t="s">
        <v>386</v>
      </c>
      <c r="F48" s="48" t="s">
        <v>387</v>
      </c>
      <c r="U48" s="42"/>
      <c r="V48" s="42"/>
      <c r="W48" s="42"/>
      <c r="X48" s="42"/>
      <c r="Y48" s="42"/>
      <c r="Z48" s="42"/>
    </row>
    <row r="49" spans="2:26" x14ac:dyDescent="0.25">
      <c r="B49" s="49" t="s">
        <v>227</v>
      </c>
      <c r="C49" s="49" t="s">
        <v>389</v>
      </c>
      <c r="D49" s="49" t="s">
        <v>329</v>
      </c>
      <c r="E49" s="105">
        <f>INDEX(Current_plant_configuration[],MATCH($E$13,Current_plant_configuration[Plant name],0),MATCH(Steam_System[[#This Row],[Type]],Current_plant_configuration[#Headers],0))</f>
        <v>1</v>
      </c>
      <c r="F49" s="105">
        <f>IF(Vapor_Tech=C52,Steam_System[[#This Row],[Current]]+Vapor_Number,Steam_System[[#This Row],[Current]])</f>
        <v>1</v>
      </c>
      <c r="U49" s="42"/>
      <c r="V49" s="42"/>
      <c r="W49" s="42"/>
      <c r="X49" s="42"/>
      <c r="Y49" s="42"/>
      <c r="Z49" s="42"/>
    </row>
    <row r="50" spans="2:26" x14ac:dyDescent="0.25">
      <c r="B50" s="51" t="s">
        <v>331</v>
      </c>
      <c r="C50" s="49" t="s">
        <v>390</v>
      </c>
      <c r="D50" s="49" t="s">
        <v>410</v>
      </c>
      <c r="E50" s="117">
        <f>INDEX(Current_plant_configuration[],MATCH($E$13,Current_plant_configuration[Plant name],0),MATCH(Steam_System[[#This Row],[Type]],Current_plant_configuration[#Headers],0))</f>
        <v>3.0468063402436378</v>
      </c>
      <c r="F50" s="117">
        <f>INDEX(Current_plant_configuration[],MATCH($E$13,Current_plant_configuration[Plant name],0),MATCH(Steam_System[[#This Row],[Type]],Current_plant_configuration[#Headers],0))</f>
        <v>3.0468063402436378</v>
      </c>
      <c r="U50" s="42"/>
      <c r="V50" s="42"/>
      <c r="W50" s="42"/>
      <c r="X50" s="42"/>
      <c r="Y50" s="42"/>
      <c r="Z50" s="42"/>
    </row>
    <row r="51" spans="2:26" x14ac:dyDescent="0.25">
      <c r="B51" s="51" t="s">
        <v>330</v>
      </c>
      <c r="C51" s="49" t="s">
        <v>391</v>
      </c>
      <c r="D51" s="49" t="s">
        <v>191</v>
      </c>
      <c r="E51" s="106">
        <f>INDEX(Current_plant_configuration[],MATCH($E$13,Current_plant_configuration[Plant name],0),MATCH(Steam_System[[#This Row],[Type]],Current_plant_configuration[#Headers],0))</f>
        <v>1</v>
      </c>
      <c r="F51" s="106">
        <f>IFERROR((F69-F66-F60)/(F50*F49),0)</f>
        <v>1.0000000000000071</v>
      </c>
      <c r="U51" s="42"/>
      <c r="V51" s="42"/>
      <c r="W51" s="42"/>
      <c r="X51" s="42"/>
      <c r="Y51" s="42"/>
      <c r="Z51" s="42"/>
    </row>
    <row r="52" spans="2:26" x14ac:dyDescent="0.25">
      <c r="B52" s="49" t="s">
        <v>332</v>
      </c>
      <c r="C52" s="96" t="s">
        <v>364</v>
      </c>
      <c r="D52" s="49" t="s">
        <v>410</v>
      </c>
      <c r="E52" s="117">
        <f>E49*E50*E51</f>
        <v>3.0468063402436378</v>
      </c>
      <c r="F52" s="117">
        <f>F51*F50*F49</f>
        <v>3.0468063402436596</v>
      </c>
      <c r="G52" s="43"/>
      <c r="H52" s="86"/>
      <c r="U52" s="42"/>
      <c r="V52" s="42"/>
      <c r="W52" s="42"/>
      <c r="X52" s="42"/>
      <c r="Y52" s="42"/>
      <c r="Z52" s="42"/>
    </row>
    <row r="53" spans="2:26" x14ac:dyDescent="0.25">
      <c r="B53" s="51" t="s">
        <v>398</v>
      </c>
      <c r="C53" s="49" t="s">
        <v>158</v>
      </c>
      <c r="D53" s="49" t="s">
        <v>410</v>
      </c>
      <c r="E53" s="117">
        <f>E52*INDEX(Process_characteristics[],MATCH($C$52,Process_characteristics[Process name],0),MATCH(Steam_System[[#This Row],[Type]],Process_characteristics[#Headers],0))</f>
        <v>3.8205467850866235</v>
      </c>
      <c r="F53" s="117">
        <f>F52*INDEX(Process_characteristics[],MATCH($C$52,Process_characteristics[Process name],0),MATCH(Steam_System[[#This Row],[Type]],Process_characteristics[#Headers],0))</f>
        <v>3.8205467850866506</v>
      </c>
      <c r="G53" s="43"/>
      <c r="H53" s="86"/>
      <c r="U53" s="42"/>
      <c r="V53" s="42"/>
      <c r="W53" s="42"/>
      <c r="X53" s="42"/>
      <c r="Y53" s="42"/>
      <c r="Z53" s="42"/>
    </row>
    <row r="54" spans="2:26" x14ac:dyDescent="0.25">
      <c r="B54" s="51" t="s">
        <v>399</v>
      </c>
      <c r="C54" s="49" t="s">
        <v>172</v>
      </c>
      <c r="D54" s="49" t="s">
        <v>410</v>
      </c>
      <c r="E54" s="117">
        <f>E52*INDEX(Process_characteristics[],MATCH($C$52,Process_characteristics[Process name],0),MATCH(Steam_System[[#This Row],[Type]],Process_characteristics[#Headers],0))</f>
        <v>0.76410935701732496</v>
      </c>
      <c r="F54" s="117">
        <f>F52*INDEX(Process_characteristics[],MATCH($C$52,Process_characteristics[Process name],0),MATCH(Steam_System[[#This Row],[Type]],Process_characteristics[#Headers],0))</f>
        <v>0.7641093570173304</v>
      </c>
      <c r="G54" s="43"/>
      <c r="H54" s="86"/>
      <c r="U54" s="42"/>
      <c r="V54" s="42"/>
      <c r="W54" s="42"/>
      <c r="X54" s="42"/>
      <c r="Y54" s="42"/>
      <c r="Z54" s="42"/>
    </row>
    <row r="55" spans="2:26" x14ac:dyDescent="0.25">
      <c r="B55" s="51" t="s">
        <v>400</v>
      </c>
      <c r="C55" s="49" t="s">
        <v>174</v>
      </c>
      <c r="D55" s="49" t="s">
        <v>308</v>
      </c>
      <c r="E55" s="116">
        <f>E52*10^3*INDEX(Process_characteristics[],MATCH($C$52,Process_characteristics[Process name],0),MATCH(Steam_System[[#This Row],[Type]],Process_characteristics[#Headers],0))</f>
        <v>248.28195703823087</v>
      </c>
      <c r="F55" s="124">
        <f>F52*10^3*INDEX(Process_characteristics[],MATCH($C$52,Process_characteristics[Process name],0),MATCH(Steam_System[[#This Row],[Type]],Process_characteristics[#Headers],0))</f>
        <v>248.28195703823266</v>
      </c>
      <c r="G55" s="43"/>
      <c r="H55" s="86"/>
      <c r="U55" s="42"/>
      <c r="V55" s="42"/>
      <c r="W55" s="42"/>
      <c r="X55" s="42"/>
      <c r="Y55" s="42"/>
      <c r="Z55" s="42"/>
    </row>
    <row r="56" spans="2:26" x14ac:dyDescent="0.25">
      <c r="B56" s="51"/>
      <c r="C56" s="49"/>
      <c r="D56" s="49"/>
      <c r="E56" s="105"/>
      <c r="F56" s="107"/>
      <c r="G56" s="43"/>
      <c r="H56" s="86"/>
      <c r="U56" s="42"/>
      <c r="V56" s="42"/>
      <c r="W56" s="42"/>
      <c r="X56" s="42"/>
      <c r="Y56" s="42"/>
      <c r="Z56" s="42"/>
    </row>
    <row r="57" spans="2:26" x14ac:dyDescent="0.25">
      <c r="B57" s="49" t="s">
        <v>227</v>
      </c>
      <c r="C57" s="49" t="s">
        <v>392</v>
      </c>
      <c r="D57" s="49" t="s">
        <v>329</v>
      </c>
      <c r="E57" s="105">
        <f>INDEX(Current_plant_configuration[],MATCH($E$13,Current_plant_configuration[Plant name],0),MATCH(Steam_System[[#This Row],[Type]],Current_plant_configuration[#Headers],0))</f>
        <v>0</v>
      </c>
      <c r="F57" s="105">
        <f>IF(Steam_Tech=C60,Steam_System[[#This Row],[Current]]+Steam_Number,Steam_System[[#This Row],[Current]])</f>
        <v>0</v>
      </c>
      <c r="G57" s="43"/>
      <c r="H57" s="86"/>
      <c r="U57" s="42"/>
      <c r="V57" s="42"/>
      <c r="W57" s="42"/>
      <c r="X57" s="42"/>
      <c r="Y57" s="42"/>
      <c r="Z57" s="42"/>
    </row>
    <row r="58" spans="2:26" x14ac:dyDescent="0.25">
      <c r="B58" s="51" t="s">
        <v>331</v>
      </c>
      <c r="C58" s="49" t="s">
        <v>393</v>
      </c>
      <c r="D58" s="49" t="s">
        <v>410</v>
      </c>
      <c r="E58" s="117">
        <f>INDEX(Current_plant_configuration[],MATCH($E$13,Current_plant_configuration[Plant name],0),MATCH(Steam_System[[#This Row],[Type]],Current_plant_configuration[#Headers],0))</f>
        <v>2.2063107696000003E-2</v>
      </c>
      <c r="F58" s="117">
        <f>INDEX(Current_plant_configuration[],MATCH($E$13,Current_plant_configuration[Plant name],0),MATCH(Steam_System[[#This Row],[Type]],Current_plant_configuration[#Headers],0))</f>
        <v>2.2063107696000003E-2</v>
      </c>
      <c r="G58" s="43"/>
      <c r="H58" s="86"/>
      <c r="U58" s="42"/>
      <c r="V58" s="42"/>
      <c r="W58" s="42"/>
      <c r="X58" s="42"/>
      <c r="Y58" s="42"/>
      <c r="Z58" s="42"/>
    </row>
    <row r="59" spans="2:26" x14ac:dyDescent="0.25">
      <c r="B59" s="51" t="s">
        <v>330</v>
      </c>
      <c r="C59" s="49" t="s">
        <v>394</v>
      </c>
      <c r="D59" s="49" t="s">
        <v>191</v>
      </c>
      <c r="E59" s="119">
        <f>INDEX(Current_plant_configuration[],MATCH($E$13,Current_plant_configuration[Plant name],0),MATCH(Steam_System[[#This Row],[Type]],Current_plant_configuration[#Headers],0))</f>
        <v>0</v>
      </c>
      <c r="F59" s="125">
        <f>IFERROR(IF(F69-F66-F58*F57&gt;0, 1,(F69-F66)/(F58*F57)),0)</f>
        <v>1</v>
      </c>
      <c r="G59" s="43"/>
      <c r="H59" s="86"/>
      <c r="U59" s="42"/>
      <c r="V59" s="42"/>
      <c r="W59" s="42"/>
      <c r="X59" s="42"/>
      <c r="Y59" s="42"/>
      <c r="Z59" s="42"/>
    </row>
    <row r="60" spans="2:26" x14ac:dyDescent="0.25">
      <c r="B60" s="49" t="s">
        <v>332</v>
      </c>
      <c r="C60" s="96" t="s">
        <v>261</v>
      </c>
      <c r="D60" s="49" t="s">
        <v>410</v>
      </c>
      <c r="E60" s="117">
        <f>E57*E58*E59</f>
        <v>0</v>
      </c>
      <c r="F60" s="117">
        <f>F59*F58*F57</f>
        <v>0</v>
      </c>
      <c r="G60" s="43"/>
      <c r="H60" s="86"/>
      <c r="U60" s="42"/>
      <c r="V60" s="42"/>
      <c r="W60" s="42"/>
      <c r="X60" s="42"/>
      <c r="Y60" s="42"/>
      <c r="Z60" s="42"/>
    </row>
    <row r="61" spans="2:26" x14ac:dyDescent="0.25">
      <c r="B61" s="51" t="s">
        <v>383</v>
      </c>
      <c r="C61" s="49" t="s">
        <v>161</v>
      </c>
      <c r="D61" s="49" t="s">
        <v>410</v>
      </c>
      <c r="E61" s="105">
        <f>E60*INDEX(Process_characteristics[],MATCH($C$60,Process_characteristics[Process name],0),MATCH(Steam_System[[#This Row],[Type]],Process_characteristics[#Headers],0))</f>
        <v>0</v>
      </c>
      <c r="F61" s="105">
        <f>F60*INDEX(Process_characteristics[],MATCH($C$60,Process_characteristics[Process name],0),MATCH(Steam_System[[#This Row],[Type]],Process_characteristics[#Headers],0))</f>
        <v>0</v>
      </c>
      <c r="G61" s="43"/>
      <c r="H61" s="86"/>
      <c r="U61" s="42"/>
      <c r="V61" s="42"/>
      <c r="W61" s="42"/>
      <c r="X61" s="42"/>
      <c r="Y61" s="42"/>
      <c r="Z61" s="42"/>
    </row>
    <row r="62" spans="2:26" x14ac:dyDescent="0.25">
      <c r="B62" s="51"/>
      <c r="C62" s="49"/>
      <c r="D62" s="49"/>
      <c r="E62" s="105"/>
      <c r="F62" s="107"/>
      <c r="G62" s="43"/>
      <c r="H62" s="86"/>
      <c r="U62" s="42"/>
      <c r="V62" s="42"/>
      <c r="W62" s="42"/>
      <c r="X62" s="42"/>
      <c r="Y62" s="42"/>
      <c r="Z62" s="42"/>
    </row>
    <row r="63" spans="2:26" x14ac:dyDescent="0.25">
      <c r="B63" s="49" t="s">
        <v>227</v>
      </c>
      <c r="C63" s="49" t="s">
        <v>395</v>
      </c>
      <c r="D63" s="49" t="s">
        <v>329</v>
      </c>
      <c r="E63" s="105">
        <f>INDEX(Current_plant_configuration[],MATCH($E$13,Current_plant_configuration[Plant name],0),MATCH(Steam_System[[#This Row],[Type]],Current_plant_configuration[#Headers],0))</f>
        <v>1</v>
      </c>
      <c r="F63" s="105">
        <f>IF(Steam_Tech=C66,Steam_System[[#This Row],[Current]]+Vapor_Number,Steam_System[[#This Row],[Current]])</f>
        <v>1</v>
      </c>
      <c r="G63" s="43"/>
      <c r="H63" s="86"/>
      <c r="U63" s="42"/>
      <c r="V63" s="42"/>
      <c r="W63" s="42"/>
      <c r="X63" s="42"/>
      <c r="Y63" s="42"/>
      <c r="Z63" s="42"/>
    </row>
    <row r="64" spans="2:26" x14ac:dyDescent="0.25">
      <c r="B64" s="51" t="s">
        <v>331</v>
      </c>
      <c r="C64" s="49" t="s">
        <v>396</v>
      </c>
      <c r="D64" s="49" t="s">
        <v>410</v>
      </c>
      <c r="E64" s="117">
        <f>INDEX(Current_plant_configuration[],MATCH($E$13,Current_plant_configuration[Plant name],0),MATCH(Steam_System[[#This Row],[Type]],Current_plant_configuration[#Headers],0))</f>
        <v>0.52637671949104714</v>
      </c>
      <c r="F64" s="117">
        <f>INDEX(Current_plant_configuration[],MATCH($E$13,Current_plant_configuration[Plant name],0),MATCH(Steam_System[[#This Row],[Type]],Current_plant_configuration[#Headers],0))</f>
        <v>0.52637671949104714</v>
      </c>
      <c r="G64" s="43"/>
      <c r="H64" s="86"/>
      <c r="U64" s="42"/>
      <c r="V64" s="42"/>
      <c r="W64" s="42"/>
      <c r="X64" s="42"/>
      <c r="Y64" s="42"/>
      <c r="Z64" s="42"/>
    </row>
    <row r="65" spans="2:26" x14ac:dyDescent="0.25">
      <c r="B65" s="51" t="s">
        <v>330</v>
      </c>
      <c r="C65" s="49" t="s">
        <v>397</v>
      </c>
      <c r="D65" s="49" t="s">
        <v>191</v>
      </c>
      <c r="E65" s="119">
        <f>INDEX(Current_plant_configuration[],MATCH($E$13,Current_plant_configuration[Plant name],0),MATCH(Steam_System[[#This Row],[Type]],Current_plant_configuration[#Headers],0))</f>
        <v>1</v>
      </c>
      <c r="F65" s="125">
        <f>IF((F64*F63)/(F69)&gt;1,(F69)/(F63*F64),1)</f>
        <v>1</v>
      </c>
      <c r="H65" s="86"/>
      <c r="U65" s="42"/>
      <c r="V65" s="42"/>
      <c r="W65" s="42"/>
      <c r="X65" s="42"/>
      <c r="Y65" s="42"/>
      <c r="Z65" s="42"/>
    </row>
    <row r="66" spans="2:26" x14ac:dyDescent="0.25">
      <c r="B66" s="49" t="s">
        <v>332</v>
      </c>
      <c r="C66" s="49" t="s">
        <v>256</v>
      </c>
      <c r="D66" s="49" t="s">
        <v>410</v>
      </c>
      <c r="E66" s="117">
        <f>E63*E64*E65</f>
        <v>0.52637671949104714</v>
      </c>
      <c r="F66" s="117">
        <f>F63*F64*F65</f>
        <v>0.52637671949104714</v>
      </c>
      <c r="H66" s="86"/>
      <c r="U66" s="42"/>
      <c r="V66" s="42"/>
      <c r="W66" s="42"/>
      <c r="X66" s="42"/>
      <c r="Y66" s="42"/>
      <c r="Z66" s="42"/>
    </row>
    <row r="67" spans="2:26" x14ac:dyDescent="0.25">
      <c r="B67" s="51" t="s">
        <v>383</v>
      </c>
      <c r="C67" s="49" t="s">
        <v>159</v>
      </c>
      <c r="D67" s="123" t="s">
        <v>410</v>
      </c>
      <c r="E67" s="117">
        <f>E66*INDEX(Process_characteristics[],MATCH($C$66,Process_characteristics[Process name],0),MATCH(Steam_System[[#This Row],[Type]],Process_characteristics[#Headers],0))</f>
        <v>0.57901439144015188</v>
      </c>
      <c r="F67" s="117">
        <f>F66*INDEX(Process_characteristics[],MATCH($C$66,Process_characteristics[Process name],0),MATCH(Steam_System[[#This Row],[Type]],Process_characteristics[#Headers],0))</f>
        <v>0.57901439144015188</v>
      </c>
      <c r="H67" s="86"/>
      <c r="U67" s="42"/>
      <c r="V67" s="42"/>
      <c r="W67" s="42"/>
      <c r="X67" s="42"/>
      <c r="Y67" s="42"/>
      <c r="Z67" s="42"/>
    </row>
    <row r="68" spans="2:26" x14ac:dyDescent="0.25">
      <c r="B68" s="51"/>
      <c r="C68" s="49"/>
      <c r="D68" s="49"/>
      <c r="E68" s="105"/>
      <c r="F68" s="107"/>
      <c r="H68" s="86"/>
      <c r="U68" s="42"/>
      <c r="V68" s="42"/>
      <c r="W68" s="42"/>
      <c r="X68" s="42"/>
      <c r="Y68" s="42"/>
      <c r="Z68" s="42"/>
    </row>
    <row r="69" spans="2:26" x14ac:dyDescent="0.25">
      <c r="B69" s="48" t="s">
        <v>401</v>
      </c>
      <c r="C69" s="48"/>
      <c r="D69" s="48" t="s">
        <v>410</v>
      </c>
      <c r="E69" s="118">
        <f>SUM(E52,E60,E66)</f>
        <v>3.573183059734685</v>
      </c>
      <c r="F69" s="118">
        <f>F112</f>
        <v>3.5731830597347063</v>
      </c>
      <c r="G69" s="126"/>
      <c r="U69" s="42"/>
      <c r="V69" s="42"/>
      <c r="W69" s="42"/>
      <c r="X69" s="42"/>
      <c r="Y69" s="42"/>
      <c r="Z69" s="42"/>
    </row>
    <row r="70" spans="2:26" x14ac:dyDescent="0.25">
      <c r="B70" s="49" t="s">
        <v>412</v>
      </c>
      <c r="C70" s="49"/>
      <c r="D70" s="49" t="s">
        <v>410</v>
      </c>
      <c r="E70" s="117">
        <f>E53</f>
        <v>3.8205467850866235</v>
      </c>
      <c r="F70" s="117">
        <f>F53</f>
        <v>3.8205467850866506</v>
      </c>
      <c r="G70" s="47"/>
      <c r="H70" s="86"/>
      <c r="U70" s="42"/>
      <c r="V70" s="42"/>
      <c r="W70" s="42"/>
      <c r="X70" s="42"/>
      <c r="Y70" s="42"/>
      <c r="Z70" s="42"/>
    </row>
    <row r="71" spans="2:26" x14ac:dyDescent="0.25">
      <c r="B71" s="49" t="s">
        <v>415</v>
      </c>
      <c r="C71" s="49"/>
      <c r="D71" s="49" t="s">
        <v>410</v>
      </c>
      <c r="E71" s="117">
        <f>E67</f>
        <v>0.57901439144015188</v>
      </c>
      <c r="F71" s="117">
        <f>F67</f>
        <v>0.57901439144015188</v>
      </c>
      <c r="G71" s="47"/>
      <c r="H71" s="86"/>
      <c r="U71" s="42"/>
      <c r="V71" s="42"/>
      <c r="W71" s="42"/>
      <c r="X71" s="42"/>
      <c r="Y71" s="42"/>
      <c r="Z71" s="42"/>
    </row>
    <row r="72" spans="2:26" x14ac:dyDescent="0.25">
      <c r="B72" s="49" t="s">
        <v>385</v>
      </c>
      <c r="C72" s="48"/>
      <c r="D72" s="49" t="s">
        <v>410</v>
      </c>
      <c r="E72" s="117">
        <f>E61</f>
        <v>0</v>
      </c>
      <c r="F72" s="117">
        <f>F61</f>
        <v>0</v>
      </c>
      <c r="G72" s="43"/>
      <c r="U72" s="42"/>
      <c r="V72" s="42"/>
      <c r="W72" s="42"/>
      <c r="X72" s="42"/>
      <c r="Y72" s="42"/>
      <c r="Z72" s="42"/>
    </row>
    <row r="73" spans="2:26" x14ac:dyDescent="0.25">
      <c r="B73" s="49" t="s">
        <v>413</v>
      </c>
      <c r="C73" s="48"/>
      <c r="D73" s="49" t="s">
        <v>410</v>
      </c>
      <c r="E73" s="117">
        <f>E54</f>
        <v>0.76410935701732496</v>
      </c>
      <c r="F73" s="117">
        <f>F54</f>
        <v>0.7641093570173304</v>
      </c>
      <c r="G73" s="43"/>
      <c r="U73" s="42"/>
      <c r="V73" s="42"/>
      <c r="W73" s="42"/>
      <c r="X73" s="42"/>
      <c r="Y73" s="42"/>
      <c r="Z73" s="42"/>
    </row>
    <row r="74" spans="2:26" x14ac:dyDescent="0.25">
      <c r="B74" s="49" t="s">
        <v>414</v>
      </c>
      <c r="C74" s="48"/>
      <c r="D74" s="49"/>
      <c r="E74" s="117">
        <f>E72-E73</f>
        <v>-0.76410935701732496</v>
      </c>
      <c r="F74" s="117">
        <f>F72-F73</f>
        <v>-0.7641093570173304</v>
      </c>
      <c r="G74" s="43"/>
      <c r="U74" s="42"/>
      <c r="V74" s="42"/>
      <c r="W74" s="42"/>
      <c r="X74" s="42"/>
      <c r="Y74" s="42"/>
      <c r="Z74" s="42"/>
    </row>
    <row r="75" spans="2:26" x14ac:dyDescent="0.25">
      <c r="B75" s="49"/>
      <c r="C75" s="49"/>
      <c r="D75" s="49"/>
      <c r="E75" s="118"/>
      <c r="F75" s="114"/>
      <c r="G75" s="47"/>
      <c r="H75" s="86"/>
      <c r="U75" s="42"/>
      <c r="V75" s="42"/>
      <c r="W75" s="42"/>
      <c r="X75" s="42"/>
      <c r="Y75" s="42"/>
      <c r="Z75" s="42"/>
    </row>
    <row r="76" spans="2:26" x14ac:dyDescent="0.25">
      <c r="B76" s="49"/>
      <c r="C76" s="49"/>
      <c r="D76" s="49"/>
      <c r="E76" s="115"/>
      <c r="U76" s="42"/>
      <c r="V76" s="42"/>
      <c r="W76" s="42"/>
      <c r="X76" s="42"/>
      <c r="Y76" s="42"/>
      <c r="Z76" s="42"/>
    </row>
    <row r="78" spans="2:26" ht="18.75" x14ac:dyDescent="0.3">
      <c r="B78" s="101" t="s">
        <v>296</v>
      </c>
      <c r="U78" s="42"/>
      <c r="V78" s="42"/>
      <c r="W78" s="42"/>
      <c r="X78" s="42"/>
      <c r="Y78" s="42"/>
      <c r="Z78" s="42"/>
    </row>
    <row r="79" spans="2:26" x14ac:dyDescent="0.25">
      <c r="B79" s="48" t="s">
        <v>28</v>
      </c>
      <c r="C79" s="48" t="s">
        <v>89</v>
      </c>
      <c r="D79" s="48" t="s">
        <v>4</v>
      </c>
      <c r="E79" s="48" t="s">
        <v>386</v>
      </c>
      <c r="F79" s="48" t="s">
        <v>387</v>
      </c>
      <c r="U79" s="42"/>
      <c r="V79" s="42"/>
      <c r="W79" s="42"/>
      <c r="X79" s="42"/>
      <c r="Y79" s="42"/>
      <c r="Z79" s="42"/>
    </row>
    <row r="80" spans="2:26" x14ac:dyDescent="0.25">
      <c r="B80" s="49" t="s">
        <v>227</v>
      </c>
      <c r="C80" s="49" t="s">
        <v>304</v>
      </c>
      <c r="D80" s="49" t="s">
        <v>329</v>
      </c>
      <c r="E80" s="59">
        <f>INDEX(Current_plant_configuration[],MATCH($E$13,Current_plant_configuration[Plant name],0),MATCH(Vapor_System[[#This Row],[Type]],Current_plant_configuration[#Headers],0))</f>
        <v>2</v>
      </c>
      <c r="F80" s="107">
        <f>IF(Vapor_Tech=C83,Vapor_System[[#This Row],[Current]]+Vapor_Number,Vapor_System[[#This Row],[Current]])</f>
        <v>2</v>
      </c>
      <c r="U80" s="42"/>
      <c r="V80" s="42"/>
      <c r="W80" s="42"/>
      <c r="X80" s="42"/>
      <c r="Y80" s="42"/>
      <c r="Z80" s="42"/>
    </row>
    <row r="81" spans="2:26" x14ac:dyDescent="0.25">
      <c r="B81" s="51" t="s">
        <v>331</v>
      </c>
      <c r="C81" s="49" t="s">
        <v>305</v>
      </c>
      <c r="D81" s="49" t="s">
        <v>308</v>
      </c>
      <c r="E81" s="105">
        <f>INDEX(Current_plant_configuration[],MATCH($E$13,Current_plant_configuration[Plant name],0),MATCH(Vapor_System[[#This Row],[Type]],Current_plant_configuration[#Headers],0))</f>
        <v>1169.6093104910644</v>
      </c>
      <c r="F81" s="105">
        <f>INDEX(Current_plant_configuration[],MATCH($E$13,Current_plant_configuration[Plant name],0),MATCH(Vapor_System[[#This Row],[Type]],Current_plant_configuration[#Headers],0))</f>
        <v>1169.6093104910644</v>
      </c>
      <c r="U81" s="42"/>
      <c r="V81" s="42"/>
      <c r="W81" s="42"/>
      <c r="X81" s="42"/>
      <c r="Y81" s="42"/>
      <c r="Z81" s="42"/>
    </row>
    <row r="82" spans="2:26" x14ac:dyDescent="0.25">
      <c r="B82" s="51" t="s">
        <v>330</v>
      </c>
      <c r="C82" s="49" t="s">
        <v>307</v>
      </c>
      <c r="D82" s="49" t="s">
        <v>191</v>
      </c>
      <c r="E82" s="106">
        <f>INDEX(Current_plant_configuration[],MATCH($E$13,Current_plant_configuration[Plant name],0),MATCH(Vapor_System[[#This Row],[Type]],Current_plant_configuration[#Headers],0))</f>
        <v>1</v>
      </c>
      <c r="F82" s="106">
        <f>IFERROR((F111-F104-F97-F90)/(F81*F80),0)</f>
        <v>1.0000000000000002</v>
      </c>
      <c r="U82" s="42"/>
      <c r="V82" s="42"/>
      <c r="W82" s="42"/>
      <c r="X82" s="42"/>
      <c r="Y82" s="42"/>
      <c r="Z82" s="42"/>
    </row>
    <row r="83" spans="2:26" x14ac:dyDescent="0.25">
      <c r="B83" s="49" t="s">
        <v>332</v>
      </c>
      <c r="C83" s="49" t="s">
        <v>350</v>
      </c>
      <c r="D83" s="49" t="s">
        <v>308</v>
      </c>
      <c r="E83" s="105">
        <f>E80*E81*E82</f>
        <v>2339.2186209821289</v>
      </c>
      <c r="F83" s="114">
        <f>F82*F81*F80</f>
        <v>2339.2186209821293</v>
      </c>
      <c r="G83" s="43"/>
      <c r="H83" s="86"/>
      <c r="U83" s="42"/>
      <c r="V83" s="42"/>
      <c r="W83" s="42"/>
      <c r="X83" s="42"/>
      <c r="Y83" s="42"/>
      <c r="Z83" s="42"/>
    </row>
    <row r="84" spans="2:26" x14ac:dyDescent="0.25">
      <c r="B84" s="51" t="s">
        <v>333</v>
      </c>
      <c r="C84" s="49" t="s">
        <v>160</v>
      </c>
      <c r="D84" s="49" t="s">
        <v>410</v>
      </c>
      <c r="E84" s="117">
        <f>E83/1000*INDEX(Process_characteristics[],MATCH($C$83,Process_characteristics[Process name],0),MATCH(Vapor_System[[#This Row],[Type]],Process_characteristics[#Headers],0))</f>
        <v>3.5469321935880398</v>
      </c>
      <c r="F84" s="117">
        <f>F83/1000*INDEX(Process_characteristics[],MATCH($C$83,Process_characteristics[Process name],0),MATCH(Vapor_System[[#This Row],[Type]],Process_characteristics[#Headers],0))</f>
        <v>3.5469321935880402</v>
      </c>
      <c r="G84" s="43"/>
      <c r="H84" s="86"/>
      <c r="U84" s="42"/>
      <c r="V84" s="42"/>
      <c r="W84" s="42"/>
      <c r="X84" s="42"/>
      <c r="Y84" s="42"/>
      <c r="Z84" s="42"/>
    </row>
    <row r="85" spans="2:26" x14ac:dyDescent="0.25">
      <c r="B85" s="51" t="s">
        <v>383</v>
      </c>
      <c r="C85" s="49" t="s">
        <v>161</v>
      </c>
      <c r="D85" s="49"/>
      <c r="E85" s="117">
        <f>E83/1000*INDEX(Process_characteristics[],MATCH($C$83,Process_characteristics[Process name],0),MATCH(Vapor_System[[#This Row],[Type]],Process_characteristics[#Headers],0))</f>
        <v>0.49806367193008616</v>
      </c>
      <c r="F85" s="117">
        <f>F83/1000*INDEX(Process_characteristics[],MATCH($C$83,Process_characteristics[Process name],0),MATCH(Vapor_System[[#This Row],[Type]],Process_characteristics[#Headers],0))</f>
        <v>0.49806367193008627</v>
      </c>
      <c r="G85" s="43"/>
      <c r="H85" s="86"/>
      <c r="U85" s="42"/>
      <c r="V85" s="42"/>
      <c r="W85" s="42"/>
      <c r="X85" s="42"/>
      <c r="Y85" s="42"/>
      <c r="Z85" s="42"/>
    </row>
    <row r="86" spans="2:26" x14ac:dyDescent="0.25">
      <c r="B86" s="51"/>
      <c r="C86" s="49"/>
      <c r="D86" s="49"/>
      <c r="E86" s="105"/>
      <c r="F86" s="107"/>
      <c r="G86" s="43"/>
      <c r="H86" s="86"/>
      <c r="U86" s="42"/>
      <c r="V86" s="42"/>
      <c r="W86" s="42"/>
      <c r="X86" s="42"/>
      <c r="Y86" s="42"/>
      <c r="Z86" s="42"/>
    </row>
    <row r="87" spans="2:26" x14ac:dyDescent="0.25">
      <c r="B87" s="49" t="s">
        <v>227</v>
      </c>
      <c r="C87" s="49" t="s">
        <v>311</v>
      </c>
      <c r="D87" s="49" t="s">
        <v>329</v>
      </c>
      <c r="E87" s="59">
        <f>INDEX(Current_plant_configuration[],MATCH($E$13,Current_plant_configuration[Plant name],0),MATCH(Vapor_System[[#This Row],[Type]],Current_plant_configuration[#Headers],0))</f>
        <v>0</v>
      </c>
      <c r="F87" s="107">
        <f>IF(Vapor_Tech=C90,Vapor_System[[#This Row],[Current]]+Vapor_Number,Vapor_System[[#This Row],[Current]])</f>
        <v>0</v>
      </c>
      <c r="G87" s="43"/>
      <c r="H87" s="86"/>
      <c r="U87" s="42"/>
      <c r="V87" s="42"/>
      <c r="W87" s="42"/>
      <c r="X87" s="42"/>
      <c r="Y87" s="42"/>
      <c r="Z87" s="42"/>
    </row>
    <row r="88" spans="2:26" x14ac:dyDescent="0.25">
      <c r="B88" s="51" t="s">
        <v>331</v>
      </c>
      <c r="C88" s="49" t="s">
        <v>312</v>
      </c>
      <c r="D88" s="49" t="s">
        <v>308</v>
      </c>
      <c r="E88" s="105">
        <f>INDEX(Current_plant_configuration[],MATCH($E$13,Current_plant_configuration[Plant name],0),MATCH(Vapor_System[[#This Row],[Type]],Current_plant_configuration[#Headers],0))</f>
        <v>1100</v>
      </c>
      <c r="F88" s="105">
        <f>INDEX(Current_plant_configuration[],MATCH($E$13,Current_plant_configuration[Plant name],0),MATCH(Vapor_System[[#This Row],[Type]],Current_plant_configuration[#Headers],0))</f>
        <v>1100</v>
      </c>
      <c r="G88" s="43"/>
      <c r="H88" s="86"/>
      <c r="U88" s="42"/>
      <c r="V88" s="42"/>
      <c r="W88" s="42"/>
      <c r="X88" s="42"/>
      <c r="Y88" s="42"/>
      <c r="Z88" s="42"/>
    </row>
    <row r="89" spans="2:26" x14ac:dyDescent="0.25">
      <c r="B89" s="51" t="s">
        <v>330</v>
      </c>
      <c r="C89" s="49" t="s">
        <v>314</v>
      </c>
      <c r="D89" s="49" t="s">
        <v>191</v>
      </c>
      <c r="E89" s="119">
        <f>INDEX(Current_plant_configuration[],MATCH($E$13,Current_plant_configuration[Plant name],0),MATCH(Vapor_System[[#This Row],[Type]],Current_plant_configuration[#Headers],0))</f>
        <v>1</v>
      </c>
      <c r="F89" s="119">
        <f>IFERROR((F111-F104-F97)/(F88*F87),0)</f>
        <v>0</v>
      </c>
      <c r="G89" s="43"/>
      <c r="H89" s="86"/>
      <c r="U89" s="42"/>
      <c r="V89" s="42"/>
      <c r="W89" s="42"/>
      <c r="X89" s="42"/>
      <c r="Y89" s="42"/>
      <c r="Z89" s="42"/>
    </row>
    <row r="90" spans="2:26" x14ac:dyDescent="0.25">
      <c r="B90" s="49" t="s">
        <v>332</v>
      </c>
      <c r="C90" s="49" t="s">
        <v>353</v>
      </c>
      <c r="D90" s="49" t="s">
        <v>308</v>
      </c>
      <c r="E90" s="105">
        <f>E87*E88*E89</f>
        <v>0</v>
      </c>
      <c r="F90" s="105">
        <f>F89*F88*F87</f>
        <v>0</v>
      </c>
      <c r="G90" s="43"/>
      <c r="H90" s="86"/>
      <c r="U90" s="42"/>
      <c r="V90" s="42"/>
      <c r="W90" s="42"/>
      <c r="X90" s="42"/>
      <c r="Y90" s="42"/>
      <c r="Z90" s="42"/>
    </row>
    <row r="91" spans="2:26" x14ac:dyDescent="0.25">
      <c r="B91" s="51" t="s">
        <v>333</v>
      </c>
      <c r="C91" s="49" t="s">
        <v>160</v>
      </c>
      <c r="D91" s="49" t="s">
        <v>410</v>
      </c>
      <c r="E91" s="117">
        <f>E90/1000*INDEX(Process_characteristics[],MATCH($C$90,Process_characteristics[Process name],0),MATCH(Vapor_System[[#This Row],[Type]],Process_characteristics[#Headers],0))</f>
        <v>0</v>
      </c>
      <c r="F91" s="117">
        <f>F90/1000*INDEX(Process_characteristics[],MATCH($C$90,Process_characteristics[Process name],0),MATCH(Vapor_System[[#This Row],[Type]],Process_characteristics[#Headers],0))</f>
        <v>0</v>
      </c>
      <c r="G91" s="43"/>
      <c r="H91" s="86"/>
      <c r="U91" s="42"/>
      <c r="V91" s="42"/>
      <c r="W91" s="42"/>
      <c r="X91" s="42"/>
      <c r="Y91" s="42"/>
      <c r="Z91" s="42"/>
    </row>
    <row r="92" spans="2:26" x14ac:dyDescent="0.25">
      <c r="B92" s="51" t="s">
        <v>383</v>
      </c>
      <c r="C92" s="49" t="s">
        <v>161</v>
      </c>
      <c r="D92" s="49"/>
      <c r="E92" s="117">
        <f>E90/1000*INDEX(Process_characteristics[],MATCH($C$90,Process_characteristics[Process name],0),MATCH(Vapor_System[[#This Row],[Type]],Process_characteristics[#Headers],0))</f>
        <v>0</v>
      </c>
      <c r="F92" s="117">
        <f>F90/1000*INDEX(Process_characteristics[],MATCH($C$90,Process_characteristics[Process name],0),MATCH(Vapor_System[[#This Row],[Type]],Process_characteristics[#Headers],0))</f>
        <v>0</v>
      </c>
      <c r="G92" s="43"/>
      <c r="H92" s="86"/>
      <c r="U92" s="42"/>
      <c r="V92" s="42"/>
      <c r="W92" s="42"/>
      <c r="X92" s="42"/>
      <c r="Y92" s="42"/>
      <c r="Z92" s="42"/>
    </row>
    <row r="93" spans="2:26" x14ac:dyDescent="0.25">
      <c r="B93" s="51"/>
      <c r="C93" s="49"/>
      <c r="D93" s="49"/>
      <c r="E93" s="105"/>
      <c r="F93" s="107"/>
      <c r="G93" s="43"/>
      <c r="H93" s="86"/>
      <c r="U93" s="42"/>
      <c r="V93" s="42"/>
      <c r="W93" s="42"/>
      <c r="X93" s="42"/>
      <c r="Y93" s="42"/>
      <c r="Z93" s="42"/>
    </row>
    <row r="94" spans="2:26" x14ac:dyDescent="0.25">
      <c r="B94" s="49" t="s">
        <v>227</v>
      </c>
      <c r="C94" s="49" t="s">
        <v>317</v>
      </c>
      <c r="D94" s="49" t="s">
        <v>329</v>
      </c>
      <c r="E94" s="59">
        <f>INDEX(Current_plant_configuration[],MATCH($E$13,Current_plant_configuration[Plant name],0),MATCH(Vapor_System[[#This Row],[Type]],Current_plant_configuration[#Headers],0))</f>
        <v>1</v>
      </c>
      <c r="F94" s="107">
        <f>IF(Vapor_Tech=C97,Vapor_System[[#This Row],[Current]]+Vapor_Number,Vapor_System[[#This Row],[Current]])</f>
        <v>1</v>
      </c>
      <c r="G94" s="43"/>
      <c r="H94" s="86"/>
      <c r="U94" s="42"/>
      <c r="V94" s="42"/>
      <c r="W94" s="42"/>
      <c r="X94" s="42"/>
      <c r="Y94" s="42"/>
      <c r="Z94" s="42"/>
    </row>
    <row r="95" spans="2:26" x14ac:dyDescent="0.25">
      <c r="B95" s="51" t="s">
        <v>331</v>
      </c>
      <c r="C95" s="49" t="s">
        <v>318</v>
      </c>
      <c r="D95" s="49" t="s">
        <v>308</v>
      </c>
      <c r="E95" s="107">
        <f>INDEX(Current_plant_configuration[],MATCH($E$13,Current_plant_configuration[Plant name],0),MATCH(Vapor_System[[#This Row],[Type]],Current_plant_configuration[#Headers],0))</f>
        <v>600</v>
      </c>
      <c r="F95" s="107">
        <f>INDEX(Current_plant_configuration[],MATCH($E$13,Current_plant_configuration[Plant name],0),MATCH(Vapor_System[[#This Row],[Type]],Current_plant_configuration[#Headers],0))</f>
        <v>600</v>
      </c>
      <c r="G95" s="43"/>
      <c r="H95" s="86"/>
      <c r="U95" s="42"/>
      <c r="V95" s="42"/>
      <c r="W95" s="42"/>
      <c r="X95" s="42"/>
      <c r="Y95" s="42"/>
      <c r="Z95" s="42"/>
    </row>
    <row r="96" spans="2:26" x14ac:dyDescent="0.25">
      <c r="B96" s="51" t="s">
        <v>330</v>
      </c>
      <c r="C96" s="49" t="s">
        <v>320</v>
      </c>
      <c r="D96" s="49" t="s">
        <v>191</v>
      </c>
      <c r="E96" s="119">
        <f>INDEX(Current_plant_configuration[],MATCH($E$13,Current_plant_configuration[Plant name],0),MATCH(Vapor_System[[#This Row],[Type]],Current_plant_configuration[#Headers],0))</f>
        <v>1</v>
      </c>
      <c r="F96" s="119">
        <f>IF((F95*F94)/(F111-F104)&gt;1,(F111-F104)/(F94*F95),1)</f>
        <v>1</v>
      </c>
      <c r="H96" s="86"/>
      <c r="U96" s="42"/>
      <c r="V96" s="42"/>
      <c r="W96" s="42"/>
      <c r="X96" s="42"/>
      <c r="Y96" s="42"/>
      <c r="Z96" s="42"/>
    </row>
    <row r="97" spans="2:26" x14ac:dyDescent="0.25">
      <c r="B97" s="49" t="s">
        <v>332</v>
      </c>
      <c r="C97" s="49" t="s">
        <v>354</v>
      </c>
      <c r="D97" s="49" t="s">
        <v>308</v>
      </c>
      <c r="E97" s="105">
        <f>E94*E95*E96</f>
        <v>600</v>
      </c>
      <c r="F97" s="105">
        <f>F94*F95*F96</f>
        <v>600</v>
      </c>
      <c r="H97" s="86"/>
      <c r="U97" s="42"/>
      <c r="V97" s="42"/>
      <c r="W97" s="42"/>
      <c r="X97" s="42"/>
      <c r="Y97" s="42"/>
      <c r="Z97" s="42"/>
    </row>
    <row r="98" spans="2:26" x14ac:dyDescent="0.25">
      <c r="B98" s="51" t="s">
        <v>333</v>
      </c>
      <c r="C98" s="49" t="s">
        <v>160</v>
      </c>
      <c r="D98" s="49" t="s">
        <v>410</v>
      </c>
      <c r="E98" s="117">
        <f>E97/1000*INDEX(Process_characteristics[],MATCH($C$97,Process_characteristics[Process name],0),MATCH(Vapor_System[[#This Row],[Type]],Process_characteristics[#Headers],0))</f>
        <v>2.6250866146666271E-2</v>
      </c>
      <c r="F98" s="117">
        <f>F97/1000*INDEX(Process_characteristics[],MATCH($C$97,Process_characteristics[Process name],0),MATCH(Vapor_System[[#This Row],[Type]],Process_characteristics[#Headers],0))</f>
        <v>2.6250866146666271E-2</v>
      </c>
      <c r="H98" s="86"/>
      <c r="U98" s="42"/>
      <c r="V98" s="42"/>
      <c r="W98" s="42"/>
      <c r="X98" s="42"/>
      <c r="Y98" s="42"/>
      <c r="Z98" s="42"/>
    </row>
    <row r="99" spans="2:26" x14ac:dyDescent="0.25">
      <c r="B99" s="51" t="s">
        <v>383</v>
      </c>
      <c r="C99" s="49" t="s">
        <v>161</v>
      </c>
      <c r="D99" s="49" t="s">
        <v>410</v>
      </c>
      <c r="E99" s="117">
        <f>E97/1000*INDEX(Process_characteristics[],MATCH($C$97,Process_characteristics[Process name],0),MATCH(Vapor_System[[#This Row],[Type]],Process_characteristics[#Headers],0))</f>
        <v>0.39911511927888416</v>
      </c>
      <c r="F99" s="117">
        <f>F97/1000*INDEX(Process_characteristics[],MATCH($C$97,Process_characteristics[Process name],0),MATCH(Vapor_System[[#This Row],[Type]],Process_characteristics[#Headers],0))</f>
        <v>0.39911511927888416</v>
      </c>
      <c r="H99" s="86"/>
      <c r="U99" s="42"/>
      <c r="V99" s="42"/>
      <c r="W99" s="42"/>
      <c r="X99" s="42"/>
      <c r="Y99" s="42"/>
      <c r="Z99" s="42"/>
    </row>
    <row r="100" spans="2:26" x14ac:dyDescent="0.25">
      <c r="B100" s="51"/>
      <c r="C100" s="49"/>
      <c r="D100" s="49"/>
      <c r="E100" s="105"/>
      <c r="F100" s="107"/>
      <c r="H100" s="86"/>
      <c r="U100" s="42"/>
      <c r="V100" s="42"/>
      <c r="W100" s="42"/>
      <c r="X100" s="42"/>
      <c r="Y100" s="42"/>
      <c r="Z100" s="42"/>
    </row>
    <row r="101" spans="2:26" x14ac:dyDescent="0.25">
      <c r="B101" s="49" t="s">
        <v>227</v>
      </c>
      <c r="C101" s="49" t="s">
        <v>323</v>
      </c>
      <c r="D101" s="49" t="s">
        <v>329</v>
      </c>
      <c r="E101" s="59">
        <f>INDEX(Current_plant_configuration[],MATCH($E$13,Current_plant_configuration[Plant name],0),MATCH(Vapor_System[[#This Row],[Type]],Current_plant_configuration[#Headers],0))</f>
        <v>0</v>
      </c>
      <c r="F101" s="107">
        <f>IF(Vapor_Tech=C104,Vapor_System[[#This Row],[Current]]+Vapor_Number,Vapor_System[[#This Row],[Current]])</f>
        <v>0</v>
      </c>
      <c r="H101" s="86"/>
      <c r="U101" s="42"/>
      <c r="V101" s="42"/>
      <c r="W101" s="42"/>
      <c r="X101" s="42"/>
      <c r="Y101" s="42"/>
      <c r="Z101" s="42"/>
    </row>
    <row r="102" spans="2:26" x14ac:dyDescent="0.25">
      <c r="B102" s="51" t="s">
        <v>331</v>
      </c>
      <c r="C102" s="49" t="s">
        <v>324</v>
      </c>
      <c r="D102" s="49" t="s">
        <v>308</v>
      </c>
      <c r="E102" s="105">
        <f>INDEX(Current_plant_configuration[],MATCH($E$13,Current_plant_configuration[Plant name],0),MATCH(Vapor_System[[#This Row],[Type]],Current_plant_configuration[#Headers],0))</f>
        <v>0</v>
      </c>
      <c r="F102" s="105">
        <f>INDEX(Current_plant_configuration[],MATCH($E$13,Current_plant_configuration[Plant name],0),MATCH(Vapor_System[[#This Row],[Type]],Current_plant_configuration[#Headers],0))</f>
        <v>0</v>
      </c>
      <c r="H102" s="86"/>
      <c r="U102" s="42"/>
      <c r="V102" s="42"/>
      <c r="W102" s="42"/>
      <c r="X102" s="42"/>
      <c r="Y102" s="42"/>
      <c r="Z102" s="42"/>
    </row>
    <row r="103" spans="2:26" x14ac:dyDescent="0.25">
      <c r="B103" s="51" t="s">
        <v>330</v>
      </c>
      <c r="C103" s="49" t="s">
        <v>326</v>
      </c>
      <c r="D103" s="49" t="s">
        <v>191</v>
      </c>
      <c r="E103" s="106">
        <f>INDEX(Current_plant_configuration[],MATCH($E$13,Current_plant_configuration[Plant name],0),MATCH(Vapor_System[[#This Row],[Type]],Current_plant_configuration[#Headers],0))</f>
        <v>0</v>
      </c>
      <c r="F103" s="106">
        <f>INDEX(Current_plant_configuration[],MATCH($E$13,Current_plant_configuration[Plant name],0),MATCH(Vapor_System[[#This Row],[Type]],Current_plant_configuration[#Headers],0))</f>
        <v>0</v>
      </c>
      <c r="H103" s="86"/>
      <c r="U103" s="42"/>
      <c r="V103" s="42"/>
      <c r="W103" s="42"/>
      <c r="X103" s="42"/>
      <c r="Y103" s="42"/>
      <c r="Z103" s="42"/>
    </row>
    <row r="104" spans="2:26" x14ac:dyDescent="0.25">
      <c r="B104" s="49" t="s">
        <v>332</v>
      </c>
      <c r="C104" s="49" t="s">
        <v>355</v>
      </c>
      <c r="D104" s="49" t="s">
        <v>308</v>
      </c>
      <c r="E104" s="114">
        <f>E101*E102*E103</f>
        <v>0</v>
      </c>
      <c r="F104" s="114">
        <f>F101*F102*F103</f>
        <v>0</v>
      </c>
      <c r="H104" s="86"/>
      <c r="U104" s="42"/>
      <c r="V104" s="42"/>
      <c r="W104" s="42"/>
      <c r="X104" s="42"/>
      <c r="Y104" s="42"/>
      <c r="Z104" s="42"/>
    </row>
    <row r="105" spans="2:26" x14ac:dyDescent="0.25">
      <c r="B105" s="51" t="s">
        <v>333</v>
      </c>
      <c r="C105" s="49" t="s">
        <v>160</v>
      </c>
      <c r="D105" s="49" t="s">
        <v>410</v>
      </c>
      <c r="E105" s="117">
        <f>E104/1000*INDEX(Process_characteristics[],MATCH($C$104,Process_characteristics[Process name],0),MATCH(Vapor_System[[#This Row],[Type]],Process_characteristics[#Headers],0))</f>
        <v>0</v>
      </c>
      <c r="F105" s="117">
        <f>F104/1000*INDEX(Process_characteristics[],MATCH($C$104,Process_characteristics[Process name],0),MATCH(Vapor_System[[#This Row],[Type]],Process_characteristics[#Headers],0))</f>
        <v>0</v>
      </c>
      <c r="H105" s="86"/>
      <c r="U105" s="42"/>
      <c r="V105" s="42"/>
      <c r="W105" s="42"/>
      <c r="X105" s="42"/>
      <c r="Y105" s="42"/>
      <c r="Z105" s="42"/>
    </row>
    <row r="106" spans="2:26" x14ac:dyDescent="0.25">
      <c r="B106" s="51" t="s">
        <v>383</v>
      </c>
      <c r="C106" s="49" t="s">
        <v>161</v>
      </c>
      <c r="D106" s="49"/>
      <c r="E106" s="117">
        <f>E104/1000*INDEX(Process_characteristics[],MATCH($C$104,Process_characteristics[Process name],0),MATCH(Vapor_System[[#This Row],[Type]],Process_characteristics[#Headers],0))</f>
        <v>0</v>
      </c>
      <c r="F106" s="117">
        <f>F104/1000*INDEX(Process_characteristics[],MATCH($C$104,Process_characteristics[Process name],0),MATCH(Vapor_System[[#This Row],[Type]],Process_characteristics[#Headers],0))</f>
        <v>0</v>
      </c>
      <c r="H106" s="86"/>
      <c r="U106" s="42"/>
      <c r="V106" s="42"/>
      <c r="W106" s="42"/>
      <c r="X106" s="42"/>
      <c r="Y106" s="42"/>
      <c r="Z106" s="42"/>
    </row>
    <row r="107" spans="2:26" x14ac:dyDescent="0.25">
      <c r="B107" s="51"/>
      <c r="C107" s="49"/>
      <c r="D107" s="49"/>
      <c r="E107" s="105"/>
      <c r="F107" s="107"/>
      <c r="H107" s="86"/>
      <c r="U107" s="42"/>
      <c r="V107" s="42"/>
      <c r="W107" s="42"/>
      <c r="X107" s="42"/>
      <c r="Y107" s="42"/>
      <c r="Z107" s="42"/>
    </row>
    <row r="108" spans="2:26" x14ac:dyDescent="0.25">
      <c r="B108" s="96" t="s">
        <v>359</v>
      </c>
      <c r="C108" s="49" t="s">
        <v>162</v>
      </c>
      <c r="D108" s="49"/>
      <c r="E108" s="117">
        <f>INDEX(Process_characteristics[],MATCH(B108,Process_characteristics[Process name],0),MATCH(Vapor_System[[#This Row],[Type]],Process_characteristics[#Headers],0))</f>
        <v>1.0893246187363832</v>
      </c>
      <c r="F108" s="107"/>
      <c r="H108" s="86"/>
      <c r="U108" s="42"/>
      <c r="V108" s="42"/>
      <c r="W108" s="42"/>
      <c r="X108" s="42"/>
      <c r="Y108" s="42"/>
      <c r="Z108" s="42"/>
    </row>
    <row r="109" spans="2:26" x14ac:dyDescent="0.25">
      <c r="B109" s="51"/>
      <c r="C109" s="49" t="s">
        <v>335</v>
      </c>
      <c r="D109" s="49" t="s">
        <v>308</v>
      </c>
      <c r="E109" s="105">
        <f>INDEX(Current_plant_configuration[],MATCH($E$13,Current_plant_configuration[Plant name],0),MATCH(Vapor_System[[#This Row],[Type]],Current_plant_configuration[#Headers],0))</f>
        <v>2698.2026940615951</v>
      </c>
      <c r="F109" s="107"/>
      <c r="H109" s="86"/>
      <c r="U109" s="42"/>
      <c r="V109" s="42"/>
      <c r="W109" s="42"/>
      <c r="X109" s="42"/>
      <c r="Y109" s="42"/>
      <c r="Z109" s="42"/>
    </row>
    <row r="110" spans="2:26" x14ac:dyDescent="0.25">
      <c r="B110" s="51"/>
      <c r="C110" s="49"/>
      <c r="D110" s="49"/>
      <c r="E110" s="105"/>
      <c r="F110" s="107"/>
      <c r="H110" s="86"/>
      <c r="U110" s="42"/>
      <c r="V110" s="42"/>
      <c r="W110" s="42"/>
      <c r="X110" s="42"/>
      <c r="Y110" s="42"/>
      <c r="Z110" s="42"/>
    </row>
    <row r="111" spans="2:26" x14ac:dyDescent="0.25">
      <c r="B111" s="48" t="s">
        <v>384</v>
      </c>
      <c r="C111" s="48"/>
      <c r="D111" s="48" t="s">
        <v>308</v>
      </c>
      <c r="E111" s="114">
        <f>E109*E108</f>
        <v>2939.2186209821293</v>
      </c>
      <c r="F111" s="114">
        <f>Vapor_System[[#This Row],[Current]]</f>
        <v>2939.2186209821293</v>
      </c>
      <c r="G111" s="43"/>
      <c r="U111" s="42"/>
      <c r="V111" s="42"/>
      <c r="W111" s="42"/>
      <c r="X111" s="42"/>
      <c r="Y111" s="42"/>
      <c r="Z111" s="42"/>
    </row>
    <row r="112" spans="2:26" x14ac:dyDescent="0.25">
      <c r="B112" s="49" t="s">
        <v>366</v>
      </c>
      <c r="C112" s="49"/>
      <c r="D112" s="49" t="s">
        <v>410</v>
      </c>
      <c r="E112" s="117">
        <f>SUM(E84,E91,E98,E105)</f>
        <v>3.5731830597347058</v>
      </c>
      <c r="F112" s="117">
        <f>SUM(F84,F91,F98,F105)</f>
        <v>3.5731830597347063</v>
      </c>
      <c r="G112" s="47"/>
      <c r="H112" s="86"/>
      <c r="U112" s="42"/>
      <c r="V112" s="42"/>
      <c r="W112" s="42"/>
      <c r="X112" s="42"/>
      <c r="Y112" s="42"/>
      <c r="Z112" s="42"/>
    </row>
    <row r="113" spans="2:26" x14ac:dyDescent="0.25">
      <c r="B113" s="49" t="s">
        <v>385</v>
      </c>
      <c r="C113" s="48"/>
      <c r="D113" s="49" t="s">
        <v>410</v>
      </c>
      <c r="E113" s="117">
        <f>SUM(E85,E92,E99,E106)</f>
        <v>0.89717879120897037</v>
      </c>
      <c r="F113" s="117">
        <f>SUM(F85,F92,F99,F106)</f>
        <v>0.89717879120897037</v>
      </c>
      <c r="G113" s="43"/>
      <c r="U113" s="42"/>
      <c r="V113" s="42"/>
      <c r="W113" s="42"/>
      <c r="X113" s="42"/>
      <c r="Y113" s="42"/>
      <c r="Z113" s="42"/>
    </row>
    <row r="114" spans="2:26" x14ac:dyDescent="0.25">
      <c r="B114" s="49"/>
      <c r="C114" s="49"/>
      <c r="D114" s="49"/>
      <c r="E114" s="118"/>
      <c r="F114" s="118"/>
      <c r="G114" s="47"/>
      <c r="H114" s="86"/>
      <c r="U114" s="42"/>
      <c r="V114" s="42"/>
      <c r="W114" s="42"/>
      <c r="X114" s="42"/>
      <c r="Y114" s="42"/>
      <c r="Z114" s="42"/>
    </row>
    <row r="115" spans="2:26" x14ac:dyDescent="0.25">
      <c r="B115" s="49"/>
      <c r="C115" s="49"/>
      <c r="D115" s="49"/>
      <c r="E115" s="118"/>
      <c r="F115" s="118"/>
      <c r="G115" s="47"/>
      <c r="H115" s="86"/>
      <c r="U115" s="42"/>
      <c r="V115" s="42"/>
      <c r="W115" s="42"/>
      <c r="X115" s="42"/>
      <c r="Y115" s="42"/>
      <c r="Z115" s="42"/>
    </row>
    <row r="116" spans="2:26" ht="18.75" x14ac:dyDescent="0.3">
      <c r="B116" s="101" t="s">
        <v>417</v>
      </c>
      <c r="C116" s="49"/>
      <c r="D116" s="49"/>
      <c r="E116" s="118"/>
      <c r="F116" s="118"/>
      <c r="G116" s="47"/>
      <c r="H116" s="86"/>
      <c r="U116" s="42"/>
      <c r="V116" s="42"/>
      <c r="W116" s="42"/>
      <c r="X116" s="42"/>
      <c r="Y116" s="42"/>
      <c r="Z116" s="42"/>
    </row>
    <row r="117" spans="2:26" ht="15" customHeight="1" x14ac:dyDescent="0.25">
      <c r="B117" s="130" t="s">
        <v>88</v>
      </c>
      <c r="C117" s="77" t="s">
        <v>386</v>
      </c>
      <c r="D117" s="77" t="s">
        <v>387</v>
      </c>
      <c r="E117" s="77" t="s">
        <v>417</v>
      </c>
      <c r="F117" s="77" t="s">
        <v>516</v>
      </c>
      <c r="G117" s="42" t="s">
        <v>4</v>
      </c>
      <c r="Q117" s="59"/>
      <c r="R117" s="59"/>
      <c r="S117" s="59"/>
      <c r="T117" s="59"/>
      <c r="W117" s="42"/>
      <c r="X117" s="42"/>
      <c r="Y117" s="42"/>
      <c r="Z117" s="42"/>
    </row>
    <row r="118" spans="2:26" ht="15" customHeight="1" x14ac:dyDescent="0.25">
      <c r="B118" s="59" t="s">
        <v>412</v>
      </c>
      <c r="C118" s="127">
        <f>E70*Experiment!C10</f>
        <v>3.8205467850866235</v>
      </c>
      <c r="D118" s="127">
        <f>F70/((1+Efficiency_gain)^(Investment_year-2016))*Production_uncertainty</f>
        <v>3.7450815176250729</v>
      </c>
      <c r="E118" s="132">
        <f>FinalResults34[[#This Row],[Future]]-FinalResults34[[#This Row],[Current]]</f>
        <v>-7.5465267461550578E-2</v>
      </c>
      <c r="F118" s="127">
        <f>FinalResults34[[#This Row],[Current]]*(1/((1+Efficiency_gain)^(Investment_year-2016))*Production_uncertainty-1)</f>
        <v>-7.5465267461577057E-2</v>
      </c>
      <c r="G118" s="43" t="s">
        <v>513</v>
      </c>
      <c r="H118" s="180"/>
      <c r="I118" s="43"/>
      <c r="Q118" s="59"/>
      <c r="R118" s="59"/>
      <c r="S118" s="59"/>
      <c r="T118" s="59"/>
      <c r="W118" s="42"/>
      <c r="X118" s="42"/>
      <c r="Y118" s="42"/>
      <c r="Z118" s="42"/>
    </row>
    <row r="119" spans="2:26" ht="15" customHeight="1" x14ac:dyDescent="0.25">
      <c r="B119" s="135" t="s">
        <v>385</v>
      </c>
      <c r="C119" s="127">
        <f>(E74+E113)*Experiment!C10</f>
        <v>0.13306943419164541</v>
      </c>
      <c r="D119" s="127">
        <f>(F74+F113)/((1+Efficiency_gain)^(Investment_year-2016))*Production_uncertainty</f>
        <v>0.13044098308054983</v>
      </c>
      <c r="E119" s="132">
        <f>FinalResults34[[#This Row],[Future]]-FinalResults34[[#This Row],[Current]]</f>
        <v>-2.628451111095581E-3</v>
      </c>
      <c r="F119" s="127">
        <f>FinalResults34[[#This Row],[Current]]*(1/((1+Efficiency_gain)^(Investment_year-2016))*Production_uncertainty-1)</f>
        <v>-2.6284511110902576E-3</v>
      </c>
      <c r="G119" s="43" t="s">
        <v>513</v>
      </c>
      <c r="Q119" s="59"/>
      <c r="R119" s="59"/>
      <c r="S119" s="59"/>
      <c r="T119" s="59"/>
      <c r="W119" s="42"/>
      <c r="X119" s="42"/>
      <c r="Y119" s="42"/>
      <c r="Z119" s="42"/>
    </row>
    <row r="120" spans="2:26" ht="15" customHeight="1" x14ac:dyDescent="0.25">
      <c r="B120" s="135" t="s">
        <v>419</v>
      </c>
      <c r="C120" s="127">
        <v>0</v>
      </c>
      <c r="D120" s="127">
        <v>0</v>
      </c>
      <c r="E120" s="132">
        <f>FinalResults34[[#This Row],[Future]]-FinalResults34[[#This Row],[Current]]</f>
        <v>0</v>
      </c>
      <c r="F120" s="127">
        <f>FinalResults34[[#This Row],[Current]]*(1/((1+Efficiency_gain)^(Investment_year-2016))*Production_uncertainty-1)</f>
        <v>0</v>
      </c>
      <c r="G120" s="43" t="s">
        <v>513</v>
      </c>
      <c r="Q120" s="59"/>
      <c r="R120" s="59"/>
      <c r="S120" s="59"/>
      <c r="T120" s="59"/>
      <c r="W120" s="42"/>
      <c r="X120" s="42"/>
      <c r="Y120" s="42"/>
      <c r="Z120" s="42"/>
    </row>
    <row r="121" spans="2:26" ht="15" customHeight="1" x14ac:dyDescent="0.25">
      <c r="B121" s="59" t="s">
        <v>415</v>
      </c>
      <c r="C121" s="127">
        <f>E71*Experiment!C10</f>
        <v>0.57901439144015188</v>
      </c>
      <c r="D121" s="127">
        <f>F71/((1+Efficiency_gain)^(Investment_year-2016))*Production_uncertainty</f>
        <v>0.56757742223859753</v>
      </c>
      <c r="E121" s="132">
        <f>FinalResults34[[#This Row],[Future]]-FinalResults34[[#This Row],[Current]]</f>
        <v>-1.1436969201554348E-2</v>
      </c>
      <c r="F121" s="127">
        <f>FinalResults34[[#This Row],[Current]]*(1/((1+Efficiency_gain)^(Investment_year-2016))*Production_uncertainty-1)</f>
        <v>-1.1436969201554384E-2</v>
      </c>
      <c r="G121" s="43" t="s">
        <v>513</v>
      </c>
      <c r="Q121" s="59"/>
      <c r="R121" s="59"/>
      <c r="S121" s="59"/>
      <c r="T121" s="59"/>
      <c r="W121" s="42"/>
      <c r="X121" s="42"/>
      <c r="Y121" s="42"/>
      <c r="Z121" s="42"/>
    </row>
    <row r="122" spans="2:26" ht="15" customHeight="1" x14ac:dyDescent="0.25">
      <c r="B122" s="59" t="s">
        <v>420</v>
      </c>
      <c r="C122" s="188">
        <f>E55*Experiment!C10</f>
        <v>248.28195703823087</v>
      </c>
      <c r="D122" s="188">
        <f>F55/((1+Efficiency_gain)^(Investment_year-2016))*Production_uncertainty</f>
        <v>243.37777306987715</v>
      </c>
      <c r="E122" s="132">
        <f>FinalResults34[[#This Row],[Future]]-FinalResults34[[#This Row],[Current]]</f>
        <v>-4.9041839683537205</v>
      </c>
      <c r="F122" s="127">
        <f>FinalResults34[[#This Row],[Current]]*(1/((1+Efficiency_gain)^(Investment_year-2016))*Production_uncertainty-1)</f>
        <v>-4.9041839683554764</v>
      </c>
      <c r="G122" s="43" t="s">
        <v>514</v>
      </c>
      <c r="Q122" s="59"/>
      <c r="R122" s="59"/>
      <c r="S122" s="59"/>
      <c r="T122" s="59"/>
      <c r="W122" s="42"/>
      <c r="X122" s="42"/>
      <c r="Y122" s="42"/>
      <c r="Z122" s="42"/>
    </row>
    <row r="123" spans="2:26" ht="15" customHeight="1" x14ac:dyDescent="0.25">
      <c r="B123" s="59"/>
      <c r="C123" s="127"/>
      <c r="D123" s="127"/>
      <c r="E123" s="132"/>
      <c r="F123" s="127"/>
      <c r="Q123" s="59"/>
      <c r="R123" s="59"/>
      <c r="S123" s="59"/>
      <c r="T123" s="59"/>
      <c r="W123" s="42"/>
      <c r="X123" s="42"/>
      <c r="Y123" s="42"/>
      <c r="Z123" s="42"/>
    </row>
    <row r="124" spans="2:26" ht="15" customHeight="1" x14ac:dyDescent="0.25">
      <c r="B124" s="131"/>
      <c r="C124" s="127"/>
      <c r="D124" s="127"/>
      <c r="O124" s="59"/>
      <c r="P124" s="59"/>
      <c r="Q124" s="59"/>
      <c r="R124" s="59"/>
      <c r="S124" s="59"/>
      <c r="T124" s="59"/>
      <c r="U124" s="42"/>
      <c r="V124" s="42"/>
      <c r="W124" s="42"/>
      <c r="X124" s="42"/>
      <c r="Y124" s="42"/>
      <c r="Z124" s="42"/>
    </row>
    <row r="125" spans="2:26" x14ac:dyDescent="0.25">
      <c r="B125" s="55" t="s">
        <v>119</v>
      </c>
      <c r="U125" s="42"/>
      <c r="V125" s="42"/>
      <c r="W125" s="42"/>
      <c r="X125" s="42"/>
      <c r="Y125" s="42"/>
      <c r="Z125" s="42"/>
    </row>
    <row r="126" spans="2:26" ht="18.75" x14ac:dyDescent="0.3">
      <c r="B126" s="101" t="s">
        <v>418</v>
      </c>
      <c r="U126" s="42"/>
      <c r="V126" s="42"/>
      <c r="W126" s="42"/>
      <c r="X126" s="42"/>
      <c r="Y126" s="42"/>
      <c r="Z126" s="42"/>
    </row>
    <row r="127" spans="2:26" x14ac:dyDescent="0.25">
      <c r="B127" s="58" t="s">
        <v>28</v>
      </c>
      <c r="C127" s="49" t="s">
        <v>388</v>
      </c>
      <c r="D127" s="49" t="s">
        <v>378</v>
      </c>
      <c r="U127" s="42"/>
      <c r="V127" s="42"/>
      <c r="W127" s="42"/>
      <c r="X127" s="42"/>
      <c r="Y127" s="42"/>
      <c r="Z127" s="42"/>
    </row>
    <row r="128" spans="2:26" x14ac:dyDescent="0.25">
      <c r="B128" s="49" t="s">
        <v>145</v>
      </c>
      <c r="C128" s="145">
        <f>IFERROR(INDEX(Process_characteristics[],MATCH(Steam_Tech,Process_characteristics[Process name],0),MATCH(Chosen_tech_data35[[#This Row],[Parameter]],Process_characteristics[#Headers],0))*Steam_Number,0)</f>
        <v>0</v>
      </c>
      <c r="D128" s="145">
        <f>IFERROR(INDEX(Process_characteristics[],MATCH(Vapor_Tech,Process_characteristics[Process name],0),MATCH(Chosen_tech_data35[[#This Row],[Parameter]],Process_characteristics[#Headers],0))*Vapor_Number,0)</f>
        <v>0</v>
      </c>
      <c r="U128" s="42"/>
      <c r="V128" s="42"/>
      <c r="W128" s="42"/>
      <c r="X128" s="42"/>
      <c r="Y128" s="42"/>
      <c r="Z128" s="42"/>
    </row>
    <row r="129" spans="1:30" x14ac:dyDescent="0.25">
      <c r="B129" s="49" t="s">
        <v>151</v>
      </c>
      <c r="C129" s="145">
        <f>IFERROR(INDEX(Process_characteristics[],MATCH(Steam_Tech,Process_characteristics[Process name],0),MATCH(Chosen_tech_data35[[#This Row],[Parameter]],Process_characteristics[#Headers],0))*Steam_Number,0)</f>
        <v>0</v>
      </c>
      <c r="D129" s="145">
        <f>IFERROR(INDEX(Process_characteristics[],MATCH(Vapor_Tech,Process_characteristics[Process name],0),MATCH(Chosen_tech_data35[[#This Row],[Parameter]],Process_characteristics[#Headers],0))*Vapor_Number,0)</f>
        <v>0</v>
      </c>
      <c r="F129" s="51"/>
      <c r="U129" s="42"/>
      <c r="V129" s="42"/>
      <c r="W129" s="42"/>
      <c r="X129" s="42"/>
      <c r="Y129" s="42"/>
      <c r="Z129" s="42"/>
    </row>
    <row r="130" spans="1:30" x14ac:dyDescent="0.25">
      <c r="B130" s="49" t="s">
        <v>157</v>
      </c>
      <c r="C130" s="145">
        <f>IFERROR(INDEX(Process_characteristics[],MATCH(Steam_Tech,Process_characteristics[Process name],0),MATCH(Chosen_tech_data35[[#This Row],[Parameter]],Process_characteristics[#Headers],0)),0)</f>
        <v>10</v>
      </c>
      <c r="D130" s="145">
        <f>IFERROR(INDEX(Process_characteristics[],MATCH(Vapor_Tech,Process_characteristics[Process name],0),MATCH(Chosen_tech_data35[[#This Row],[Parameter]],Process_characteristics[#Headers],0)),0)</f>
        <v>10</v>
      </c>
      <c r="U130" s="42"/>
      <c r="V130" s="42"/>
      <c r="W130" s="42"/>
      <c r="X130" s="42"/>
      <c r="Y130" s="42"/>
      <c r="Z130" s="42"/>
    </row>
    <row r="131" spans="1:30" x14ac:dyDescent="0.25">
      <c r="B131" s="51" t="s">
        <v>422</v>
      </c>
      <c r="C131" s="145">
        <f>IFERROR(INDEX(Steam_System[], MATCH(Steam_Tech, Steam_System[Type],0)-2, 5)*C128,0)</f>
        <v>0</v>
      </c>
      <c r="D131" s="145">
        <f>IFERROR(INDEX(Vapor_System[], MATCH(Vapor_Tech, Vapor_System[Type],0)-2, 5)*D128,0)</f>
        <v>0</v>
      </c>
      <c r="F131" s="42">
        <f>INDEX(Steam_System[],MATCH(Steam_Tech,Steam_System[Type],0)-3,5)*INDEX(Steam_System[],MATCH(Steam_Tech,Steam_System[Type],0)-2,5)</f>
        <v>0</v>
      </c>
      <c r="U131" s="42"/>
      <c r="V131" s="42"/>
      <c r="W131" s="42"/>
      <c r="X131" s="42"/>
      <c r="Y131" s="42"/>
      <c r="Z131" s="42"/>
    </row>
    <row r="132" spans="1:30" x14ac:dyDescent="0.25">
      <c r="B132" s="51" t="s">
        <v>426</v>
      </c>
      <c r="C132" s="145">
        <f>IFERROR(INDEX(Steam_System[], MATCH(Steam_Tech, Steam_System[Type],0), 5)*C129,0)</f>
        <v>0</v>
      </c>
      <c r="D132" s="145">
        <f>IFERROR(INDEX(Vapor_System[], MATCH(Vapor_Tech, Vapor_System[Type],0), 5)*D129,0)</f>
        <v>0</v>
      </c>
      <c r="U132" s="42"/>
      <c r="V132" s="42"/>
      <c r="W132" s="42"/>
      <c r="X132" s="42"/>
      <c r="Y132" s="42"/>
      <c r="Z132" s="42"/>
    </row>
    <row r="133" spans="1:30" x14ac:dyDescent="0.25">
      <c r="B133" s="51" t="s">
        <v>443</v>
      </c>
      <c r="C133" s="147">
        <f>IFERROR(INDEX(Current_plant_configuration[],MATCH(Plant_name,Current_plant_configuration[Plant name],0),MATCH(Steam_Tech &amp;"; " &amp; Chosen_tech_data35[[#This Row],[Parameter]],Current_plant_configuration[#Headers],0)),2020)</f>
        <v>2020</v>
      </c>
      <c r="D133" s="147">
        <f>IFERROR(INDEX(Current_plant_configuration[],MATCH(Plant_name,Current_plant_configuration[Plant name],0),MATCH(Vapor_Tech &amp;"; " &amp; Chosen_tech_data35[[#This Row],[Parameter]],Current_plant_configuration[#Headers],0)),2020)</f>
        <v>2020</v>
      </c>
      <c r="U133" s="42"/>
      <c r="V133" s="42"/>
      <c r="W133" s="42"/>
      <c r="X133" s="42"/>
      <c r="Y133" s="42"/>
      <c r="Z133" s="42"/>
    </row>
    <row r="134" spans="1:30" x14ac:dyDescent="0.25">
      <c r="B134" s="51"/>
      <c r="C134" s="139"/>
      <c r="D134" s="139"/>
      <c r="U134" s="42"/>
      <c r="V134" s="42"/>
      <c r="W134" s="42"/>
      <c r="X134" s="42"/>
      <c r="Y134" s="42"/>
      <c r="Z134" s="42"/>
    </row>
    <row r="135" spans="1:30" s="49" customFormat="1" ht="15" customHeight="1" x14ac:dyDescent="0.25">
      <c r="B135" s="131"/>
      <c r="C135" s="127"/>
      <c r="D135" s="127"/>
      <c r="O135" s="59"/>
      <c r="P135" s="59"/>
      <c r="Q135" s="59"/>
      <c r="R135" s="59"/>
      <c r="S135" s="59"/>
      <c r="T135" s="59"/>
    </row>
    <row r="136" spans="1:30" s="49" customFormat="1" ht="15" customHeight="1" x14ac:dyDescent="0.25">
      <c r="B136" s="131"/>
      <c r="C136" s="127"/>
      <c r="D136" s="127"/>
      <c r="O136" s="59"/>
      <c r="P136" s="59"/>
      <c r="Q136" s="59"/>
      <c r="R136" s="59"/>
      <c r="S136" s="59"/>
      <c r="T136" s="59"/>
    </row>
    <row r="137" spans="1:30" ht="19.5" thickBot="1" x14ac:dyDescent="0.35">
      <c r="B137" s="103" t="s">
        <v>90</v>
      </c>
      <c r="C137" s="46"/>
      <c r="D137" s="46"/>
      <c r="E137" s="46"/>
      <c r="F137" s="46"/>
      <c r="G137" s="46"/>
      <c r="H137" s="46"/>
      <c r="U137" s="42"/>
      <c r="V137" s="42"/>
      <c r="W137" s="42"/>
      <c r="X137" s="42"/>
      <c r="Y137" s="42"/>
      <c r="Z137" s="42"/>
    </row>
    <row r="138" spans="1:30" ht="15.75" thickTop="1" x14ac:dyDescent="0.25">
      <c r="B138" s="42"/>
      <c r="U138" s="42"/>
      <c r="V138" s="42"/>
      <c r="W138" s="42"/>
      <c r="X138" s="42"/>
      <c r="Y138" s="42"/>
      <c r="Z138" s="42"/>
    </row>
    <row r="139" spans="1:30" x14ac:dyDescent="0.25">
      <c r="B139" s="42"/>
      <c r="U139" s="42"/>
      <c r="V139" s="42"/>
      <c r="W139" s="42"/>
      <c r="X139" s="42"/>
      <c r="Y139" s="42"/>
      <c r="Z139" s="42"/>
    </row>
    <row r="140" spans="1:30" x14ac:dyDescent="0.25">
      <c r="B140" s="47" t="s">
        <v>454</v>
      </c>
      <c r="E140" s="149"/>
      <c r="U140" s="42"/>
      <c r="V140" s="42"/>
      <c r="W140" s="42"/>
      <c r="X140" s="42"/>
      <c r="Y140" s="42"/>
      <c r="Z140" s="42"/>
    </row>
    <row r="141" spans="1:30" x14ac:dyDescent="0.25">
      <c r="B141" s="42" t="s">
        <v>28</v>
      </c>
      <c r="C141" s="42" t="s">
        <v>89</v>
      </c>
      <c r="D141" s="42" t="s">
        <v>4</v>
      </c>
      <c r="E141" s="42" t="s">
        <v>7</v>
      </c>
      <c r="F141" s="42" t="s">
        <v>8</v>
      </c>
      <c r="G141" s="42" t="s">
        <v>9</v>
      </c>
      <c r="H141" s="42" t="s">
        <v>10</v>
      </c>
      <c r="I141" s="42" t="s">
        <v>11</v>
      </c>
      <c r="J141" s="42" t="s">
        <v>12</v>
      </c>
      <c r="K141" s="42" t="s">
        <v>13</v>
      </c>
      <c r="L141" s="42" t="s">
        <v>14</v>
      </c>
      <c r="M141" s="42" t="s">
        <v>15</v>
      </c>
      <c r="N141" s="42" t="s">
        <v>16</v>
      </c>
      <c r="O141" s="42" t="s">
        <v>17</v>
      </c>
      <c r="P141" s="42" t="s">
        <v>18</v>
      </c>
      <c r="Q141" s="42" t="s">
        <v>19</v>
      </c>
      <c r="R141" s="42" t="s">
        <v>20</v>
      </c>
      <c r="S141" s="42" t="s">
        <v>21</v>
      </c>
      <c r="T141" s="42" t="s">
        <v>22</v>
      </c>
      <c r="U141" s="42" t="s">
        <v>23</v>
      </c>
      <c r="V141" s="42" t="s">
        <v>24</v>
      </c>
      <c r="W141" s="42" t="s">
        <v>25</v>
      </c>
      <c r="X141" s="42" t="s">
        <v>26</v>
      </c>
      <c r="Y141" s="42" t="s">
        <v>27</v>
      </c>
      <c r="Z141" s="42" t="s">
        <v>102</v>
      </c>
      <c r="AA141" s="42" t="s">
        <v>103</v>
      </c>
      <c r="AB141" s="42" t="s">
        <v>104</v>
      </c>
      <c r="AC141" s="42" t="s">
        <v>105</v>
      </c>
      <c r="AD141" s="42" t="s">
        <v>106</v>
      </c>
    </row>
    <row r="142" spans="1:30" x14ac:dyDescent="0.25">
      <c r="A142" s="42">
        <v>1</v>
      </c>
      <c r="B142" s="42" t="s">
        <v>100</v>
      </c>
      <c r="D142" s="42" t="s">
        <v>1</v>
      </c>
      <c r="E142" s="57">
        <f>INDEX(ScenarioParameters[],MATCH(UsedScenarioParameters[[#This Row],[Parameter]],ScenarioParameters[Parameter],0),MATCH(E$141,ScenarioParameters[#Headers],0))*(1+Experiment!$C$27)</f>
        <v>7.1208419127324643</v>
      </c>
      <c r="F142" s="57">
        <f>INDEX(ScenarioParameters[],MATCH(UsedScenarioParameters[[#This Row],[Parameter]],ScenarioParameters[Parameter],0),MATCH(F$141,ScenarioParameters[#Headers],0))*(1+Experiment!$C$27)</f>
        <v>5.0235515205895416</v>
      </c>
      <c r="G142" s="57">
        <f>INDEX(ScenarioParameters[],MATCH(UsedScenarioParameters[[#This Row],[Parameter]],ScenarioParameters[Parameter],0),MATCH(G$141,ScenarioParameters[#Headers],0))*(1+Experiment!$C$27)</f>
        <v>5.4421381208752235</v>
      </c>
      <c r="H142" s="57">
        <f>INDEX(ScenarioParameters[],MATCH(UsedScenarioParameters[[#This Row],[Parameter]],ScenarioParameters[Parameter],0),MATCH(H$141,ScenarioParameters[#Headers],0))*(1+Experiment!$C$27)</f>
        <v>5.4080183274846938</v>
      </c>
      <c r="I142" s="57">
        <f>INDEX(ScenarioParameters[],MATCH(UsedScenarioParameters[[#This Row],[Parameter]],ScenarioParameters[Parameter],0),MATCH(I$141,ScenarioParameters[#Headers],0))*(1+Experiment!$C$27)</f>
        <v>5.302246219568846</v>
      </c>
      <c r="J142" s="57">
        <f>INDEX(ScenarioParameters[],MATCH(UsedScenarioParameters[[#This Row],[Parameter]],ScenarioParameters[Parameter],0),MATCH(J$141,ScenarioParameters[#Headers],0))*(1+Experiment!$C$27)</f>
        <v>5.7799262555783733</v>
      </c>
      <c r="K142" s="57">
        <f>INDEX(ScenarioParameters[],MATCH(UsedScenarioParameters[[#This Row],[Parameter]],ScenarioParameters[Parameter],0),MATCH(K$141,ScenarioParameters[#Headers],0))*(1+Experiment!$C$27)</f>
        <v>6.2576059661943333</v>
      </c>
      <c r="L142" s="57">
        <f>INDEX(ScenarioParameters[],MATCH(UsedScenarioParameters[[#This Row],[Parameter]],ScenarioParameters[Parameter],0),MATCH(L$141,ScenarioParameters[#Headers],0))*(1+Experiment!$C$27)</f>
        <v>6.7352856768102916</v>
      </c>
      <c r="M142" s="57">
        <f>INDEX(ScenarioParameters[],MATCH(UsedScenarioParameters[[#This Row],[Parameter]],ScenarioParameters[Parameter],0),MATCH(M$141,ScenarioParameters[#Headers],0))*(1+Experiment!$C$27)</f>
        <v>7.2129653874262507</v>
      </c>
      <c r="N142" s="57">
        <f>INDEX(ScenarioParameters[],MATCH(UsedScenarioParameters[[#This Row],[Parameter]],ScenarioParameters[Parameter],0),MATCH(N$141,ScenarioParameters[#Headers],0))*(1+Experiment!$C$27)</f>
        <v>7.690645748829346</v>
      </c>
      <c r="O142" s="57">
        <f>INDEX(ScenarioParameters[],MATCH(UsedScenarioParameters[[#This Row],[Parameter]],ScenarioParameters[Parameter],0),MATCH(O$141,ScenarioParameters[#Headers],0))*(1+Experiment!$C$27)</f>
        <v>8.1683254594453043</v>
      </c>
      <c r="P142" s="57">
        <f>INDEX(ScenarioParameters[],MATCH(UsedScenarioParameters[[#This Row],[Parameter]],ScenarioParameters[Parameter],0),MATCH(P$141,ScenarioParameters[#Headers],0))*(1+Experiment!$C$27)</f>
        <v>8.6494172470183877</v>
      </c>
      <c r="Q142" s="57">
        <f>INDEX(ScenarioParameters[],MATCH(UsedScenarioParameters[[#This Row],[Parameter]],ScenarioParameters[Parameter],0),MATCH(Q$141,ScenarioParameters[#Headers],0))*(1+Experiment!$C$27)</f>
        <v>9.1270969576343468</v>
      </c>
      <c r="R142" s="57">
        <f>INDEX(ScenarioParameters[],MATCH(UsedScenarioParameters[[#This Row],[Parameter]],ScenarioParameters[Parameter],0),MATCH(R$141,ScenarioParameters[#Headers],0))*(1+Experiment!$C$27)</f>
        <v>9.604776668250306</v>
      </c>
      <c r="S142" s="57">
        <f>INDEX(ScenarioParameters[],MATCH(UsedScenarioParameters[[#This Row],[Parameter]],ScenarioParameters[Parameter],0),MATCH(S$141,ScenarioParameters[#Headers],0))*(1+Experiment!$C$27)</f>
        <v>10.082456378866265</v>
      </c>
      <c r="T142" s="57">
        <f>INDEX(ScenarioParameters[],MATCH(UsedScenarioParameters[[#This Row],[Parameter]],ScenarioParameters[Parameter],0),MATCH(T$141,ScenarioParameters[#Headers],0))*(1+Experiment!$C$27)</f>
        <v>10.560136740269362</v>
      </c>
      <c r="U142" s="57">
        <f>INDEX(ScenarioParameters[],MATCH(UsedScenarioParameters[[#This Row],[Parameter]],ScenarioParameters[Parameter],0),MATCH(U$141,ScenarioParameters[#Headers],0))*(1+Experiment!$C$27)</f>
        <v>10.682968647262404</v>
      </c>
      <c r="V142" s="57">
        <f>INDEX(ScenarioParameters[],MATCH(UsedScenarioParameters[[#This Row],[Parameter]],ScenarioParameters[Parameter],0),MATCH(V$141,ScenarioParameters[#Headers],0))*(1+Experiment!$C$27)</f>
        <v>10.805800554255446</v>
      </c>
      <c r="W142" s="57">
        <f>INDEX(ScenarioParameters[],MATCH(UsedScenarioParameters[[#This Row],[Parameter]],ScenarioParameters[Parameter],0),MATCH(W$141,ScenarioParameters[#Headers],0))*(1+Experiment!$C$27)</f>
        <v>10.928632461248489</v>
      </c>
      <c r="X142" s="57">
        <f>INDEX(ScenarioParameters[],MATCH(UsedScenarioParameters[[#This Row],[Parameter]],ScenarioParameters[Parameter],0),MATCH(X$141,ScenarioParameters[#Headers],0))*(1+Experiment!$C$27)</f>
        <v>11.051464368241529</v>
      </c>
      <c r="Y142" s="57">
        <f>INDEX(ScenarioParameters[],MATCH(UsedScenarioParameters[[#This Row],[Parameter]],ScenarioParameters[Parameter],0),MATCH(Y$141,ScenarioParameters[#Headers],0))*(1+Experiment!$C$27)</f>
        <v>11.174296275234573</v>
      </c>
      <c r="Z142" s="57">
        <f>INDEX(ScenarioParameters[],MATCH(UsedScenarioParameters[[#This Row],[Parameter]],ScenarioParameters[Parameter],0),MATCH(Z$141,ScenarioParameters[#Headers],0))*(1+Experiment!$C$27)</f>
        <v>11.174296275234573</v>
      </c>
      <c r="AA142" s="57">
        <f>INDEX(ScenarioParameters[],MATCH(UsedScenarioParameters[[#This Row],[Parameter]],ScenarioParameters[Parameter],0),MATCH(AA$141,ScenarioParameters[#Headers],0))*(1+Experiment!$C$27)</f>
        <v>11.174296275234573</v>
      </c>
      <c r="AB142" s="57">
        <f>INDEX(ScenarioParameters[],MATCH(UsedScenarioParameters[[#This Row],[Parameter]],ScenarioParameters[Parameter],0),MATCH(AB$141,ScenarioParameters[#Headers],0))*(1+Experiment!$C$27)</f>
        <v>11.174296275234573</v>
      </c>
      <c r="AC142" s="57">
        <f>INDEX(ScenarioParameters[],MATCH(UsedScenarioParameters[[#This Row],[Parameter]],ScenarioParameters[Parameter],0),MATCH(AC$141,ScenarioParameters[#Headers],0))*(1+Experiment!$C$27)</f>
        <v>11.174296275234573</v>
      </c>
      <c r="AD142" s="57">
        <f>INDEX(ScenarioParameters[],MATCH(UsedScenarioParameters[[#This Row],[Parameter]],ScenarioParameters[Parameter],0),MATCH(AD$141,ScenarioParameters[#Headers],0))*(1+Experiment!$C$27)</f>
        <v>11.174296275234573</v>
      </c>
    </row>
    <row r="143" spans="1:30" x14ac:dyDescent="0.25">
      <c r="A143" s="42">
        <v>2</v>
      </c>
      <c r="B143" s="42" t="s">
        <v>101</v>
      </c>
      <c r="D143" s="42" t="s">
        <v>1</v>
      </c>
      <c r="E143" s="57">
        <f>INDEX(ScenarioParameters[],MATCH(UsedScenarioParameters[[#This Row],[Parameter]],ScenarioParameters[Parameter],0),MATCH(E$141,ScenarioParameters[#Headers],0))*(1-0.4*Experiment!$C$28)</f>
        <v>12.062221686045326</v>
      </c>
      <c r="F143" s="57">
        <f>INDEX(ScenarioParameters[],MATCH(UsedScenarioParameters[[#This Row],[Parameter]],ScenarioParameters[Parameter],0),MATCH(F$141,ScenarioParameters[#Headers],0))*(1-0.4*Experiment!$C$28)</f>
        <v>10.094763189512925</v>
      </c>
      <c r="G143" s="57">
        <f>INDEX(ScenarioParameters[],MATCH(UsedScenarioParameters[[#This Row],[Parameter]],ScenarioParameters[Parameter],0),MATCH(G$141,ScenarioParameters[#Headers],0))*(1-0.4*Experiment!$C$28)</f>
        <v>8.5099998050265846</v>
      </c>
      <c r="H143" s="57">
        <f>INDEX(ScenarioParameters[],MATCH(UsedScenarioParameters[[#This Row],[Parameter]],ScenarioParameters[Parameter],0),MATCH(H$141,ScenarioParameters[#Headers],0))*(1-0.4*Experiment!$C$28)</f>
        <v>8.2800000243716774</v>
      </c>
      <c r="I143" s="57">
        <f>INDEX(ScenarioParameters[],MATCH(UsedScenarioParameters[[#This Row],[Parameter]],ScenarioParameters[Parameter],0),MATCH(I$141,ScenarioParameters[#Headers],0))*(1-0.4*Experiment!$C$28)</f>
        <v>7.9733330408732082</v>
      </c>
      <c r="J143" s="57">
        <f>INDEX(ScenarioParameters[],MATCH(UsedScenarioParameters[[#This Row],[Parameter]],ScenarioParameters[Parameter],0),MATCH(J$141,ScenarioParameters[#Headers],0))*(1-0.4*Experiment!$C$28)</f>
        <v>8.3055555555555536</v>
      </c>
      <c r="K143" s="57">
        <f>INDEX(ScenarioParameters[],MATCH(UsedScenarioParameters[[#This Row],[Parameter]],ScenarioParameters[Parameter],0),MATCH(K$141,ScenarioParameters[#Headers],0))*(1-0.4*Experiment!$C$28)</f>
        <v>8.9188889132605649</v>
      </c>
      <c r="L143" s="57">
        <f>INDEX(ScenarioParameters[],MATCH(UsedScenarioParameters[[#This Row],[Parameter]],ScenarioParameters[Parameter],0),MATCH(L$141,ScenarioParameters[#Headers],0))*(1-0.4*Experiment!$C$28)</f>
        <v>10.017777972751192</v>
      </c>
      <c r="M143" s="57">
        <f>INDEX(ScenarioParameters[],MATCH(UsedScenarioParameters[[#This Row],[Parameter]],ScenarioParameters[Parameter],0),MATCH(M$141,ScenarioParameters[#Headers],0))*(1-0.4*Experiment!$C$28)</f>
        <v>10.810000048743353</v>
      </c>
      <c r="N143" s="57">
        <f>INDEX(ScenarioParameters[],MATCH(UsedScenarioParameters[[#This Row],[Parameter]],ScenarioParameters[Parameter],0),MATCH(N$141,ScenarioParameters[#Headers],0))*(1-0.4*Experiment!$C$28)</f>
        <v>11.372221734788681</v>
      </c>
      <c r="O143" s="57">
        <f>INDEX(ScenarioParameters[],MATCH(UsedScenarioParameters[[#This Row],[Parameter]],ScenarioParameters[Parameter],0),MATCH(O$141,ScenarioParameters[#Headers],0))*(1-0.4*Experiment!$C$28)</f>
        <v>12.138888888888886</v>
      </c>
      <c r="P143" s="57">
        <f>INDEX(ScenarioParameters[],MATCH(UsedScenarioParameters[[#This Row],[Parameter]],ScenarioParameters[Parameter],0),MATCH(P$141,ScenarioParameters[#Headers],0))*(1-0.4*Experiment!$C$28)</f>
        <v>12.241111013624403</v>
      </c>
      <c r="Q143" s="57">
        <f>INDEX(ScenarioParameters[],MATCH(UsedScenarioParameters[[#This Row],[Parameter]],ScenarioParameters[Parameter],0),MATCH(Q$141,ScenarioParameters[#Headers],0))*(1-0.4*Experiment!$C$28)</f>
        <v>12.113332748413084</v>
      </c>
      <c r="R143" s="57">
        <f>INDEX(ScenarioParameters[],MATCH(UsedScenarioParameters[[#This Row],[Parameter]],ScenarioParameters[Parameter],0),MATCH(R$141,ScenarioParameters[#Headers],0))*(1-0.4*Experiment!$C$28)</f>
        <v>11.781111452314589</v>
      </c>
      <c r="S143" s="57">
        <f>INDEX(ScenarioParameters[],MATCH(UsedScenarioParameters[[#This Row],[Parameter]],ScenarioParameters[Parameter],0),MATCH(S$141,ScenarioParameters[#Headers],0))*(1-0.4*Experiment!$C$28)</f>
        <v>11.44888893763224</v>
      </c>
      <c r="T143" s="57">
        <f>INDEX(ScenarioParameters[],MATCH(UsedScenarioParameters[[#This Row],[Parameter]],ScenarioParameters[Parameter],0),MATCH(T$141,ScenarioParameters[#Headers],0))*(1-0.4*Experiment!$C$28)</f>
        <v>11.040000438690186</v>
      </c>
      <c r="U143" s="57">
        <f>INDEX(ScenarioParameters[],MATCH(UsedScenarioParameters[[#This Row],[Parameter]],ScenarioParameters[Parameter],0),MATCH(U$141,ScenarioParameters[#Headers],0))*(1-0.4*Experiment!$C$28)</f>
        <v>11.285333781772188</v>
      </c>
      <c r="V143" s="57">
        <f>INDEX(ScenarioParameters[],MATCH(UsedScenarioParameters[[#This Row],[Parameter]],ScenarioParameters[Parameter],0),MATCH(V$141,ScenarioParameters[#Headers],0))*(1-0.4*Experiment!$C$28)</f>
        <v>11.530667124854194</v>
      </c>
      <c r="W143" s="57">
        <f>INDEX(ScenarioParameters[],MATCH(UsedScenarioParameters[[#This Row],[Parameter]],ScenarioParameters[Parameter],0),MATCH(W$141,ScenarioParameters[#Headers],0))*(1-0.4*Experiment!$C$28)</f>
        <v>11.776000467936196</v>
      </c>
      <c r="X143" s="57">
        <f>INDEX(ScenarioParameters[],MATCH(UsedScenarioParameters[[#This Row],[Parameter]],ScenarioParameters[Parameter],0),MATCH(X$141,ScenarioParameters[#Headers],0))*(1-0.4*Experiment!$C$28)</f>
        <v>12.021333811018202</v>
      </c>
      <c r="Y143" s="57">
        <f>INDEX(ScenarioParameters[],MATCH(UsedScenarioParameters[[#This Row],[Parameter]],ScenarioParameters[Parameter],0),MATCH(Y$141,ScenarioParameters[#Headers],0))*(1-0.4*Experiment!$C$28)</f>
        <v>12.266667154100205</v>
      </c>
      <c r="Z143" s="57">
        <f>INDEX(ScenarioParameters[],MATCH(UsedScenarioParameters[[#This Row],[Parameter]],ScenarioParameters[Parameter],0),MATCH(Z$141,ScenarioParameters[#Headers],0))*(1-0.4*Experiment!$C$28)</f>
        <v>12.266667154100205</v>
      </c>
      <c r="AA143" s="57">
        <f>INDEX(ScenarioParameters[],MATCH(UsedScenarioParameters[[#This Row],[Parameter]],ScenarioParameters[Parameter],0),MATCH(AA$141,ScenarioParameters[#Headers],0))*(1-0.4*Experiment!$C$28)</f>
        <v>12.266667154100205</v>
      </c>
      <c r="AB143" s="57">
        <f>INDEX(ScenarioParameters[],MATCH(UsedScenarioParameters[[#This Row],[Parameter]],ScenarioParameters[Parameter],0),MATCH(AB$141,ScenarioParameters[#Headers],0))*(1-0.4*Experiment!$C$28)</f>
        <v>12.266667154100205</v>
      </c>
      <c r="AC143" s="57">
        <f>INDEX(ScenarioParameters[],MATCH(UsedScenarioParameters[[#This Row],[Parameter]],ScenarioParameters[Parameter],0),MATCH(AC$141,ScenarioParameters[#Headers],0))*(1-0.4*Experiment!$C$28)</f>
        <v>12.266667154100205</v>
      </c>
      <c r="AD143" s="57">
        <f>INDEX(ScenarioParameters[],MATCH(UsedScenarioParameters[[#This Row],[Parameter]],ScenarioParameters[Parameter],0),MATCH(AD$141,ScenarioParameters[#Headers],0))*(1-0.4*Experiment!$C$28)</f>
        <v>12.266667154100205</v>
      </c>
    </row>
    <row r="144" spans="1:30" x14ac:dyDescent="0.25">
      <c r="A144" s="42">
        <v>3</v>
      </c>
      <c r="B144" s="42" t="s">
        <v>32</v>
      </c>
      <c r="D144" s="42" t="s">
        <v>40</v>
      </c>
      <c r="E144" s="57">
        <f>INDEX(ScenarioParameters[],MATCH(UsedScenarioParameters[[#This Row],[Parameter]],ScenarioParameters[Parameter],0),MATCH(E$141,ScenarioParameters[#Headers],0))</f>
        <v>7.6807980000000002</v>
      </c>
      <c r="F144" s="57">
        <f>INDEX(ScenarioParameters[],MATCH(UsedScenarioParameters[[#This Row],[Parameter]],ScenarioParameters[Parameter],0),MATCH(F$141,ScenarioParameters[#Headers],0))</f>
        <v>5.1870320000000003</v>
      </c>
      <c r="G144" s="57">
        <f>INDEX(ScenarioParameters[],MATCH(UsedScenarioParameters[[#This Row],[Parameter]],ScenarioParameters[Parameter],0),MATCH(G$141,ScenarioParameters[#Headers],0))</f>
        <v>5.3865340000000002</v>
      </c>
      <c r="H144" s="57">
        <f>INDEX(ScenarioParameters[],MATCH(UsedScenarioParameters[[#This Row],[Parameter]],ScenarioParameters[Parameter],0),MATCH(H$141,ScenarioParameters[#Headers],0))</f>
        <v>5.4862840000000004</v>
      </c>
      <c r="I144" s="57">
        <f>INDEX(ScenarioParameters[],MATCH(UsedScenarioParameters[[#This Row],[Parameter]],ScenarioParameters[Parameter],0),MATCH(I$141,ScenarioParameters[#Headers],0))</f>
        <v>5.5860349999999999</v>
      </c>
      <c r="J144" s="57">
        <f>INDEX(ScenarioParameters[],MATCH(UsedScenarioParameters[[#This Row],[Parameter]],ScenarioParameters[Parameter],0),MATCH(J$141,ScenarioParameters[#Headers],0))</f>
        <v>6.5835410000000003</v>
      </c>
      <c r="K144" s="57">
        <f>INDEX(ScenarioParameters[],MATCH(UsedScenarioParameters[[#This Row],[Parameter]],ScenarioParameters[Parameter],0),MATCH(K$141,ScenarioParameters[#Headers],0))</f>
        <v>7.581048</v>
      </c>
      <c r="L144" s="57">
        <f>INDEX(ScenarioParameters[],MATCH(UsedScenarioParameters[[#This Row],[Parameter]],ScenarioParameters[Parameter],0),MATCH(L$141,ScenarioParameters[#Headers],0))</f>
        <v>8.4788029999999992</v>
      </c>
      <c r="M144" s="57">
        <f>INDEX(ScenarioParameters[],MATCH(UsedScenarioParameters[[#This Row],[Parameter]],ScenarioParameters[Parameter],0),MATCH(M$141,ScenarioParameters[#Headers],0))</f>
        <v>9.2768080000000008</v>
      </c>
      <c r="N144" s="57">
        <f>INDEX(ScenarioParameters[],MATCH(UsedScenarioParameters[[#This Row],[Parameter]],ScenarioParameters[Parameter],0),MATCH(N$141,ScenarioParameters[#Headers],0))</f>
        <v>10.074809999999999</v>
      </c>
      <c r="O144" s="57">
        <f>INDEX(ScenarioParameters[],MATCH(UsedScenarioParameters[[#This Row],[Parameter]],ScenarioParameters[Parameter],0),MATCH(O$141,ScenarioParameters[#Headers],0))</f>
        <v>10.872820000000001</v>
      </c>
      <c r="P144" s="57">
        <f>INDEX(ScenarioParameters[],MATCH(UsedScenarioParameters[[#This Row],[Parameter]],ScenarioParameters[Parameter],0),MATCH(P$141,ScenarioParameters[#Headers],0))</f>
        <v>11.770569999999999</v>
      </c>
      <c r="Q144" s="57">
        <f>INDEX(ScenarioParameters[],MATCH(UsedScenarioParameters[[#This Row],[Parameter]],ScenarioParameters[Parameter],0),MATCH(Q$141,ScenarioParameters[#Headers],0))</f>
        <v>12.86783</v>
      </c>
      <c r="R144" s="57">
        <f>INDEX(ScenarioParameters[],MATCH(UsedScenarioParameters[[#This Row],[Parameter]],ScenarioParameters[Parameter],0),MATCH(R$141,ScenarioParameters[#Headers],0))</f>
        <v>13.86534</v>
      </c>
      <c r="S144" s="57">
        <f>INDEX(ScenarioParameters[],MATCH(UsedScenarioParameters[[#This Row],[Parameter]],ScenarioParameters[Parameter],0),MATCH(S$141,ScenarioParameters[#Headers],0))</f>
        <v>15.062340000000001</v>
      </c>
      <c r="T144" s="57">
        <f>INDEX(ScenarioParameters[],MATCH(UsedScenarioParameters[[#This Row],[Parameter]],ScenarioParameters[Parameter],0),MATCH(T$141,ScenarioParameters[#Headers],0))</f>
        <v>16.359100000000002</v>
      </c>
      <c r="U144" s="57">
        <f>INDEX(ScenarioParameters[],MATCH(UsedScenarioParameters[[#This Row],[Parameter]],ScenarioParameters[Parameter],0),MATCH(U$141,ScenarioParameters[#Headers],0))</f>
        <v>18.014960000000002</v>
      </c>
      <c r="V144" s="57">
        <f>INDEX(ScenarioParameters[],MATCH(UsedScenarioParameters[[#This Row],[Parameter]],ScenarioParameters[Parameter],0),MATCH(V$141,ScenarioParameters[#Headers],0))</f>
        <v>19.670820000000003</v>
      </c>
      <c r="W144" s="57">
        <f>INDEX(ScenarioParameters[],MATCH(UsedScenarioParameters[[#This Row],[Parameter]],ScenarioParameters[Parameter],0),MATCH(W$141,ScenarioParameters[#Headers],0))</f>
        <v>21.326680000000003</v>
      </c>
      <c r="X144" s="57">
        <f>INDEX(ScenarioParameters[],MATCH(UsedScenarioParameters[[#This Row],[Parameter]],ScenarioParameters[Parameter],0),MATCH(X$141,ScenarioParameters[#Headers],0))</f>
        <v>22.98254</v>
      </c>
      <c r="Y144" s="57">
        <f>INDEX(ScenarioParameters[],MATCH(UsedScenarioParameters[[#This Row],[Parameter]],ScenarioParameters[Parameter],0),MATCH(Y$141,ScenarioParameters[#Headers],0))</f>
        <v>24.638400000000001</v>
      </c>
      <c r="Z144" s="57">
        <f>INDEX(ScenarioParameters[],MATCH(UsedScenarioParameters[[#This Row],[Parameter]],ScenarioParameters[Parameter],0),MATCH(Z$141,ScenarioParameters[#Headers],0))</f>
        <v>24.638400000000001</v>
      </c>
      <c r="AA144" s="57">
        <f>INDEX(ScenarioParameters[],MATCH(UsedScenarioParameters[[#This Row],[Parameter]],ScenarioParameters[Parameter],0),MATCH(AA$141,ScenarioParameters[#Headers],0))</f>
        <v>24.638400000000001</v>
      </c>
      <c r="AB144" s="57">
        <f>INDEX(ScenarioParameters[],MATCH(UsedScenarioParameters[[#This Row],[Parameter]],ScenarioParameters[Parameter],0),MATCH(AB$141,ScenarioParameters[#Headers],0))</f>
        <v>24.638400000000001</v>
      </c>
      <c r="AC144" s="57">
        <f>INDEX(ScenarioParameters[],MATCH(UsedScenarioParameters[[#This Row],[Parameter]],ScenarioParameters[Parameter],0),MATCH(AC$141,ScenarioParameters[#Headers],0))</f>
        <v>24.638400000000001</v>
      </c>
      <c r="AD144" s="57">
        <f>INDEX(ScenarioParameters[],MATCH(UsedScenarioParameters[[#This Row],[Parameter]],ScenarioParameters[Parameter],0),MATCH(AD$141,ScenarioParameters[#Headers],0))</f>
        <v>24.638400000000001</v>
      </c>
    </row>
    <row r="145" spans="1:30" x14ac:dyDescent="0.25">
      <c r="A145" s="42">
        <v>4</v>
      </c>
      <c r="B145" s="42" t="s">
        <v>2</v>
      </c>
      <c r="D145" s="42" t="s">
        <v>1</v>
      </c>
      <c r="E145" s="57">
        <f>INDEX(ScenarioParameters[],MATCH(UsedScenarioParameters[[#This Row],[Parameter]],ScenarioParameters[Parameter],0),MATCH(E$141,ScenarioParameters[#Headers],0))</f>
        <v>8.5</v>
      </c>
      <c r="F145" s="57">
        <f>INDEX(ScenarioParameters[],MATCH(UsedScenarioParameters[[#This Row],[Parameter]],ScenarioParameters[Parameter],0),MATCH(F$141,ScenarioParameters[#Headers],0))</f>
        <v>9.4</v>
      </c>
      <c r="G145" s="57">
        <f>INDEX(ScenarioParameters[],MATCH(UsedScenarioParameters[[#This Row],[Parameter]],ScenarioParameters[Parameter],0),MATCH(G$141,ScenarioParameters[#Headers],0))</f>
        <v>9.1</v>
      </c>
      <c r="H145" s="57">
        <f>INDEX(ScenarioParameters[],MATCH(UsedScenarioParameters[[#This Row],[Parameter]],ScenarioParameters[Parameter],0),MATCH(H$141,ScenarioParameters[#Headers],0))</f>
        <v>10</v>
      </c>
      <c r="I145" s="57">
        <f>INDEX(ScenarioParameters[],MATCH(UsedScenarioParameters[[#This Row],[Parameter]],ScenarioParameters[Parameter],0),MATCH(I$141,ScenarioParameters[#Headers],0))</f>
        <v>10.379999999999999</v>
      </c>
      <c r="J145" s="57">
        <f>INDEX(ScenarioParameters[],MATCH(UsedScenarioParameters[[#This Row],[Parameter]],ScenarioParameters[Parameter],0),MATCH(J$141,ScenarioParameters[#Headers],0))</f>
        <v>10.76</v>
      </c>
      <c r="K145" s="57">
        <f>INDEX(ScenarioParameters[],MATCH(UsedScenarioParameters[[#This Row],[Parameter]],ScenarioParameters[Parameter],0),MATCH(K$141,ScenarioParameters[#Headers],0))</f>
        <v>10.474</v>
      </c>
      <c r="L145" s="57">
        <f>INDEX(ScenarioParameters[],MATCH(UsedScenarioParameters[[#This Row],[Parameter]],ScenarioParameters[Parameter],0),MATCH(L$141,ScenarioParameters[#Headers],0))</f>
        <v>10.188000000000001</v>
      </c>
      <c r="M145" s="57">
        <f>INDEX(ScenarioParameters[],MATCH(UsedScenarioParameters[[#This Row],[Parameter]],ScenarioParameters[Parameter],0),MATCH(M$141,ScenarioParameters[#Headers],0))</f>
        <v>9.9019999999999992</v>
      </c>
      <c r="N145" s="57">
        <f>INDEX(ScenarioParameters[],MATCH(UsedScenarioParameters[[#This Row],[Parameter]],ScenarioParameters[Parameter],0),MATCH(N$141,ScenarioParameters[#Headers],0))</f>
        <v>9.6159999999999997</v>
      </c>
      <c r="O145" s="57">
        <f>INDEX(ScenarioParameters[],MATCH(UsedScenarioParameters[[#This Row],[Parameter]],ScenarioParameters[Parameter],0),MATCH(O$141,ScenarioParameters[#Headers],0))</f>
        <v>9.33</v>
      </c>
      <c r="P145" s="57">
        <f>INDEX(ScenarioParameters[],MATCH(UsedScenarioParameters[[#This Row],[Parameter]],ScenarioParameters[Parameter],0),MATCH(P$141,ScenarioParameters[#Headers],0))</f>
        <v>9.468</v>
      </c>
      <c r="Q145" s="57">
        <f>INDEX(ScenarioParameters[],MATCH(UsedScenarioParameters[[#This Row],[Parameter]],ScenarioParameters[Parameter],0),MATCH(Q$141,ScenarioParameters[#Headers],0))</f>
        <v>9.6059999999999999</v>
      </c>
      <c r="R145" s="57">
        <f>INDEX(ScenarioParameters[],MATCH(UsedScenarioParameters[[#This Row],[Parameter]],ScenarioParameters[Parameter],0),MATCH(R$141,ScenarioParameters[#Headers],0))</f>
        <v>9.7439999999999998</v>
      </c>
      <c r="S145" s="57">
        <f>INDEX(ScenarioParameters[],MATCH(UsedScenarioParameters[[#This Row],[Parameter]],ScenarioParameters[Parameter],0),MATCH(S$141,ScenarioParameters[#Headers],0))</f>
        <v>9.8819999999999997</v>
      </c>
      <c r="T145" s="57">
        <f>INDEX(ScenarioParameters[],MATCH(UsedScenarioParameters[[#This Row],[Parameter]],ScenarioParameters[Parameter],0),MATCH(T$141,ScenarioParameters[#Headers],0))</f>
        <v>10.02</v>
      </c>
      <c r="U145" s="57">
        <f>INDEX(ScenarioParameters[],MATCH(UsedScenarioParameters[[#This Row],[Parameter]],ScenarioParameters[Parameter],0),MATCH(U$141,ScenarioParameters[#Headers],0))</f>
        <v>10.02</v>
      </c>
      <c r="V145" s="57">
        <f>INDEX(ScenarioParameters[],MATCH(UsedScenarioParameters[[#This Row],[Parameter]],ScenarioParameters[Parameter],0),MATCH(V$141,ScenarioParameters[#Headers],0))</f>
        <v>10.02</v>
      </c>
      <c r="W145" s="57">
        <f>INDEX(ScenarioParameters[],MATCH(UsedScenarioParameters[[#This Row],[Parameter]],ScenarioParameters[Parameter],0),MATCH(W$141,ScenarioParameters[#Headers],0))</f>
        <v>10.02</v>
      </c>
      <c r="X145" s="57">
        <f>INDEX(ScenarioParameters[],MATCH(UsedScenarioParameters[[#This Row],[Parameter]],ScenarioParameters[Parameter],0),MATCH(X$141,ScenarioParameters[#Headers],0))</f>
        <v>10.02</v>
      </c>
      <c r="Y145" s="57">
        <f>INDEX(ScenarioParameters[],MATCH(UsedScenarioParameters[[#This Row],[Parameter]],ScenarioParameters[Parameter],0),MATCH(Y$141,ScenarioParameters[#Headers],0))</f>
        <v>10.02</v>
      </c>
      <c r="Z145" s="57">
        <f>INDEX(ScenarioParameters[],MATCH(UsedScenarioParameters[[#This Row],[Parameter]],ScenarioParameters[Parameter],0),MATCH(Z$141,ScenarioParameters[#Headers],0))</f>
        <v>10.02</v>
      </c>
      <c r="AA145" s="57">
        <f>INDEX(ScenarioParameters[],MATCH(UsedScenarioParameters[[#This Row],[Parameter]],ScenarioParameters[Parameter],0),MATCH(AA$141,ScenarioParameters[#Headers],0))</f>
        <v>10.02</v>
      </c>
      <c r="AB145" s="57">
        <f>INDEX(ScenarioParameters[],MATCH(UsedScenarioParameters[[#This Row],[Parameter]],ScenarioParameters[Parameter],0),MATCH(AB$141,ScenarioParameters[#Headers],0))</f>
        <v>10.02</v>
      </c>
      <c r="AC145" s="57">
        <f>INDEX(ScenarioParameters[],MATCH(UsedScenarioParameters[[#This Row],[Parameter]],ScenarioParameters[Parameter],0),MATCH(AC$141,ScenarioParameters[#Headers],0))</f>
        <v>10.02</v>
      </c>
      <c r="AD145" s="57">
        <f>INDEX(ScenarioParameters[],MATCH(UsedScenarioParameters[[#This Row],[Parameter]],ScenarioParameters[Parameter],0),MATCH(AD$141,ScenarioParameters[#Headers],0))</f>
        <v>10.02</v>
      </c>
    </row>
    <row r="146" spans="1:30" x14ac:dyDescent="0.25">
      <c r="A146" s="42">
        <v>5</v>
      </c>
      <c r="B146" s="42" t="s">
        <v>3</v>
      </c>
      <c r="D146" s="42" t="s">
        <v>1</v>
      </c>
      <c r="E146" s="57">
        <f>INDEX(ScenarioParameters[],MATCH(UsedScenarioParameters[[#This Row],[Parameter]],ScenarioParameters[Parameter],0),MATCH(E$141,ScenarioParameters[#Headers],0))</f>
        <v>5.3</v>
      </c>
      <c r="F146" s="57">
        <f>INDEX(ScenarioParameters[],MATCH(UsedScenarioParameters[[#This Row],[Parameter]],ScenarioParameters[Parameter],0),MATCH(F$141,ScenarioParameters[#Headers],0))</f>
        <v>5.4</v>
      </c>
      <c r="G146" s="57">
        <f>INDEX(ScenarioParameters[],MATCH(UsedScenarioParameters[[#This Row],[Parameter]],ScenarioParameters[Parameter],0),MATCH(G$141,ScenarioParameters[#Headers],0))</f>
        <v>5.6</v>
      </c>
      <c r="H146" s="57">
        <f>INDEX(ScenarioParameters[],MATCH(UsedScenarioParameters[[#This Row],[Parameter]],ScenarioParameters[Parameter],0),MATCH(H$141,ScenarioParameters[#Headers],0))</f>
        <v>5.6</v>
      </c>
      <c r="I146" s="57">
        <f>INDEX(ScenarioParameters[],MATCH(UsedScenarioParameters[[#This Row],[Parameter]],ScenarioParameters[Parameter],0),MATCH(I$141,ScenarioParameters[#Headers],0))</f>
        <v>5.6</v>
      </c>
      <c r="J146" s="57">
        <f>INDEX(ScenarioParameters[],MATCH(UsedScenarioParameters[[#This Row],[Parameter]],ScenarioParameters[Parameter],0),MATCH(J$141,ScenarioParameters[#Headers],0))</f>
        <v>5.6</v>
      </c>
      <c r="K146" s="57">
        <f>INDEX(ScenarioParameters[],MATCH(UsedScenarioParameters[[#This Row],[Parameter]],ScenarioParameters[Parameter],0),MATCH(K$141,ScenarioParameters[#Headers],0))</f>
        <v>5.6</v>
      </c>
      <c r="L146" s="57">
        <f>INDEX(ScenarioParameters[],MATCH(UsedScenarioParameters[[#This Row],[Parameter]],ScenarioParameters[Parameter],0),MATCH(L$141,ScenarioParameters[#Headers],0))</f>
        <v>5.6</v>
      </c>
      <c r="M146" s="57">
        <f>INDEX(ScenarioParameters[],MATCH(UsedScenarioParameters[[#This Row],[Parameter]],ScenarioParameters[Parameter],0),MATCH(M$141,ScenarioParameters[#Headers],0))</f>
        <v>5.6</v>
      </c>
      <c r="N146" s="57">
        <f>INDEX(ScenarioParameters[],MATCH(UsedScenarioParameters[[#This Row],[Parameter]],ScenarioParameters[Parameter],0),MATCH(N$141,ScenarioParameters[#Headers],0))</f>
        <v>5.6</v>
      </c>
      <c r="O146" s="57">
        <f>INDEX(ScenarioParameters[],MATCH(UsedScenarioParameters[[#This Row],[Parameter]],ScenarioParameters[Parameter],0),MATCH(O$141,ScenarioParameters[#Headers],0))</f>
        <v>5.6</v>
      </c>
      <c r="P146" s="57">
        <f>INDEX(ScenarioParameters[],MATCH(UsedScenarioParameters[[#This Row],[Parameter]],ScenarioParameters[Parameter],0),MATCH(P$141,ScenarioParameters[#Headers],0))</f>
        <v>5.6</v>
      </c>
      <c r="Q146" s="57">
        <f>INDEX(ScenarioParameters[],MATCH(UsedScenarioParameters[[#This Row],[Parameter]],ScenarioParameters[Parameter],0),MATCH(Q$141,ScenarioParameters[#Headers],0))</f>
        <v>5.6</v>
      </c>
      <c r="R146" s="57">
        <f>INDEX(ScenarioParameters[],MATCH(UsedScenarioParameters[[#This Row],[Parameter]],ScenarioParameters[Parameter],0),MATCH(R$141,ScenarioParameters[#Headers],0))</f>
        <v>5.6</v>
      </c>
      <c r="S146" s="57">
        <f>INDEX(ScenarioParameters[],MATCH(UsedScenarioParameters[[#This Row],[Parameter]],ScenarioParameters[Parameter],0),MATCH(S$141,ScenarioParameters[#Headers],0))</f>
        <v>5.6</v>
      </c>
      <c r="T146" s="57">
        <f>INDEX(ScenarioParameters[],MATCH(UsedScenarioParameters[[#This Row],[Parameter]],ScenarioParameters[Parameter],0),MATCH(T$141,ScenarioParameters[#Headers],0))</f>
        <v>5.6</v>
      </c>
      <c r="U146" s="57">
        <f>INDEX(ScenarioParameters[],MATCH(UsedScenarioParameters[[#This Row],[Parameter]],ScenarioParameters[Parameter],0),MATCH(U$141,ScenarioParameters[#Headers],0))</f>
        <v>5.6</v>
      </c>
      <c r="V146" s="57">
        <f>INDEX(ScenarioParameters[],MATCH(UsedScenarioParameters[[#This Row],[Parameter]],ScenarioParameters[Parameter],0),MATCH(V$141,ScenarioParameters[#Headers],0))</f>
        <v>5.6</v>
      </c>
      <c r="W146" s="57">
        <f>INDEX(ScenarioParameters[],MATCH(UsedScenarioParameters[[#This Row],[Parameter]],ScenarioParameters[Parameter],0),MATCH(W$141,ScenarioParameters[#Headers],0))</f>
        <v>5.6</v>
      </c>
      <c r="X146" s="57">
        <f>INDEX(ScenarioParameters[],MATCH(UsedScenarioParameters[[#This Row],[Parameter]],ScenarioParameters[Parameter],0),MATCH(X$141,ScenarioParameters[#Headers],0))</f>
        <v>5.6</v>
      </c>
      <c r="Y146" s="57">
        <f>INDEX(ScenarioParameters[],MATCH(UsedScenarioParameters[[#This Row],[Parameter]],ScenarioParameters[Parameter],0),MATCH(Y$141,ScenarioParameters[#Headers],0))</f>
        <v>5.6</v>
      </c>
      <c r="Z146" s="57">
        <f>INDEX(ScenarioParameters[],MATCH(UsedScenarioParameters[[#This Row],[Parameter]],ScenarioParameters[Parameter],0),MATCH(Z$141,ScenarioParameters[#Headers],0))</f>
        <v>5.6</v>
      </c>
      <c r="AA146" s="57">
        <f>INDEX(ScenarioParameters[],MATCH(UsedScenarioParameters[[#This Row],[Parameter]],ScenarioParameters[Parameter],0),MATCH(AA$141,ScenarioParameters[#Headers],0))</f>
        <v>5.6</v>
      </c>
      <c r="AB146" s="57">
        <f>INDEX(ScenarioParameters[],MATCH(UsedScenarioParameters[[#This Row],[Parameter]],ScenarioParameters[Parameter],0),MATCH(AB$141,ScenarioParameters[#Headers],0))</f>
        <v>5.6</v>
      </c>
      <c r="AC146" s="57">
        <f>INDEX(ScenarioParameters[],MATCH(UsedScenarioParameters[[#This Row],[Parameter]],ScenarioParameters[Parameter],0),MATCH(AC$141,ScenarioParameters[#Headers],0))</f>
        <v>5.6</v>
      </c>
      <c r="AD146" s="57">
        <f>INDEX(ScenarioParameters[],MATCH(UsedScenarioParameters[[#This Row],[Parameter]],ScenarioParameters[Parameter],0),MATCH(AD$141,ScenarioParameters[#Headers],0))</f>
        <v>5.6</v>
      </c>
    </row>
    <row r="147" spans="1:30" x14ac:dyDescent="0.25">
      <c r="A147" s="42">
        <v>6</v>
      </c>
      <c r="B147" s="42" t="s">
        <v>39</v>
      </c>
      <c r="D147" s="42" t="s">
        <v>1</v>
      </c>
      <c r="E147" s="57">
        <f>INDEX(ScenarioParameters[],MATCH(UsedScenarioParameters[[#This Row],[Parameter]],ScenarioParameters[Parameter],0),MATCH(E$141,ScenarioParameters[#Headers],0))</f>
        <v>2.2000000000000002</v>
      </c>
      <c r="F147" s="57">
        <f>INDEX(ScenarioParameters[],MATCH(UsedScenarioParameters[[#This Row],[Parameter]],ScenarioParameters[Parameter],0),MATCH(F$141,ScenarioParameters[#Headers],0))</f>
        <v>2.2000000000000002</v>
      </c>
      <c r="G147" s="57">
        <f>INDEX(ScenarioParameters[],MATCH(UsedScenarioParameters[[#This Row],[Parameter]],ScenarioParameters[Parameter],0),MATCH(G$141,ScenarioParameters[#Headers],0))</f>
        <v>1.9</v>
      </c>
      <c r="H147" s="57">
        <f>INDEX(ScenarioParameters[],MATCH(UsedScenarioParameters[[#This Row],[Parameter]],ScenarioParameters[Parameter],0),MATCH(H$141,ScenarioParameters[#Headers],0))</f>
        <v>0</v>
      </c>
      <c r="I147" s="57">
        <f>INDEX(ScenarioParameters[],MATCH(UsedScenarioParameters[[#This Row],[Parameter]],ScenarioParameters[Parameter],0),MATCH(I$141,ScenarioParameters[#Headers],0))</f>
        <v>0.17500000000000002</v>
      </c>
      <c r="J147" s="57">
        <f>INDEX(ScenarioParameters[],MATCH(UsedScenarioParameters[[#This Row],[Parameter]],ScenarioParameters[Parameter],0),MATCH(J$141,ScenarioParameters[#Headers],0))</f>
        <v>0.35000000000000003</v>
      </c>
      <c r="K147" s="57">
        <f>INDEX(ScenarioParameters[],MATCH(UsedScenarioParameters[[#This Row],[Parameter]],ScenarioParameters[Parameter],0),MATCH(K$141,ScenarioParameters[#Headers],0))</f>
        <v>0.52500000000000002</v>
      </c>
      <c r="L147" s="57">
        <f>INDEX(ScenarioParameters[],MATCH(UsedScenarioParameters[[#This Row],[Parameter]],ScenarioParameters[Parameter],0),MATCH(L$141,ScenarioParameters[#Headers],0))</f>
        <v>0.70000000000000007</v>
      </c>
      <c r="M147" s="57">
        <f>INDEX(ScenarioParameters[],MATCH(UsedScenarioParameters[[#This Row],[Parameter]],ScenarioParameters[Parameter],0),MATCH(M$141,ScenarioParameters[#Headers],0))</f>
        <v>0.87500000000000011</v>
      </c>
      <c r="N147" s="57">
        <f>INDEX(ScenarioParameters[],MATCH(UsedScenarioParameters[[#This Row],[Parameter]],ScenarioParameters[Parameter],0),MATCH(N$141,ScenarioParameters[#Headers],0))</f>
        <v>1.05</v>
      </c>
      <c r="O147" s="57">
        <f>INDEX(ScenarioParameters[],MATCH(UsedScenarioParameters[[#This Row],[Parameter]],ScenarioParameters[Parameter],0),MATCH(O$141,ScenarioParameters[#Headers],0))</f>
        <v>1.2250000000000001</v>
      </c>
      <c r="P147" s="57">
        <f>INDEX(ScenarioParameters[],MATCH(UsedScenarioParameters[[#This Row],[Parameter]],ScenarioParameters[Parameter],0),MATCH(P$141,ScenarioParameters[#Headers],0))</f>
        <v>1.4000000000000001</v>
      </c>
      <c r="Q147" s="57">
        <f>INDEX(ScenarioParameters[],MATCH(UsedScenarioParameters[[#This Row],[Parameter]],ScenarioParameters[Parameter],0),MATCH(Q$141,ScenarioParameters[#Headers],0))</f>
        <v>1.5750000000000002</v>
      </c>
      <c r="R147" s="57">
        <f>INDEX(ScenarioParameters[],MATCH(UsedScenarioParameters[[#This Row],[Parameter]],ScenarioParameters[Parameter],0),MATCH(R$141,ScenarioParameters[#Headers],0))</f>
        <v>1.7500000000000002</v>
      </c>
      <c r="S147" s="57">
        <f>INDEX(ScenarioParameters[],MATCH(UsedScenarioParameters[[#This Row],[Parameter]],ScenarioParameters[Parameter],0),MATCH(S$141,ScenarioParameters[#Headers],0))</f>
        <v>1.9250000000000003</v>
      </c>
      <c r="T147" s="57">
        <f>INDEX(ScenarioParameters[],MATCH(UsedScenarioParameters[[#This Row],[Parameter]],ScenarioParameters[Parameter],0),MATCH(T$141,ScenarioParameters[#Headers],0))</f>
        <v>2.1</v>
      </c>
      <c r="U147" s="57">
        <f>INDEX(ScenarioParameters[],MATCH(UsedScenarioParameters[[#This Row],[Parameter]],ScenarioParameters[Parameter],0),MATCH(U$141,ScenarioParameters[#Headers],0))</f>
        <v>2.1</v>
      </c>
      <c r="V147" s="57">
        <f>INDEX(ScenarioParameters[],MATCH(UsedScenarioParameters[[#This Row],[Parameter]],ScenarioParameters[Parameter],0),MATCH(V$141,ScenarioParameters[#Headers],0))</f>
        <v>2.1</v>
      </c>
      <c r="W147" s="57">
        <f>INDEX(ScenarioParameters[],MATCH(UsedScenarioParameters[[#This Row],[Parameter]],ScenarioParameters[Parameter],0),MATCH(W$141,ScenarioParameters[#Headers],0))</f>
        <v>2.1</v>
      </c>
      <c r="X147" s="57">
        <f>INDEX(ScenarioParameters[],MATCH(UsedScenarioParameters[[#This Row],[Parameter]],ScenarioParameters[Parameter],0),MATCH(X$141,ScenarioParameters[#Headers],0))</f>
        <v>2.1</v>
      </c>
      <c r="Y147" s="57">
        <f>INDEX(ScenarioParameters[],MATCH(UsedScenarioParameters[[#This Row],[Parameter]],ScenarioParameters[Parameter],0),MATCH(Y$141,ScenarioParameters[#Headers],0))</f>
        <v>2.1</v>
      </c>
      <c r="Z147" s="57">
        <f>INDEX(ScenarioParameters[],MATCH(UsedScenarioParameters[[#This Row],[Parameter]],ScenarioParameters[Parameter],0),MATCH(Z$141,ScenarioParameters[#Headers],0))</f>
        <v>2.1</v>
      </c>
      <c r="AA147" s="57">
        <f>INDEX(ScenarioParameters[],MATCH(UsedScenarioParameters[[#This Row],[Parameter]],ScenarioParameters[Parameter],0),MATCH(AA$141,ScenarioParameters[#Headers],0))</f>
        <v>2.1</v>
      </c>
      <c r="AB147" s="57">
        <f>INDEX(ScenarioParameters[],MATCH(UsedScenarioParameters[[#This Row],[Parameter]],ScenarioParameters[Parameter],0),MATCH(AB$141,ScenarioParameters[#Headers],0))</f>
        <v>2.1</v>
      </c>
      <c r="AC147" s="57">
        <f>INDEX(ScenarioParameters[],MATCH(UsedScenarioParameters[[#This Row],[Parameter]],ScenarioParameters[Parameter],0),MATCH(AC$141,ScenarioParameters[#Headers],0))</f>
        <v>2.1</v>
      </c>
      <c r="AD147" s="57">
        <f>INDEX(ScenarioParameters[],MATCH(UsedScenarioParameters[[#This Row],[Parameter]],ScenarioParameters[Parameter],0),MATCH(AD$141,ScenarioParameters[#Headers],0))</f>
        <v>2.1</v>
      </c>
    </row>
    <row r="148" spans="1:30" x14ac:dyDescent="0.25">
      <c r="A148" s="42">
        <v>7</v>
      </c>
      <c r="B148" s="42" t="s">
        <v>41</v>
      </c>
      <c r="D148" s="42" t="s">
        <v>1</v>
      </c>
      <c r="E148" s="57">
        <f>INDEX(ScenarioParameters[],MATCH(UsedScenarioParameters[[#This Row],[Parameter]],ScenarioParameters[Parameter],0),MATCH(E$141,ScenarioParameters[#Headers],0))</f>
        <v>7.4627883331485663</v>
      </c>
      <c r="F148" s="57">
        <f>INDEX(ScenarioParameters[],MATCH(UsedScenarioParameters[[#This Row],[Parameter]],ScenarioParameters[Parameter],0),MATCH(F$141,ScenarioParameters[#Headers],0))</f>
        <v>6.9987270424817334</v>
      </c>
      <c r="G148" s="57">
        <f>INDEX(ScenarioParameters[],MATCH(UsedScenarioParameters[[#This Row],[Parameter]],ScenarioParameters[Parameter],0),MATCH(G$141,ScenarioParameters[#Headers],0))</f>
        <v>6.5346657518149005</v>
      </c>
      <c r="H148" s="57">
        <f>INDEX(ScenarioParameters[],MATCH(UsedScenarioParameters[[#This Row],[Parameter]],ScenarioParameters[Parameter],0),MATCH(H$141,ScenarioParameters[#Headers],0))</f>
        <v>6.0706044611480685</v>
      </c>
      <c r="I148" s="57">
        <f>INDEX(ScenarioParameters[],MATCH(UsedScenarioParameters[[#This Row],[Parameter]],ScenarioParameters[Parameter],0),MATCH(I$141,ScenarioParameters[#Headers],0))</f>
        <v>5.6065431704812356</v>
      </c>
      <c r="J148" s="57">
        <f>INDEX(ScenarioParameters[],MATCH(UsedScenarioParameters[[#This Row],[Parameter]],ScenarioParameters[Parameter],0),MATCH(J$141,ScenarioParameters[#Headers],0))</f>
        <v>5.1424818798144027</v>
      </c>
      <c r="K148" s="57">
        <f>INDEX(ScenarioParameters[],MATCH(UsedScenarioParameters[[#This Row],[Parameter]],ScenarioParameters[Parameter],0),MATCH(K$141,ScenarioParameters[#Headers],0))</f>
        <v>5.0864546149725447</v>
      </c>
      <c r="L148" s="57">
        <f>INDEX(ScenarioParameters[],MATCH(UsedScenarioParameters[[#This Row],[Parameter]],ScenarioParameters[Parameter],0),MATCH(L$141,ScenarioParameters[#Headers],0))</f>
        <v>5.0304273501306866</v>
      </c>
      <c r="M148" s="57">
        <f>INDEX(ScenarioParameters[],MATCH(UsedScenarioParameters[[#This Row],[Parameter]],ScenarioParameters[Parameter],0),MATCH(M$141,ScenarioParameters[#Headers],0))</f>
        <v>4.9744000852888277</v>
      </c>
      <c r="N148" s="57">
        <f>INDEX(ScenarioParameters[],MATCH(UsedScenarioParameters[[#This Row],[Parameter]],ScenarioParameters[Parameter],0),MATCH(N$141,ScenarioParameters[#Headers],0))</f>
        <v>4.9183728204469697</v>
      </c>
      <c r="O148" s="57">
        <f>INDEX(ScenarioParameters[],MATCH(UsedScenarioParameters[[#This Row],[Parameter]],ScenarioParameters[Parameter],0),MATCH(O$141,ScenarioParameters[#Headers],0))</f>
        <v>4.8623455556051116</v>
      </c>
      <c r="P148" s="57">
        <f>INDEX(ScenarioParameters[],MATCH(UsedScenarioParameters[[#This Row],[Parameter]],ScenarioParameters[Parameter],0),MATCH(P$141,ScenarioParameters[#Headers],0))</f>
        <v>4.8063182907632536</v>
      </c>
      <c r="Q148" s="57">
        <f>INDEX(ScenarioParameters[],MATCH(UsedScenarioParameters[[#This Row],[Parameter]],ScenarioParameters[Parameter],0),MATCH(Q$141,ScenarioParameters[#Headers],0))</f>
        <v>4.7502910259213955</v>
      </c>
      <c r="R148" s="57">
        <f>INDEX(ScenarioParameters[],MATCH(UsedScenarioParameters[[#This Row],[Parameter]],ScenarioParameters[Parameter],0),MATCH(R$141,ScenarioParameters[#Headers],0))</f>
        <v>4.6942637610795366</v>
      </c>
      <c r="S148" s="57">
        <f>INDEX(ScenarioParameters[],MATCH(UsedScenarioParameters[[#This Row],[Parameter]],ScenarioParameters[Parameter],0),MATCH(S$141,ScenarioParameters[#Headers],0))</f>
        <v>4.6382364962376785</v>
      </c>
      <c r="T148" s="57">
        <f>INDEX(ScenarioParameters[],MATCH(UsedScenarioParameters[[#This Row],[Parameter]],ScenarioParameters[Parameter],0),MATCH(T$141,ScenarioParameters[#Headers],0))</f>
        <v>4.5822092313958205</v>
      </c>
      <c r="U148" s="57">
        <f>INDEX(ScenarioParameters[],MATCH(UsedScenarioParameters[[#This Row],[Parameter]],ScenarioParameters[Parameter],0),MATCH(U$141,ScenarioParameters[#Headers],0))</f>
        <v>4.5822092313958205</v>
      </c>
      <c r="V148" s="57">
        <f>INDEX(ScenarioParameters[],MATCH(UsedScenarioParameters[[#This Row],[Parameter]],ScenarioParameters[Parameter],0),MATCH(V$141,ScenarioParameters[#Headers],0))</f>
        <v>4.5822092313958205</v>
      </c>
      <c r="W148" s="57">
        <f>INDEX(ScenarioParameters[],MATCH(UsedScenarioParameters[[#This Row],[Parameter]],ScenarioParameters[Parameter],0),MATCH(W$141,ScenarioParameters[#Headers],0))</f>
        <v>4.5822092313958205</v>
      </c>
      <c r="X148" s="57">
        <f>INDEX(ScenarioParameters[],MATCH(UsedScenarioParameters[[#This Row],[Parameter]],ScenarioParameters[Parameter],0),MATCH(X$141,ScenarioParameters[#Headers],0))</f>
        <v>4.5822092313958205</v>
      </c>
      <c r="Y148" s="57">
        <f>INDEX(ScenarioParameters[],MATCH(UsedScenarioParameters[[#This Row],[Parameter]],ScenarioParameters[Parameter],0),MATCH(Y$141,ScenarioParameters[#Headers],0))</f>
        <v>4.5822092313958205</v>
      </c>
      <c r="Z148" s="57">
        <f>INDEX(ScenarioParameters[],MATCH(UsedScenarioParameters[[#This Row],[Parameter]],ScenarioParameters[Parameter],0),MATCH(Z$141,ScenarioParameters[#Headers],0))</f>
        <v>4.5822092313958205</v>
      </c>
      <c r="AA148" s="57">
        <f>INDEX(ScenarioParameters[],MATCH(UsedScenarioParameters[[#This Row],[Parameter]],ScenarioParameters[Parameter],0),MATCH(AA$141,ScenarioParameters[#Headers],0))</f>
        <v>4.5822092313958205</v>
      </c>
      <c r="AB148" s="57">
        <f>INDEX(ScenarioParameters[],MATCH(UsedScenarioParameters[[#This Row],[Parameter]],ScenarioParameters[Parameter],0),MATCH(AB$141,ScenarioParameters[#Headers],0))</f>
        <v>4.5822092313958205</v>
      </c>
      <c r="AC148" s="57">
        <f>INDEX(ScenarioParameters[],MATCH(UsedScenarioParameters[[#This Row],[Parameter]],ScenarioParameters[Parameter],0),MATCH(AC$141,ScenarioParameters[#Headers],0))</f>
        <v>4.5822092313958205</v>
      </c>
      <c r="AD148" s="57">
        <f>INDEX(ScenarioParameters[],MATCH(UsedScenarioParameters[[#This Row],[Parameter]],ScenarioParameters[Parameter],0),MATCH(AD$141,ScenarioParameters[#Headers],0))</f>
        <v>4.5822092313958205</v>
      </c>
    </row>
    <row r="149" spans="1:30" x14ac:dyDescent="0.25">
      <c r="A149" s="42">
        <v>8</v>
      </c>
      <c r="B149" s="42" t="s">
        <v>42</v>
      </c>
      <c r="D149" s="42" t="s">
        <v>107</v>
      </c>
      <c r="E149" s="57">
        <f>INDEX(ScenarioParameters[],MATCH(UsedScenarioParameters[[#This Row],[Parameter]],ScenarioParameters[Parameter],0),MATCH(E$141,ScenarioParameters[#Headers],0))*(1-Experiment!$C$28)</f>
        <v>0.15059104800000001</v>
      </c>
      <c r="F149" s="57">
        <f>INDEX(ScenarioParameters[],MATCH(UsedScenarioParameters[[#This Row],[Parameter]],ScenarioParameters[Parameter],0),MATCH(F$141,ScenarioParameters[#Headers],0))*(1-Experiment!$C$28)</f>
        <v>0.15059104800000001</v>
      </c>
      <c r="G149" s="57">
        <f>INDEX(ScenarioParameters[],MATCH(UsedScenarioParameters[[#This Row],[Parameter]],ScenarioParameters[Parameter],0),MATCH(G$141,ScenarioParameters[#Headers],0))*(1-Experiment!$C$28)</f>
        <v>0.15147896588067097</v>
      </c>
      <c r="H149" s="57">
        <f>INDEX(ScenarioParameters[],MATCH(UsedScenarioParameters[[#This Row],[Parameter]],ScenarioParameters[Parameter],0),MATCH(H$141,ScenarioParameters[#Headers],0))*(1-Experiment!$C$28)</f>
        <v>0.14790358716383334</v>
      </c>
      <c r="I149" s="57">
        <f>INDEX(ScenarioParameters[],MATCH(UsedScenarioParameters[[#This Row],[Parameter]],ScenarioParameters[Parameter],0),MATCH(I$141,ScenarioParameters[#Headers],0))*(1-Experiment!$C$28)</f>
        <v>0.14884278868694895</v>
      </c>
      <c r="J149" s="57">
        <f>INDEX(ScenarioParameters[],MATCH(UsedScenarioParameters[[#This Row],[Parameter]],ScenarioParameters[Parameter],0),MATCH(J$141,ScenarioParameters[#Headers],0))*(1-Experiment!$C$28)</f>
        <v>0.14996088614099354</v>
      </c>
      <c r="K149" s="57">
        <f>INDEX(ScenarioParameters[],MATCH(UsedScenarioParameters[[#This Row],[Parameter]],ScenarioParameters[Parameter],0),MATCH(K$141,ScenarioParameters[#Headers],0))*(1-Experiment!$C$28)</f>
        <v>0.14996088614099354</v>
      </c>
      <c r="L149" s="57">
        <f>INDEX(ScenarioParameters[],MATCH(UsedScenarioParameters[[#This Row],[Parameter]],ScenarioParameters[Parameter],0),MATCH(L$141,ScenarioParameters[#Headers],0))*(1-Experiment!$C$28)</f>
        <v>0.14996088614099354</v>
      </c>
      <c r="M149" s="57">
        <f>INDEX(ScenarioParameters[],MATCH(UsedScenarioParameters[[#This Row],[Parameter]],ScenarioParameters[Parameter],0),MATCH(M$141,ScenarioParameters[#Headers],0))*(1-Experiment!$C$28)</f>
        <v>0.14873998985387568</v>
      </c>
      <c r="N149" s="57">
        <f>INDEX(ScenarioParameters[],MATCH(UsedScenarioParameters[[#This Row],[Parameter]],ScenarioParameters[Parameter],0),MATCH(N$141,ScenarioParameters[#Headers],0))*(1-Experiment!$C$28)</f>
        <v>0.14873998985387568</v>
      </c>
      <c r="O149" s="57">
        <f>INDEX(ScenarioParameters[],MATCH(UsedScenarioParameters[[#This Row],[Parameter]],ScenarioParameters[Parameter],0),MATCH(O$141,ScenarioParameters[#Headers],0))*(1-Experiment!$C$28)</f>
        <v>0.14822475388220047</v>
      </c>
      <c r="P149" s="57">
        <f>INDEX(ScenarioParameters[],MATCH(UsedScenarioParameters[[#This Row],[Parameter]],ScenarioParameters[Parameter],0),MATCH(P$141,ScenarioParameters[#Headers],0))*(1-Experiment!$C$28)</f>
        <v>0.14822475388220047</v>
      </c>
      <c r="Q149" s="57">
        <f>INDEX(ScenarioParameters[],MATCH(UsedScenarioParameters[[#This Row],[Parameter]],ScenarioParameters[Parameter],0),MATCH(Q$141,ScenarioParameters[#Headers],0))*(1-Experiment!$C$28)</f>
        <v>0.14822475388220047</v>
      </c>
      <c r="R149" s="57">
        <f>INDEX(ScenarioParameters[],MATCH(UsedScenarioParameters[[#This Row],[Parameter]],ScenarioParameters[Parameter],0),MATCH(R$141,ScenarioParameters[#Headers],0))*(1-Experiment!$C$28)</f>
        <v>0.14822475388220047</v>
      </c>
      <c r="S149" s="57">
        <f>INDEX(ScenarioParameters[],MATCH(UsedScenarioParameters[[#This Row],[Parameter]],ScenarioParameters[Parameter],0),MATCH(S$141,ScenarioParameters[#Headers],0))*(1-Experiment!$C$28)</f>
        <v>0.14822475388220047</v>
      </c>
      <c r="T149" s="57">
        <f>INDEX(ScenarioParameters[],MATCH(UsedScenarioParameters[[#This Row],[Parameter]],ScenarioParameters[Parameter],0),MATCH(T$141,ScenarioParameters[#Headers],0))*(1-Experiment!$C$28)</f>
        <v>0.1495181534583811</v>
      </c>
      <c r="U149" s="57">
        <f>INDEX(ScenarioParameters[],MATCH(UsedScenarioParameters[[#This Row],[Parameter]],ScenarioParameters[Parameter],0),MATCH(U$141,ScenarioParameters[#Headers],0))*(1-Experiment!$C$28)</f>
        <v>0.15471436288954887</v>
      </c>
      <c r="V149" s="57">
        <f>INDEX(ScenarioParameters[],MATCH(UsedScenarioParameters[[#This Row],[Parameter]],ScenarioParameters[Parameter],0),MATCH(V$141,ScenarioParameters[#Headers],0))*(1-Experiment!$C$28)</f>
        <v>0.15991057232071665</v>
      </c>
      <c r="W149" s="57">
        <f>INDEX(ScenarioParameters[],MATCH(UsedScenarioParameters[[#This Row],[Parameter]],ScenarioParameters[Parameter],0),MATCH(W$141,ScenarioParameters[#Headers],0))*(1-Experiment!$C$28)</f>
        <v>0.16510678175188442</v>
      </c>
      <c r="X149" s="57">
        <f>INDEX(ScenarioParameters[],MATCH(UsedScenarioParameters[[#This Row],[Parameter]],ScenarioParameters[Parameter],0),MATCH(X$141,ScenarioParameters[#Headers],0))*(1-Experiment!$C$28)</f>
        <v>0.17030299118305223</v>
      </c>
      <c r="Y149" s="57">
        <f>INDEX(ScenarioParameters[],MATCH(UsedScenarioParameters[[#This Row],[Parameter]],ScenarioParameters[Parameter],0),MATCH(Y$141,ScenarioParameters[#Headers],0))*(1-Experiment!$C$28)</f>
        <v>0.17549920061421997</v>
      </c>
      <c r="Z149" s="57">
        <f>INDEX(ScenarioParameters[],MATCH(UsedScenarioParameters[[#This Row],[Parameter]],ScenarioParameters[Parameter],0),MATCH(Z$141,ScenarioParameters[#Headers],0))*(1-Experiment!$C$28)</f>
        <v>0.17549920061421997</v>
      </c>
      <c r="AA149" s="57">
        <f>INDEX(ScenarioParameters[],MATCH(UsedScenarioParameters[[#This Row],[Parameter]],ScenarioParameters[Parameter],0),MATCH(AA$141,ScenarioParameters[#Headers],0))*(1-Experiment!$C$28)</f>
        <v>0.17549920061421997</v>
      </c>
      <c r="AB149" s="57">
        <f>INDEX(ScenarioParameters[],MATCH(UsedScenarioParameters[[#This Row],[Parameter]],ScenarioParameters[Parameter],0),MATCH(AB$141,ScenarioParameters[#Headers],0))*(1-Experiment!$C$28)</f>
        <v>0.17549920061421997</v>
      </c>
      <c r="AC149" s="57">
        <f>INDEX(ScenarioParameters[],MATCH(UsedScenarioParameters[[#This Row],[Parameter]],ScenarioParameters[Parameter],0),MATCH(AC$141,ScenarioParameters[#Headers],0))*(1-Experiment!$C$28)</f>
        <v>0.17549920061421997</v>
      </c>
      <c r="AD149" s="57">
        <f>INDEX(ScenarioParameters[],MATCH(UsedScenarioParameters[[#This Row],[Parameter]],ScenarioParameters[Parameter],0),MATCH(AD$141,ScenarioParameters[#Headers],0))*(1-Experiment!$C$28)</f>
        <v>0.17549920061421997</v>
      </c>
    </row>
    <row r="150" spans="1:30" x14ac:dyDescent="0.25">
      <c r="A150" s="42">
        <v>9</v>
      </c>
      <c r="B150" s="42" t="s">
        <v>43</v>
      </c>
      <c r="D150" s="42" t="s">
        <v>6</v>
      </c>
      <c r="E150" s="57">
        <f>INDEX(ScenarioParameters[],MATCH(UsedScenarioParameters[[#This Row],[Parameter]],ScenarioParameters[Parameter],0),MATCH(E$141,ScenarioParameters[#Headers],0))</f>
        <v>0.41425307320000004</v>
      </c>
      <c r="F150" s="57">
        <f>INDEX(ScenarioParameters[],MATCH(UsedScenarioParameters[[#This Row],[Parameter]],ScenarioParameters[Parameter],0),MATCH(F$141,ScenarioParameters[#Headers],0))</f>
        <v>0.41425307320000004</v>
      </c>
      <c r="G150" s="57">
        <f>INDEX(ScenarioParameters[],MATCH(UsedScenarioParameters[[#This Row],[Parameter]],ScenarioParameters[Parameter],0),MATCH(G$141,ScenarioParameters[#Headers],0))</f>
        <v>0.4142696022652263</v>
      </c>
      <c r="H150" s="57">
        <f>INDEX(ScenarioParameters[],MATCH(UsedScenarioParameters[[#This Row],[Parameter]],ScenarioParameters[Parameter],0),MATCH(H$141,ScenarioParameters[#Headers],0))</f>
        <v>0.41444905275659949</v>
      </c>
      <c r="I150" s="57">
        <f>INDEX(ScenarioParameters[],MATCH(UsedScenarioParameters[[#This Row],[Parameter]],ScenarioParameters[Parameter],0),MATCH(I$141,ScenarioParameters[#Headers],0))</f>
        <v>0.41108138234117542</v>
      </c>
      <c r="J150" s="57">
        <f>INDEX(ScenarioParameters[],MATCH(UsedScenarioParameters[[#This Row],[Parameter]],ScenarioParameters[Parameter],0),MATCH(J$141,ScenarioParameters[#Headers],0))</f>
        <v>0.40836320464647224</v>
      </c>
      <c r="K150" s="57">
        <f>INDEX(ScenarioParameters[],MATCH(UsedScenarioParameters[[#This Row],[Parameter]],ScenarioParameters[Parameter],0),MATCH(K$141,ScenarioParameters[#Headers],0))</f>
        <v>0.40836320464647224</v>
      </c>
      <c r="L150" s="57">
        <f>INDEX(ScenarioParameters[],MATCH(UsedScenarioParameters[[#This Row],[Parameter]],ScenarioParameters[Parameter],0),MATCH(L$141,ScenarioParameters[#Headers],0))</f>
        <v>0.40836320464647224</v>
      </c>
      <c r="M150" s="57">
        <f>INDEX(ScenarioParameters[],MATCH(UsedScenarioParameters[[#This Row],[Parameter]],ScenarioParameters[Parameter],0),MATCH(M$141,ScenarioParameters[#Headers],0))</f>
        <v>0.41173025271072511</v>
      </c>
      <c r="N150" s="57">
        <f>INDEX(ScenarioParameters[],MATCH(UsedScenarioParameters[[#This Row],[Parameter]],ScenarioParameters[Parameter],0),MATCH(N$141,ScenarioParameters[#Headers],0))</f>
        <v>0.41173025271072511</v>
      </c>
      <c r="O150" s="57">
        <f>INDEX(ScenarioParameters[],MATCH(UsedScenarioParameters[[#This Row],[Parameter]],ScenarioParameters[Parameter],0),MATCH(O$141,ScenarioParameters[#Headers],0))</f>
        <v>0.41296149923645914</v>
      </c>
      <c r="P150" s="57">
        <f>INDEX(ScenarioParameters[],MATCH(UsedScenarioParameters[[#This Row],[Parameter]],ScenarioParameters[Parameter],0),MATCH(P$141,ScenarioParameters[#Headers],0))</f>
        <v>0.41296149923645914</v>
      </c>
      <c r="Q150" s="57">
        <f>INDEX(ScenarioParameters[],MATCH(UsedScenarioParameters[[#This Row],[Parameter]],ScenarioParameters[Parameter],0),MATCH(Q$141,ScenarioParameters[#Headers],0))</f>
        <v>0.41296149923645914</v>
      </c>
      <c r="R150" s="57">
        <f>INDEX(ScenarioParameters[],MATCH(UsedScenarioParameters[[#This Row],[Parameter]],ScenarioParameters[Parameter],0),MATCH(R$141,ScenarioParameters[#Headers],0))</f>
        <v>0.41296149923645914</v>
      </c>
      <c r="S150" s="57">
        <f>INDEX(ScenarioParameters[],MATCH(UsedScenarioParameters[[#This Row],[Parameter]],ScenarioParameters[Parameter],0),MATCH(S$141,ScenarioParameters[#Headers],0))</f>
        <v>0.41296149923645914</v>
      </c>
      <c r="T150" s="57">
        <f>INDEX(ScenarioParameters[],MATCH(UsedScenarioParameters[[#This Row],[Parameter]],ScenarioParameters[Parameter],0),MATCH(T$141,ScenarioParameters[#Headers],0))</f>
        <v>0.40323711622094927</v>
      </c>
      <c r="U150" s="57">
        <f>INDEX(ScenarioParameters[],MATCH(UsedScenarioParameters[[#This Row],[Parameter]],ScenarioParameters[Parameter],0),MATCH(U$141,ScenarioParameters[#Headers],0))</f>
        <v>0.4059441218535777</v>
      </c>
      <c r="V150" s="57">
        <f>INDEX(ScenarioParameters[],MATCH(UsedScenarioParameters[[#This Row],[Parameter]],ScenarioParameters[Parameter],0),MATCH(V$141,ScenarioParameters[#Headers],0))</f>
        <v>0.40865112748620608</v>
      </c>
      <c r="W150" s="57">
        <f>INDEX(ScenarioParameters[],MATCH(UsedScenarioParameters[[#This Row],[Parameter]],ScenarioParameters[Parameter],0),MATCH(W$141,ScenarioParameters[#Headers],0))</f>
        <v>0.41135813311883451</v>
      </c>
      <c r="X150" s="57">
        <f>INDEX(ScenarioParameters[],MATCH(UsedScenarioParameters[[#This Row],[Parameter]],ScenarioParameters[Parameter],0),MATCH(X$141,ScenarioParameters[#Headers],0))</f>
        <v>0.41406513875146289</v>
      </c>
      <c r="Y150" s="57">
        <f>INDEX(ScenarioParameters[],MATCH(UsedScenarioParameters[[#This Row],[Parameter]],ScenarioParameters[Parameter],0),MATCH(Y$141,ScenarioParameters[#Headers],0))</f>
        <v>0.41677214438409133</v>
      </c>
      <c r="Z150" s="57">
        <f>INDEX(ScenarioParameters[],MATCH(UsedScenarioParameters[[#This Row],[Parameter]],ScenarioParameters[Parameter],0),MATCH(Z$141,ScenarioParameters[#Headers],0))</f>
        <v>0.41677214438409133</v>
      </c>
      <c r="AA150" s="57">
        <f>INDEX(ScenarioParameters[],MATCH(UsedScenarioParameters[[#This Row],[Parameter]],ScenarioParameters[Parameter],0),MATCH(AA$141,ScenarioParameters[#Headers],0))</f>
        <v>0.41677214438409133</v>
      </c>
      <c r="AB150" s="57">
        <f>INDEX(ScenarioParameters[],MATCH(UsedScenarioParameters[[#This Row],[Parameter]],ScenarioParameters[Parameter],0),MATCH(AB$141,ScenarioParameters[#Headers],0))</f>
        <v>0.41677214438409133</v>
      </c>
      <c r="AC150" s="57">
        <f>INDEX(ScenarioParameters[],MATCH(UsedScenarioParameters[[#This Row],[Parameter]],ScenarioParameters[Parameter],0),MATCH(AC$141,ScenarioParameters[#Headers],0))</f>
        <v>0.41677214438409133</v>
      </c>
      <c r="AD150" s="57">
        <f>INDEX(ScenarioParameters[],MATCH(UsedScenarioParameters[[#This Row],[Parameter]],ScenarioParameters[Parameter],0),MATCH(AD$141,ScenarioParameters[#Headers],0))</f>
        <v>0.41677214438409133</v>
      </c>
    </row>
    <row r="151" spans="1:30" x14ac:dyDescent="0.25">
      <c r="A151" s="42">
        <v>10</v>
      </c>
      <c r="B151" s="42" t="s">
        <v>54</v>
      </c>
      <c r="D151" s="42" t="s">
        <v>216</v>
      </c>
      <c r="E151" s="57">
        <f>INDEX(ScenarioParameters[],MATCH(UsedScenarioParameters[[#This Row],[Parameter]],ScenarioParameters[Parameter],0),MATCH(E$141,ScenarioParameters[#Headers],0))</f>
        <v>41.666666666666664</v>
      </c>
      <c r="F151" s="57">
        <f>INDEX(ScenarioParameters[],MATCH(UsedScenarioParameters[[#This Row],[Parameter]],ScenarioParameters[Parameter],0),MATCH(F$141,ScenarioParameters[#Headers],0))</f>
        <v>40.862499999999997</v>
      </c>
      <c r="G151" s="57">
        <f>INDEX(ScenarioParameters[],MATCH(UsedScenarioParameters[[#This Row],[Parameter]],ScenarioParameters[Parameter],0),MATCH(G$141,ScenarioParameters[#Headers],0))</f>
        <v>40.05833333333333</v>
      </c>
      <c r="H151" s="57">
        <f>INDEX(ScenarioParameters[],MATCH(UsedScenarioParameters[[#This Row],[Parameter]],ScenarioParameters[Parameter],0),MATCH(H$141,ScenarioParameters[#Headers],0))</f>
        <v>39.25416666666667</v>
      </c>
      <c r="I151" s="57">
        <f>INDEX(ScenarioParameters[],MATCH(UsedScenarioParameters[[#This Row],[Parameter]],ScenarioParameters[Parameter],0),MATCH(I$141,ScenarioParameters[#Headers],0))</f>
        <v>38.450000000000003</v>
      </c>
      <c r="J151" s="57">
        <f>INDEX(ScenarioParameters[],MATCH(UsedScenarioParameters[[#This Row],[Parameter]],ScenarioParameters[Parameter],0),MATCH(J$141,ScenarioParameters[#Headers],0))</f>
        <v>37.645833333333336</v>
      </c>
      <c r="K151" s="57">
        <f>INDEX(ScenarioParameters[],MATCH(UsedScenarioParameters[[#This Row],[Parameter]],ScenarioParameters[Parameter],0),MATCH(K$141,ScenarioParameters[#Headers],0))</f>
        <v>36.841666666666669</v>
      </c>
      <c r="L151" s="57">
        <f>INDEX(ScenarioParameters[],MATCH(UsedScenarioParameters[[#This Row],[Parameter]],ScenarioParameters[Parameter],0),MATCH(L$141,ScenarioParameters[#Headers],0))</f>
        <v>36.037500000000001</v>
      </c>
      <c r="M151" s="57">
        <f>INDEX(ScenarioParameters[],MATCH(UsedScenarioParameters[[#This Row],[Parameter]],ScenarioParameters[Parameter],0),MATCH(M$141,ScenarioParameters[#Headers],0))</f>
        <v>35.233333333333334</v>
      </c>
      <c r="N151" s="57">
        <f>INDEX(ScenarioParameters[],MATCH(UsedScenarioParameters[[#This Row],[Parameter]],ScenarioParameters[Parameter],0),MATCH(N$141,ScenarioParameters[#Headers],0))</f>
        <v>34.429166666666667</v>
      </c>
      <c r="O151" s="57">
        <f>INDEX(ScenarioParameters[],MATCH(UsedScenarioParameters[[#This Row],[Parameter]],ScenarioParameters[Parameter],0),MATCH(O$141,ScenarioParameters[#Headers],0))</f>
        <v>33.625</v>
      </c>
      <c r="P151" s="57">
        <f>INDEX(ScenarioParameters[],MATCH(UsedScenarioParameters[[#This Row],[Parameter]],ScenarioParameters[Parameter],0),MATCH(P$141,ScenarioParameters[#Headers],0))</f>
        <v>32.820833333333333</v>
      </c>
      <c r="Q151" s="57">
        <f>INDEX(ScenarioParameters[],MATCH(UsedScenarioParameters[[#This Row],[Parameter]],ScenarioParameters[Parameter],0),MATCH(Q$141,ScenarioParameters[#Headers],0))</f>
        <v>32.016666666666666</v>
      </c>
      <c r="R151" s="57">
        <f>INDEX(ScenarioParameters[],MATCH(UsedScenarioParameters[[#This Row],[Parameter]],ScenarioParameters[Parameter],0),MATCH(R$141,ScenarioParameters[#Headers],0))</f>
        <v>31.212499999999999</v>
      </c>
      <c r="S151" s="57">
        <f>INDEX(ScenarioParameters[],MATCH(UsedScenarioParameters[[#This Row],[Parameter]],ScenarioParameters[Parameter],0),MATCH(S$141,ScenarioParameters[#Headers],0))</f>
        <v>30.408333333333335</v>
      </c>
      <c r="T151" s="57">
        <f>INDEX(ScenarioParameters[],MATCH(UsedScenarioParameters[[#This Row],[Parameter]],ScenarioParameters[Parameter],0),MATCH(T$141,ScenarioParameters[#Headers],0))</f>
        <v>29.604166666666668</v>
      </c>
      <c r="U151" s="57">
        <f>INDEX(ScenarioParameters[],MATCH(UsedScenarioParameters[[#This Row],[Parameter]],ScenarioParameters[Parameter],0),MATCH(U$141,ScenarioParameters[#Headers],0))</f>
        <v>28.8</v>
      </c>
      <c r="V151" s="57">
        <f>INDEX(ScenarioParameters[],MATCH(UsedScenarioParameters[[#This Row],[Parameter]],ScenarioParameters[Parameter],0),MATCH(V$141,ScenarioParameters[#Headers],0))</f>
        <v>27.995833333333334</v>
      </c>
      <c r="W151" s="57">
        <f>INDEX(ScenarioParameters[],MATCH(UsedScenarioParameters[[#This Row],[Parameter]],ScenarioParameters[Parameter],0),MATCH(W$141,ScenarioParameters[#Headers],0))</f>
        <v>27.191666666666666</v>
      </c>
      <c r="X151" s="57">
        <f>INDEX(ScenarioParameters[],MATCH(UsedScenarioParameters[[#This Row],[Parameter]],ScenarioParameters[Parameter],0),MATCH(X$141,ScenarioParameters[#Headers],0))</f>
        <v>26.387499999999999</v>
      </c>
      <c r="Y151" s="57">
        <f>INDEX(ScenarioParameters[],MATCH(UsedScenarioParameters[[#This Row],[Parameter]],ScenarioParameters[Parameter],0),MATCH(Y$141,ScenarioParameters[#Headers],0))</f>
        <v>25.583333333333332</v>
      </c>
      <c r="Z151" s="57">
        <f>INDEX(ScenarioParameters[],MATCH(UsedScenarioParameters[[#This Row],[Parameter]],ScenarioParameters[Parameter],0),MATCH(Z$141,ScenarioParameters[#Headers],0))</f>
        <v>25.583333333333332</v>
      </c>
      <c r="AA151" s="57">
        <f>INDEX(ScenarioParameters[],MATCH(UsedScenarioParameters[[#This Row],[Parameter]],ScenarioParameters[Parameter],0),MATCH(AA$141,ScenarioParameters[#Headers],0))</f>
        <v>25.583333333333332</v>
      </c>
      <c r="AB151" s="57">
        <f>INDEX(ScenarioParameters[],MATCH(UsedScenarioParameters[[#This Row],[Parameter]],ScenarioParameters[Parameter],0),MATCH(AB$141,ScenarioParameters[#Headers],0))</f>
        <v>25.583333333333332</v>
      </c>
      <c r="AC151" s="57">
        <f>INDEX(ScenarioParameters[],MATCH(UsedScenarioParameters[[#This Row],[Parameter]],ScenarioParameters[Parameter],0),MATCH(AC$141,ScenarioParameters[#Headers],0))</f>
        <v>25.583333333333332</v>
      </c>
      <c r="AD151" s="57">
        <f>INDEX(ScenarioParameters[],MATCH(UsedScenarioParameters[[#This Row],[Parameter]],ScenarioParameters[Parameter],0),MATCH(AD$141,ScenarioParameters[#Headers],0))</f>
        <v>25.583333333333332</v>
      </c>
    </row>
    <row r="152" spans="1:30" x14ac:dyDescent="0.25">
      <c r="A152" s="42">
        <v>11</v>
      </c>
      <c r="B152" s="42" t="s">
        <v>85</v>
      </c>
      <c r="D152" s="42" t="s">
        <v>217</v>
      </c>
      <c r="E152" s="57">
        <f>INDEX(ScenarioParameters[],MATCH(UsedScenarioParameters[[#This Row],[Parameter]],ScenarioParameters[Parameter],0),MATCH(E$141,ScenarioParameters[#Headers],0))</f>
        <v>1.3204225352112677</v>
      </c>
      <c r="F152" s="57">
        <f>INDEX(ScenarioParameters[],MATCH(UsedScenarioParameters[[#This Row],[Parameter]],ScenarioParameters[Parameter],0),MATCH(F$141,ScenarioParameters[#Headers],0))</f>
        <v>1.3268651765666464</v>
      </c>
      <c r="G152" s="57">
        <f>INDEX(ScenarioParameters[],MATCH(UsedScenarioParameters[[#This Row],[Parameter]],ScenarioParameters[Parameter],0),MATCH(G$141,ScenarioParameters[#Headers],0))</f>
        <v>1.333307817922025</v>
      </c>
      <c r="H152" s="57">
        <f>INDEX(ScenarioParameters[],MATCH(UsedScenarioParameters[[#This Row],[Parameter]],ScenarioParameters[Parameter],0),MATCH(H$141,ScenarioParameters[#Headers],0))</f>
        <v>1.3397504592774037</v>
      </c>
      <c r="I152" s="57">
        <f>INDEX(ScenarioParameters[],MATCH(UsedScenarioParameters[[#This Row],[Parameter]],ScenarioParameters[Parameter],0),MATCH(I$141,ScenarioParameters[#Headers],0))</f>
        <v>1.3461931006327823</v>
      </c>
      <c r="J152" s="57">
        <f>INDEX(ScenarioParameters[],MATCH(UsedScenarioParameters[[#This Row],[Parameter]],ScenarioParameters[Parameter],0),MATCH(J$141,ScenarioParameters[#Headers],0))</f>
        <v>1.3526357419881612</v>
      </c>
      <c r="K152" s="57">
        <f>INDEX(ScenarioParameters[],MATCH(UsedScenarioParameters[[#This Row],[Parameter]],ScenarioParameters[Parameter],0),MATCH(K$141,ScenarioParameters[#Headers],0))</f>
        <v>1.3590783833435396</v>
      </c>
      <c r="L152" s="57">
        <f>INDEX(ScenarioParameters[],MATCH(UsedScenarioParameters[[#This Row],[Parameter]],ScenarioParameters[Parameter],0),MATCH(L$141,ScenarioParameters[#Headers],0))</f>
        <v>1.3655210246989182</v>
      </c>
      <c r="M152" s="57">
        <f>INDEX(ScenarioParameters[],MATCH(UsedScenarioParameters[[#This Row],[Parameter]],ScenarioParameters[Parameter],0),MATCH(M$141,ScenarioParameters[#Headers],0))</f>
        <v>1.3719636660542969</v>
      </c>
      <c r="N152" s="57">
        <f>INDEX(ScenarioParameters[],MATCH(UsedScenarioParameters[[#This Row],[Parameter]],ScenarioParameters[Parameter],0),MATCH(N$141,ScenarioParameters[#Headers],0))</f>
        <v>1.3784063074096755</v>
      </c>
      <c r="O152" s="57">
        <f>INDEX(ScenarioParameters[],MATCH(UsedScenarioParameters[[#This Row],[Parameter]],ScenarioParameters[Parameter],0),MATCH(O$141,ScenarioParameters[#Headers],0))</f>
        <v>1.3848489487650542</v>
      </c>
      <c r="P152" s="57">
        <f>INDEX(ScenarioParameters[],MATCH(UsedScenarioParameters[[#This Row],[Parameter]],ScenarioParameters[Parameter],0),MATCH(P$141,ScenarioParameters[#Headers],0))</f>
        <v>1.3912915901204328</v>
      </c>
      <c r="Q152" s="57">
        <f>INDEX(ScenarioParameters[],MATCH(UsedScenarioParameters[[#This Row],[Parameter]],ScenarioParameters[Parameter],0),MATCH(Q$141,ScenarioParameters[#Headers],0))</f>
        <v>1.3977342314758114</v>
      </c>
      <c r="R152" s="57">
        <f>INDEX(ScenarioParameters[],MATCH(UsedScenarioParameters[[#This Row],[Parameter]],ScenarioParameters[Parameter],0),MATCH(R$141,ScenarioParameters[#Headers],0))</f>
        <v>1.4041768728311901</v>
      </c>
      <c r="S152" s="57">
        <f>INDEX(ScenarioParameters[],MATCH(UsedScenarioParameters[[#This Row],[Parameter]],ScenarioParameters[Parameter],0),MATCH(S$141,ScenarioParameters[#Headers],0))</f>
        <v>1.4106195141865687</v>
      </c>
      <c r="T152" s="57">
        <f>INDEX(ScenarioParameters[],MATCH(UsedScenarioParameters[[#This Row],[Parameter]],ScenarioParameters[Parameter],0),MATCH(T$141,ScenarioParameters[#Headers],0))</f>
        <v>1.4170621555419474</v>
      </c>
      <c r="U152" s="57">
        <f>INDEX(ScenarioParameters[],MATCH(UsedScenarioParameters[[#This Row],[Parameter]],ScenarioParameters[Parameter],0),MATCH(U$141,ScenarioParameters[#Headers],0))</f>
        <v>1.423504796897326</v>
      </c>
      <c r="V152" s="57">
        <f>INDEX(ScenarioParameters[],MATCH(UsedScenarioParameters[[#This Row],[Parameter]],ScenarioParameters[Parameter],0),MATCH(V$141,ScenarioParameters[#Headers],0))</f>
        <v>1.4299474382527047</v>
      </c>
      <c r="W152" s="57">
        <f>INDEX(ScenarioParameters[],MATCH(UsedScenarioParameters[[#This Row],[Parameter]],ScenarioParameters[Parameter],0),MATCH(W$141,ScenarioParameters[#Headers],0))</f>
        <v>1.4363900796080835</v>
      </c>
      <c r="X152" s="57">
        <f>INDEX(ScenarioParameters[],MATCH(UsedScenarioParameters[[#This Row],[Parameter]],ScenarioParameters[Parameter],0),MATCH(X$141,ScenarioParameters[#Headers],0))</f>
        <v>1.4428327209634619</v>
      </c>
      <c r="Y152" s="57">
        <f>INDEX(ScenarioParameters[],MATCH(UsedScenarioParameters[[#This Row],[Parameter]],ScenarioParameters[Parameter],0),MATCH(Y$141,ScenarioParameters[#Headers],0))</f>
        <v>1.4492753623188406</v>
      </c>
      <c r="Z152" s="57">
        <f>INDEX(ScenarioParameters[],MATCH(UsedScenarioParameters[[#This Row],[Parameter]],ScenarioParameters[Parameter],0),MATCH(Z$141,ScenarioParameters[#Headers],0))</f>
        <v>1.4492753623188406</v>
      </c>
      <c r="AA152" s="57">
        <f>INDEX(ScenarioParameters[],MATCH(UsedScenarioParameters[[#This Row],[Parameter]],ScenarioParameters[Parameter],0),MATCH(AA$141,ScenarioParameters[#Headers],0))</f>
        <v>1.4492753623188406</v>
      </c>
      <c r="AB152" s="57">
        <f>INDEX(ScenarioParameters[],MATCH(UsedScenarioParameters[[#This Row],[Parameter]],ScenarioParameters[Parameter],0),MATCH(AB$141,ScenarioParameters[#Headers],0))</f>
        <v>1.4492753623188406</v>
      </c>
      <c r="AC152" s="57">
        <f>INDEX(ScenarioParameters[],MATCH(UsedScenarioParameters[[#This Row],[Parameter]],ScenarioParameters[Parameter],0),MATCH(AC$141,ScenarioParameters[#Headers],0))</f>
        <v>1.4492753623188406</v>
      </c>
      <c r="AD152" s="57">
        <f>INDEX(ScenarioParameters[],MATCH(UsedScenarioParameters[[#This Row],[Parameter]],ScenarioParameters[Parameter],0),MATCH(AD$141,ScenarioParameters[#Headers],0))</f>
        <v>1.4492753623188406</v>
      </c>
    </row>
    <row r="153" spans="1:30" x14ac:dyDescent="0.25">
      <c r="A153" s="42">
        <v>12</v>
      </c>
      <c r="B153" s="42" t="s">
        <v>84</v>
      </c>
      <c r="D153" s="42" t="s">
        <v>215</v>
      </c>
      <c r="E153" s="57">
        <f>INDEX(ScenarioParameters[],MATCH(UsedScenarioParameters[[#This Row],[Parameter]],ScenarioParameters[Parameter],0),MATCH(E$141,ScenarioParameters[#Headers],0))</f>
        <v>7.4999999999999997E-2</v>
      </c>
      <c r="F153" s="57">
        <f>INDEX(ScenarioParameters[],MATCH(UsedScenarioParameters[[#This Row],[Parameter]],ScenarioParameters[Parameter],0),MATCH(F$141,ScenarioParameters[#Headers],0))</f>
        <v>7.1661594202898554E-2</v>
      </c>
      <c r="G153" s="57">
        <f>INDEX(ScenarioParameters[],MATCH(UsedScenarioParameters[[#This Row],[Parameter]],ScenarioParameters[Parameter],0),MATCH(G$141,ScenarioParameters[#Headers],0))</f>
        <v>6.8323188405797097E-2</v>
      </c>
      <c r="H153" s="57">
        <f>INDEX(ScenarioParameters[],MATCH(UsedScenarioParameters[[#This Row],[Parameter]],ScenarioParameters[Parameter],0),MATCH(H$141,ScenarioParameters[#Headers],0))</f>
        <v>6.4984782608695654E-2</v>
      </c>
      <c r="I153" s="57">
        <f>INDEX(ScenarioParameters[],MATCH(UsedScenarioParameters[[#This Row],[Parameter]],ScenarioParameters[Parameter],0),MATCH(I$141,ScenarioParameters[#Headers],0))</f>
        <v>6.1646376811594204E-2</v>
      </c>
      <c r="J153" s="57">
        <f>INDEX(ScenarioParameters[],MATCH(UsedScenarioParameters[[#This Row],[Parameter]],ScenarioParameters[Parameter],0),MATCH(J$141,ScenarioParameters[#Headers],0))</f>
        <v>5.8307971014492761E-2</v>
      </c>
      <c r="K153" s="57">
        <f>INDEX(ScenarioParameters[],MATCH(UsedScenarioParameters[[#This Row],[Parameter]],ScenarioParameters[Parameter],0),MATCH(K$141,ScenarioParameters[#Headers],0))</f>
        <v>5.4969565217391304E-2</v>
      </c>
      <c r="L153" s="57">
        <f>INDEX(ScenarioParameters[],MATCH(UsedScenarioParameters[[#This Row],[Parameter]],ScenarioParameters[Parameter],0),MATCH(L$141,ScenarioParameters[#Headers],0))</f>
        <v>5.1631159420289854E-2</v>
      </c>
      <c r="M153" s="57">
        <f>INDEX(ScenarioParameters[],MATCH(UsedScenarioParameters[[#This Row],[Parameter]],ScenarioParameters[Parameter],0),MATCH(M$141,ScenarioParameters[#Headers],0))</f>
        <v>4.8292753623188404E-2</v>
      </c>
      <c r="N153" s="57">
        <f>INDEX(ScenarioParameters[],MATCH(UsedScenarioParameters[[#This Row],[Parameter]],ScenarioParameters[Parameter],0),MATCH(N$141,ScenarioParameters[#Headers],0))</f>
        <v>4.4954347826086961E-2</v>
      </c>
      <c r="O153" s="57">
        <f>INDEX(ScenarioParameters[],MATCH(UsedScenarioParameters[[#This Row],[Parameter]],ScenarioParameters[Parameter],0),MATCH(O$141,ScenarioParameters[#Headers],0))</f>
        <v>4.1615942028985511E-2</v>
      </c>
      <c r="P153" s="57">
        <f>INDEX(ScenarioParameters[],MATCH(UsedScenarioParameters[[#This Row],[Parameter]],ScenarioParameters[Parameter],0),MATCH(P$141,ScenarioParameters[#Headers],0))</f>
        <v>3.8277536231884055E-2</v>
      </c>
      <c r="Q153" s="57">
        <f>INDEX(ScenarioParameters[],MATCH(UsedScenarioParameters[[#This Row],[Parameter]],ScenarioParameters[Parameter],0),MATCH(Q$141,ScenarioParameters[#Headers],0))</f>
        <v>3.4939130434782611E-2</v>
      </c>
      <c r="R153" s="57">
        <f>INDEX(ScenarioParameters[],MATCH(UsedScenarioParameters[[#This Row],[Parameter]],ScenarioParameters[Parameter],0),MATCH(R$141,ScenarioParameters[#Headers],0))</f>
        <v>3.1600724637681162E-2</v>
      </c>
      <c r="S153" s="57">
        <f>INDEX(ScenarioParameters[],MATCH(UsedScenarioParameters[[#This Row],[Parameter]],ScenarioParameters[Parameter],0),MATCH(S$141,ScenarioParameters[#Headers],0))</f>
        <v>2.8262318840579712E-2</v>
      </c>
      <c r="T153" s="57">
        <f>INDEX(ScenarioParameters[],MATCH(UsedScenarioParameters[[#This Row],[Parameter]],ScenarioParameters[Parameter],0),MATCH(T$141,ScenarioParameters[#Headers],0))</f>
        <v>2.4923913043478265E-2</v>
      </c>
      <c r="U153" s="57">
        <f>INDEX(ScenarioParameters[],MATCH(UsedScenarioParameters[[#This Row],[Parameter]],ScenarioParameters[Parameter],0),MATCH(U$141,ScenarioParameters[#Headers],0))</f>
        <v>2.1585507246376815E-2</v>
      </c>
      <c r="V153" s="57">
        <f>INDEX(ScenarioParameters[],MATCH(UsedScenarioParameters[[#This Row],[Parameter]],ScenarioParameters[Parameter],0),MATCH(V$141,ScenarioParameters[#Headers],0))</f>
        <v>1.8247101449275365E-2</v>
      </c>
      <c r="W153" s="57">
        <f>INDEX(ScenarioParameters[],MATCH(UsedScenarioParameters[[#This Row],[Parameter]],ScenarioParameters[Parameter],0),MATCH(W$141,ScenarioParameters[#Headers],0))</f>
        <v>1.490869565217392E-2</v>
      </c>
      <c r="X153" s="57">
        <f>INDEX(ScenarioParameters[],MATCH(UsedScenarioParameters[[#This Row],[Parameter]],ScenarioParameters[Parameter],0),MATCH(X$141,ScenarioParameters[#Headers],0))</f>
        <v>1.1570289855072469E-2</v>
      </c>
      <c r="Y153" s="57">
        <f>INDEX(ScenarioParameters[],MATCH(UsedScenarioParameters[[#This Row],[Parameter]],ScenarioParameters[Parameter],0),MATCH(Y$141,ScenarioParameters[#Headers],0))</f>
        <v>8.2318840579710152E-3</v>
      </c>
      <c r="Z153" s="57">
        <f>INDEX(ScenarioParameters[],MATCH(UsedScenarioParameters[[#This Row],[Parameter]],ScenarioParameters[Parameter],0),MATCH(Z$141,ScenarioParameters[#Headers],0))</f>
        <v>8.2318840579710152E-3</v>
      </c>
      <c r="AA153" s="57">
        <f>INDEX(ScenarioParameters[],MATCH(UsedScenarioParameters[[#This Row],[Parameter]],ScenarioParameters[Parameter],0),MATCH(AA$141,ScenarioParameters[#Headers],0))</f>
        <v>8.2318840579710152E-3</v>
      </c>
      <c r="AB153" s="57">
        <f>INDEX(ScenarioParameters[],MATCH(UsedScenarioParameters[[#This Row],[Parameter]],ScenarioParameters[Parameter],0),MATCH(AB$141,ScenarioParameters[#Headers],0))</f>
        <v>8.2318840579710152E-3</v>
      </c>
      <c r="AC153" s="57">
        <f>INDEX(ScenarioParameters[],MATCH(UsedScenarioParameters[[#This Row],[Parameter]],ScenarioParameters[Parameter],0),MATCH(AC$141,ScenarioParameters[#Headers],0))</f>
        <v>8.2318840579710152E-3</v>
      </c>
      <c r="AD153" s="57">
        <f>INDEX(ScenarioParameters[],MATCH(UsedScenarioParameters[[#This Row],[Parameter]],ScenarioParameters[Parameter],0),MATCH(AD$141,ScenarioParameters[#Headers],0))</f>
        <v>8.2318840579710152E-3</v>
      </c>
    </row>
    <row r="154" spans="1:30" x14ac:dyDescent="0.25">
      <c r="B154" s="42"/>
      <c r="U154" s="42"/>
      <c r="V154" s="42"/>
      <c r="W154" s="42"/>
      <c r="X154" s="42"/>
      <c r="Y154" s="42"/>
      <c r="Z154" s="42"/>
    </row>
    <row r="155" spans="1:30" x14ac:dyDescent="0.25">
      <c r="B155" s="42"/>
      <c r="U155" s="42"/>
      <c r="V155" s="42"/>
      <c r="W155" s="42"/>
      <c r="X155" s="42"/>
      <c r="Y155" s="42"/>
      <c r="Z155" s="42"/>
    </row>
    <row r="156" spans="1:30" x14ac:dyDescent="0.25">
      <c r="B156" s="42"/>
      <c r="U156" s="42"/>
      <c r="V156" s="42"/>
      <c r="W156" s="42"/>
      <c r="X156" s="42"/>
      <c r="Y156" s="42"/>
      <c r="Z156" s="42"/>
    </row>
    <row r="157" spans="1:30" x14ac:dyDescent="0.25">
      <c r="B157" s="55" t="s">
        <v>221</v>
      </c>
    </row>
    <row r="158" spans="1:30" x14ac:dyDescent="0.25">
      <c r="B158" s="51" t="s">
        <v>28</v>
      </c>
      <c r="C158" s="49" t="s">
        <v>89</v>
      </c>
      <c r="D158" s="49" t="s">
        <v>4</v>
      </c>
      <c r="E158" s="49" t="s">
        <v>433</v>
      </c>
      <c r="F158" s="49" t="s">
        <v>434</v>
      </c>
      <c r="G158" s="49" t="s">
        <v>444</v>
      </c>
      <c r="H158" s="49" t="s">
        <v>445</v>
      </c>
      <c r="I158" s="49" t="s">
        <v>446</v>
      </c>
      <c r="J158" s="49" t="s">
        <v>447</v>
      </c>
      <c r="K158" s="49" t="s">
        <v>448</v>
      </c>
      <c r="L158" s="49" t="s">
        <v>449</v>
      </c>
      <c r="M158" s="49" t="s">
        <v>450</v>
      </c>
      <c r="N158" s="49" t="s">
        <v>451</v>
      </c>
      <c r="O158" s="49" t="s">
        <v>452</v>
      </c>
      <c r="P158" s="49" t="s">
        <v>435</v>
      </c>
      <c r="Q158" s="49" t="s">
        <v>436</v>
      </c>
      <c r="R158" s="49" t="s">
        <v>437</v>
      </c>
      <c r="S158" s="49" t="s">
        <v>438</v>
      </c>
      <c r="T158" s="49" t="s">
        <v>439</v>
      </c>
      <c r="U158" s="49" t="s">
        <v>440</v>
      </c>
      <c r="V158" s="49" t="s">
        <v>441</v>
      </c>
      <c r="W158" s="49" t="s">
        <v>442</v>
      </c>
      <c r="X158" s="49" t="s">
        <v>453</v>
      </c>
      <c r="Y158" s="42"/>
      <c r="Z158" s="42"/>
    </row>
    <row r="159" spans="1:30" s="59" customFormat="1" x14ac:dyDescent="0.25">
      <c r="A159" s="59">
        <v>1</v>
      </c>
      <c r="B159" s="59" t="s">
        <v>110</v>
      </c>
      <c r="D159" s="59" t="s">
        <v>421</v>
      </c>
      <c r="E159" s="140">
        <f>-1*$E$118*10^6</f>
        <v>75465.267461550582</v>
      </c>
      <c r="F159" s="140">
        <f t="shared" ref="F159:X159" si="3">-1*$E$118*10^6</f>
        <v>75465.267461550582</v>
      </c>
      <c r="G159" s="140">
        <f t="shared" si="3"/>
        <v>75465.267461550582</v>
      </c>
      <c r="H159" s="140">
        <f t="shared" si="3"/>
        <v>75465.267461550582</v>
      </c>
      <c r="I159" s="140">
        <f t="shared" si="3"/>
        <v>75465.267461550582</v>
      </c>
      <c r="J159" s="140">
        <f t="shared" si="3"/>
        <v>75465.267461550582</v>
      </c>
      <c r="K159" s="140">
        <f t="shared" si="3"/>
        <v>75465.267461550582</v>
      </c>
      <c r="L159" s="140">
        <f t="shared" si="3"/>
        <v>75465.267461550582</v>
      </c>
      <c r="M159" s="140">
        <f t="shared" si="3"/>
        <v>75465.267461550582</v>
      </c>
      <c r="N159" s="140">
        <f t="shared" si="3"/>
        <v>75465.267461550582</v>
      </c>
      <c r="O159" s="140">
        <f t="shared" si="3"/>
        <v>75465.267461550582</v>
      </c>
      <c r="P159" s="140">
        <f t="shared" si="3"/>
        <v>75465.267461550582</v>
      </c>
      <c r="Q159" s="140">
        <f t="shared" si="3"/>
        <v>75465.267461550582</v>
      </c>
      <c r="R159" s="140">
        <f t="shared" si="3"/>
        <v>75465.267461550582</v>
      </c>
      <c r="S159" s="140">
        <f t="shared" si="3"/>
        <v>75465.267461550582</v>
      </c>
      <c r="T159" s="140">
        <f t="shared" si="3"/>
        <v>75465.267461550582</v>
      </c>
      <c r="U159" s="140">
        <f t="shared" si="3"/>
        <v>75465.267461550582</v>
      </c>
      <c r="V159" s="140">
        <f t="shared" si="3"/>
        <v>75465.267461550582</v>
      </c>
      <c r="W159" s="140">
        <f t="shared" si="3"/>
        <v>75465.267461550582</v>
      </c>
      <c r="X159" s="140">
        <f t="shared" si="3"/>
        <v>75465.267461550582</v>
      </c>
    </row>
    <row r="160" spans="1:30" s="59" customFormat="1" x14ac:dyDescent="0.25">
      <c r="A160" s="59">
        <v>2</v>
      </c>
      <c r="B160" s="59" t="s">
        <v>111</v>
      </c>
      <c r="D160" s="59" t="s">
        <v>421</v>
      </c>
      <c r="E160" s="140">
        <f t="shared" ref="E160" si="4">-1*$E$119*10^6/E150</f>
        <v>6345.0370827462111</v>
      </c>
      <c r="F160" s="140">
        <f t="shared" ref="F160:X160" si="5">-1*$E$119*10^6/F150</f>
        <v>6345.0370827462111</v>
      </c>
      <c r="G160" s="140">
        <f t="shared" si="5"/>
        <v>6344.7839202374726</v>
      </c>
      <c r="H160" s="140">
        <f t="shared" si="5"/>
        <v>6342.0367198649046</v>
      </c>
      <c r="I160" s="140">
        <f t="shared" si="5"/>
        <v>6393.9920998759999</v>
      </c>
      <c r="J160" s="140">
        <f t="shared" si="5"/>
        <v>6436.5522681483526</v>
      </c>
      <c r="K160" s="140">
        <f t="shared" si="5"/>
        <v>6436.5522681483526</v>
      </c>
      <c r="L160" s="140">
        <f t="shared" si="5"/>
        <v>6436.5522681483526</v>
      </c>
      <c r="M160" s="140">
        <f t="shared" si="5"/>
        <v>6383.9154246998878</v>
      </c>
      <c r="N160" s="140">
        <f t="shared" si="5"/>
        <v>6383.9154246998878</v>
      </c>
      <c r="O160" s="140">
        <f t="shared" si="5"/>
        <v>6364.8817527915517</v>
      </c>
      <c r="P160" s="140">
        <f t="shared" si="5"/>
        <v>6364.8817527915517</v>
      </c>
      <c r="Q160" s="140">
        <f t="shared" si="5"/>
        <v>6364.8817527915517</v>
      </c>
      <c r="R160" s="140">
        <f t="shared" si="5"/>
        <v>6364.8817527915517</v>
      </c>
      <c r="S160" s="140">
        <f t="shared" si="5"/>
        <v>6364.8817527915517</v>
      </c>
      <c r="T160" s="140">
        <f t="shared" si="5"/>
        <v>6518.37592662316</v>
      </c>
      <c r="U160" s="140">
        <f t="shared" si="5"/>
        <v>6474.9086625366926</v>
      </c>
      <c r="V160" s="140">
        <f t="shared" si="5"/>
        <v>6432.017274158392</v>
      </c>
      <c r="W160" s="140">
        <f t="shared" si="5"/>
        <v>6389.6903925715387</v>
      </c>
      <c r="X160" s="140">
        <f t="shared" si="5"/>
        <v>6347.9169461626034</v>
      </c>
    </row>
    <row r="161" spans="1:26" s="59" customFormat="1" x14ac:dyDescent="0.25">
      <c r="A161" s="59">
        <v>3</v>
      </c>
      <c r="B161" s="59" t="s">
        <v>112</v>
      </c>
      <c r="D161" s="59" t="s">
        <v>421</v>
      </c>
      <c r="E161" s="140">
        <f>-1*$E$120*E152</f>
        <v>0</v>
      </c>
      <c r="F161" s="140">
        <f t="shared" ref="F161:X161" si="6">-1*$E$120*F152</f>
        <v>0</v>
      </c>
      <c r="G161" s="140">
        <f t="shared" si="6"/>
        <v>0</v>
      </c>
      <c r="H161" s="140">
        <f t="shared" si="6"/>
        <v>0</v>
      </c>
      <c r="I161" s="140">
        <f t="shared" si="6"/>
        <v>0</v>
      </c>
      <c r="J161" s="140">
        <f t="shared" si="6"/>
        <v>0</v>
      </c>
      <c r="K161" s="140">
        <f t="shared" si="6"/>
        <v>0</v>
      </c>
      <c r="L161" s="140">
        <f t="shared" si="6"/>
        <v>0</v>
      </c>
      <c r="M161" s="140">
        <f t="shared" si="6"/>
        <v>0</v>
      </c>
      <c r="N161" s="140">
        <f t="shared" si="6"/>
        <v>0</v>
      </c>
      <c r="O161" s="140">
        <f t="shared" si="6"/>
        <v>0</v>
      </c>
      <c r="P161" s="140">
        <f t="shared" si="6"/>
        <v>0</v>
      </c>
      <c r="Q161" s="140">
        <f t="shared" si="6"/>
        <v>0</v>
      </c>
      <c r="R161" s="140">
        <f t="shared" si="6"/>
        <v>0</v>
      </c>
      <c r="S161" s="140">
        <f t="shared" si="6"/>
        <v>0</v>
      </c>
      <c r="T161" s="140">
        <f t="shared" si="6"/>
        <v>0</v>
      </c>
      <c r="U161" s="140">
        <f t="shared" si="6"/>
        <v>0</v>
      </c>
      <c r="V161" s="140">
        <f t="shared" si="6"/>
        <v>0</v>
      </c>
      <c r="W161" s="140">
        <f t="shared" si="6"/>
        <v>0</v>
      </c>
      <c r="X161" s="140">
        <f t="shared" si="6"/>
        <v>0</v>
      </c>
    </row>
    <row r="162" spans="1:26" s="59" customFormat="1" x14ac:dyDescent="0.25">
      <c r="A162" s="59">
        <v>4</v>
      </c>
      <c r="B162" s="59" t="s">
        <v>113</v>
      </c>
      <c r="D162" s="59" t="s">
        <v>421</v>
      </c>
      <c r="E162" s="140">
        <f>-1*$E$121</f>
        <v>1.1436969201554348E-2</v>
      </c>
      <c r="F162" s="140">
        <f t="shared" ref="F162:X162" si="7">-1*$E$121</f>
        <v>1.1436969201554348E-2</v>
      </c>
      <c r="G162" s="140">
        <f t="shared" si="7"/>
        <v>1.1436969201554348E-2</v>
      </c>
      <c r="H162" s="140">
        <f t="shared" si="7"/>
        <v>1.1436969201554348E-2</v>
      </c>
      <c r="I162" s="140">
        <f t="shared" si="7"/>
        <v>1.1436969201554348E-2</v>
      </c>
      <c r="J162" s="140">
        <f t="shared" si="7"/>
        <v>1.1436969201554348E-2</v>
      </c>
      <c r="K162" s="140">
        <f t="shared" si="7"/>
        <v>1.1436969201554348E-2</v>
      </c>
      <c r="L162" s="140">
        <f t="shared" si="7"/>
        <v>1.1436969201554348E-2</v>
      </c>
      <c r="M162" s="140">
        <f t="shared" si="7"/>
        <v>1.1436969201554348E-2</v>
      </c>
      <c r="N162" s="140">
        <f t="shared" si="7"/>
        <v>1.1436969201554348E-2</v>
      </c>
      <c r="O162" s="140">
        <f t="shared" si="7"/>
        <v>1.1436969201554348E-2</v>
      </c>
      <c r="P162" s="140">
        <f t="shared" si="7"/>
        <v>1.1436969201554348E-2</v>
      </c>
      <c r="Q162" s="140">
        <f t="shared" si="7"/>
        <v>1.1436969201554348E-2</v>
      </c>
      <c r="R162" s="140">
        <f t="shared" si="7"/>
        <v>1.1436969201554348E-2</v>
      </c>
      <c r="S162" s="140">
        <f t="shared" si="7"/>
        <v>1.1436969201554348E-2</v>
      </c>
      <c r="T162" s="140">
        <f t="shared" si="7"/>
        <v>1.1436969201554348E-2</v>
      </c>
      <c r="U162" s="140">
        <f t="shared" si="7"/>
        <v>1.1436969201554348E-2</v>
      </c>
      <c r="V162" s="140">
        <f t="shared" si="7"/>
        <v>1.1436969201554348E-2</v>
      </c>
      <c r="W162" s="140">
        <f t="shared" si="7"/>
        <v>1.1436969201554348E-2</v>
      </c>
      <c r="X162" s="140">
        <f t="shared" si="7"/>
        <v>1.1436969201554348E-2</v>
      </c>
    </row>
    <row r="163" spans="1:26" s="59" customFormat="1" x14ac:dyDescent="0.25">
      <c r="A163" s="59">
        <v>5</v>
      </c>
      <c r="B163" s="141" t="s">
        <v>117</v>
      </c>
      <c r="D163" s="59" t="s">
        <v>421</v>
      </c>
      <c r="E163" s="140">
        <f>SUM(E159:E162)</f>
        <v>81810.315981266001</v>
      </c>
      <c r="F163" s="140">
        <f t="shared" ref="F163:X163" si="8">SUM(F159:F162)</f>
        <v>81810.315981266001</v>
      </c>
      <c r="G163" s="140">
        <f t="shared" si="8"/>
        <v>81810.062818757258</v>
      </c>
      <c r="H163" s="140">
        <f t="shared" si="8"/>
        <v>81807.315618384688</v>
      </c>
      <c r="I163" s="140">
        <f t="shared" si="8"/>
        <v>81859.27099839579</v>
      </c>
      <c r="J163" s="140">
        <f t="shared" si="8"/>
        <v>81901.83116666814</v>
      </c>
      <c r="K163" s="140">
        <f t="shared" si="8"/>
        <v>81901.83116666814</v>
      </c>
      <c r="L163" s="140">
        <f t="shared" si="8"/>
        <v>81901.83116666814</v>
      </c>
      <c r="M163" s="140">
        <f t="shared" si="8"/>
        <v>81849.194323219665</v>
      </c>
      <c r="N163" s="140">
        <f t="shared" si="8"/>
        <v>81849.194323219665</v>
      </c>
      <c r="O163" s="140">
        <f t="shared" si="8"/>
        <v>81830.160651311337</v>
      </c>
      <c r="P163" s="140">
        <f t="shared" si="8"/>
        <v>81830.160651311337</v>
      </c>
      <c r="Q163" s="140">
        <f t="shared" si="8"/>
        <v>81830.160651311337</v>
      </c>
      <c r="R163" s="140">
        <f t="shared" si="8"/>
        <v>81830.160651311337</v>
      </c>
      <c r="S163" s="140">
        <f t="shared" si="8"/>
        <v>81830.160651311337</v>
      </c>
      <c r="T163" s="140">
        <f t="shared" si="8"/>
        <v>81983.654825142949</v>
      </c>
      <c r="U163" s="140">
        <f t="shared" si="8"/>
        <v>81940.187561056475</v>
      </c>
      <c r="V163" s="140">
        <f t="shared" si="8"/>
        <v>81897.29617267818</v>
      </c>
      <c r="W163" s="140">
        <f t="shared" si="8"/>
        <v>81854.969291091329</v>
      </c>
      <c r="X163" s="140">
        <f t="shared" si="8"/>
        <v>81813.195844682385</v>
      </c>
    </row>
    <row r="164" spans="1:26" s="59" customFormat="1" x14ac:dyDescent="0.25">
      <c r="A164" s="59">
        <v>6</v>
      </c>
      <c r="B164" s="59" t="s">
        <v>114</v>
      </c>
      <c r="D164" s="59" t="s">
        <v>50</v>
      </c>
      <c r="E164" s="140">
        <f>-$E$122*1000</f>
        <v>4904.18396835372</v>
      </c>
      <c r="F164" s="140">
        <f t="shared" ref="F164:X164" si="9">-$E$122*1000</f>
        <v>4904.18396835372</v>
      </c>
      <c r="G164" s="140">
        <f t="shared" si="9"/>
        <v>4904.18396835372</v>
      </c>
      <c r="H164" s="140">
        <f t="shared" si="9"/>
        <v>4904.18396835372</v>
      </c>
      <c r="I164" s="140">
        <f t="shared" si="9"/>
        <v>4904.18396835372</v>
      </c>
      <c r="J164" s="140">
        <f t="shared" si="9"/>
        <v>4904.18396835372</v>
      </c>
      <c r="K164" s="140">
        <f t="shared" si="9"/>
        <v>4904.18396835372</v>
      </c>
      <c r="L164" s="140">
        <f t="shared" si="9"/>
        <v>4904.18396835372</v>
      </c>
      <c r="M164" s="140">
        <f t="shared" si="9"/>
        <v>4904.18396835372</v>
      </c>
      <c r="N164" s="140">
        <f t="shared" si="9"/>
        <v>4904.18396835372</v>
      </c>
      <c r="O164" s="140">
        <f t="shared" si="9"/>
        <v>4904.18396835372</v>
      </c>
      <c r="P164" s="140">
        <f t="shared" si="9"/>
        <v>4904.18396835372</v>
      </c>
      <c r="Q164" s="140">
        <f t="shared" si="9"/>
        <v>4904.18396835372</v>
      </c>
      <c r="R164" s="140">
        <f t="shared" si="9"/>
        <v>4904.18396835372</v>
      </c>
      <c r="S164" s="140">
        <f t="shared" si="9"/>
        <v>4904.18396835372</v>
      </c>
      <c r="T164" s="140">
        <f t="shared" si="9"/>
        <v>4904.18396835372</v>
      </c>
      <c r="U164" s="140">
        <f t="shared" si="9"/>
        <v>4904.18396835372</v>
      </c>
      <c r="V164" s="140">
        <f t="shared" si="9"/>
        <v>4904.18396835372</v>
      </c>
      <c r="W164" s="140">
        <f t="shared" si="9"/>
        <v>4904.18396835372</v>
      </c>
      <c r="X164" s="140">
        <f t="shared" si="9"/>
        <v>4904.18396835372</v>
      </c>
    </row>
    <row r="165" spans="1:26" s="59" customFormat="1" x14ac:dyDescent="0.25">
      <c r="A165" s="59">
        <v>7</v>
      </c>
      <c r="B165" s="59" t="s">
        <v>115</v>
      </c>
      <c r="D165" s="59" t="s">
        <v>50</v>
      </c>
      <c r="E165" s="140">
        <f>-1*$E$119*10^6*E149</f>
        <v>395.82120743664797</v>
      </c>
      <c r="F165" s="140">
        <f t="shared" ref="F165:X165" si="10">-1*$E$119*10^6*F149</f>
        <v>395.82120743664797</v>
      </c>
      <c r="G165" s="140">
        <f t="shared" si="10"/>
        <v>398.15505617665923</v>
      </c>
      <c r="H165" s="140">
        <f t="shared" si="10"/>
        <v>388.75734801579983</v>
      </c>
      <c r="I165" s="140">
        <f t="shared" si="10"/>
        <v>391.22599330277569</v>
      </c>
      <c r="J165" s="140">
        <f t="shared" si="10"/>
        <v>394.16485779817236</v>
      </c>
      <c r="K165" s="140">
        <f t="shared" si="10"/>
        <v>394.16485779817236</v>
      </c>
      <c r="L165" s="140">
        <f t="shared" si="10"/>
        <v>394.16485779817236</v>
      </c>
      <c r="M165" s="140">
        <f t="shared" si="10"/>
        <v>390.95579159576499</v>
      </c>
      <c r="N165" s="140">
        <f t="shared" si="10"/>
        <v>390.95579159576499</v>
      </c>
      <c r="O165" s="140">
        <f t="shared" si="10"/>
        <v>389.60151903353886</v>
      </c>
      <c r="P165" s="140">
        <f t="shared" si="10"/>
        <v>389.60151903353886</v>
      </c>
      <c r="Q165" s="140">
        <f t="shared" si="10"/>
        <v>389.60151903353886</v>
      </c>
      <c r="R165" s="140">
        <f t="shared" si="10"/>
        <v>389.60151903353886</v>
      </c>
      <c r="S165" s="140">
        <f t="shared" si="10"/>
        <v>389.60151903353886</v>
      </c>
      <c r="T165" s="140">
        <f t="shared" si="10"/>
        <v>393.0011565866414</v>
      </c>
      <c r="U165" s="140">
        <f t="shared" si="10"/>
        <v>406.65913903947967</v>
      </c>
      <c r="V165" s="140">
        <f t="shared" si="10"/>
        <v>420.31712149231794</v>
      </c>
      <c r="W165" s="140">
        <f t="shared" si="10"/>
        <v>433.97510394515621</v>
      </c>
      <c r="X165" s="140">
        <f t="shared" si="10"/>
        <v>447.63308639799453</v>
      </c>
    </row>
    <row r="166" spans="1:26" s="59" customFormat="1" x14ac:dyDescent="0.25">
      <c r="A166" s="59">
        <v>8</v>
      </c>
      <c r="B166" s="59" t="s">
        <v>116</v>
      </c>
      <c r="D166" s="59" t="s">
        <v>50</v>
      </c>
      <c r="E166" s="140">
        <f>E161*E153</f>
        <v>0</v>
      </c>
      <c r="F166" s="140">
        <f t="shared" ref="F166:X166" si="11">F161*F153</f>
        <v>0</v>
      </c>
      <c r="G166" s="140">
        <f t="shared" si="11"/>
        <v>0</v>
      </c>
      <c r="H166" s="140">
        <f t="shared" si="11"/>
        <v>0</v>
      </c>
      <c r="I166" s="140">
        <f t="shared" si="11"/>
        <v>0</v>
      </c>
      <c r="J166" s="140">
        <f t="shared" si="11"/>
        <v>0</v>
      </c>
      <c r="K166" s="140">
        <f t="shared" si="11"/>
        <v>0</v>
      </c>
      <c r="L166" s="140">
        <f t="shared" si="11"/>
        <v>0</v>
      </c>
      <c r="M166" s="140">
        <f t="shared" si="11"/>
        <v>0</v>
      </c>
      <c r="N166" s="140">
        <f t="shared" si="11"/>
        <v>0</v>
      </c>
      <c r="O166" s="140">
        <f t="shared" si="11"/>
        <v>0</v>
      </c>
      <c r="P166" s="140">
        <f t="shared" si="11"/>
        <v>0</v>
      </c>
      <c r="Q166" s="140">
        <f t="shared" si="11"/>
        <v>0</v>
      </c>
      <c r="R166" s="140">
        <f t="shared" si="11"/>
        <v>0</v>
      </c>
      <c r="S166" s="140">
        <f t="shared" si="11"/>
        <v>0</v>
      </c>
      <c r="T166" s="140">
        <f t="shared" si="11"/>
        <v>0</v>
      </c>
      <c r="U166" s="140">
        <f t="shared" si="11"/>
        <v>0</v>
      </c>
      <c r="V166" s="140">
        <f t="shared" si="11"/>
        <v>0</v>
      </c>
      <c r="W166" s="140">
        <f t="shared" si="11"/>
        <v>0</v>
      </c>
      <c r="X166" s="140">
        <f t="shared" si="11"/>
        <v>0</v>
      </c>
    </row>
    <row r="167" spans="1:26" s="59" customFormat="1" x14ac:dyDescent="0.25">
      <c r="A167" s="59">
        <v>9</v>
      </c>
      <c r="B167" s="141" t="s">
        <v>118</v>
      </c>
      <c r="C167" s="69"/>
      <c r="D167" s="59" t="s">
        <v>50</v>
      </c>
      <c r="E167" s="140">
        <f>SUM(E164:E166)</f>
        <v>5300.0051757903684</v>
      </c>
      <c r="F167" s="140">
        <f t="shared" ref="F167:X167" si="12">SUM(F164:F166)</f>
        <v>5300.0051757903684</v>
      </c>
      <c r="G167" s="140">
        <f t="shared" si="12"/>
        <v>5302.339024530379</v>
      </c>
      <c r="H167" s="140">
        <f t="shared" si="12"/>
        <v>5292.9413163695199</v>
      </c>
      <c r="I167" s="140">
        <f t="shared" si="12"/>
        <v>5295.4099616564954</v>
      </c>
      <c r="J167" s="140">
        <f t="shared" si="12"/>
        <v>5298.3488261518924</v>
      </c>
      <c r="K167" s="140">
        <f t="shared" si="12"/>
        <v>5298.3488261518924</v>
      </c>
      <c r="L167" s="140">
        <f t="shared" si="12"/>
        <v>5298.3488261518924</v>
      </c>
      <c r="M167" s="140">
        <f t="shared" si="12"/>
        <v>5295.1397599494849</v>
      </c>
      <c r="N167" s="140">
        <f t="shared" si="12"/>
        <v>5295.1397599494849</v>
      </c>
      <c r="O167" s="140">
        <f t="shared" si="12"/>
        <v>5293.7854873872593</v>
      </c>
      <c r="P167" s="140">
        <f t="shared" si="12"/>
        <v>5293.7854873872593</v>
      </c>
      <c r="Q167" s="140">
        <f t="shared" si="12"/>
        <v>5293.7854873872593</v>
      </c>
      <c r="R167" s="140">
        <f t="shared" si="12"/>
        <v>5293.7854873872593</v>
      </c>
      <c r="S167" s="140">
        <f t="shared" si="12"/>
        <v>5293.7854873872593</v>
      </c>
      <c r="T167" s="140">
        <f t="shared" si="12"/>
        <v>5297.1851249403617</v>
      </c>
      <c r="U167" s="140">
        <f t="shared" si="12"/>
        <v>5310.8431073931997</v>
      </c>
      <c r="V167" s="140">
        <f t="shared" si="12"/>
        <v>5324.5010898460378</v>
      </c>
      <c r="W167" s="140">
        <f t="shared" si="12"/>
        <v>5338.1590722988767</v>
      </c>
      <c r="X167" s="140">
        <f t="shared" si="12"/>
        <v>5351.8170547517147</v>
      </c>
    </row>
    <row r="168" spans="1:26" s="59" customFormat="1" x14ac:dyDescent="0.25">
      <c r="A168" s="59">
        <v>10</v>
      </c>
      <c r="B168" s="69" t="s">
        <v>111</v>
      </c>
      <c r="D168" s="59" t="s">
        <v>220</v>
      </c>
      <c r="E168" s="140">
        <f>-1*$E$119*10^6</f>
        <v>2628.4511110955809</v>
      </c>
      <c r="F168" s="140">
        <f t="shared" ref="F168:X168" si="13">-1*$E$119*10^6</f>
        <v>2628.4511110955809</v>
      </c>
      <c r="G168" s="140">
        <f t="shared" si="13"/>
        <v>2628.4511110955809</v>
      </c>
      <c r="H168" s="140">
        <f t="shared" si="13"/>
        <v>2628.4511110955809</v>
      </c>
      <c r="I168" s="140">
        <f t="shared" si="13"/>
        <v>2628.4511110955809</v>
      </c>
      <c r="J168" s="140">
        <f t="shared" si="13"/>
        <v>2628.4511110955809</v>
      </c>
      <c r="K168" s="140">
        <f t="shared" si="13"/>
        <v>2628.4511110955809</v>
      </c>
      <c r="L168" s="140">
        <f t="shared" si="13"/>
        <v>2628.4511110955809</v>
      </c>
      <c r="M168" s="140">
        <f t="shared" si="13"/>
        <v>2628.4511110955809</v>
      </c>
      <c r="N168" s="140">
        <f t="shared" si="13"/>
        <v>2628.4511110955809</v>
      </c>
      <c r="O168" s="140">
        <f t="shared" si="13"/>
        <v>2628.4511110955809</v>
      </c>
      <c r="P168" s="140">
        <f t="shared" si="13"/>
        <v>2628.4511110955809</v>
      </c>
      <c r="Q168" s="140">
        <f t="shared" si="13"/>
        <v>2628.4511110955809</v>
      </c>
      <c r="R168" s="140">
        <f t="shared" si="13"/>
        <v>2628.4511110955809</v>
      </c>
      <c r="S168" s="140">
        <f t="shared" si="13"/>
        <v>2628.4511110955809</v>
      </c>
      <c r="T168" s="140">
        <f t="shared" si="13"/>
        <v>2628.4511110955809</v>
      </c>
      <c r="U168" s="140">
        <f t="shared" si="13"/>
        <v>2628.4511110955809</v>
      </c>
      <c r="V168" s="140">
        <f t="shared" si="13"/>
        <v>2628.4511110955809</v>
      </c>
      <c r="W168" s="140">
        <f t="shared" si="13"/>
        <v>2628.4511110955809</v>
      </c>
      <c r="X168" s="140">
        <f t="shared" si="13"/>
        <v>2628.4511110955809</v>
      </c>
    </row>
    <row r="169" spans="1:26" s="59" customFormat="1" x14ac:dyDescent="0.25">
      <c r="B169" s="69"/>
      <c r="E169" s="140"/>
      <c r="F169" s="140"/>
      <c r="G169" s="140"/>
      <c r="H169" s="140"/>
      <c r="I169" s="140"/>
      <c r="J169" s="140"/>
      <c r="K169" s="140"/>
      <c r="L169" s="140"/>
      <c r="M169" s="140"/>
      <c r="N169" s="140"/>
      <c r="O169" s="140"/>
      <c r="P169" s="140"/>
      <c r="Q169" s="140"/>
      <c r="R169" s="140"/>
      <c r="S169" s="140"/>
      <c r="T169" s="140"/>
      <c r="U169" s="140"/>
      <c r="V169" s="140"/>
      <c r="W169" s="140"/>
      <c r="X169" s="140"/>
    </row>
    <row r="170" spans="1:26" x14ac:dyDescent="0.25">
      <c r="B170" s="42"/>
      <c r="U170" s="42"/>
      <c r="V170" s="42"/>
      <c r="W170" s="42"/>
      <c r="X170" s="42"/>
      <c r="Y170" s="42"/>
      <c r="Z170" s="42"/>
    </row>
    <row r="171" spans="1:26" x14ac:dyDescent="0.25">
      <c r="B171" s="47" t="s">
        <v>121</v>
      </c>
      <c r="D171" s="150" t="s">
        <v>29</v>
      </c>
      <c r="E171" s="154">
        <f>E31</f>
        <v>2020</v>
      </c>
      <c r="F171" s="154">
        <f>E171+1</f>
        <v>2021</v>
      </c>
      <c r="G171" s="154">
        <f t="shared" ref="G171:X171" si="14">F171+1</f>
        <v>2022</v>
      </c>
      <c r="H171" s="154">
        <f t="shared" si="14"/>
        <v>2023</v>
      </c>
      <c r="I171" s="154">
        <f t="shared" si="14"/>
        <v>2024</v>
      </c>
      <c r="J171" s="154">
        <f t="shared" si="14"/>
        <v>2025</v>
      </c>
      <c r="K171" s="154">
        <f t="shared" si="14"/>
        <v>2026</v>
      </c>
      <c r="L171" s="154">
        <f t="shared" si="14"/>
        <v>2027</v>
      </c>
      <c r="M171" s="154">
        <f t="shared" si="14"/>
        <v>2028</v>
      </c>
      <c r="N171" s="154">
        <f t="shared" si="14"/>
        <v>2029</v>
      </c>
      <c r="O171" s="154">
        <f t="shared" si="14"/>
        <v>2030</v>
      </c>
      <c r="P171" s="154">
        <f t="shared" si="14"/>
        <v>2031</v>
      </c>
      <c r="Q171" s="154">
        <f t="shared" si="14"/>
        <v>2032</v>
      </c>
      <c r="R171" s="154">
        <f t="shared" si="14"/>
        <v>2033</v>
      </c>
      <c r="S171" s="154">
        <f t="shared" si="14"/>
        <v>2034</v>
      </c>
      <c r="T171" s="154">
        <f t="shared" si="14"/>
        <v>2035</v>
      </c>
      <c r="U171" s="154">
        <f t="shared" si="14"/>
        <v>2036</v>
      </c>
      <c r="V171" s="154">
        <f t="shared" si="14"/>
        <v>2037</v>
      </c>
      <c r="W171" s="154">
        <f t="shared" si="14"/>
        <v>2038</v>
      </c>
      <c r="X171" s="154">
        <f t="shared" si="14"/>
        <v>2039</v>
      </c>
    </row>
    <row r="172" spans="1:26" x14ac:dyDescent="0.25">
      <c r="B172" s="51" t="s">
        <v>28</v>
      </c>
      <c r="C172" s="49" t="s">
        <v>31</v>
      </c>
      <c r="D172" s="151" t="s">
        <v>4</v>
      </c>
      <c r="E172" s="155" t="s">
        <v>433</v>
      </c>
      <c r="F172" s="155" t="s">
        <v>434</v>
      </c>
      <c r="G172" s="155" t="s">
        <v>444</v>
      </c>
      <c r="H172" s="155" t="s">
        <v>445</v>
      </c>
      <c r="I172" s="155" t="s">
        <v>446</v>
      </c>
      <c r="J172" s="155" t="s">
        <v>447</v>
      </c>
      <c r="K172" s="155" t="s">
        <v>448</v>
      </c>
      <c r="L172" s="155" t="s">
        <v>449</v>
      </c>
      <c r="M172" s="155" t="s">
        <v>450</v>
      </c>
      <c r="N172" s="155" t="s">
        <v>451</v>
      </c>
      <c r="O172" s="155" t="s">
        <v>452</v>
      </c>
      <c r="P172" s="155" t="s">
        <v>435</v>
      </c>
      <c r="Q172" s="155" t="s">
        <v>436</v>
      </c>
      <c r="R172" s="155" t="s">
        <v>437</v>
      </c>
      <c r="S172" s="155" t="s">
        <v>438</v>
      </c>
      <c r="T172" s="155" t="s">
        <v>439</v>
      </c>
      <c r="U172" s="155" t="s">
        <v>440</v>
      </c>
      <c r="V172" s="155" t="s">
        <v>441</v>
      </c>
      <c r="W172" s="155" t="s">
        <v>442</v>
      </c>
      <c r="X172" s="155" t="s">
        <v>453</v>
      </c>
      <c r="Y172" s="42"/>
      <c r="Z172" s="42"/>
    </row>
    <row r="173" spans="1:26" x14ac:dyDescent="0.25">
      <c r="B173" s="49" t="s">
        <v>96</v>
      </c>
      <c r="C173" s="62"/>
      <c r="D173" s="63" t="s">
        <v>423</v>
      </c>
      <c r="E173" s="56">
        <f>E159*INDEX(UsedScenarioParameters[],1,E171-2015+4)</f>
        <v>436183.68078526051</v>
      </c>
      <c r="F173" s="56">
        <f>F159*INDEX(UsedScenarioParameters[],1,F171-2015+4)</f>
        <v>472231.90790784999</v>
      </c>
      <c r="G173" s="56">
        <f>G159*INDEX(UsedScenarioParameters[],1,G171-2015+4)</f>
        <v>508280.13503043936</v>
      </c>
      <c r="H173" s="56">
        <f>H159*INDEX(UsedScenarioParameters[],1,H171-2015+4)</f>
        <v>544328.36215302884</v>
      </c>
      <c r="I173" s="56">
        <f>I159*INDEX(UsedScenarioParameters[],1,I171-2015+4)</f>
        <v>580376.63838744361</v>
      </c>
      <c r="J173" s="56">
        <f>J159*INDEX(UsedScenarioParameters[],1,J171-2015+4)</f>
        <v>616424.86551003298</v>
      </c>
      <c r="K173" s="56">
        <f>K159*INDEX(UsedScenarioParameters[],1,K171-2015+4)</f>
        <v>652730.58593279112</v>
      </c>
      <c r="L173" s="56">
        <f>L159*INDEX(UsedScenarioParameters[],1,L171-2015+4)</f>
        <v>688778.8130553806</v>
      </c>
      <c r="M173" s="56">
        <f>M159*INDEX(UsedScenarioParameters[],1,M171-2015+4)</f>
        <v>724827.04017797008</v>
      </c>
      <c r="N173" s="56">
        <f>N159*INDEX(UsedScenarioParameters[],1,N171-2015+4)</f>
        <v>760875.26730055944</v>
      </c>
      <c r="O173" s="56">
        <f>O159*INDEX(UsedScenarioParameters[],1,O171-2015+4)</f>
        <v>796923.54353497433</v>
      </c>
      <c r="P173" s="56">
        <f>P159*INDEX(UsedScenarioParameters[],1,P171-2015+4)</f>
        <v>806193.08624901657</v>
      </c>
      <c r="Q173" s="56">
        <f>Q159*INDEX(UsedScenarioParameters[],1,Q171-2015+4)</f>
        <v>815462.62896305881</v>
      </c>
      <c r="R173" s="56">
        <f>R159*INDEX(UsedScenarioParameters[],1,R171-2015+4)</f>
        <v>824732.17167710105</v>
      </c>
      <c r="S173" s="56">
        <f>S159*INDEX(UsedScenarioParameters[],1,S171-2015+4)</f>
        <v>834001.71439114306</v>
      </c>
      <c r="T173" s="56">
        <f>T159*INDEX(UsedScenarioParameters[],1,T171-2015+4)</f>
        <v>843271.25710518553</v>
      </c>
      <c r="U173" s="56">
        <f>U159*INDEX(UsedScenarioParameters[],1,U171-2015+4)</f>
        <v>843271.25710518553</v>
      </c>
      <c r="V173" s="56">
        <f>V159*INDEX(UsedScenarioParameters[],1,V171-2015+4)</f>
        <v>843271.25710518553</v>
      </c>
      <c r="W173" s="56">
        <f>W159*INDEX(UsedScenarioParameters[],1,W171-2015+4)</f>
        <v>843271.25710518553</v>
      </c>
      <c r="X173" s="56">
        <f>X159*INDEX(UsedScenarioParameters[],1,X171-2015+4)</f>
        <v>843271.25710518553</v>
      </c>
      <c r="Y173" s="42"/>
      <c r="Z173" s="42"/>
    </row>
    <row r="174" spans="1:26" x14ac:dyDescent="0.25">
      <c r="B174" s="49" t="s">
        <v>97</v>
      </c>
      <c r="C174" s="62"/>
      <c r="D174" s="63" t="s">
        <v>423</v>
      </c>
      <c r="E174" s="64">
        <f>E168*INDEX(UsedScenarioParameters[],2,E171-2015+4)</f>
        <v>21830.746728266069</v>
      </c>
      <c r="F174" s="64">
        <f>F168*INDEX(UsedScenarioParameters[],2,F171-2015+4)</f>
        <v>23442.863473797792</v>
      </c>
      <c r="G174" s="64">
        <f>G168*INDEX(UsedScenarioParameters[],2,G171-2015+4)</f>
        <v>26331.239643186709</v>
      </c>
      <c r="H174" s="64">
        <f>H168*INDEX(UsedScenarioParameters[],2,H171-2015+4)</f>
        <v>28413.55663906275</v>
      </c>
      <c r="I174" s="64">
        <f>I168*INDEX(UsedScenarioParameters[],2,I171-2015+4)</f>
        <v>29891.328854430623</v>
      </c>
      <c r="J174" s="64">
        <f>J168*INDEX(UsedScenarioParameters[],2,J171-2015+4)</f>
        <v>31906.475987465794</v>
      </c>
      <c r="K174" s="64">
        <f>K168*INDEX(UsedScenarioParameters[],2,K171-2015+4)</f>
        <v>32175.161844805414</v>
      </c>
      <c r="L174" s="64">
        <f>L168*INDEX(UsedScenarioParameters[],2,L171-2015+4)</f>
        <v>31839.30292163686</v>
      </c>
      <c r="M174" s="64">
        <f>M168*INDEX(UsedScenarioParameters[],2,M171-2015+4)</f>
        <v>30966.075486777154</v>
      </c>
      <c r="N174" s="64">
        <f>N168*INDEX(UsedScenarioParameters[],2,N171-2015+4)</f>
        <v>30092.844848929366</v>
      </c>
      <c r="O174" s="64">
        <f>O168*INDEX(UsedScenarioParameters[],2,O171-2015+4)</f>
        <v>29018.101419570918</v>
      </c>
      <c r="P174" s="64">
        <f>P168*INDEX(UsedScenarioParameters[],2,P171-2015+4)</f>
        <v>29662.948117783602</v>
      </c>
      <c r="Q174" s="64">
        <f>Q168*INDEX(UsedScenarioParameters[],2,Q171-2015+4)</f>
        <v>30307.794815996294</v>
      </c>
      <c r="R174" s="64">
        <f>R168*INDEX(UsedScenarioParameters[],2,R171-2015+4)</f>
        <v>30952.641514208975</v>
      </c>
      <c r="S174" s="64">
        <f>S168*INDEX(UsedScenarioParameters[],2,S171-2015+4)</f>
        <v>31597.488212421667</v>
      </c>
      <c r="T174" s="64">
        <f>T168*INDEX(UsedScenarioParameters[],2,T171-2015+4)</f>
        <v>32242.334910634352</v>
      </c>
      <c r="U174" s="64">
        <f>U168*INDEX(UsedScenarioParameters[],2,U171-2015+4)</f>
        <v>32242.334910634352</v>
      </c>
      <c r="V174" s="64">
        <f>V168*INDEX(UsedScenarioParameters[],2,V171-2015+4)</f>
        <v>32242.334910634352</v>
      </c>
      <c r="W174" s="64">
        <f>W168*INDEX(UsedScenarioParameters[],2,W171-2015+4)</f>
        <v>32242.334910634352</v>
      </c>
      <c r="X174" s="64">
        <f>X168*INDEX(UsedScenarioParameters[],2,X171-2015+4)</f>
        <v>32242.334910634352</v>
      </c>
      <c r="Y174" s="42"/>
      <c r="Z174" s="42"/>
    </row>
    <row r="175" spans="1:26" x14ac:dyDescent="0.25">
      <c r="B175" s="49" t="s">
        <v>98</v>
      </c>
      <c r="C175" s="62"/>
      <c r="D175" s="63" t="s">
        <v>423</v>
      </c>
      <c r="E175" s="61">
        <f>E161*INDEX(UsedScenarioParameters[],10,E171-2015+4)</f>
        <v>0</v>
      </c>
      <c r="F175" s="61">
        <f>F161*INDEX(UsedScenarioParameters[],10,F171-2015+4)</f>
        <v>0</v>
      </c>
      <c r="G175" s="61">
        <f>G161*INDEX(UsedScenarioParameters[],10,G171-2015+4)</f>
        <v>0</v>
      </c>
      <c r="H175" s="61">
        <f>H161*INDEX(UsedScenarioParameters[],10,H171-2015+4)</f>
        <v>0</v>
      </c>
      <c r="I175" s="61">
        <f>I161*INDEX(UsedScenarioParameters[],10,I171-2015+4)</f>
        <v>0</v>
      </c>
      <c r="J175" s="61">
        <f>J161*INDEX(UsedScenarioParameters[],10,J171-2015+4)</f>
        <v>0</v>
      </c>
      <c r="K175" s="61">
        <f>K161*INDEX(UsedScenarioParameters[],10,K171-2015+4)</f>
        <v>0</v>
      </c>
      <c r="L175" s="61">
        <f>L161*INDEX(UsedScenarioParameters[],10,L171-2015+4)</f>
        <v>0</v>
      </c>
      <c r="M175" s="61">
        <f>M161*INDEX(UsedScenarioParameters[],10,M171-2015+4)</f>
        <v>0</v>
      </c>
      <c r="N175" s="61">
        <f>N161*INDEX(UsedScenarioParameters[],10,N171-2015+4)</f>
        <v>0</v>
      </c>
      <c r="O175" s="61">
        <f>O161*INDEX(UsedScenarioParameters[],10,O171-2015+4)</f>
        <v>0</v>
      </c>
      <c r="P175" s="61">
        <f>P161*INDEX(UsedScenarioParameters[],10,P171-2015+4)</f>
        <v>0</v>
      </c>
      <c r="Q175" s="61">
        <f>Q161*INDEX(UsedScenarioParameters[],10,Q171-2015+4)</f>
        <v>0</v>
      </c>
      <c r="R175" s="61">
        <f>R161*INDEX(UsedScenarioParameters[],10,R171-2015+4)</f>
        <v>0</v>
      </c>
      <c r="S175" s="61">
        <f>S161*INDEX(UsedScenarioParameters[],10,S171-2015+4)</f>
        <v>0</v>
      </c>
      <c r="T175" s="61">
        <f>T161*INDEX(UsedScenarioParameters[],10,T171-2015+4)</f>
        <v>0</v>
      </c>
      <c r="U175" s="61">
        <f>U161*INDEX(UsedScenarioParameters[],10,U171-2015+4)</f>
        <v>0</v>
      </c>
      <c r="V175" s="61">
        <f>V161*INDEX(UsedScenarioParameters[],10,V171-2015+4)</f>
        <v>0</v>
      </c>
      <c r="W175" s="61">
        <f>W161*INDEX(UsedScenarioParameters[],10,W171-2015+4)</f>
        <v>0</v>
      </c>
      <c r="X175" s="61">
        <f>X161*INDEX(UsedScenarioParameters[],10,X171-2015+4)</f>
        <v>0</v>
      </c>
      <c r="Y175" s="42"/>
      <c r="Z175" s="42"/>
    </row>
    <row r="176" spans="1:26" x14ac:dyDescent="0.25">
      <c r="B176" s="49" t="s">
        <v>99</v>
      </c>
      <c r="C176" s="62"/>
      <c r="D176" s="63" t="s">
        <v>423</v>
      </c>
      <c r="E176" s="60">
        <f>E162*INDEX(UsedScenarioParameters[],5,E171-2015+4)</f>
        <v>6.4047027528704351E-2</v>
      </c>
      <c r="F176" s="60">
        <f>F162*INDEX(UsedScenarioParameters[],5,F171-2015+4)</f>
        <v>6.4047027528704351E-2</v>
      </c>
      <c r="G176" s="60">
        <f>G162*INDEX(UsedScenarioParameters[],5,G171-2015+4)</f>
        <v>6.4047027528704351E-2</v>
      </c>
      <c r="H176" s="60">
        <f>H162*INDEX(UsedScenarioParameters[],5,H171-2015+4)</f>
        <v>6.4047027528704351E-2</v>
      </c>
      <c r="I176" s="60">
        <f>I162*INDEX(UsedScenarioParameters[],5,I171-2015+4)</f>
        <v>6.4047027528704351E-2</v>
      </c>
      <c r="J176" s="60">
        <f>J162*INDEX(UsedScenarioParameters[],5,J171-2015+4)</f>
        <v>6.4047027528704351E-2</v>
      </c>
      <c r="K176" s="60">
        <f>K162*INDEX(UsedScenarioParameters[],5,K171-2015+4)</f>
        <v>6.4047027528704351E-2</v>
      </c>
      <c r="L176" s="60">
        <f>L162*INDEX(UsedScenarioParameters[],5,L171-2015+4)</f>
        <v>6.4047027528704351E-2</v>
      </c>
      <c r="M176" s="60">
        <f>M162*INDEX(UsedScenarioParameters[],5,M171-2015+4)</f>
        <v>6.4047027528704351E-2</v>
      </c>
      <c r="N176" s="60">
        <f>N162*INDEX(UsedScenarioParameters[],5,N171-2015+4)</f>
        <v>6.4047027528704351E-2</v>
      </c>
      <c r="O176" s="60">
        <f>O162*INDEX(UsedScenarioParameters[],5,O171-2015+4)</f>
        <v>6.4047027528704351E-2</v>
      </c>
      <c r="P176" s="60">
        <f>P162*INDEX(UsedScenarioParameters[],5,P171-2015+4)</f>
        <v>6.4047027528704351E-2</v>
      </c>
      <c r="Q176" s="60">
        <f>Q162*INDEX(UsedScenarioParameters[],5,Q171-2015+4)</f>
        <v>6.4047027528704351E-2</v>
      </c>
      <c r="R176" s="60">
        <f>R162*INDEX(UsedScenarioParameters[],5,R171-2015+4)</f>
        <v>6.4047027528704351E-2</v>
      </c>
      <c r="S176" s="60">
        <f>S162*INDEX(UsedScenarioParameters[],5,S171-2015+4)</f>
        <v>6.4047027528704351E-2</v>
      </c>
      <c r="T176" s="60">
        <f>T162*INDEX(UsedScenarioParameters[],5,T171-2015+4)</f>
        <v>6.4047027528704351E-2</v>
      </c>
      <c r="U176" s="60">
        <f>U162*INDEX(UsedScenarioParameters[],5,U171-2015+4)</f>
        <v>6.4047027528704351E-2</v>
      </c>
      <c r="V176" s="60">
        <f>V162*INDEX(UsedScenarioParameters[],5,V171-2015+4)</f>
        <v>6.4047027528704351E-2</v>
      </c>
      <c r="W176" s="60">
        <f>W162*INDEX(UsedScenarioParameters[],5,W171-2015+4)</f>
        <v>6.4047027528704351E-2</v>
      </c>
      <c r="X176" s="60">
        <f>X162*INDEX(UsedScenarioParameters[],5,X171-2015+4)</f>
        <v>6.4047027528704351E-2</v>
      </c>
      <c r="Y176" s="42"/>
      <c r="Z176" s="42"/>
    </row>
    <row r="177" spans="1:26" x14ac:dyDescent="0.25">
      <c r="A177" s="42" t="s">
        <v>81</v>
      </c>
      <c r="B177" s="51" t="s">
        <v>223</v>
      </c>
      <c r="C177" s="62"/>
      <c r="D177" s="63" t="s">
        <v>423</v>
      </c>
      <c r="E177" s="65">
        <f>E164*INDEX(UsedScenarioParameters[],3,E171-2015+4)</f>
        <v>32286.896227199421</v>
      </c>
      <c r="F177" s="65">
        <f>F164*INDEX(UsedScenarioParameters[],3,F171-2015+4)</f>
        <v>37178.854064920029</v>
      </c>
      <c r="G177" s="65">
        <f>G164*INDEX(UsedScenarioParameters[],3,G171-2015+4)</f>
        <v>41581.609743429421</v>
      </c>
      <c r="H177" s="65">
        <f>H164*INDEX(UsedScenarioParameters[],3,H171-2015+4)</f>
        <v>45495.173071095538</v>
      </c>
      <c r="I177" s="65">
        <f>I164*INDEX(UsedScenarioParameters[],3,I171-2015+4)</f>
        <v>49408.721686209741</v>
      </c>
      <c r="J177" s="65">
        <f>J164*INDEX(UsedScenarioParameters[],3,J171-2015+4)</f>
        <v>53322.309534795699</v>
      </c>
      <c r="K177" s="65">
        <f>K164*INDEX(UsedScenarioParameters[],3,K171-2015+4)</f>
        <v>57725.040692385242</v>
      </c>
      <c r="L177" s="65">
        <f>L164*INDEX(UsedScenarioParameters[],3,L171-2015+4)</f>
        <v>63106.20559350105</v>
      </c>
      <c r="M177" s="65">
        <f>M164*INDEX(UsedScenarioParameters[],3,M171-2015+4)</f>
        <v>67998.178143773563</v>
      </c>
      <c r="N177" s="65">
        <f>N164*INDEX(UsedScenarioParameters[],3,N171-2015+4)</f>
        <v>73868.486353892979</v>
      </c>
      <c r="O177" s="65">
        <f>O164*INDEX(UsedScenarioParameters[],3,O171-2015+4)</f>
        <v>80228.035956695356</v>
      </c>
      <c r="P177" s="65">
        <f>P164*INDEX(UsedScenarioParameters[],3,P171-2015+4)</f>
        <v>88348.678022533539</v>
      </c>
      <c r="Q177" s="65">
        <f>Q164*INDEX(UsedScenarioParameters[],3,Q171-2015+4)</f>
        <v>96469.320088371736</v>
      </c>
      <c r="R177" s="65">
        <f>R164*INDEX(UsedScenarioParameters[],3,R171-2015+4)</f>
        <v>104589.96215420993</v>
      </c>
      <c r="S177" s="65">
        <f>S164*INDEX(UsedScenarioParameters[],3,S171-2015+4)</f>
        <v>112710.6042200481</v>
      </c>
      <c r="T177" s="65">
        <f>T164*INDEX(UsedScenarioParameters[],3,T171-2015+4)</f>
        <v>120831.2462858863</v>
      </c>
      <c r="U177" s="65">
        <f>U164*INDEX(UsedScenarioParameters[],3,U171-2015+4)</f>
        <v>120831.2462858863</v>
      </c>
      <c r="V177" s="65">
        <f>V164*INDEX(UsedScenarioParameters[],3,V171-2015+4)</f>
        <v>120831.2462858863</v>
      </c>
      <c r="W177" s="65">
        <f>W164*INDEX(UsedScenarioParameters[],3,W171-2015+4)</f>
        <v>120831.2462858863</v>
      </c>
      <c r="X177" s="65">
        <f>X164*INDEX(UsedScenarioParameters[],3,X171-2015+4)</f>
        <v>120831.2462858863</v>
      </c>
      <c r="Y177" s="42"/>
      <c r="Z177" s="42"/>
    </row>
    <row r="178" spans="1:26" x14ac:dyDescent="0.25">
      <c r="B178" s="49" t="s">
        <v>91</v>
      </c>
      <c r="C178" s="62"/>
      <c r="D178" s="63" t="s">
        <v>423</v>
      </c>
      <c r="E178" s="56">
        <f t="shared" ref="E178:X178" si="15">-1*$E$26</f>
        <v>0</v>
      </c>
      <c r="F178" s="56">
        <f t="shared" si="15"/>
        <v>0</v>
      </c>
      <c r="G178" s="56">
        <f t="shared" si="15"/>
        <v>0</v>
      </c>
      <c r="H178" s="56">
        <f t="shared" si="15"/>
        <v>0</v>
      </c>
      <c r="I178" s="56">
        <f t="shared" si="15"/>
        <v>0</v>
      </c>
      <c r="J178" s="56">
        <f t="shared" si="15"/>
        <v>0</v>
      </c>
      <c r="K178" s="56">
        <f t="shared" si="15"/>
        <v>0</v>
      </c>
      <c r="L178" s="56">
        <f t="shared" si="15"/>
        <v>0</v>
      </c>
      <c r="M178" s="56">
        <f t="shared" si="15"/>
        <v>0</v>
      </c>
      <c r="N178" s="56">
        <f t="shared" si="15"/>
        <v>0</v>
      </c>
      <c r="O178" s="56">
        <f t="shared" si="15"/>
        <v>0</v>
      </c>
      <c r="P178" s="56">
        <f t="shared" si="15"/>
        <v>0</v>
      </c>
      <c r="Q178" s="56">
        <f t="shared" si="15"/>
        <v>0</v>
      </c>
      <c r="R178" s="56">
        <f t="shared" si="15"/>
        <v>0</v>
      </c>
      <c r="S178" s="56">
        <f t="shared" si="15"/>
        <v>0</v>
      </c>
      <c r="T178" s="56">
        <f t="shared" si="15"/>
        <v>0</v>
      </c>
      <c r="U178" s="56">
        <f t="shared" si="15"/>
        <v>0</v>
      </c>
      <c r="V178" s="56">
        <f t="shared" si="15"/>
        <v>0</v>
      </c>
      <c r="W178" s="56">
        <f t="shared" si="15"/>
        <v>0</v>
      </c>
      <c r="X178" s="56">
        <f t="shared" si="15"/>
        <v>0</v>
      </c>
      <c r="Y178" s="42"/>
      <c r="Z178" s="42"/>
    </row>
    <row r="179" spans="1:26" x14ac:dyDescent="0.25">
      <c r="B179" s="42"/>
      <c r="D179" s="156"/>
      <c r="E179" s="156"/>
      <c r="F179" s="156"/>
      <c r="G179" s="156"/>
      <c r="H179" s="156"/>
      <c r="I179" s="156"/>
      <c r="J179" s="156"/>
      <c r="K179" s="156"/>
      <c r="L179" s="156"/>
      <c r="M179" s="156"/>
      <c r="N179" s="156"/>
      <c r="O179" s="156"/>
      <c r="P179" s="156"/>
      <c r="Q179" s="156"/>
      <c r="R179" s="156"/>
      <c r="S179" s="156"/>
      <c r="T179" s="156"/>
      <c r="U179" s="156"/>
      <c r="V179" s="156"/>
      <c r="W179" s="156"/>
      <c r="X179" s="156"/>
      <c r="Y179" s="42"/>
      <c r="Z179" s="42"/>
    </row>
    <row r="180" spans="1:26" x14ac:dyDescent="0.25">
      <c r="B180" s="55" t="s">
        <v>34</v>
      </c>
      <c r="D180" s="156"/>
      <c r="E180" s="157">
        <v>1</v>
      </c>
      <c r="F180" s="157">
        <v>2</v>
      </c>
      <c r="G180" s="157">
        <v>3</v>
      </c>
      <c r="H180" s="157">
        <v>4</v>
      </c>
      <c r="I180" s="157">
        <v>5</v>
      </c>
      <c r="J180" s="157">
        <v>6</v>
      </c>
      <c r="K180" s="157">
        <v>7</v>
      </c>
      <c r="L180" s="157">
        <v>8</v>
      </c>
      <c r="M180" s="157">
        <v>9</v>
      </c>
      <c r="N180" s="157">
        <v>10</v>
      </c>
      <c r="O180" s="157">
        <v>11</v>
      </c>
      <c r="P180" s="157">
        <v>12</v>
      </c>
      <c r="Q180" s="157">
        <v>13</v>
      </c>
      <c r="R180" s="157">
        <v>14</v>
      </c>
      <c r="S180" s="157">
        <v>15</v>
      </c>
      <c r="T180" s="157">
        <v>16</v>
      </c>
      <c r="U180" s="157">
        <v>17</v>
      </c>
      <c r="V180" s="157">
        <v>18</v>
      </c>
      <c r="W180" s="157">
        <v>19</v>
      </c>
      <c r="X180" s="157">
        <v>20</v>
      </c>
      <c r="Y180" s="42"/>
      <c r="Z180" s="42"/>
    </row>
    <row r="181" spans="1:26" x14ac:dyDescent="0.25">
      <c r="B181" s="67" t="s">
        <v>28</v>
      </c>
      <c r="C181" s="68" t="s">
        <v>31</v>
      </c>
      <c r="D181" s="68" t="s">
        <v>4</v>
      </c>
      <c r="E181" s="152" t="s">
        <v>433</v>
      </c>
      <c r="F181" s="152" t="s">
        <v>434</v>
      </c>
      <c r="G181" s="152" t="s">
        <v>444</v>
      </c>
      <c r="H181" s="152" t="s">
        <v>445</v>
      </c>
      <c r="I181" s="152" t="s">
        <v>446</v>
      </c>
      <c r="J181" s="152" t="s">
        <v>447</v>
      </c>
      <c r="K181" s="152" t="s">
        <v>448</v>
      </c>
      <c r="L181" s="152" t="s">
        <v>449</v>
      </c>
      <c r="M181" s="152" t="s">
        <v>450</v>
      </c>
      <c r="N181" s="152" t="s">
        <v>451</v>
      </c>
      <c r="O181" s="152" t="s">
        <v>452</v>
      </c>
      <c r="P181" s="152" t="s">
        <v>435</v>
      </c>
      <c r="Q181" s="152" t="s">
        <v>436</v>
      </c>
      <c r="R181" s="152" t="s">
        <v>437</v>
      </c>
      <c r="S181" s="152" t="s">
        <v>438</v>
      </c>
      <c r="T181" s="152" t="s">
        <v>439</v>
      </c>
      <c r="U181" s="153" t="s">
        <v>440</v>
      </c>
      <c r="V181" s="153" t="s">
        <v>441</v>
      </c>
      <c r="W181" s="153" t="s">
        <v>442</v>
      </c>
      <c r="X181" s="153" t="s">
        <v>453</v>
      </c>
      <c r="Y181" s="42"/>
      <c r="Z181" s="42"/>
    </row>
    <row r="182" spans="1:26" x14ac:dyDescent="0.25">
      <c r="B182" s="69" t="s">
        <v>33</v>
      </c>
      <c r="C182" s="59"/>
      <c r="D182" s="63" t="s">
        <v>423</v>
      </c>
      <c r="E182" s="70">
        <f t="shared" ref="E182:T182" si="16">SUM(E173:E178)</f>
        <v>490301.38778775354</v>
      </c>
      <c r="F182" s="70">
        <f t="shared" si="16"/>
        <v>532853.68949359539</v>
      </c>
      <c r="G182" s="70">
        <f t="shared" si="16"/>
        <v>576193.048464083</v>
      </c>
      <c r="H182" s="70">
        <f t="shared" si="16"/>
        <v>618237.15591021453</v>
      </c>
      <c r="I182" s="70">
        <f t="shared" si="16"/>
        <v>659676.75297511148</v>
      </c>
      <c r="J182" s="70">
        <f t="shared" si="16"/>
        <v>701653.71507932199</v>
      </c>
      <c r="K182" s="70">
        <f t="shared" si="16"/>
        <v>742630.85251700936</v>
      </c>
      <c r="L182" s="70">
        <f t="shared" si="16"/>
        <v>783724.38561754604</v>
      </c>
      <c r="M182" s="70">
        <f t="shared" si="16"/>
        <v>823791.35785554827</v>
      </c>
      <c r="N182" s="70">
        <f t="shared" si="16"/>
        <v>864836.66255040921</v>
      </c>
      <c r="O182" s="70">
        <f t="shared" si="16"/>
        <v>906169.74495826813</v>
      </c>
      <c r="P182" s="70">
        <f t="shared" si="16"/>
        <v>924204.77643636125</v>
      </c>
      <c r="Q182" s="70">
        <f t="shared" si="16"/>
        <v>942239.80791445437</v>
      </c>
      <c r="R182" s="70">
        <f t="shared" si="16"/>
        <v>960274.8393925475</v>
      </c>
      <c r="S182" s="70">
        <f t="shared" si="16"/>
        <v>978309.87087064027</v>
      </c>
      <c r="T182" s="70">
        <f t="shared" si="16"/>
        <v>996344.90234873362</v>
      </c>
      <c r="U182" s="70">
        <f t="shared" ref="U182:X182" si="17">SUM(U173:U178)</f>
        <v>996344.90234873362</v>
      </c>
      <c r="V182" s="70">
        <f t="shared" si="17"/>
        <v>996344.90234873362</v>
      </c>
      <c r="W182" s="70">
        <f t="shared" si="17"/>
        <v>996344.90234873362</v>
      </c>
      <c r="X182" s="70">
        <f t="shared" si="17"/>
        <v>996344.90234873362</v>
      </c>
      <c r="Y182" s="42"/>
      <c r="Z182" s="42"/>
    </row>
    <row r="183" spans="1:26" x14ac:dyDescent="0.25">
      <c r="B183" s="69" t="s">
        <v>35</v>
      </c>
      <c r="C183" s="59"/>
      <c r="D183" s="63" t="s">
        <v>423</v>
      </c>
      <c r="E183" s="71">
        <f>E182</f>
        <v>490301.38778775354</v>
      </c>
      <c r="F183" s="71">
        <f t="shared" ref="F183:T183" si="18">F182</f>
        <v>532853.68949359539</v>
      </c>
      <c r="G183" s="71">
        <f t="shared" si="18"/>
        <v>576193.048464083</v>
      </c>
      <c r="H183" s="71">
        <f t="shared" si="18"/>
        <v>618237.15591021453</v>
      </c>
      <c r="I183" s="71">
        <f t="shared" si="18"/>
        <v>659676.75297511148</v>
      </c>
      <c r="J183" s="71">
        <f t="shared" si="18"/>
        <v>701653.71507932199</v>
      </c>
      <c r="K183" s="71">
        <f t="shared" si="18"/>
        <v>742630.85251700936</v>
      </c>
      <c r="L183" s="71">
        <f t="shared" si="18"/>
        <v>783724.38561754604</v>
      </c>
      <c r="M183" s="71">
        <f t="shared" si="18"/>
        <v>823791.35785554827</v>
      </c>
      <c r="N183" s="71">
        <f t="shared" si="18"/>
        <v>864836.66255040921</v>
      </c>
      <c r="O183" s="71">
        <f t="shared" si="18"/>
        <v>906169.74495826813</v>
      </c>
      <c r="P183" s="71">
        <f t="shared" si="18"/>
        <v>924204.77643636125</v>
      </c>
      <c r="Q183" s="71">
        <f t="shared" si="18"/>
        <v>942239.80791445437</v>
      </c>
      <c r="R183" s="71">
        <f t="shared" si="18"/>
        <v>960274.8393925475</v>
      </c>
      <c r="S183" s="71">
        <f t="shared" si="18"/>
        <v>978309.87087064027</v>
      </c>
      <c r="T183" s="71">
        <f t="shared" si="18"/>
        <v>996344.90234873362</v>
      </c>
      <c r="U183" s="71">
        <f t="shared" ref="U183:X183" si="19">U182</f>
        <v>996344.90234873362</v>
      </c>
      <c r="V183" s="71">
        <f t="shared" si="19"/>
        <v>996344.90234873362</v>
      </c>
      <c r="W183" s="71">
        <f t="shared" si="19"/>
        <v>996344.90234873362</v>
      </c>
      <c r="X183" s="71">
        <f t="shared" si="19"/>
        <v>996344.90234873362</v>
      </c>
      <c r="Y183" s="42"/>
      <c r="Z183" s="42"/>
    </row>
    <row r="184" spans="1:26" x14ac:dyDescent="0.25">
      <c r="B184" s="69" t="s">
        <v>36</v>
      </c>
      <c r="C184" s="59"/>
      <c r="D184" s="63" t="s">
        <v>423</v>
      </c>
      <c r="E184" s="72">
        <f>E183*(1/E28-((1/(1+E28)^E181)*(1/E28)))</f>
        <v>471443.64210361009</v>
      </c>
      <c r="F184" s="73">
        <f>IF(F180&gt;$E$30,0,F$183*(1/$E$28-((1/(1+$E$28)^F$181)*(1/$E$28)))-SUM($E184:E$184))</f>
        <v>533568.86396789132</v>
      </c>
      <c r="G184" s="73">
        <f>IF(G180&gt;$E$30,0,G$183*(1/$E$28-((1/(1+$E$28)^G$180)*(1/$E$28)))-SUM($E184:F$184))</f>
        <v>593975.65612897906</v>
      </c>
      <c r="H184" s="73">
        <f>IF(H180&gt;$E$30,0,H$183*(1/$E$28-((1/(1+$E$28)^H$180)*(1/$E$28)))-SUM($E184:G$184))</f>
        <v>645147.93749614875</v>
      </c>
      <c r="I184" s="73">
        <f>IF(I180&gt;$E$30,0,I$183*(1/$E$28-((1/(1+$E$28)^I$180)*(1/$E$28)))-SUM($E184:H$184))</f>
        <v>692627.60045023588</v>
      </c>
      <c r="J184" s="73">
        <f>IF(J180&gt;$E$30,0,J$183*(1/$E$28-((1/(1+$E$28)^J$180)*(1/$E$28)))-SUM($E184:I$184))</f>
        <v>741401.10034345509</v>
      </c>
      <c r="K184" s="73">
        <f>IF(K180&gt;$E$30,0,K$183*(1/$E$28-((1/(1+$E$28)^K$180)*(1/$E$28)))-SUM($E184:J$184))</f>
        <v>779146.17590717087</v>
      </c>
      <c r="L184" s="73">
        <f>IF(L180&gt;$E$30,0,L$183*(1/$E$28-((1/(1+$E$28)^L$180)*(1/$E$28)))-SUM($E184:K$184))</f>
        <v>819305.36424269713</v>
      </c>
      <c r="M184" s="73">
        <f>IF(M180&gt;$E$30,0,M$183*(1/$E$28-((1/(1+$E$28)^M$180)*(1/$E$28)))-SUM($E184:L$184))</f>
        <v>848545.58290397469</v>
      </c>
      <c r="N184" s="73">
        <f>IF(N180&gt;$E$30,0,N$183*(1/$E$28-((1/(1+$E$28)^N$180)*(1/$E$28)))-SUM($E184:M$184))</f>
        <v>889438.11256744713</v>
      </c>
      <c r="O184" s="73">
        <f>IF(O180&gt;$E$30,0,O$183*(1/$E$28-((1/(1+$E$28)^O$180)*(1/$E$28)))-SUM($E184:N$184))</f>
        <v>0</v>
      </c>
      <c r="P184" s="73">
        <f>IF(P180&gt;$E$30,0,P$183*(1/$E$28-((1/(1+$E$28)^P$180)*(1/$E$28)))-SUM($E184:O$184))</f>
        <v>0</v>
      </c>
      <c r="Q184" s="73">
        <f>IF(Q180&gt;$E$30,0,Q$183*(1/$E$28-((1/(1+$E$28)^Q$180)*(1/$E$28)))-SUM($E184:P$184))</f>
        <v>0</v>
      </c>
      <c r="R184" s="73">
        <f>IF(R180&gt;$E$30,0,R$183*(1/$E$28-((1/(1+$E$28)^R$180)*(1/$E$28)))-SUM($E184:Q$184))</f>
        <v>0</v>
      </c>
      <c r="S184" s="73">
        <f>IF(S180&gt;$E$30,0,S$183*(1/$E$28-((1/(1+$E$28)^S$180)*(1/$E$28)))-SUM($E184:R$184))</f>
        <v>0</v>
      </c>
      <c r="T184" s="73">
        <f>IF(T180&gt;$E$30,0,T$183*(1/$E$28-((1/(1+$E$28)^T$180)*(1/$E$28)))-SUM($E184:S$184))</f>
        <v>0</v>
      </c>
      <c r="U184" s="73">
        <f>IF(U180&gt;$E$30,0,U$183*(1/$E$28-((1/(1+$E$28)^U$180)*(1/$E$28)))-SUM($E184:T$184))</f>
        <v>0</v>
      </c>
      <c r="V184" s="73">
        <f>IF(V180&gt;$E$30,0,V$183*(1/$E$28-((1/(1+$E$28)^V$180)*(1/$E$28)))-SUM($E184:U$184))</f>
        <v>0</v>
      </c>
      <c r="W184" s="73">
        <f>IF(W180&gt;$E$30,0,W$183*(1/$E$28-((1/(1+$E$28)^W$180)*(1/$E$28)))-SUM($E184:V$184))</f>
        <v>0</v>
      </c>
      <c r="X184" s="73">
        <f>IF(X180&gt;$E$30,0,X$183*(1/$E$28-((1/(1+$E$28)^X$180)*(1/$E$28)))-SUM($E184:W$184))</f>
        <v>0</v>
      </c>
      <c r="Y184" s="42"/>
      <c r="Z184" s="42"/>
    </row>
    <row r="185" spans="1:26" x14ac:dyDescent="0.25">
      <c r="B185" s="51"/>
      <c r="C185" s="62"/>
      <c r="D185" s="66"/>
      <c r="E185" s="62"/>
      <c r="N185" s="136"/>
    </row>
    <row r="187" spans="1:26" x14ac:dyDescent="0.25">
      <c r="B187" s="42"/>
    </row>
    <row r="188" spans="1:26" x14ac:dyDescent="0.25">
      <c r="B188" s="42"/>
    </row>
    <row r="189" spans="1:26" x14ac:dyDescent="0.25">
      <c r="B189" s="42"/>
    </row>
    <row r="190" spans="1:26" x14ac:dyDescent="0.25">
      <c r="B190" s="42"/>
      <c r="G190" s="85"/>
    </row>
    <row r="191" spans="1:26" ht="18.75" x14ac:dyDescent="0.3">
      <c r="B191" s="102" t="s">
        <v>515</v>
      </c>
    </row>
    <row r="192" spans="1:26" x14ac:dyDescent="0.25">
      <c r="B192" s="42"/>
    </row>
    <row r="193" spans="1:26" x14ac:dyDescent="0.25">
      <c r="B193" s="55" t="s">
        <v>221</v>
      </c>
    </row>
    <row r="194" spans="1:26" x14ac:dyDescent="0.25">
      <c r="B194" s="51" t="s">
        <v>28</v>
      </c>
      <c r="C194" s="49" t="s">
        <v>89</v>
      </c>
      <c r="D194" s="49" t="s">
        <v>4</v>
      </c>
      <c r="E194" s="49" t="s">
        <v>433</v>
      </c>
      <c r="F194" s="49" t="s">
        <v>434</v>
      </c>
      <c r="G194" s="49" t="s">
        <v>444</v>
      </c>
      <c r="H194" s="49" t="s">
        <v>445</v>
      </c>
      <c r="I194" s="49" t="s">
        <v>446</v>
      </c>
      <c r="J194" s="49" t="s">
        <v>447</v>
      </c>
      <c r="K194" s="49" t="s">
        <v>448</v>
      </c>
      <c r="L194" s="49" t="s">
        <v>449</v>
      </c>
      <c r="M194" s="49" t="s">
        <v>450</v>
      </c>
      <c r="N194" s="49" t="s">
        <v>451</v>
      </c>
      <c r="O194" s="49" t="s">
        <v>452</v>
      </c>
      <c r="P194" s="49" t="s">
        <v>435</v>
      </c>
      <c r="Q194" s="49" t="s">
        <v>436</v>
      </c>
      <c r="R194" s="49" t="s">
        <v>437</v>
      </c>
      <c r="S194" s="49" t="s">
        <v>438</v>
      </c>
      <c r="T194" s="49" t="s">
        <v>439</v>
      </c>
      <c r="U194" s="49" t="s">
        <v>440</v>
      </c>
      <c r="V194" s="49" t="s">
        <v>441</v>
      </c>
      <c r="W194" s="49" t="s">
        <v>442</v>
      </c>
      <c r="X194" s="49" t="s">
        <v>453</v>
      </c>
      <c r="Y194" s="42"/>
      <c r="Z194" s="42"/>
    </row>
    <row r="195" spans="1:26" s="59" customFormat="1" x14ac:dyDescent="0.25">
      <c r="A195" s="59">
        <v>1</v>
      </c>
      <c r="B195" s="59" t="s">
        <v>110</v>
      </c>
      <c r="D195" s="59" t="s">
        <v>421</v>
      </c>
      <c r="E195" s="140">
        <f t="shared" ref="E195:X195" si="20">-1*$F$118*10^6</f>
        <v>75465.267461577052</v>
      </c>
      <c r="F195" s="140">
        <f t="shared" si="20"/>
        <v>75465.267461577052</v>
      </c>
      <c r="G195" s="140">
        <f t="shared" si="20"/>
        <v>75465.267461577052</v>
      </c>
      <c r="H195" s="140">
        <f t="shared" si="20"/>
        <v>75465.267461577052</v>
      </c>
      <c r="I195" s="140">
        <f t="shared" si="20"/>
        <v>75465.267461577052</v>
      </c>
      <c r="J195" s="140">
        <f t="shared" si="20"/>
        <v>75465.267461577052</v>
      </c>
      <c r="K195" s="140">
        <f t="shared" si="20"/>
        <v>75465.267461577052</v>
      </c>
      <c r="L195" s="140">
        <f t="shared" si="20"/>
        <v>75465.267461577052</v>
      </c>
      <c r="M195" s="140">
        <f t="shared" si="20"/>
        <v>75465.267461577052</v>
      </c>
      <c r="N195" s="140">
        <f t="shared" si="20"/>
        <v>75465.267461577052</v>
      </c>
      <c r="O195" s="140">
        <f t="shared" si="20"/>
        <v>75465.267461577052</v>
      </c>
      <c r="P195" s="140">
        <f t="shared" si="20"/>
        <v>75465.267461577052</v>
      </c>
      <c r="Q195" s="140">
        <f t="shared" si="20"/>
        <v>75465.267461577052</v>
      </c>
      <c r="R195" s="140">
        <f t="shared" si="20"/>
        <v>75465.267461577052</v>
      </c>
      <c r="S195" s="140">
        <f t="shared" si="20"/>
        <v>75465.267461577052</v>
      </c>
      <c r="T195" s="140">
        <f t="shared" si="20"/>
        <v>75465.267461577052</v>
      </c>
      <c r="U195" s="140">
        <f t="shared" si="20"/>
        <v>75465.267461577052</v>
      </c>
      <c r="V195" s="140">
        <f t="shared" si="20"/>
        <v>75465.267461577052</v>
      </c>
      <c r="W195" s="140">
        <f t="shared" si="20"/>
        <v>75465.267461577052</v>
      </c>
      <c r="X195" s="140">
        <f t="shared" si="20"/>
        <v>75465.267461577052</v>
      </c>
    </row>
    <row r="196" spans="1:26" s="59" customFormat="1" x14ac:dyDescent="0.25">
      <c r="A196" s="59">
        <v>2</v>
      </c>
      <c r="B196" s="59" t="s">
        <v>111</v>
      </c>
      <c r="D196" s="59" t="s">
        <v>421</v>
      </c>
      <c r="E196" s="140">
        <f t="shared" ref="E196:X196" si="21">-1*$F$119*10^6/E150</f>
        <v>6345.0370827333609</v>
      </c>
      <c r="F196" s="140">
        <f t="shared" si="21"/>
        <v>6345.0370827333609</v>
      </c>
      <c r="G196" s="140">
        <f t="shared" si="21"/>
        <v>6344.7839202246223</v>
      </c>
      <c r="H196" s="140">
        <f t="shared" si="21"/>
        <v>6342.0367198520598</v>
      </c>
      <c r="I196" s="140">
        <f t="shared" si="21"/>
        <v>6393.9920998630505</v>
      </c>
      <c r="J196" s="140">
        <f t="shared" si="21"/>
        <v>6436.5522681353177</v>
      </c>
      <c r="K196" s="140">
        <f t="shared" si="21"/>
        <v>6436.5522681353177</v>
      </c>
      <c r="L196" s="140">
        <f t="shared" si="21"/>
        <v>6436.5522681353177</v>
      </c>
      <c r="M196" s="140">
        <f t="shared" si="21"/>
        <v>6383.9154246869593</v>
      </c>
      <c r="N196" s="140">
        <f t="shared" si="21"/>
        <v>6383.9154246869593</v>
      </c>
      <c r="O196" s="140">
        <f t="shared" si="21"/>
        <v>6364.8817527786605</v>
      </c>
      <c r="P196" s="140">
        <f t="shared" si="21"/>
        <v>6364.8817527786605</v>
      </c>
      <c r="Q196" s="140">
        <f t="shared" si="21"/>
        <v>6364.8817527786605</v>
      </c>
      <c r="R196" s="140">
        <f t="shared" si="21"/>
        <v>6364.8817527786605</v>
      </c>
      <c r="S196" s="140">
        <f t="shared" si="21"/>
        <v>6364.8817527786605</v>
      </c>
      <c r="T196" s="140">
        <f t="shared" si="21"/>
        <v>6518.3759266099587</v>
      </c>
      <c r="U196" s="140">
        <f t="shared" si="21"/>
        <v>6474.9086625235796</v>
      </c>
      <c r="V196" s="140">
        <f t="shared" si="21"/>
        <v>6432.0172741453662</v>
      </c>
      <c r="W196" s="140">
        <f t="shared" si="21"/>
        <v>6389.6903925585975</v>
      </c>
      <c r="X196" s="140">
        <f t="shared" si="21"/>
        <v>6347.9169461497468</v>
      </c>
    </row>
    <row r="197" spans="1:26" s="59" customFormat="1" x14ac:dyDescent="0.25">
      <c r="A197" s="59">
        <v>3</v>
      </c>
      <c r="B197" s="59" t="s">
        <v>112</v>
      </c>
      <c r="D197" s="59" t="s">
        <v>421</v>
      </c>
      <c r="E197" s="140">
        <f>-1*$E$120*E188</f>
        <v>0</v>
      </c>
      <c r="F197" s="140">
        <f t="shared" ref="F197:X197" si="22">-1*$E$120*F188</f>
        <v>0</v>
      </c>
      <c r="G197" s="140">
        <f t="shared" si="22"/>
        <v>0</v>
      </c>
      <c r="H197" s="140">
        <f t="shared" si="22"/>
        <v>0</v>
      </c>
      <c r="I197" s="140">
        <f t="shared" si="22"/>
        <v>0</v>
      </c>
      <c r="J197" s="140">
        <f t="shared" si="22"/>
        <v>0</v>
      </c>
      <c r="K197" s="140">
        <f t="shared" si="22"/>
        <v>0</v>
      </c>
      <c r="L197" s="140">
        <f t="shared" si="22"/>
        <v>0</v>
      </c>
      <c r="M197" s="140">
        <f t="shared" si="22"/>
        <v>0</v>
      </c>
      <c r="N197" s="140">
        <f t="shared" si="22"/>
        <v>0</v>
      </c>
      <c r="O197" s="140">
        <f t="shared" si="22"/>
        <v>0</v>
      </c>
      <c r="P197" s="140">
        <f t="shared" si="22"/>
        <v>0</v>
      </c>
      <c r="Q197" s="140">
        <f t="shared" si="22"/>
        <v>0</v>
      </c>
      <c r="R197" s="140">
        <f t="shared" si="22"/>
        <v>0</v>
      </c>
      <c r="S197" s="140">
        <f t="shared" si="22"/>
        <v>0</v>
      </c>
      <c r="T197" s="140">
        <f t="shared" si="22"/>
        <v>0</v>
      </c>
      <c r="U197" s="140">
        <f t="shared" si="22"/>
        <v>0</v>
      </c>
      <c r="V197" s="140">
        <f t="shared" si="22"/>
        <v>0</v>
      </c>
      <c r="W197" s="140">
        <f t="shared" si="22"/>
        <v>0</v>
      </c>
      <c r="X197" s="140">
        <f t="shared" si="22"/>
        <v>0</v>
      </c>
    </row>
    <row r="198" spans="1:26" s="59" customFormat="1" x14ac:dyDescent="0.25">
      <c r="A198" s="59">
        <v>4</v>
      </c>
      <c r="B198" s="59" t="s">
        <v>113</v>
      </c>
      <c r="D198" s="59" t="s">
        <v>421</v>
      </c>
      <c r="E198" s="140">
        <f>-1*$E$121</f>
        <v>1.1436969201554348E-2</v>
      </c>
      <c r="F198" s="140">
        <f t="shared" ref="F198:X198" si="23">-1*$E$121</f>
        <v>1.1436969201554348E-2</v>
      </c>
      <c r="G198" s="140">
        <f t="shared" si="23"/>
        <v>1.1436969201554348E-2</v>
      </c>
      <c r="H198" s="140">
        <f t="shared" si="23"/>
        <v>1.1436969201554348E-2</v>
      </c>
      <c r="I198" s="140">
        <f t="shared" si="23"/>
        <v>1.1436969201554348E-2</v>
      </c>
      <c r="J198" s="140">
        <f t="shared" si="23"/>
        <v>1.1436969201554348E-2</v>
      </c>
      <c r="K198" s="140">
        <f t="shared" si="23"/>
        <v>1.1436969201554348E-2</v>
      </c>
      <c r="L198" s="140">
        <f t="shared" si="23"/>
        <v>1.1436969201554348E-2</v>
      </c>
      <c r="M198" s="140">
        <f t="shared" si="23"/>
        <v>1.1436969201554348E-2</v>
      </c>
      <c r="N198" s="140">
        <f t="shared" si="23"/>
        <v>1.1436969201554348E-2</v>
      </c>
      <c r="O198" s="140">
        <f t="shared" si="23"/>
        <v>1.1436969201554348E-2</v>
      </c>
      <c r="P198" s="140">
        <f t="shared" si="23"/>
        <v>1.1436969201554348E-2</v>
      </c>
      <c r="Q198" s="140">
        <f t="shared" si="23"/>
        <v>1.1436969201554348E-2</v>
      </c>
      <c r="R198" s="140">
        <f t="shared" si="23"/>
        <v>1.1436969201554348E-2</v>
      </c>
      <c r="S198" s="140">
        <f t="shared" si="23"/>
        <v>1.1436969201554348E-2</v>
      </c>
      <c r="T198" s="140">
        <f t="shared" si="23"/>
        <v>1.1436969201554348E-2</v>
      </c>
      <c r="U198" s="140">
        <f t="shared" si="23"/>
        <v>1.1436969201554348E-2</v>
      </c>
      <c r="V198" s="140">
        <f t="shared" si="23"/>
        <v>1.1436969201554348E-2</v>
      </c>
      <c r="W198" s="140">
        <f t="shared" si="23"/>
        <v>1.1436969201554348E-2</v>
      </c>
      <c r="X198" s="140">
        <f t="shared" si="23"/>
        <v>1.1436969201554348E-2</v>
      </c>
    </row>
    <row r="199" spans="1:26" s="59" customFormat="1" x14ac:dyDescent="0.25">
      <c r="A199" s="59">
        <v>5</v>
      </c>
      <c r="B199" s="141" t="s">
        <v>117</v>
      </c>
      <c r="D199" s="59" t="s">
        <v>421</v>
      </c>
      <c r="E199" s="140">
        <f>SUM(E195:E198)</f>
        <v>81810.315981279608</v>
      </c>
      <c r="F199" s="140">
        <f t="shared" ref="F199:X199" si="24">SUM(F195:F198)</f>
        <v>81810.315981279608</v>
      </c>
      <c r="G199" s="140">
        <f t="shared" si="24"/>
        <v>81810.062818770879</v>
      </c>
      <c r="H199" s="140">
        <f t="shared" si="24"/>
        <v>81807.315618398308</v>
      </c>
      <c r="I199" s="140">
        <f t="shared" si="24"/>
        <v>81859.270998409309</v>
      </c>
      <c r="J199" s="140">
        <f t="shared" si="24"/>
        <v>81901.831166681572</v>
      </c>
      <c r="K199" s="140">
        <f t="shared" si="24"/>
        <v>81901.831166681572</v>
      </c>
      <c r="L199" s="140">
        <f t="shared" si="24"/>
        <v>81901.831166681572</v>
      </c>
      <c r="M199" s="140">
        <f t="shared" si="24"/>
        <v>81849.194323233212</v>
      </c>
      <c r="N199" s="140">
        <f t="shared" si="24"/>
        <v>81849.194323233212</v>
      </c>
      <c r="O199" s="140">
        <f t="shared" si="24"/>
        <v>81830.160651324913</v>
      </c>
      <c r="P199" s="140">
        <f t="shared" si="24"/>
        <v>81830.160651324913</v>
      </c>
      <c r="Q199" s="140">
        <f t="shared" si="24"/>
        <v>81830.160651324913</v>
      </c>
      <c r="R199" s="140">
        <f t="shared" si="24"/>
        <v>81830.160651324913</v>
      </c>
      <c r="S199" s="140">
        <f t="shared" si="24"/>
        <v>81830.160651324913</v>
      </c>
      <c r="T199" s="140">
        <f t="shared" si="24"/>
        <v>81983.65482515622</v>
      </c>
      <c r="U199" s="140">
        <f t="shared" si="24"/>
        <v>81940.187561069833</v>
      </c>
      <c r="V199" s="140">
        <f t="shared" si="24"/>
        <v>81897.296172691626</v>
      </c>
      <c r="W199" s="140">
        <f t="shared" si="24"/>
        <v>81854.969291104848</v>
      </c>
      <c r="X199" s="140">
        <f t="shared" si="24"/>
        <v>81813.195844696005</v>
      </c>
    </row>
    <row r="200" spans="1:26" s="59" customFormat="1" x14ac:dyDescent="0.25">
      <c r="A200" s="59">
        <v>6</v>
      </c>
      <c r="B200" s="59" t="s">
        <v>114</v>
      </c>
      <c r="D200" s="59" t="s">
        <v>50</v>
      </c>
      <c r="E200" s="140">
        <f t="shared" ref="E200:X200" si="25">-$F$122*1000</f>
        <v>4904.1839683554763</v>
      </c>
      <c r="F200" s="140">
        <f t="shared" si="25"/>
        <v>4904.1839683554763</v>
      </c>
      <c r="G200" s="140">
        <f t="shared" si="25"/>
        <v>4904.1839683554763</v>
      </c>
      <c r="H200" s="140">
        <f t="shared" si="25"/>
        <v>4904.1839683554763</v>
      </c>
      <c r="I200" s="140">
        <f t="shared" si="25"/>
        <v>4904.1839683554763</v>
      </c>
      <c r="J200" s="140">
        <f t="shared" si="25"/>
        <v>4904.1839683554763</v>
      </c>
      <c r="K200" s="140">
        <f t="shared" si="25"/>
        <v>4904.1839683554763</v>
      </c>
      <c r="L200" s="140">
        <f t="shared" si="25"/>
        <v>4904.1839683554763</v>
      </c>
      <c r="M200" s="140">
        <f t="shared" si="25"/>
        <v>4904.1839683554763</v>
      </c>
      <c r="N200" s="140">
        <f t="shared" si="25"/>
        <v>4904.1839683554763</v>
      </c>
      <c r="O200" s="140">
        <f t="shared" si="25"/>
        <v>4904.1839683554763</v>
      </c>
      <c r="P200" s="140">
        <f t="shared" si="25"/>
        <v>4904.1839683554763</v>
      </c>
      <c r="Q200" s="140">
        <f t="shared" si="25"/>
        <v>4904.1839683554763</v>
      </c>
      <c r="R200" s="140">
        <f t="shared" si="25"/>
        <v>4904.1839683554763</v>
      </c>
      <c r="S200" s="140">
        <f t="shared" si="25"/>
        <v>4904.1839683554763</v>
      </c>
      <c r="T200" s="140">
        <f t="shared" si="25"/>
        <v>4904.1839683554763</v>
      </c>
      <c r="U200" s="140">
        <f t="shared" si="25"/>
        <v>4904.1839683554763</v>
      </c>
      <c r="V200" s="140">
        <f t="shared" si="25"/>
        <v>4904.1839683554763</v>
      </c>
      <c r="W200" s="140">
        <f t="shared" si="25"/>
        <v>4904.1839683554763</v>
      </c>
      <c r="X200" s="140">
        <f t="shared" si="25"/>
        <v>4904.1839683554763</v>
      </c>
    </row>
    <row r="201" spans="1:26" s="59" customFormat="1" x14ac:dyDescent="0.25">
      <c r="A201" s="59">
        <v>7</v>
      </c>
      <c r="B201" s="59" t="s">
        <v>115</v>
      </c>
      <c r="D201" s="59" t="s">
        <v>50</v>
      </c>
      <c r="E201" s="140">
        <f>-1*$F$119*10^6*E149</f>
        <v>395.82120743584636</v>
      </c>
      <c r="F201" s="140">
        <f t="shared" ref="F201:X201" si="26">-1*$E$119*10^6*F185</f>
        <v>0</v>
      </c>
      <c r="G201" s="140">
        <f t="shared" si="26"/>
        <v>0</v>
      </c>
      <c r="H201" s="140">
        <f t="shared" si="26"/>
        <v>0</v>
      </c>
      <c r="I201" s="140">
        <f t="shared" si="26"/>
        <v>0</v>
      </c>
      <c r="J201" s="140">
        <f t="shared" si="26"/>
        <v>0</v>
      </c>
      <c r="K201" s="140">
        <f t="shared" si="26"/>
        <v>0</v>
      </c>
      <c r="L201" s="140">
        <f t="shared" si="26"/>
        <v>0</v>
      </c>
      <c r="M201" s="140">
        <f t="shared" si="26"/>
        <v>0</v>
      </c>
      <c r="N201" s="140">
        <f t="shared" si="26"/>
        <v>0</v>
      </c>
      <c r="O201" s="140">
        <f t="shared" si="26"/>
        <v>0</v>
      </c>
      <c r="P201" s="140">
        <f t="shared" si="26"/>
        <v>0</v>
      </c>
      <c r="Q201" s="140">
        <f t="shared" si="26"/>
        <v>0</v>
      </c>
      <c r="R201" s="140">
        <f t="shared" si="26"/>
        <v>0</v>
      </c>
      <c r="S201" s="140">
        <f t="shared" si="26"/>
        <v>0</v>
      </c>
      <c r="T201" s="140">
        <f t="shared" si="26"/>
        <v>0</v>
      </c>
      <c r="U201" s="140">
        <f t="shared" si="26"/>
        <v>0</v>
      </c>
      <c r="V201" s="140">
        <f t="shared" si="26"/>
        <v>0</v>
      </c>
      <c r="W201" s="140">
        <f t="shared" si="26"/>
        <v>0</v>
      </c>
      <c r="X201" s="140">
        <f t="shared" si="26"/>
        <v>0</v>
      </c>
    </row>
    <row r="202" spans="1:26" s="59" customFormat="1" x14ac:dyDescent="0.25">
      <c r="A202" s="59">
        <v>8</v>
      </c>
      <c r="B202" s="59" t="s">
        <v>116</v>
      </c>
      <c r="D202" s="59" t="s">
        <v>50</v>
      </c>
      <c r="E202" s="140">
        <f>$F$122*E153</f>
        <v>-0.36781379762666072</v>
      </c>
      <c r="F202" s="140">
        <f t="shared" ref="F202:X202" si="27">$F$122*F153</f>
        <v>-0.35144164143665085</v>
      </c>
      <c r="G202" s="140">
        <f t="shared" si="27"/>
        <v>-0.33506948524664087</v>
      </c>
      <c r="H202" s="140">
        <f t="shared" si="27"/>
        <v>-0.31869732905663101</v>
      </c>
      <c r="I202" s="140">
        <f t="shared" si="27"/>
        <v>-0.30232517286662108</v>
      </c>
      <c r="J202" s="140">
        <f t="shared" si="27"/>
        <v>-0.28595301667661122</v>
      </c>
      <c r="K202" s="140">
        <f t="shared" si="27"/>
        <v>-0.26958086048660124</v>
      </c>
      <c r="L202" s="140">
        <f t="shared" si="27"/>
        <v>-0.25320870429659131</v>
      </c>
      <c r="M202" s="140">
        <f t="shared" si="27"/>
        <v>-0.23683654810658142</v>
      </c>
      <c r="N202" s="140">
        <f t="shared" si="27"/>
        <v>-0.22046439191657155</v>
      </c>
      <c r="O202" s="140">
        <f t="shared" si="27"/>
        <v>-0.20409223572656163</v>
      </c>
      <c r="P202" s="140">
        <f t="shared" si="27"/>
        <v>-0.18772007953655168</v>
      </c>
      <c r="Q202" s="140">
        <f t="shared" si="27"/>
        <v>-0.17134792334654178</v>
      </c>
      <c r="R202" s="140">
        <f t="shared" si="27"/>
        <v>-0.15497576715653189</v>
      </c>
      <c r="S202" s="140">
        <f t="shared" si="27"/>
        <v>-0.13860361096652196</v>
      </c>
      <c r="T202" s="140">
        <f t="shared" si="27"/>
        <v>-0.12223145477651205</v>
      </c>
      <c r="U202" s="140">
        <f t="shared" si="27"/>
        <v>-0.10585929858650214</v>
      </c>
      <c r="V202" s="140">
        <f t="shared" si="27"/>
        <v>-8.948714239649222E-2</v>
      </c>
      <c r="W202" s="140">
        <f t="shared" si="27"/>
        <v>-7.3114986206482338E-2</v>
      </c>
      <c r="X202" s="140">
        <f t="shared" si="27"/>
        <v>-5.6742830016472408E-2</v>
      </c>
    </row>
    <row r="203" spans="1:26" s="59" customFormat="1" x14ac:dyDescent="0.25">
      <c r="A203" s="59">
        <v>9</v>
      </c>
      <c r="B203" s="141" t="s">
        <v>118</v>
      </c>
      <c r="C203" s="69"/>
      <c r="D203" s="59" t="s">
        <v>50</v>
      </c>
      <c r="E203" s="140">
        <f>SUM(E200:E202)</f>
        <v>5299.6373619936958</v>
      </c>
      <c r="F203" s="140">
        <f t="shared" ref="F203:X203" si="28">SUM(F200:F202)</f>
        <v>4903.8325267140399</v>
      </c>
      <c r="G203" s="140">
        <f t="shared" si="28"/>
        <v>4903.8488988702293</v>
      </c>
      <c r="H203" s="140">
        <f t="shared" si="28"/>
        <v>4903.8652710264196</v>
      </c>
      <c r="I203" s="140">
        <f t="shared" si="28"/>
        <v>4903.8816431826099</v>
      </c>
      <c r="J203" s="140">
        <f t="shared" si="28"/>
        <v>4903.8980153387993</v>
      </c>
      <c r="K203" s="140">
        <f t="shared" si="28"/>
        <v>4903.9143874949896</v>
      </c>
      <c r="L203" s="140">
        <f t="shared" si="28"/>
        <v>4903.9307596511799</v>
      </c>
      <c r="M203" s="140">
        <f t="shared" si="28"/>
        <v>4903.9471318073693</v>
      </c>
      <c r="N203" s="140">
        <f t="shared" si="28"/>
        <v>4903.9635039635596</v>
      </c>
      <c r="O203" s="140">
        <f t="shared" si="28"/>
        <v>4903.9798761197499</v>
      </c>
      <c r="P203" s="140">
        <f t="shared" si="28"/>
        <v>4903.9962482759402</v>
      </c>
      <c r="Q203" s="140">
        <f t="shared" si="28"/>
        <v>4904.0126204321296</v>
      </c>
      <c r="R203" s="140">
        <f t="shared" si="28"/>
        <v>4904.0289925883199</v>
      </c>
      <c r="S203" s="140">
        <f t="shared" si="28"/>
        <v>4904.0453647445102</v>
      </c>
      <c r="T203" s="140">
        <f t="shared" si="28"/>
        <v>4904.0617369006995</v>
      </c>
      <c r="U203" s="140">
        <f t="shared" si="28"/>
        <v>4904.0781090568898</v>
      </c>
      <c r="V203" s="140">
        <f t="shared" si="28"/>
        <v>4904.0944812130801</v>
      </c>
      <c r="W203" s="140">
        <f t="shared" si="28"/>
        <v>4904.1108533692695</v>
      </c>
      <c r="X203" s="140">
        <f t="shared" si="28"/>
        <v>4904.1272255254598</v>
      </c>
    </row>
    <row r="204" spans="1:26" s="59" customFormat="1" x14ac:dyDescent="0.25">
      <c r="A204" s="59">
        <v>10</v>
      </c>
      <c r="B204" s="69" t="s">
        <v>111</v>
      </c>
      <c r="D204" s="59" t="s">
        <v>220</v>
      </c>
      <c r="E204" s="140">
        <f>-1*$F$119*10^6</f>
        <v>2628.4511110902577</v>
      </c>
      <c r="F204" s="140">
        <f t="shared" ref="F204:X204" si="29">-1*$F$119*10^6</f>
        <v>2628.4511110902577</v>
      </c>
      <c r="G204" s="140">
        <f t="shared" si="29"/>
        <v>2628.4511110902577</v>
      </c>
      <c r="H204" s="140">
        <f t="shared" si="29"/>
        <v>2628.4511110902577</v>
      </c>
      <c r="I204" s="140">
        <f t="shared" si="29"/>
        <v>2628.4511110902577</v>
      </c>
      <c r="J204" s="140">
        <f t="shared" si="29"/>
        <v>2628.4511110902577</v>
      </c>
      <c r="K204" s="140">
        <f t="shared" si="29"/>
        <v>2628.4511110902577</v>
      </c>
      <c r="L204" s="140">
        <f t="shared" si="29"/>
        <v>2628.4511110902577</v>
      </c>
      <c r="M204" s="140">
        <f t="shared" si="29"/>
        <v>2628.4511110902577</v>
      </c>
      <c r="N204" s="140">
        <f t="shared" si="29"/>
        <v>2628.4511110902577</v>
      </c>
      <c r="O204" s="140">
        <f t="shared" si="29"/>
        <v>2628.4511110902577</v>
      </c>
      <c r="P204" s="140">
        <f t="shared" si="29"/>
        <v>2628.4511110902577</v>
      </c>
      <c r="Q204" s="140">
        <f t="shared" si="29"/>
        <v>2628.4511110902577</v>
      </c>
      <c r="R204" s="140">
        <f t="shared" si="29"/>
        <v>2628.4511110902577</v>
      </c>
      <c r="S204" s="140">
        <f t="shared" si="29"/>
        <v>2628.4511110902577</v>
      </c>
      <c r="T204" s="140">
        <f t="shared" si="29"/>
        <v>2628.4511110902577</v>
      </c>
      <c r="U204" s="140">
        <f t="shared" si="29"/>
        <v>2628.4511110902577</v>
      </c>
      <c r="V204" s="140">
        <f t="shared" si="29"/>
        <v>2628.4511110902577</v>
      </c>
      <c r="W204" s="140">
        <f t="shared" si="29"/>
        <v>2628.4511110902577</v>
      </c>
      <c r="X204" s="140">
        <f t="shared" si="29"/>
        <v>2628.4511110902577</v>
      </c>
    </row>
    <row r="205" spans="1:26" s="59" customFormat="1" x14ac:dyDescent="0.25">
      <c r="B205" s="69"/>
      <c r="E205" s="140"/>
      <c r="F205" s="140"/>
      <c r="G205" s="140"/>
      <c r="H205" s="140"/>
      <c r="I205" s="140"/>
      <c r="J205" s="140"/>
      <c r="K205" s="140"/>
      <c r="L205" s="140"/>
      <c r="M205" s="140"/>
      <c r="N205" s="140"/>
      <c r="O205" s="140"/>
      <c r="P205" s="140"/>
      <c r="Q205" s="140"/>
      <c r="R205" s="140"/>
      <c r="S205" s="140"/>
      <c r="T205" s="140"/>
      <c r="U205" s="140"/>
      <c r="V205" s="140"/>
      <c r="W205" s="140"/>
      <c r="X205" s="140"/>
    </row>
    <row r="206" spans="1:26" x14ac:dyDescent="0.25">
      <c r="B206" s="42"/>
      <c r="U206" s="42"/>
      <c r="V206" s="42"/>
      <c r="W206" s="42"/>
      <c r="X206" s="42"/>
      <c r="Y206" s="42"/>
      <c r="Z206" s="42"/>
    </row>
    <row r="207" spans="1:26" x14ac:dyDescent="0.25">
      <c r="B207" s="47" t="s">
        <v>121</v>
      </c>
      <c r="D207" s="150" t="s">
        <v>29</v>
      </c>
      <c r="E207" s="154">
        <f>E31</f>
        <v>2020</v>
      </c>
      <c r="F207" s="154">
        <f>E207+1</f>
        <v>2021</v>
      </c>
      <c r="G207" s="154">
        <f t="shared" ref="G207" si="30">F207+1</f>
        <v>2022</v>
      </c>
      <c r="H207" s="154">
        <f t="shared" ref="H207" si="31">G207+1</f>
        <v>2023</v>
      </c>
      <c r="I207" s="154">
        <f t="shared" ref="I207" si="32">H207+1</f>
        <v>2024</v>
      </c>
      <c r="J207" s="154">
        <f t="shared" ref="J207" si="33">I207+1</f>
        <v>2025</v>
      </c>
      <c r="K207" s="154">
        <f t="shared" ref="K207" si="34">J207+1</f>
        <v>2026</v>
      </c>
      <c r="L207" s="154">
        <f t="shared" ref="L207" si="35">K207+1</f>
        <v>2027</v>
      </c>
      <c r="M207" s="154">
        <f t="shared" ref="M207" si="36">L207+1</f>
        <v>2028</v>
      </c>
      <c r="N207" s="154">
        <f t="shared" ref="N207" si="37">M207+1</f>
        <v>2029</v>
      </c>
      <c r="O207" s="154">
        <f t="shared" ref="O207" si="38">N207+1</f>
        <v>2030</v>
      </c>
      <c r="P207" s="154">
        <f t="shared" ref="P207" si="39">O207+1</f>
        <v>2031</v>
      </c>
      <c r="Q207" s="154">
        <f t="shared" ref="Q207" si="40">P207+1</f>
        <v>2032</v>
      </c>
      <c r="R207" s="154">
        <f t="shared" ref="R207" si="41">Q207+1</f>
        <v>2033</v>
      </c>
      <c r="S207" s="154">
        <f t="shared" ref="S207" si="42">R207+1</f>
        <v>2034</v>
      </c>
      <c r="T207" s="154">
        <f t="shared" ref="T207" si="43">S207+1</f>
        <v>2035</v>
      </c>
      <c r="U207" s="154">
        <f t="shared" ref="U207" si="44">T207+1</f>
        <v>2036</v>
      </c>
      <c r="V207" s="154">
        <f t="shared" ref="V207" si="45">U207+1</f>
        <v>2037</v>
      </c>
      <c r="W207" s="154">
        <f t="shared" ref="W207" si="46">V207+1</f>
        <v>2038</v>
      </c>
      <c r="X207" s="154">
        <f t="shared" ref="X207" si="47">W207+1</f>
        <v>2039</v>
      </c>
    </row>
    <row r="208" spans="1:26" x14ac:dyDescent="0.25">
      <c r="B208" s="51" t="s">
        <v>28</v>
      </c>
      <c r="C208" s="49" t="s">
        <v>31</v>
      </c>
      <c r="D208" s="151" t="s">
        <v>4</v>
      </c>
      <c r="E208" s="155" t="s">
        <v>433</v>
      </c>
      <c r="F208" s="155" t="s">
        <v>434</v>
      </c>
      <c r="G208" s="155" t="s">
        <v>444</v>
      </c>
      <c r="H208" s="155" t="s">
        <v>445</v>
      </c>
      <c r="I208" s="155" t="s">
        <v>446</v>
      </c>
      <c r="J208" s="155" t="s">
        <v>447</v>
      </c>
      <c r="K208" s="155" t="s">
        <v>448</v>
      </c>
      <c r="L208" s="155" t="s">
        <v>449</v>
      </c>
      <c r="M208" s="155" t="s">
        <v>450</v>
      </c>
      <c r="N208" s="155" t="s">
        <v>451</v>
      </c>
      <c r="O208" s="155" t="s">
        <v>452</v>
      </c>
      <c r="P208" s="155" t="s">
        <v>435</v>
      </c>
      <c r="Q208" s="155" t="s">
        <v>436</v>
      </c>
      <c r="R208" s="155" t="s">
        <v>437</v>
      </c>
      <c r="S208" s="155" t="s">
        <v>438</v>
      </c>
      <c r="T208" s="155" t="s">
        <v>439</v>
      </c>
      <c r="U208" s="155" t="s">
        <v>440</v>
      </c>
      <c r="V208" s="155" t="s">
        <v>441</v>
      </c>
      <c r="W208" s="155" t="s">
        <v>442</v>
      </c>
      <c r="X208" s="155" t="s">
        <v>453</v>
      </c>
      <c r="Y208" s="42"/>
      <c r="Z208" s="42"/>
    </row>
    <row r="209" spans="1:26" x14ac:dyDescent="0.25">
      <c r="B209" s="49" t="s">
        <v>96</v>
      </c>
      <c r="C209" s="62"/>
      <c r="D209" s="63" t="s">
        <v>423</v>
      </c>
      <c r="E209" s="56">
        <f>E195*INDEX(UsedScenarioParameters[],1,E207-2015+4)</f>
        <v>436183.68078541348</v>
      </c>
      <c r="F209" s="56">
        <f>F195*INDEX(UsedScenarioParameters[],1,F207-2015+4)</f>
        <v>472231.90790801565</v>
      </c>
      <c r="G209" s="56">
        <f>G195*INDEX(UsedScenarioParameters[],1,G207-2015+4)</f>
        <v>508280.13503061765</v>
      </c>
      <c r="H209" s="56">
        <f>H195*INDEX(UsedScenarioParameters[],1,H207-2015+4)</f>
        <v>544328.36215321976</v>
      </c>
      <c r="I209" s="56">
        <f>I195*INDEX(UsedScenarioParameters[],1,I207-2015+4)</f>
        <v>580376.63838764711</v>
      </c>
      <c r="J209" s="56">
        <f>J195*INDEX(UsedScenarioParameters[],1,J207-2015+4)</f>
        <v>616424.86551024916</v>
      </c>
      <c r="K209" s="56">
        <f>K195*INDEX(UsedScenarioParameters[],1,K207-2015+4)</f>
        <v>652730.58593302011</v>
      </c>
      <c r="L209" s="56">
        <f>L195*INDEX(UsedScenarioParameters[],1,L207-2015+4)</f>
        <v>688778.81305562216</v>
      </c>
      <c r="M209" s="56">
        <f>M195*INDEX(UsedScenarioParameters[],1,M207-2015+4)</f>
        <v>724827.04017822421</v>
      </c>
      <c r="N209" s="56">
        <f>N195*INDEX(UsedScenarioParameters[],1,N207-2015+4)</f>
        <v>760875.26730082638</v>
      </c>
      <c r="O209" s="56">
        <f>O195*INDEX(UsedScenarioParameters[],1,O207-2015+4)</f>
        <v>796923.54353525385</v>
      </c>
      <c r="P209" s="56">
        <f>P195*INDEX(UsedScenarioParameters[],1,P207-2015+4)</f>
        <v>806193.08624929935</v>
      </c>
      <c r="Q209" s="56">
        <f>Q195*INDEX(UsedScenarioParameters[],1,Q207-2015+4)</f>
        <v>815462.62896334485</v>
      </c>
      <c r="R209" s="56">
        <f>R195*INDEX(UsedScenarioParameters[],1,R207-2015+4)</f>
        <v>824732.17167739035</v>
      </c>
      <c r="S209" s="56">
        <f>S195*INDEX(UsedScenarioParameters[],1,S207-2015+4)</f>
        <v>834001.71439143561</v>
      </c>
      <c r="T209" s="56">
        <f>T195*INDEX(UsedScenarioParameters[],1,T207-2015+4)</f>
        <v>843271.25710548123</v>
      </c>
      <c r="U209" s="56">
        <f>U195*INDEX(UsedScenarioParameters[],1,U207-2015+4)</f>
        <v>843271.25710548123</v>
      </c>
      <c r="V209" s="56">
        <f>V195*INDEX(UsedScenarioParameters[],1,V207-2015+4)</f>
        <v>843271.25710548123</v>
      </c>
      <c r="W209" s="56">
        <f>W195*INDEX(UsedScenarioParameters[],1,W207-2015+4)</f>
        <v>843271.25710548123</v>
      </c>
      <c r="X209" s="56">
        <f>X195*INDEX(UsedScenarioParameters[],1,X207-2015+4)</f>
        <v>843271.25710548123</v>
      </c>
      <c r="Y209" s="42"/>
      <c r="Z209" s="42"/>
    </row>
    <row r="210" spans="1:26" x14ac:dyDescent="0.25">
      <c r="B210" s="49" t="s">
        <v>97</v>
      </c>
      <c r="C210" s="62"/>
      <c r="D210" s="63" t="s">
        <v>423</v>
      </c>
      <c r="E210" s="64">
        <f>E204*INDEX(UsedScenarioParameters[],2,E207-2015+4)</f>
        <v>21830.746728221857</v>
      </c>
      <c r="F210" s="64">
        <f>F204*INDEX(UsedScenarioParameters[],2,F207-2015+4)</f>
        <v>23442.863473750313</v>
      </c>
      <c r="G210" s="64">
        <f>G204*INDEX(UsedScenarioParameters[],2,G207-2015+4)</f>
        <v>26331.23964313338</v>
      </c>
      <c r="H210" s="64">
        <f>H204*INDEX(UsedScenarioParameters[],2,H207-2015+4)</f>
        <v>28413.556639005204</v>
      </c>
      <c r="I210" s="64">
        <f>I204*INDEX(UsedScenarioParameters[],2,I207-2015+4)</f>
        <v>29891.328854370087</v>
      </c>
      <c r="J210" s="64">
        <f>J204*INDEX(UsedScenarioParameters[],2,J207-2015+4)</f>
        <v>31906.475987401176</v>
      </c>
      <c r="K210" s="64">
        <f>K204*INDEX(UsedScenarioParameters[],2,K207-2015+4)</f>
        <v>32175.161844740251</v>
      </c>
      <c r="L210" s="64">
        <f>L204*INDEX(UsedScenarioParameters[],2,L207-2015+4)</f>
        <v>31839.302921572376</v>
      </c>
      <c r="M210" s="64">
        <f>M204*INDEX(UsedScenarioParameters[],2,M207-2015+4)</f>
        <v>30966.075486714439</v>
      </c>
      <c r="N210" s="64">
        <f>N204*INDEX(UsedScenarioParameters[],2,N207-2015+4)</f>
        <v>30092.844848868423</v>
      </c>
      <c r="O210" s="64">
        <f>O204*INDEX(UsedScenarioParameters[],2,O207-2015+4)</f>
        <v>29018.10141951215</v>
      </c>
      <c r="P210" s="64">
        <f>P204*INDEX(UsedScenarioParameters[],2,P207-2015+4)</f>
        <v>29662.948117723528</v>
      </c>
      <c r="Q210" s="64">
        <f>Q204*INDEX(UsedScenarioParameters[],2,Q207-2015+4)</f>
        <v>30307.794815934914</v>
      </c>
      <c r="R210" s="64">
        <f>R204*INDEX(UsedScenarioParameters[],2,R207-2015+4)</f>
        <v>30952.641514146289</v>
      </c>
      <c r="S210" s="64">
        <f>S204*INDEX(UsedScenarioParameters[],2,S207-2015+4)</f>
        <v>31597.488212357675</v>
      </c>
      <c r="T210" s="64">
        <f>T204*INDEX(UsedScenarioParameters[],2,T207-2015+4)</f>
        <v>32242.33491056905</v>
      </c>
      <c r="U210" s="64">
        <f>U204*INDEX(UsedScenarioParameters[],2,U207-2015+4)</f>
        <v>32242.33491056905</v>
      </c>
      <c r="V210" s="64">
        <f>V204*INDEX(UsedScenarioParameters[],2,V207-2015+4)</f>
        <v>32242.33491056905</v>
      </c>
      <c r="W210" s="64">
        <f>W204*INDEX(UsedScenarioParameters[],2,W207-2015+4)</f>
        <v>32242.33491056905</v>
      </c>
      <c r="X210" s="64">
        <f>X204*INDEX(UsedScenarioParameters[],2,X207-2015+4)</f>
        <v>32242.33491056905</v>
      </c>
      <c r="Y210" s="42"/>
      <c r="Z210" s="42"/>
    </row>
    <row r="211" spans="1:26" x14ac:dyDescent="0.25">
      <c r="B211" s="49" t="s">
        <v>98</v>
      </c>
      <c r="C211" s="62"/>
      <c r="D211" s="63" t="s">
        <v>423</v>
      </c>
      <c r="E211" s="61">
        <f>E197*INDEX(UsedScenarioParameters[],10,E207-2015+4)</f>
        <v>0</v>
      </c>
      <c r="F211" s="61">
        <f>F197*INDEX(UsedScenarioParameters[],10,F207-2015+4)</f>
        <v>0</v>
      </c>
      <c r="G211" s="61">
        <f>G197*INDEX(UsedScenarioParameters[],10,G207-2015+4)</f>
        <v>0</v>
      </c>
      <c r="H211" s="61">
        <f>H197*INDEX(UsedScenarioParameters[],10,H207-2015+4)</f>
        <v>0</v>
      </c>
      <c r="I211" s="61">
        <f>I197*INDEX(UsedScenarioParameters[],10,I207-2015+4)</f>
        <v>0</v>
      </c>
      <c r="J211" s="61">
        <f>J197*INDEX(UsedScenarioParameters[],10,J207-2015+4)</f>
        <v>0</v>
      </c>
      <c r="K211" s="61">
        <f>K197*INDEX(UsedScenarioParameters[],10,K207-2015+4)</f>
        <v>0</v>
      </c>
      <c r="L211" s="61">
        <f>L197*INDEX(UsedScenarioParameters[],10,L207-2015+4)</f>
        <v>0</v>
      </c>
      <c r="M211" s="61">
        <f>M197*INDEX(UsedScenarioParameters[],10,M207-2015+4)</f>
        <v>0</v>
      </c>
      <c r="N211" s="61">
        <f>N197*INDEX(UsedScenarioParameters[],10,N207-2015+4)</f>
        <v>0</v>
      </c>
      <c r="O211" s="61">
        <f>O197*INDEX(UsedScenarioParameters[],10,O207-2015+4)</f>
        <v>0</v>
      </c>
      <c r="P211" s="61">
        <f>P197*INDEX(UsedScenarioParameters[],10,P207-2015+4)</f>
        <v>0</v>
      </c>
      <c r="Q211" s="61">
        <f>Q197*INDEX(UsedScenarioParameters[],10,Q207-2015+4)</f>
        <v>0</v>
      </c>
      <c r="R211" s="61">
        <f>R197*INDEX(UsedScenarioParameters[],10,R207-2015+4)</f>
        <v>0</v>
      </c>
      <c r="S211" s="61">
        <f>S197*INDEX(UsedScenarioParameters[],10,S207-2015+4)</f>
        <v>0</v>
      </c>
      <c r="T211" s="61">
        <f>T197*INDEX(UsedScenarioParameters[],10,T207-2015+4)</f>
        <v>0</v>
      </c>
      <c r="U211" s="61">
        <f>U197*INDEX(UsedScenarioParameters[],10,U207-2015+4)</f>
        <v>0</v>
      </c>
      <c r="V211" s="61">
        <f>V197*INDEX(UsedScenarioParameters[],10,V207-2015+4)</f>
        <v>0</v>
      </c>
      <c r="W211" s="61">
        <f>W197*INDEX(UsedScenarioParameters[],10,W207-2015+4)</f>
        <v>0</v>
      </c>
      <c r="X211" s="61">
        <f>X197*INDEX(UsedScenarioParameters[],10,X207-2015+4)</f>
        <v>0</v>
      </c>
      <c r="Y211" s="42"/>
      <c r="Z211" s="42"/>
    </row>
    <row r="212" spans="1:26" x14ac:dyDescent="0.25">
      <c r="B212" s="49" t="s">
        <v>99</v>
      </c>
      <c r="C212" s="62"/>
      <c r="D212" s="63" t="s">
        <v>423</v>
      </c>
      <c r="E212" s="60">
        <f>E198*INDEX(UsedScenarioParameters[],5,E207-2015+4)</f>
        <v>6.4047027528704351E-2</v>
      </c>
      <c r="F212" s="60">
        <f>F198*INDEX(UsedScenarioParameters[],5,F207-2015+4)</f>
        <v>6.4047027528704351E-2</v>
      </c>
      <c r="G212" s="60">
        <f>G198*INDEX(UsedScenarioParameters[],5,G207-2015+4)</f>
        <v>6.4047027528704351E-2</v>
      </c>
      <c r="H212" s="60">
        <f>H198*INDEX(UsedScenarioParameters[],5,H207-2015+4)</f>
        <v>6.4047027528704351E-2</v>
      </c>
      <c r="I212" s="60">
        <f>I198*INDEX(UsedScenarioParameters[],5,I207-2015+4)</f>
        <v>6.4047027528704351E-2</v>
      </c>
      <c r="J212" s="60">
        <f>J198*INDEX(UsedScenarioParameters[],5,J207-2015+4)</f>
        <v>6.4047027528704351E-2</v>
      </c>
      <c r="K212" s="60">
        <f>K198*INDEX(UsedScenarioParameters[],5,K207-2015+4)</f>
        <v>6.4047027528704351E-2</v>
      </c>
      <c r="L212" s="60">
        <f>L198*INDEX(UsedScenarioParameters[],5,L207-2015+4)</f>
        <v>6.4047027528704351E-2</v>
      </c>
      <c r="M212" s="60">
        <f>M198*INDEX(UsedScenarioParameters[],5,M207-2015+4)</f>
        <v>6.4047027528704351E-2</v>
      </c>
      <c r="N212" s="60">
        <f>N198*INDEX(UsedScenarioParameters[],5,N207-2015+4)</f>
        <v>6.4047027528704351E-2</v>
      </c>
      <c r="O212" s="60">
        <f>O198*INDEX(UsedScenarioParameters[],5,O207-2015+4)</f>
        <v>6.4047027528704351E-2</v>
      </c>
      <c r="P212" s="60">
        <f>P198*INDEX(UsedScenarioParameters[],5,P207-2015+4)</f>
        <v>6.4047027528704351E-2</v>
      </c>
      <c r="Q212" s="60">
        <f>Q198*INDEX(UsedScenarioParameters[],5,Q207-2015+4)</f>
        <v>6.4047027528704351E-2</v>
      </c>
      <c r="R212" s="60">
        <f>R198*INDEX(UsedScenarioParameters[],5,R207-2015+4)</f>
        <v>6.4047027528704351E-2</v>
      </c>
      <c r="S212" s="60">
        <f>S198*INDEX(UsedScenarioParameters[],5,S207-2015+4)</f>
        <v>6.4047027528704351E-2</v>
      </c>
      <c r="T212" s="60">
        <f>T198*INDEX(UsedScenarioParameters[],5,T207-2015+4)</f>
        <v>6.4047027528704351E-2</v>
      </c>
      <c r="U212" s="60">
        <f>U198*INDEX(UsedScenarioParameters[],5,U207-2015+4)</f>
        <v>6.4047027528704351E-2</v>
      </c>
      <c r="V212" s="60">
        <f>V198*INDEX(UsedScenarioParameters[],5,V207-2015+4)</f>
        <v>6.4047027528704351E-2</v>
      </c>
      <c r="W212" s="60">
        <f>W198*INDEX(UsedScenarioParameters[],5,W207-2015+4)</f>
        <v>6.4047027528704351E-2</v>
      </c>
      <c r="X212" s="60">
        <f>X198*INDEX(UsedScenarioParameters[],5,X207-2015+4)</f>
        <v>6.4047027528704351E-2</v>
      </c>
      <c r="Y212" s="42"/>
      <c r="Z212" s="42"/>
    </row>
    <row r="213" spans="1:26" x14ac:dyDescent="0.25">
      <c r="A213" s="42" t="s">
        <v>81</v>
      </c>
      <c r="B213" s="51" t="s">
        <v>223</v>
      </c>
      <c r="C213" s="62"/>
      <c r="D213" s="63" t="s">
        <v>423</v>
      </c>
      <c r="E213" s="65">
        <f>E200*INDEX(UsedScenarioParameters[],3,E207-2015+4)</f>
        <v>32286.896227210982</v>
      </c>
      <c r="F213" s="65">
        <f>F200*INDEX(UsedScenarioParameters[],3,F207-2015+4)</f>
        <v>37178.854064933344</v>
      </c>
      <c r="G213" s="65">
        <f>G200*INDEX(UsedScenarioParameters[],3,G207-2015+4)</f>
        <v>41581.609743444315</v>
      </c>
      <c r="H213" s="65">
        <f>H200*INDEX(UsedScenarioParameters[],3,H207-2015+4)</f>
        <v>45495.173071111836</v>
      </c>
      <c r="I213" s="65">
        <f>I200*INDEX(UsedScenarioParameters[],3,I207-2015+4)</f>
        <v>49408.721686227436</v>
      </c>
      <c r="J213" s="65">
        <f>J200*INDEX(UsedScenarioParameters[],3,J207-2015+4)</f>
        <v>53322.309534814791</v>
      </c>
      <c r="K213" s="65">
        <f>K200*INDEX(UsedScenarioParameters[],3,K207-2015+4)</f>
        <v>57725.040692405913</v>
      </c>
      <c r="L213" s="65">
        <f>L200*INDEX(UsedScenarioParameters[],3,L207-2015+4)</f>
        <v>63106.205593523649</v>
      </c>
      <c r="M213" s="65">
        <f>M200*INDEX(UsedScenarioParameters[],3,M207-2015+4)</f>
        <v>67998.178143797923</v>
      </c>
      <c r="N213" s="65">
        <f>N200*INDEX(UsedScenarioParameters[],3,N207-2015+4)</f>
        <v>73868.486353919434</v>
      </c>
      <c r="O213" s="65">
        <f>O200*INDEX(UsedScenarioParameters[],3,O207-2015+4)</f>
        <v>80228.035956724081</v>
      </c>
      <c r="P213" s="65">
        <f>P200*INDEX(UsedScenarioParameters[],3,P207-2015+4)</f>
        <v>88348.678022565175</v>
      </c>
      <c r="Q213" s="65">
        <f>Q200*INDEX(UsedScenarioParameters[],3,Q207-2015+4)</f>
        <v>96469.320088406283</v>
      </c>
      <c r="R213" s="65">
        <f>R200*INDEX(UsedScenarioParameters[],3,R207-2015+4)</f>
        <v>104589.96215424739</v>
      </c>
      <c r="S213" s="65">
        <f>S200*INDEX(UsedScenarioParameters[],3,S207-2015+4)</f>
        <v>112710.60422008847</v>
      </c>
      <c r="T213" s="65">
        <f>T200*INDEX(UsedScenarioParameters[],3,T207-2015+4)</f>
        <v>120831.24628592958</v>
      </c>
      <c r="U213" s="65">
        <f>U200*INDEX(UsedScenarioParameters[],3,U207-2015+4)</f>
        <v>120831.24628592958</v>
      </c>
      <c r="V213" s="65">
        <f>V200*INDEX(UsedScenarioParameters[],3,V207-2015+4)</f>
        <v>120831.24628592958</v>
      </c>
      <c r="W213" s="65">
        <f>W200*INDEX(UsedScenarioParameters[],3,W207-2015+4)</f>
        <v>120831.24628592958</v>
      </c>
      <c r="X213" s="65">
        <f>X200*INDEX(UsedScenarioParameters[],3,X207-2015+4)</f>
        <v>120831.24628592958</v>
      </c>
      <c r="Y213" s="42"/>
      <c r="Z213" s="42"/>
    </row>
    <row r="214" spans="1:26" x14ac:dyDescent="0.25">
      <c r="B214" s="49" t="s">
        <v>91</v>
      </c>
      <c r="C214" s="62"/>
      <c r="D214" s="63" t="s">
        <v>423</v>
      </c>
      <c r="E214" s="56">
        <f t="shared" ref="E214:X214" si="48">-1*$E$26</f>
        <v>0</v>
      </c>
      <c r="F214" s="56">
        <f>-1*$E$26</f>
        <v>0</v>
      </c>
      <c r="G214" s="56">
        <f t="shared" si="48"/>
        <v>0</v>
      </c>
      <c r="H214" s="56">
        <f t="shared" si="48"/>
        <v>0</v>
      </c>
      <c r="I214" s="56">
        <f t="shared" si="48"/>
        <v>0</v>
      </c>
      <c r="J214" s="56">
        <f t="shared" si="48"/>
        <v>0</v>
      </c>
      <c r="K214" s="56">
        <f t="shared" si="48"/>
        <v>0</v>
      </c>
      <c r="L214" s="56">
        <f t="shared" si="48"/>
        <v>0</v>
      </c>
      <c r="M214" s="56">
        <f t="shared" si="48"/>
        <v>0</v>
      </c>
      <c r="N214" s="56">
        <f t="shared" si="48"/>
        <v>0</v>
      </c>
      <c r="O214" s="56">
        <f t="shared" si="48"/>
        <v>0</v>
      </c>
      <c r="P214" s="56">
        <f t="shared" si="48"/>
        <v>0</v>
      </c>
      <c r="Q214" s="56">
        <f t="shared" si="48"/>
        <v>0</v>
      </c>
      <c r="R214" s="56">
        <f t="shared" si="48"/>
        <v>0</v>
      </c>
      <c r="S214" s="56">
        <f t="shared" si="48"/>
        <v>0</v>
      </c>
      <c r="T214" s="56">
        <f t="shared" si="48"/>
        <v>0</v>
      </c>
      <c r="U214" s="56">
        <f t="shared" si="48"/>
        <v>0</v>
      </c>
      <c r="V214" s="56">
        <f t="shared" si="48"/>
        <v>0</v>
      </c>
      <c r="W214" s="56">
        <f t="shared" si="48"/>
        <v>0</v>
      </c>
      <c r="X214" s="56">
        <f t="shared" si="48"/>
        <v>0</v>
      </c>
      <c r="Y214" s="42"/>
      <c r="Z214" s="42"/>
    </row>
    <row r="215" spans="1:26" x14ac:dyDescent="0.25">
      <c r="B215" s="42"/>
      <c r="D215" s="156"/>
      <c r="E215" s="156"/>
      <c r="F215" s="156"/>
      <c r="G215" s="156"/>
      <c r="H215" s="156"/>
      <c r="I215" s="156"/>
      <c r="J215" s="156"/>
      <c r="K215" s="156"/>
      <c r="L215" s="156"/>
      <c r="M215" s="156"/>
      <c r="N215" s="156"/>
      <c r="O215" s="156"/>
      <c r="P215" s="156"/>
      <c r="Q215" s="156"/>
      <c r="R215" s="156"/>
      <c r="S215" s="156"/>
      <c r="T215" s="156"/>
      <c r="U215" s="156"/>
      <c r="V215" s="156"/>
      <c r="W215" s="156"/>
      <c r="X215" s="156"/>
      <c r="Y215" s="42"/>
      <c r="Z215" s="42"/>
    </row>
    <row r="216" spans="1:26" x14ac:dyDescent="0.25">
      <c r="B216" s="55" t="s">
        <v>34</v>
      </c>
      <c r="D216" s="150"/>
      <c r="E216" s="154">
        <v>1</v>
      </c>
      <c r="F216" s="154">
        <v>2</v>
      </c>
      <c r="G216" s="154">
        <v>3</v>
      </c>
      <c r="H216" s="154">
        <v>4</v>
      </c>
      <c r="I216" s="154">
        <v>5</v>
      </c>
      <c r="J216" s="154">
        <v>6</v>
      </c>
      <c r="K216" s="154">
        <v>7</v>
      </c>
      <c r="L216" s="154">
        <v>8</v>
      </c>
      <c r="M216" s="154">
        <v>9</v>
      </c>
      <c r="N216" s="154">
        <v>10</v>
      </c>
      <c r="O216" s="154">
        <v>11</v>
      </c>
      <c r="P216" s="154">
        <v>12</v>
      </c>
      <c r="Q216" s="154">
        <v>13</v>
      </c>
      <c r="R216" s="154">
        <v>14</v>
      </c>
      <c r="S216" s="154">
        <v>15</v>
      </c>
      <c r="T216" s="154">
        <v>16</v>
      </c>
      <c r="U216" s="154">
        <v>17</v>
      </c>
      <c r="V216" s="154">
        <v>18</v>
      </c>
      <c r="W216" s="154">
        <v>19</v>
      </c>
      <c r="X216" s="154">
        <v>20</v>
      </c>
      <c r="Y216" s="42"/>
      <c r="Z216" s="42"/>
    </row>
    <row r="217" spans="1:26" x14ac:dyDescent="0.25">
      <c r="B217" s="67" t="s">
        <v>28</v>
      </c>
      <c r="C217" s="68" t="s">
        <v>31</v>
      </c>
      <c r="D217" s="68" t="s">
        <v>4</v>
      </c>
      <c r="E217" s="152" t="s">
        <v>433</v>
      </c>
      <c r="F217" s="152" t="s">
        <v>434</v>
      </c>
      <c r="G217" s="152" t="s">
        <v>444</v>
      </c>
      <c r="H217" s="152" t="s">
        <v>445</v>
      </c>
      <c r="I217" s="152" t="s">
        <v>446</v>
      </c>
      <c r="J217" s="152" t="s">
        <v>447</v>
      </c>
      <c r="K217" s="152" t="s">
        <v>448</v>
      </c>
      <c r="L217" s="152" t="s">
        <v>449</v>
      </c>
      <c r="M217" s="152" t="s">
        <v>450</v>
      </c>
      <c r="N217" s="152" t="s">
        <v>451</v>
      </c>
      <c r="O217" s="152" t="s">
        <v>452</v>
      </c>
      <c r="P217" s="152" t="s">
        <v>435</v>
      </c>
      <c r="Q217" s="152" t="s">
        <v>436</v>
      </c>
      <c r="R217" s="152" t="s">
        <v>437</v>
      </c>
      <c r="S217" s="152" t="s">
        <v>438</v>
      </c>
      <c r="T217" s="152" t="s">
        <v>439</v>
      </c>
      <c r="U217" s="153" t="s">
        <v>440</v>
      </c>
      <c r="V217" s="153" t="s">
        <v>441</v>
      </c>
      <c r="W217" s="153" t="s">
        <v>442</v>
      </c>
      <c r="X217" s="153" t="s">
        <v>453</v>
      </c>
      <c r="Y217" s="42"/>
      <c r="Z217" s="42"/>
    </row>
    <row r="218" spans="1:26" x14ac:dyDescent="0.25">
      <c r="B218" s="69" t="s">
        <v>33</v>
      </c>
      <c r="C218" s="59"/>
      <c r="D218" s="63" t="s">
        <v>423</v>
      </c>
      <c r="E218" s="70">
        <f t="shared" ref="E218:T218" si="49">SUM(E209:E214)</f>
        <v>490301.38778787391</v>
      </c>
      <c r="F218" s="70">
        <f t="shared" si="49"/>
        <v>532853.68949372682</v>
      </c>
      <c r="G218" s="70">
        <f t="shared" si="49"/>
        <v>576193.04846422293</v>
      </c>
      <c r="H218" s="70">
        <f t="shared" si="49"/>
        <v>618237.15591036424</v>
      </c>
      <c r="I218" s="70">
        <f t="shared" si="49"/>
        <v>659676.75297527213</v>
      </c>
      <c r="J218" s="70">
        <f t="shared" si="49"/>
        <v>701653.71507949266</v>
      </c>
      <c r="K218" s="70">
        <f t="shared" si="49"/>
        <v>742630.85251719377</v>
      </c>
      <c r="L218" s="70">
        <f t="shared" si="49"/>
        <v>783724.38561774569</v>
      </c>
      <c r="M218" s="70">
        <f t="shared" si="49"/>
        <v>823791.3578557641</v>
      </c>
      <c r="N218" s="70">
        <f t="shared" si="49"/>
        <v>864836.66255064169</v>
      </c>
      <c r="O218" s="70">
        <f t="shared" si="49"/>
        <v>906169.74495851761</v>
      </c>
      <c r="P218" s="70">
        <f t="shared" si="49"/>
        <v>924204.77643661562</v>
      </c>
      <c r="Q218" s="70">
        <f t="shared" si="49"/>
        <v>942239.80791471363</v>
      </c>
      <c r="R218" s="70">
        <f t="shared" si="49"/>
        <v>960274.83939281153</v>
      </c>
      <c r="S218" s="70">
        <f t="shared" si="49"/>
        <v>978309.87087090919</v>
      </c>
      <c r="T218" s="70">
        <f t="shared" si="49"/>
        <v>996344.90234900732</v>
      </c>
      <c r="U218" s="70">
        <f t="shared" ref="U218:X218" si="50">SUM(U209:U214)</f>
        <v>996344.90234900732</v>
      </c>
      <c r="V218" s="70">
        <f t="shared" si="50"/>
        <v>996344.90234900732</v>
      </c>
      <c r="W218" s="70">
        <f t="shared" si="50"/>
        <v>996344.90234900732</v>
      </c>
      <c r="X218" s="70">
        <f t="shared" si="50"/>
        <v>996344.90234900732</v>
      </c>
      <c r="Y218" s="42"/>
      <c r="Z218" s="42"/>
    </row>
    <row r="219" spans="1:26" x14ac:dyDescent="0.25">
      <c r="B219" s="69" t="s">
        <v>35</v>
      </c>
      <c r="C219" s="59"/>
      <c r="D219" s="63" t="s">
        <v>423</v>
      </c>
      <c r="E219" s="71">
        <f>E218</f>
        <v>490301.38778787391</v>
      </c>
      <c r="F219" s="71">
        <f t="shared" ref="F219:X219" si="51">F218</f>
        <v>532853.68949372682</v>
      </c>
      <c r="G219" s="71">
        <f t="shared" si="51"/>
        <v>576193.04846422293</v>
      </c>
      <c r="H219" s="71">
        <f t="shared" si="51"/>
        <v>618237.15591036424</v>
      </c>
      <c r="I219" s="71">
        <f t="shared" si="51"/>
        <v>659676.75297527213</v>
      </c>
      <c r="J219" s="71">
        <f t="shared" si="51"/>
        <v>701653.71507949266</v>
      </c>
      <c r="K219" s="71">
        <f t="shared" si="51"/>
        <v>742630.85251719377</v>
      </c>
      <c r="L219" s="71">
        <f t="shared" si="51"/>
        <v>783724.38561774569</v>
      </c>
      <c r="M219" s="71">
        <f t="shared" si="51"/>
        <v>823791.3578557641</v>
      </c>
      <c r="N219" s="71">
        <f t="shared" si="51"/>
        <v>864836.66255064169</v>
      </c>
      <c r="O219" s="71">
        <f t="shared" si="51"/>
        <v>906169.74495851761</v>
      </c>
      <c r="P219" s="71">
        <f t="shared" si="51"/>
        <v>924204.77643661562</v>
      </c>
      <c r="Q219" s="71">
        <f t="shared" si="51"/>
        <v>942239.80791471363</v>
      </c>
      <c r="R219" s="71">
        <f t="shared" si="51"/>
        <v>960274.83939281153</v>
      </c>
      <c r="S219" s="71">
        <f t="shared" si="51"/>
        <v>978309.87087090919</v>
      </c>
      <c r="T219" s="71">
        <f t="shared" si="51"/>
        <v>996344.90234900732</v>
      </c>
      <c r="U219" s="71">
        <f t="shared" si="51"/>
        <v>996344.90234900732</v>
      </c>
      <c r="V219" s="71">
        <f t="shared" si="51"/>
        <v>996344.90234900732</v>
      </c>
      <c r="W219" s="71">
        <f t="shared" si="51"/>
        <v>996344.90234900732</v>
      </c>
      <c r="X219" s="71">
        <f t="shared" si="51"/>
        <v>996344.90234900732</v>
      </c>
      <c r="Y219" s="42"/>
      <c r="Z219" s="42"/>
    </row>
    <row r="220" spans="1:26" x14ac:dyDescent="0.25">
      <c r="B220" s="69" t="s">
        <v>36</v>
      </c>
      <c r="C220" s="59"/>
      <c r="D220" s="63" t="s">
        <v>423</v>
      </c>
      <c r="E220" s="72">
        <f>E219*(1/E28-((1/(1+E28)^E217)*(1/E28)))</f>
        <v>471443.64210372587</v>
      </c>
      <c r="F220" s="73">
        <f>IF(F216&gt;$E$30,0,F$219*(1/$E$28-((1/(1+$E$28)^F$217)*(1/$E$28)))-SUM($E220:E$220))</f>
        <v>533568.86396802333</v>
      </c>
      <c r="G220" s="73">
        <f>IF(G216&gt;$E$30,0,G$219*(1/$E$28-((1/(1+$E$28)^G$217)*(1/$E$28)))-SUM($E220:F$220))</f>
        <v>593975.65612911968</v>
      </c>
      <c r="H220" s="73">
        <f>IF(H216&gt;$E$30,0,H$219*(1/$E$28-((1/(1+$E$28)^H$217)*(1/$E$28)))-SUM($E220:G$220))</f>
        <v>645147.93749630381</v>
      </c>
      <c r="I220" s="73">
        <f>IF(I216&gt;$E$30,0,I$219*(1/$E$28-((1/(1+$E$28)^I$217)*(1/$E$28)))-SUM($E220:H$220))</f>
        <v>692627.60045040771</v>
      </c>
      <c r="J220" s="73">
        <f>IF(J216&gt;$E$30,0,J$219*(1/$E$28-((1/(1+$E$28)^J$217)*(1/$E$28)))-SUM($E220:I$220))</f>
        <v>741401.10034363437</v>
      </c>
      <c r="K220" s="73">
        <f>IF(K216&gt;$E$30,0,K$219*(1/$E$28-((1/(1+$E$28)^K$217)*(1/$E$28)))-SUM($E220:J$220))</f>
        <v>779146.17590738274</v>
      </c>
      <c r="L220" s="73">
        <f>IF(L216&gt;$E$30,0,L$219*(1/$E$28-((1/(1+$E$28)^L$217)*(1/$E$28)))-SUM($E220:K$220))</f>
        <v>819305.36424293555</v>
      </c>
      <c r="M220" s="73">
        <f>IF(M216&gt;$E$30,0,M$219*(1/$E$28-((1/(1+$E$28)^M$217)*(1/$E$28)))-SUM($E220:L$220))</f>
        <v>848545.58290423453</v>
      </c>
      <c r="N220" s="73">
        <f>IF(N216&gt;$E$30,0,N$219*(1/$E$28-((1/(1+$E$28)^N$217)*(1/$E$28)))-SUM($E220:M$220))</f>
        <v>889438.11256772839</v>
      </c>
      <c r="O220" s="73">
        <f>IF(O216&gt;$E$30,0,O$219*(1/$E$28-((1/(1+$E$28)^O$217)*(1/$E$28)))-SUM($E220:N$220))</f>
        <v>0</v>
      </c>
      <c r="P220" s="73">
        <f>IF(P216&gt;$E$30,0,P$219*(1/$E$28-((1/(1+$E$28)^P$217)*(1/$E$28)))-SUM($E220:O$220))</f>
        <v>0</v>
      </c>
      <c r="Q220" s="73">
        <f>IF(Q216&gt;$E$30,0,Q$219*(1/$E$28-((1/(1+$E$28)^Q$217)*(1/$E$28)))-SUM($E220:P$220))</f>
        <v>0</v>
      </c>
      <c r="R220" s="73">
        <f>IF(R216&gt;$E$30,0,R$219*(1/$E$28-((1/(1+$E$28)^R$217)*(1/$E$28)))-SUM($E220:Q$220))</f>
        <v>0</v>
      </c>
      <c r="S220" s="73">
        <f>IF(S216&gt;$E$30,0,S$219*(1/$E$28-((1/(1+$E$28)^S$217)*(1/$E$28)))-SUM($E220:R$220))</f>
        <v>0</v>
      </c>
      <c r="T220" s="73">
        <f>IF(T216&gt;$E$30,0,T$219*(1/$E$28-((1/(1+$E$28)^T$217)*(1/$E$28)))-SUM($E220:S$220))</f>
        <v>0</v>
      </c>
      <c r="U220" s="73">
        <f>IF(U216&gt;$E$30,0,U$219*(1/$E$28-((1/(1+$E$28)^U$217)*(1/$E$28)))-SUM($E220:T$220))</f>
        <v>0</v>
      </c>
      <c r="V220" s="73">
        <f>IF(V216&gt;$E$30,0,V$219*(1/$E$28-((1/(1+$E$28)^V$217)*(1/$E$28)))-SUM($E220:U$220))</f>
        <v>0</v>
      </c>
      <c r="W220" s="73">
        <f>IF(W216&gt;$E$30,0,W$219*(1/$E$28-((1/(1+$E$28)^W$217)*(1/$E$28)))-SUM($E220:V$220))</f>
        <v>0</v>
      </c>
      <c r="X220" s="73">
        <f>IF(X216&gt;$E$30,0,X$219*(1/$E$28-((1/(1+$E$28)^X$217)*(1/$E$28)))-SUM($E220:W$220))</f>
        <v>0</v>
      </c>
      <c r="Y220" s="42"/>
      <c r="Z220" s="42"/>
    </row>
    <row r="221" spans="1:26" x14ac:dyDescent="0.25">
      <c r="B221" s="42"/>
    </row>
    <row r="222" spans="1:26" x14ac:dyDescent="0.25">
      <c r="B222" s="42"/>
    </row>
    <row r="223" spans="1:26" x14ac:dyDescent="0.25">
      <c r="B223" s="42"/>
    </row>
    <row r="224" spans="1:26" x14ac:dyDescent="0.25">
      <c r="B224" s="42"/>
    </row>
    <row r="230" spans="2:26" x14ac:dyDescent="0.25">
      <c r="E230" s="43"/>
    </row>
    <row r="231" spans="2:26" x14ac:dyDescent="0.25">
      <c r="B231" s="42"/>
      <c r="U231" s="42"/>
      <c r="V231" s="42"/>
      <c r="W231" s="42"/>
      <c r="X231" s="42"/>
      <c r="Y231" s="42"/>
      <c r="Z231" s="42"/>
    </row>
    <row r="232" spans="2:26" x14ac:dyDescent="0.25">
      <c r="B232" s="42"/>
      <c r="U232" s="42"/>
      <c r="V232" s="42"/>
      <c r="W232" s="42"/>
      <c r="X232" s="42"/>
      <c r="Y232" s="42"/>
      <c r="Z232" s="42"/>
    </row>
    <row r="233" spans="2:26" x14ac:dyDescent="0.25">
      <c r="B233" s="42"/>
      <c r="U233" s="42"/>
      <c r="V233" s="42"/>
      <c r="W233" s="42"/>
      <c r="X233" s="42"/>
      <c r="Y233" s="42"/>
      <c r="Z233" s="42"/>
    </row>
    <row r="234" spans="2:26" x14ac:dyDescent="0.25">
      <c r="B234" s="42"/>
      <c r="U234" s="42"/>
      <c r="V234" s="42"/>
      <c r="W234" s="42"/>
      <c r="X234" s="42"/>
      <c r="Y234" s="42"/>
      <c r="Z234" s="42"/>
    </row>
    <row r="235" spans="2:26" x14ac:dyDescent="0.25">
      <c r="B235" s="42"/>
      <c r="U235" s="42"/>
      <c r="V235" s="42"/>
      <c r="W235" s="42"/>
      <c r="X235" s="42"/>
      <c r="Y235" s="42"/>
      <c r="Z235" s="42"/>
    </row>
    <row r="236" spans="2:26" x14ac:dyDescent="0.25">
      <c r="B236" s="42"/>
      <c r="U236" s="42"/>
      <c r="V236" s="42"/>
      <c r="W236" s="42"/>
      <c r="X236" s="42"/>
      <c r="Y236" s="42"/>
      <c r="Z236" s="42"/>
    </row>
    <row r="237" spans="2:26" x14ac:dyDescent="0.25">
      <c r="B237" s="42"/>
      <c r="U237" s="42"/>
      <c r="V237" s="42"/>
      <c r="W237" s="42"/>
      <c r="X237" s="42"/>
      <c r="Y237" s="42"/>
      <c r="Z237" s="42"/>
    </row>
    <row r="238" spans="2:26" x14ac:dyDescent="0.25">
      <c r="B238" s="42"/>
      <c r="U238" s="42"/>
      <c r="V238" s="42"/>
      <c r="W238" s="42"/>
      <c r="X238" s="42"/>
      <c r="Y238" s="42"/>
      <c r="Z238" s="42"/>
    </row>
    <row r="239" spans="2:26" x14ac:dyDescent="0.25">
      <c r="B239" s="42"/>
      <c r="U239" s="42"/>
      <c r="V239" s="42"/>
      <c r="W239" s="42"/>
      <c r="X239" s="42"/>
      <c r="Y239" s="42"/>
      <c r="Z239" s="42"/>
    </row>
    <row r="240" spans="2:26" x14ac:dyDescent="0.25">
      <c r="B240" s="42"/>
      <c r="U240" s="42"/>
      <c r="V240" s="42"/>
      <c r="W240" s="42"/>
      <c r="X240" s="42"/>
      <c r="Y240" s="42"/>
      <c r="Z240" s="42"/>
    </row>
    <row r="241" spans="2:26" x14ac:dyDescent="0.25">
      <c r="B241" s="42"/>
      <c r="U241" s="42"/>
      <c r="V241" s="42"/>
      <c r="W241" s="42"/>
      <c r="X241" s="42"/>
      <c r="Y241" s="42"/>
      <c r="Z241" s="42"/>
    </row>
    <row r="242" spans="2:26" x14ac:dyDescent="0.25">
      <c r="B242" s="42"/>
      <c r="U242" s="42"/>
      <c r="V242" s="42"/>
      <c r="W242" s="42"/>
      <c r="X242" s="42"/>
      <c r="Y242" s="42"/>
      <c r="Z242" s="42"/>
    </row>
    <row r="243" spans="2:26" x14ac:dyDescent="0.25">
      <c r="B243" s="42"/>
      <c r="U243" s="42"/>
      <c r="V243" s="42"/>
      <c r="W243" s="42"/>
      <c r="X243" s="42"/>
      <c r="Y243" s="42"/>
      <c r="Z243" s="42"/>
    </row>
    <row r="244" spans="2:26" x14ac:dyDescent="0.25">
      <c r="B244" s="42"/>
      <c r="U244" s="42"/>
      <c r="V244" s="42"/>
      <c r="W244" s="42"/>
      <c r="X244" s="42"/>
      <c r="Y244" s="42"/>
      <c r="Z244" s="42"/>
    </row>
    <row r="245" spans="2:26" x14ac:dyDescent="0.25">
      <c r="B245" s="42"/>
      <c r="U245" s="42"/>
      <c r="V245" s="42"/>
      <c r="W245" s="42"/>
      <c r="X245" s="42"/>
      <c r="Y245" s="42"/>
      <c r="Z245" s="42"/>
    </row>
    <row r="246" spans="2:26" x14ac:dyDescent="0.25">
      <c r="B246" s="42"/>
      <c r="U246" s="42"/>
      <c r="V246" s="42"/>
      <c r="W246" s="42"/>
      <c r="X246" s="42"/>
      <c r="Y246" s="42"/>
      <c r="Z246" s="42"/>
    </row>
    <row r="247" spans="2:26" x14ac:dyDescent="0.25">
      <c r="B247" s="42"/>
      <c r="U247" s="42"/>
      <c r="V247" s="42"/>
      <c r="W247" s="42"/>
      <c r="X247" s="42"/>
      <c r="Y247" s="42"/>
      <c r="Z247" s="42"/>
    </row>
    <row r="248" spans="2:26" x14ac:dyDescent="0.25">
      <c r="B248" s="42"/>
      <c r="U248" s="42"/>
      <c r="V248" s="42"/>
      <c r="W248" s="42"/>
      <c r="X248" s="42"/>
      <c r="Y248" s="42"/>
      <c r="Z248" s="42"/>
    </row>
    <row r="249" spans="2:26" x14ac:dyDescent="0.25">
      <c r="B249" s="42"/>
      <c r="U249" s="42"/>
      <c r="V249" s="42"/>
      <c r="W249" s="42"/>
      <c r="X249" s="42"/>
      <c r="Y249" s="42"/>
      <c r="Z249" s="42"/>
    </row>
    <row r="250" spans="2:26" x14ac:dyDescent="0.25">
      <c r="B250" s="42"/>
      <c r="U250" s="42"/>
      <c r="V250" s="42"/>
      <c r="W250" s="42"/>
      <c r="X250" s="42"/>
      <c r="Y250" s="42"/>
      <c r="Z250" s="42"/>
    </row>
    <row r="251" spans="2:26" x14ac:dyDescent="0.25">
      <c r="B251" s="42"/>
      <c r="U251" s="42"/>
      <c r="V251" s="42"/>
      <c r="W251" s="42"/>
      <c r="X251" s="42"/>
      <c r="Y251" s="42"/>
      <c r="Z251" s="42"/>
    </row>
    <row r="252" spans="2:26" x14ac:dyDescent="0.25">
      <c r="B252" s="42"/>
      <c r="U252" s="42"/>
      <c r="V252" s="42"/>
      <c r="W252" s="42"/>
      <c r="X252" s="42"/>
      <c r="Y252" s="42"/>
      <c r="Z252" s="42"/>
    </row>
    <row r="253" spans="2:26" x14ac:dyDescent="0.25">
      <c r="B253" s="42"/>
      <c r="U253" s="42"/>
      <c r="V253" s="42"/>
      <c r="W253" s="42"/>
      <c r="X253" s="42"/>
      <c r="Y253" s="42"/>
      <c r="Z253" s="42"/>
    </row>
    <row r="254" spans="2:26" x14ac:dyDescent="0.25">
      <c r="B254" s="42"/>
      <c r="U254" s="42"/>
      <c r="V254" s="42"/>
      <c r="W254" s="42"/>
      <c r="X254" s="42"/>
      <c r="Y254" s="42"/>
      <c r="Z254" s="42"/>
    </row>
    <row r="255" spans="2:26" x14ac:dyDescent="0.25">
      <c r="B255" s="42"/>
      <c r="U255" s="42"/>
      <c r="V255" s="42"/>
      <c r="W255" s="42"/>
      <c r="X255" s="42"/>
      <c r="Y255" s="42"/>
      <c r="Z255" s="42"/>
    </row>
    <row r="256" spans="2:26" x14ac:dyDescent="0.25">
      <c r="B256" s="42"/>
      <c r="U256" s="42"/>
      <c r="V256" s="42"/>
      <c r="W256" s="42"/>
      <c r="X256" s="42"/>
      <c r="Y256" s="42"/>
      <c r="Z256" s="42"/>
    </row>
    <row r="257" spans="2:26" x14ac:dyDescent="0.25">
      <c r="B257" s="42"/>
      <c r="U257" s="42"/>
      <c r="V257" s="42"/>
      <c r="W257" s="42"/>
      <c r="X257" s="42"/>
      <c r="Y257" s="42"/>
      <c r="Z257" s="42"/>
    </row>
    <row r="258" spans="2:26" x14ac:dyDescent="0.25">
      <c r="B258" s="42"/>
      <c r="U258" s="42"/>
      <c r="V258" s="42"/>
      <c r="W258" s="42"/>
      <c r="X258" s="42"/>
      <c r="Y258" s="42"/>
      <c r="Z258" s="42"/>
    </row>
    <row r="259" spans="2:26" x14ac:dyDescent="0.25">
      <c r="B259" s="42"/>
      <c r="U259" s="42"/>
      <c r="V259" s="42"/>
      <c r="W259" s="42"/>
      <c r="X259" s="42"/>
      <c r="Y259" s="42"/>
      <c r="Z259" s="42"/>
    </row>
    <row r="260" spans="2:26" x14ac:dyDescent="0.25">
      <c r="B260" s="42"/>
      <c r="U260" s="42"/>
      <c r="V260" s="42"/>
      <c r="W260" s="42"/>
      <c r="X260" s="42"/>
      <c r="Y260" s="42"/>
      <c r="Z260" s="42"/>
    </row>
    <row r="261" spans="2:26" x14ac:dyDescent="0.25">
      <c r="B261" s="42"/>
      <c r="U261" s="42"/>
      <c r="V261" s="42"/>
      <c r="W261" s="42"/>
      <c r="X261" s="42"/>
      <c r="Y261" s="42"/>
      <c r="Z261" s="42"/>
    </row>
    <row r="262" spans="2:26" x14ac:dyDescent="0.25">
      <c r="B262" s="42"/>
      <c r="U262" s="42"/>
      <c r="V262" s="42"/>
      <c r="W262" s="42"/>
      <c r="X262" s="42"/>
      <c r="Y262" s="42"/>
      <c r="Z262" s="42"/>
    </row>
    <row r="263" spans="2:26" x14ac:dyDescent="0.25">
      <c r="B263" s="42"/>
      <c r="U263" s="42"/>
      <c r="V263" s="42"/>
      <c r="W263" s="42"/>
      <c r="X263" s="42"/>
      <c r="Y263" s="42"/>
      <c r="Z263" s="42"/>
    </row>
    <row r="264" spans="2:26" x14ac:dyDescent="0.25">
      <c r="B264" s="42"/>
      <c r="U264" s="42"/>
      <c r="V264" s="42"/>
      <c r="W264" s="42"/>
      <c r="X264" s="42"/>
      <c r="Y264" s="42"/>
      <c r="Z264" s="42"/>
    </row>
    <row r="265" spans="2:26" x14ac:dyDescent="0.25">
      <c r="B265" s="42"/>
      <c r="U265" s="42"/>
      <c r="V265" s="42"/>
      <c r="W265" s="42"/>
      <c r="X265" s="42"/>
      <c r="Y265" s="42"/>
      <c r="Z265" s="42"/>
    </row>
    <row r="266" spans="2:26" x14ac:dyDescent="0.25">
      <c r="B266" s="42"/>
      <c r="U266" s="42"/>
      <c r="V266" s="42"/>
      <c r="W266" s="42"/>
      <c r="X266" s="42"/>
      <c r="Y266" s="42"/>
      <c r="Z266" s="42"/>
    </row>
    <row r="267" spans="2:26" x14ac:dyDescent="0.25">
      <c r="B267" s="42"/>
      <c r="U267" s="42"/>
      <c r="V267" s="42"/>
      <c r="W267" s="42"/>
      <c r="X267" s="42"/>
      <c r="Y267" s="42"/>
      <c r="Z267" s="42"/>
    </row>
    <row r="268" spans="2:26" x14ac:dyDescent="0.25">
      <c r="B268" s="42"/>
      <c r="U268" s="42"/>
      <c r="V268" s="42"/>
      <c r="W268" s="42"/>
      <c r="X268" s="42"/>
      <c r="Y268" s="42"/>
      <c r="Z268" s="42"/>
    </row>
    <row r="269" spans="2:26" x14ac:dyDescent="0.25">
      <c r="B269" s="42"/>
    </row>
    <row r="270" spans="2:26" x14ac:dyDescent="0.25">
      <c r="B270" s="42"/>
    </row>
    <row r="271" spans="2:26" x14ac:dyDescent="0.25">
      <c r="B271" s="42"/>
    </row>
    <row r="272" spans="2:26" x14ac:dyDescent="0.25">
      <c r="B272" s="42"/>
    </row>
    <row r="273" spans="1:26" x14ac:dyDescent="0.25">
      <c r="A273" s="47"/>
      <c r="B273" s="42"/>
      <c r="E273" s="86"/>
    </row>
    <row r="274" spans="1:26" x14ac:dyDescent="0.25">
      <c r="B274" s="42"/>
    </row>
    <row r="275" spans="1:26" x14ac:dyDescent="0.25">
      <c r="B275" s="42"/>
    </row>
    <row r="276" spans="1:26" x14ac:dyDescent="0.25">
      <c r="B276" s="42"/>
    </row>
    <row r="277" spans="1:26" x14ac:dyDescent="0.25">
      <c r="B277" s="42"/>
    </row>
    <row r="278" spans="1:26" x14ac:dyDescent="0.25">
      <c r="B278" s="42"/>
    </row>
    <row r="279" spans="1:26" x14ac:dyDescent="0.25">
      <c r="B279" s="42"/>
    </row>
    <row r="280" spans="1:26" x14ac:dyDescent="0.25">
      <c r="B280" s="42"/>
    </row>
    <row r="281" spans="1:26" s="53" customFormat="1" x14ac:dyDescent="0.25">
      <c r="A281" s="42"/>
      <c r="B281" s="44"/>
      <c r="C281" s="42"/>
      <c r="D281" s="42"/>
      <c r="E281" s="42"/>
      <c r="F281" s="42"/>
      <c r="G281" s="42"/>
      <c r="H281" s="42"/>
      <c r="I281" s="42"/>
      <c r="J281" s="42"/>
      <c r="K281" s="42"/>
      <c r="L281" s="42"/>
      <c r="M281" s="42"/>
      <c r="N281" s="42"/>
      <c r="O281" s="42"/>
      <c r="P281" s="42"/>
      <c r="Q281" s="42"/>
      <c r="R281" s="42"/>
      <c r="S281" s="42"/>
      <c r="T281" s="42"/>
      <c r="U281" s="59"/>
      <c r="V281" s="59"/>
      <c r="W281" s="59"/>
      <c r="X281" s="59"/>
      <c r="Y281" s="59"/>
      <c r="Z281" s="59"/>
    </row>
    <row r="282" spans="1:26" x14ac:dyDescent="0.25">
      <c r="J282" s="87"/>
    </row>
    <row r="285" spans="1:26" x14ac:dyDescent="0.25">
      <c r="B285" s="42"/>
      <c r="U285" s="42"/>
      <c r="V285" s="42"/>
      <c r="W285" s="42"/>
      <c r="X285" s="42"/>
      <c r="Y285" s="42"/>
      <c r="Z285" s="42"/>
    </row>
  </sheetData>
  <pageMargins left="0.7" right="0.7" top="0.75" bottom="0.75" header="0.3" footer="0.3"/>
  <pageSetup paperSize="9" orientation="portrait" r:id="rId1"/>
  <tableParts count="14">
    <tablePart r:id="rId2"/>
    <tablePart r:id="rId3"/>
    <tablePart r:id="rId4"/>
    <tablePart r:id="rId5"/>
    <tablePart r:id="rId6"/>
    <tablePart r:id="rId7"/>
    <tablePart r:id="rId8"/>
    <tablePart r:id="rId9"/>
    <tablePart r:id="rId10"/>
    <tablePart r:id="rId11"/>
    <tablePart r:id="rId12"/>
    <tablePart r:id="rId13"/>
    <tablePart r:id="rId14"/>
    <tablePart r:id="rId15"/>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5" tint="0.59999389629810485"/>
    <pageSetUpPr fitToPage="1"/>
  </sheetPr>
  <dimension ref="B2:BE20"/>
  <sheetViews>
    <sheetView showGridLines="0" zoomScaleNormal="100" workbookViewId="0">
      <pane xSplit="6" ySplit="7" topLeftCell="J8" activePane="bottomRight" state="frozen"/>
      <selection pane="topRight" activeCell="G1" sqref="G1"/>
      <selection pane="bottomLeft" activeCell="A8" sqref="A8"/>
      <selection pane="bottomRight" activeCell="O11" sqref="O11"/>
    </sheetView>
  </sheetViews>
  <sheetFormatPr defaultColWidth="8.85546875" defaultRowHeight="15" x14ac:dyDescent="0.25"/>
  <cols>
    <col min="1" max="1" width="8.85546875" style="42"/>
    <col min="2" max="2" width="35" style="42" bestFit="1" customWidth="1"/>
    <col min="3" max="3" width="8.85546875" style="42"/>
    <col min="4" max="4" width="19.85546875" style="42" customWidth="1"/>
    <col min="5" max="6" width="14.140625" style="42" customWidth="1"/>
    <col min="7" max="57" width="17.28515625" style="42" customWidth="1"/>
    <col min="58" max="16384" width="8.85546875" style="42"/>
  </cols>
  <sheetData>
    <row r="2" spans="2:57" x14ac:dyDescent="0.25">
      <c r="B2" s="42" t="s">
        <v>44</v>
      </c>
      <c r="C2" s="45" t="s">
        <v>109</v>
      </c>
    </row>
    <row r="3" spans="2:57" x14ac:dyDescent="0.25">
      <c r="B3" s="42" t="s">
        <v>45</v>
      </c>
      <c r="C3" s="42" t="s">
        <v>187</v>
      </c>
    </row>
    <row r="4" spans="2:57" x14ac:dyDescent="0.25">
      <c r="B4" s="42" t="s">
        <v>46</v>
      </c>
      <c r="C4" s="42" t="s">
        <v>60</v>
      </c>
      <c r="H4" s="42" t="e">
        <f>INDEX(Process_characteristics[],MATCH("Boiler; "&amp;Template_calc!E13,Process_characteristics[Process name],0),MATCH(Template_calc!#REF!,Process_characteristics[#Headers],0))</f>
        <v>#N/A</v>
      </c>
    </row>
    <row r="6" spans="2:57" x14ac:dyDescent="0.25">
      <c r="B6" s="47" t="s">
        <v>59</v>
      </c>
    </row>
    <row r="7" spans="2:57" ht="60.95" customHeight="1" x14ac:dyDescent="0.25">
      <c r="B7" s="108" t="s">
        <v>139</v>
      </c>
      <c r="C7" s="109" t="s">
        <v>29</v>
      </c>
      <c r="D7" s="109" t="s">
        <v>140</v>
      </c>
      <c r="E7" s="109" t="s">
        <v>141</v>
      </c>
      <c r="F7" s="109" t="s">
        <v>142</v>
      </c>
      <c r="G7" s="109" t="s">
        <v>143</v>
      </c>
      <c r="H7" s="110" t="s">
        <v>144</v>
      </c>
      <c r="I7" s="109" t="s">
        <v>145</v>
      </c>
      <c r="J7" s="109" t="s">
        <v>146</v>
      </c>
      <c r="K7" s="109" t="s">
        <v>147</v>
      </c>
      <c r="L7" s="109" t="s">
        <v>148</v>
      </c>
      <c r="M7" s="110" t="s">
        <v>149</v>
      </c>
      <c r="N7" s="110" t="s">
        <v>150</v>
      </c>
      <c r="O7" s="110" t="s">
        <v>151</v>
      </c>
      <c r="P7" s="109" t="s">
        <v>152</v>
      </c>
      <c r="Q7" s="109" t="s">
        <v>153</v>
      </c>
      <c r="R7" s="109" t="s">
        <v>154</v>
      </c>
      <c r="S7" s="109" t="s">
        <v>155</v>
      </c>
      <c r="T7" s="109" t="s">
        <v>156</v>
      </c>
      <c r="U7" s="109" t="s">
        <v>157</v>
      </c>
      <c r="V7" s="109" t="s">
        <v>158</v>
      </c>
      <c r="W7" s="109" t="s">
        <v>159</v>
      </c>
      <c r="X7" s="109" t="s">
        <v>160</v>
      </c>
      <c r="Y7" s="109" t="s">
        <v>161</v>
      </c>
      <c r="Z7" s="109" t="s">
        <v>214</v>
      </c>
      <c r="AA7" s="109" t="s">
        <v>162</v>
      </c>
      <c r="AB7" s="109" t="s">
        <v>163</v>
      </c>
      <c r="AC7" s="109" t="s">
        <v>164</v>
      </c>
      <c r="AD7" s="109" t="s">
        <v>165</v>
      </c>
      <c r="AE7" s="109" t="s">
        <v>166</v>
      </c>
      <c r="AF7" s="109" t="s">
        <v>167</v>
      </c>
      <c r="AG7" s="109" t="s">
        <v>168</v>
      </c>
      <c r="AH7" s="109" t="s">
        <v>169</v>
      </c>
      <c r="AI7" s="109" t="s">
        <v>170</v>
      </c>
      <c r="AJ7" s="109" t="s">
        <v>367</v>
      </c>
      <c r="AK7" s="109" t="s">
        <v>368</v>
      </c>
      <c r="AL7" s="109" t="s">
        <v>369</v>
      </c>
      <c r="AM7" s="109" t="s">
        <v>171</v>
      </c>
      <c r="AN7" s="109" t="s">
        <v>172</v>
      </c>
      <c r="AO7" s="109" t="s">
        <v>173</v>
      </c>
      <c r="AP7" s="109" t="s">
        <v>174</v>
      </c>
      <c r="AQ7" s="109" t="s">
        <v>175</v>
      </c>
      <c r="AR7" s="109" t="s">
        <v>176</v>
      </c>
      <c r="AS7" s="109" t="s">
        <v>177</v>
      </c>
      <c r="AT7" s="109" t="s">
        <v>178</v>
      </c>
      <c r="AU7" s="109" t="s">
        <v>179</v>
      </c>
      <c r="AV7" s="109" t="s">
        <v>370</v>
      </c>
      <c r="AW7" s="109" t="s">
        <v>371</v>
      </c>
      <c r="AX7" s="109" t="s">
        <v>372</v>
      </c>
      <c r="AY7" s="109" t="s">
        <v>373</v>
      </c>
      <c r="AZ7" s="109" t="s">
        <v>374</v>
      </c>
      <c r="BA7" s="109" t="s">
        <v>375</v>
      </c>
      <c r="BB7" s="109" t="s">
        <v>180</v>
      </c>
      <c r="BC7" s="110" t="s">
        <v>181</v>
      </c>
      <c r="BD7" s="109" t="s">
        <v>182</v>
      </c>
      <c r="BE7" s="111" t="s">
        <v>131</v>
      </c>
    </row>
    <row r="8" spans="2:57" x14ac:dyDescent="0.25">
      <c r="B8" s="178" t="s">
        <v>427</v>
      </c>
      <c r="C8" s="177"/>
      <c r="D8" s="177"/>
      <c r="E8" s="177"/>
      <c r="F8" s="177"/>
      <c r="G8" s="177"/>
      <c r="H8" s="177"/>
      <c r="I8" s="177"/>
      <c r="J8" s="177"/>
      <c r="K8" s="177"/>
      <c r="L8" s="177"/>
      <c r="M8" s="177"/>
      <c r="N8" s="177"/>
      <c r="O8" s="177"/>
      <c r="P8" s="177"/>
      <c r="Q8" s="177"/>
      <c r="R8" s="177"/>
      <c r="S8" s="177"/>
      <c r="T8" s="177"/>
      <c r="U8" s="177"/>
      <c r="V8" s="177"/>
      <c r="W8" s="177"/>
      <c r="X8" s="177"/>
      <c r="Y8" s="177"/>
      <c r="Z8" s="178"/>
      <c r="AA8" s="177"/>
      <c r="AB8" s="177"/>
      <c r="AC8" s="177"/>
      <c r="AD8" s="177"/>
      <c r="AE8" s="177"/>
      <c r="AF8" s="177"/>
      <c r="AG8" s="177"/>
      <c r="AH8" s="177"/>
      <c r="AI8" s="177"/>
      <c r="AJ8" s="177"/>
      <c r="AK8" s="177"/>
      <c r="AL8" s="177"/>
      <c r="AM8" s="177"/>
      <c r="AN8" s="177"/>
      <c r="AO8" s="177"/>
      <c r="AP8" s="177"/>
      <c r="AQ8" s="177"/>
      <c r="AR8" s="177"/>
      <c r="AS8" s="177"/>
      <c r="AT8" s="177"/>
      <c r="AU8" s="177"/>
      <c r="AV8" s="177"/>
      <c r="AW8" s="177"/>
      <c r="AX8" s="177"/>
      <c r="AY8" s="177"/>
      <c r="AZ8" s="177"/>
      <c r="BA8" s="177"/>
      <c r="BB8" s="177"/>
      <c r="BC8" s="177"/>
      <c r="BD8" s="177"/>
      <c r="BE8" s="177"/>
    </row>
    <row r="9" spans="2:57" x14ac:dyDescent="0.25">
      <c r="B9" s="96" t="s">
        <v>364</v>
      </c>
      <c r="C9" s="95">
        <v>2016</v>
      </c>
      <c r="D9" s="95" t="s">
        <v>365</v>
      </c>
      <c r="E9" s="95" t="s">
        <v>259</v>
      </c>
      <c r="F9" s="95" t="s">
        <v>183</v>
      </c>
      <c r="G9" s="95" t="s">
        <v>49</v>
      </c>
      <c r="H9" s="95" t="s">
        <v>410</v>
      </c>
      <c r="I9" s="97">
        <v>15458.523592085236</v>
      </c>
      <c r="J9" s="95" t="s">
        <v>260</v>
      </c>
      <c r="K9" s="95">
        <v>0</v>
      </c>
      <c r="L9" s="95" t="s">
        <v>260</v>
      </c>
      <c r="M9" s="113">
        <v>0</v>
      </c>
      <c r="N9" s="95" t="s">
        <v>260</v>
      </c>
      <c r="O9" s="113">
        <v>772.92617960426185</v>
      </c>
      <c r="P9" s="95" t="s">
        <v>260</v>
      </c>
      <c r="Q9" s="95">
        <v>0</v>
      </c>
      <c r="R9" s="95" t="s">
        <v>260</v>
      </c>
      <c r="S9" s="95">
        <v>0</v>
      </c>
      <c r="T9" s="95" t="s">
        <v>260</v>
      </c>
      <c r="U9" s="95">
        <v>15</v>
      </c>
      <c r="V9" s="95">
        <v>1.2539513045588297</v>
      </c>
      <c r="W9" s="95">
        <v>0</v>
      </c>
      <c r="X9" s="95">
        <v>0</v>
      </c>
      <c r="Y9" s="95">
        <v>0</v>
      </c>
      <c r="Z9" s="95">
        <v>0</v>
      </c>
      <c r="AA9" s="95">
        <v>0</v>
      </c>
      <c r="AB9" s="95" t="s">
        <v>136</v>
      </c>
      <c r="AC9" s="95" t="s">
        <v>136</v>
      </c>
      <c r="AD9" s="95">
        <v>0</v>
      </c>
      <c r="AE9" s="95" t="s">
        <v>136</v>
      </c>
      <c r="AF9" s="95" t="s">
        <v>136</v>
      </c>
      <c r="AG9" s="95">
        <v>0</v>
      </c>
      <c r="AH9" s="95" t="s">
        <v>136</v>
      </c>
      <c r="AI9" s="95" t="s">
        <v>136</v>
      </c>
      <c r="AJ9" s="95">
        <v>0</v>
      </c>
      <c r="AK9" s="95" t="s">
        <v>136</v>
      </c>
      <c r="AL9" s="95" t="s">
        <v>136</v>
      </c>
      <c r="AM9" s="95">
        <v>1</v>
      </c>
      <c r="AN9" s="95">
        <v>0.25079026091176604</v>
      </c>
      <c r="AO9" s="95">
        <v>0</v>
      </c>
      <c r="AP9" s="95">
        <v>8.1489247858916106E-2</v>
      </c>
      <c r="AQ9" s="95" t="s">
        <v>32</v>
      </c>
      <c r="AR9" s="95" t="s">
        <v>53</v>
      </c>
      <c r="AS9" s="95">
        <v>0</v>
      </c>
      <c r="AT9" s="95" t="s">
        <v>136</v>
      </c>
      <c r="AU9" s="95" t="s">
        <v>136</v>
      </c>
      <c r="AV9" s="95">
        <v>0</v>
      </c>
      <c r="AW9" s="96" t="s">
        <v>136</v>
      </c>
      <c r="AX9" s="96" t="s">
        <v>136</v>
      </c>
      <c r="AY9" s="96">
        <v>0</v>
      </c>
      <c r="AZ9" s="96" t="s">
        <v>136</v>
      </c>
      <c r="BA9" s="96" t="s">
        <v>136</v>
      </c>
      <c r="BB9" s="96" t="s">
        <v>136</v>
      </c>
      <c r="BC9" s="96" t="s">
        <v>136</v>
      </c>
      <c r="BD9" s="96" t="s">
        <v>136</v>
      </c>
      <c r="BE9" s="96"/>
    </row>
    <row r="10" spans="2:57" x14ac:dyDescent="0.25">
      <c r="B10" s="96" t="s">
        <v>261</v>
      </c>
      <c r="C10" s="95">
        <v>2016</v>
      </c>
      <c r="D10" s="95" t="s">
        <v>262</v>
      </c>
      <c r="E10" s="95" t="s">
        <v>259</v>
      </c>
      <c r="F10" s="95" t="s">
        <v>183</v>
      </c>
      <c r="G10" s="95" t="s">
        <v>49</v>
      </c>
      <c r="H10" s="95" t="s">
        <v>410</v>
      </c>
      <c r="I10" s="97">
        <v>475646.87975646876</v>
      </c>
      <c r="J10" s="95" t="s">
        <v>260</v>
      </c>
      <c r="K10" s="95">
        <v>0</v>
      </c>
      <c r="L10" s="95" t="s">
        <v>260</v>
      </c>
      <c r="M10" s="113">
        <v>0</v>
      </c>
      <c r="N10" s="95" t="s">
        <v>260</v>
      </c>
      <c r="O10" s="97">
        <v>23782.343987823439</v>
      </c>
      <c r="P10" s="95" t="s">
        <v>260</v>
      </c>
      <c r="Q10" s="95">
        <v>0</v>
      </c>
      <c r="R10" s="95" t="s">
        <v>260</v>
      </c>
      <c r="S10" s="95">
        <v>0</v>
      </c>
      <c r="T10" s="95" t="s">
        <v>260</v>
      </c>
      <c r="U10" s="95">
        <v>10</v>
      </c>
      <c r="V10" s="95">
        <v>0</v>
      </c>
      <c r="W10" s="95">
        <v>0</v>
      </c>
      <c r="X10" s="95">
        <v>0</v>
      </c>
      <c r="Y10" s="95">
        <v>1.1000000000000016</v>
      </c>
      <c r="Z10" s="95">
        <v>0</v>
      </c>
      <c r="AA10" s="95">
        <v>0.38</v>
      </c>
      <c r="AB10" s="95" t="s">
        <v>184</v>
      </c>
      <c r="AC10" s="95" t="s">
        <v>53</v>
      </c>
      <c r="AD10" s="95">
        <v>0</v>
      </c>
      <c r="AE10" s="95" t="s">
        <v>136</v>
      </c>
      <c r="AF10" s="95" t="s">
        <v>136</v>
      </c>
      <c r="AG10" s="95">
        <v>0</v>
      </c>
      <c r="AH10" s="95" t="s">
        <v>136</v>
      </c>
      <c r="AI10" s="95" t="s">
        <v>136</v>
      </c>
      <c r="AJ10" s="95">
        <v>0</v>
      </c>
      <c r="AK10" s="95" t="s">
        <v>136</v>
      </c>
      <c r="AL10" s="95" t="s">
        <v>136</v>
      </c>
      <c r="AM10" s="95">
        <v>1</v>
      </c>
      <c r="AN10" s="95">
        <v>0</v>
      </c>
      <c r="AO10" s="95">
        <v>0</v>
      </c>
      <c r="AP10" s="95">
        <v>0</v>
      </c>
      <c r="AQ10" s="95" t="s">
        <v>136</v>
      </c>
      <c r="AR10" s="95" t="s">
        <v>136</v>
      </c>
      <c r="AS10" s="95">
        <v>0</v>
      </c>
      <c r="AT10" s="95" t="s">
        <v>136</v>
      </c>
      <c r="AU10" s="95" t="s">
        <v>136</v>
      </c>
      <c r="AV10" s="95">
        <v>0</v>
      </c>
      <c r="AW10" s="96" t="s">
        <v>136</v>
      </c>
      <c r="AX10" s="96" t="s">
        <v>136</v>
      </c>
      <c r="AY10" s="96">
        <v>0</v>
      </c>
      <c r="AZ10" s="96" t="s">
        <v>136</v>
      </c>
      <c r="BA10" s="96" t="s">
        <v>136</v>
      </c>
      <c r="BB10" s="96" t="s">
        <v>136</v>
      </c>
      <c r="BC10" s="96" t="s">
        <v>136</v>
      </c>
      <c r="BD10" s="96" t="s">
        <v>136</v>
      </c>
      <c r="BE10" s="96"/>
    </row>
    <row r="11" spans="2:57" x14ac:dyDescent="0.25">
      <c r="B11" s="96" t="s">
        <v>256</v>
      </c>
      <c r="C11" s="95">
        <v>2016</v>
      </c>
      <c r="D11" s="95" t="s">
        <v>258</v>
      </c>
      <c r="E11" s="95" t="s">
        <v>259</v>
      </c>
      <c r="F11" s="95" t="s">
        <v>183</v>
      </c>
      <c r="G11" s="95" t="s">
        <v>49</v>
      </c>
      <c r="H11" s="95" t="s">
        <v>410</v>
      </c>
      <c r="I11" s="97">
        <v>0</v>
      </c>
      <c r="J11" s="95" t="s">
        <v>260</v>
      </c>
      <c r="K11" s="95">
        <v>0</v>
      </c>
      <c r="L11" s="95" t="s">
        <v>260</v>
      </c>
      <c r="M11" s="113">
        <v>0</v>
      </c>
      <c r="N11" s="95" t="s">
        <v>260</v>
      </c>
      <c r="O11" s="97">
        <v>0</v>
      </c>
      <c r="P11" s="95" t="s">
        <v>260</v>
      </c>
      <c r="Q11" s="95">
        <v>0</v>
      </c>
      <c r="R11" s="95" t="s">
        <v>260</v>
      </c>
      <c r="S11" s="95">
        <v>0</v>
      </c>
      <c r="T11" s="95" t="s">
        <v>260</v>
      </c>
      <c r="U11" s="95">
        <v>10</v>
      </c>
      <c r="V11" s="95">
        <v>0</v>
      </c>
      <c r="W11" s="95">
        <v>1.1000000000000001</v>
      </c>
      <c r="X11" s="95">
        <v>0</v>
      </c>
      <c r="Y11" s="95">
        <v>0</v>
      </c>
      <c r="Z11" s="95">
        <v>0</v>
      </c>
      <c r="AA11" s="95">
        <v>0</v>
      </c>
      <c r="AB11" s="95" t="s">
        <v>136</v>
      </c>
      <c r="AC11" s="95" t="s">
        <v>136</v>
      </c>
      <c r="AD11" s="95">
        <v>0</v>
      </c>
      <c r="AE11" s="95" t="s">
        <v>136</v>
      </c>
      <c r="AF11" s="95" t="s">
        <v>136</v>
      </c>
      <c r="AG11" s="95">
        <v>0</v>
      </c>
      <c r="AH11" s="95" t="s">
        <v>136</v>
      </c>
      <c r="AI11" s="95" t="s">
        <v>136</v>
      </c>
      <c r="AJ11" s="95">
        <v>0</v>
      </c>
      <c r="AK11" s="95" t="s">
        <v>136</v>
      </c>
      <c r="AL11" s="95" t="s">
        <v>136</v>
      </c>
      <c r="AM11" s="95">
        <v>1</v>
      </c>
      <c r="AN11" s="95">
        <v>0</v>
      </c>
      <c r="AO11" s="95">
        <v>0</v>
      </c>
      <c r="AP11" s="95">
        <v>0</v>
      </c>
      <c r="AQ11" s="95" t="s">
        <v>136</v>
      </c>
      <c r="AR11" s="95" t="s">
        <v>136</v>
      </c>
      <c r="AS11" s="95">
        <v>0</v>
      </c>
      <c r="AT11" s="95" t="s">
        <v>136</v>
      </c>
      <c r="AU11" s="95" t="s">
        <v>136</v>
      </c>
      <c r="AV11" s="95">
        <v>0</v>
      </c>
      <c r="AW11" s="96" t="s">
        <v>136</v>
      </c>
      <c r="AX11" s="96" t="s">
        <v>136</v>
      </c>
      <c r="AY11" s="96">
        <v>0</v>
      </c>
      <c r="AZ11" s="96" t="s">
        <v>136</v>
      </c>
      <c r="BA11" s="96" t="s">
        <v>136</v>
      </c>
      <c r="BB11" s="96" t="s">
        <v>136</v>
      </c>
      <c r="BC11" s="96" t="s">
        <v>136</v>
      </c>
      <c r="BD11" s="96" t="s">
        <v>136</v>
      </c>
      <c r="BE11" s="96"/>
    </row>
    <row r="12" spans="2:57" x14ac:dyDescent="0.25">
      <c r="B12" s="96" t="s">
        <v>336</v>
      </c>
      <c r="C12" s="95">
        <v>2016</v>
      </c>
      <c r="D12" s="95" t="s">
        <v>337</v>
      </c>
      <c r="E12" s="95" t="s">
        <v>336</v>
      </c>
      <c r="F12" s="95" t="s">
        <v>338</v>
      </c>
      <c r="G12" s="95" t="s">
        <v>53</v>
      </c>
      <c r="H12" s="95" t="s">
        <v>308</v>
      </c>
      <c r="I12" s="97">
        <v>0</v>
      </c>
      <c r="J12" s="95" t="s">
        <v>260</v>
      </c>
      <c r="K12" s="95">
        <v>0</v>
      </c>
      <c r="L12" s="95" t="s">
        <v>260</v>
      </c>
      <c r="M12" s="113">
        <v>0</v>
      </c>
      <c r="N12" s="95" t="s">
        <v>260</v>
      </c>
      <c r="O12" s="97">
        <v>0</v>
      </c>
      <c r="P12" s="95" t="s">
        <v>260</v>
      </c>
      <c r="Q12" s="95">
        <v>0</v>
      </c>
      <c r="R12" s="95" t="s">
        <v>260</v>
      </c>
      <c r="S12" s="95">
        <v>0</v>
      </c>
      <c r="T12" s="95" t="s">
        <v>260</v>
      </c>
      <c r="U12" s="95">
        <v>10</v>
      </c>
      <c r="V12" s="95">
        <v>0</v>
      </c>
      <c r="W12" s="95">
        <v>0</v>
      </c>
      <c r="X12" s="95">
        <v>0</v>
      </c>
      <c r="Y12" s="95">
        <v>1.8342212396747121E-2</v>
      </c>
      <c r="Z12" s="95">
        <v>0</v>
      </c>
      <c r="AA12" s="95">
        <v>0.76779026217228474</v>
      </c>
      <c r="AB12" s="95" t="s">
        <v>184</v>
      </c>
      <c r="AC12" s="95" t="s">
        <v>53</v>
      </c>
      <c r="AD12" s="95">
        <v>5.0124454188362103E-2</v>
      </c>
      <c r="AE12" s="95" t="s">
        <v>339</v>
      </c>
      <c r="AF12" s="95" t="s">
        <v>340</v>
      </c>
      <c r="AG12" s="95">
        <v>0</v>
      </c>
      <c r="AH12" s="95" t="s">
        <v>136</v>
      </c>
      <c r="AI12" s="95" t="s">
        <v>136</v>
      </c>
      <c r="AJ12" s="95">
        <v>0</v>
      </c>
      <c r="AK12" s="95" t="s">
        <v>136</v>
      </c>
      <c r="AL12" s="95" t="s">
        <v>136</v>
      </c>
      <c r="AM12" s="95">
        <v>0</v>
      </c>
      <c r="AN12" s="95">
        <v>0</v>
      </c>
      <c r="AO12" s="95">
        <v>0</v>
      </c>
      <c r="AP12" s="95">
        <v>1</v>
      </c>
      <c r="AQ12" s="95" t="s">
        <v>338</v>
      </c>
      <c r="AR12" s="95" t="s">
        <v>53</v>
      </c>
      <c r="AS12" s="95">
        <v>0</v>
      </c>
      <c r="AT12" s="95" t="s">
        <v>136</v>
      </c>
      <c r="AU12" s="95" t="s">
        <v>136</v>
      </c>
      <c r="AV12" s="95">
        <v>0</v>
      </c>
      <c r="AW12" s="96" t="s">
        <v>136</v>
      </c>
      <c r="AX12" s="96" t="s">
        <v>136</v>
      </c>
      <c r="AY12" s="96">
        <v>0</v>
      </c>
      <c r="AZ12" s="96" t="s">
        <v>136</v>
      </c>
      <c r="BA12" s="96" t="s">
        <v>136</v>
      </c>
      <c r="BB12" s="96" t="s">
        <v>136</v>
      </c>
      <c r="BC12" s="96" t="s">
        <v>136</v>
      </c>
      <c r="BD12" s="96" t="s">
        <v>136</v>
      </c>
      <c r="BE12" s="96"/>
    </row>
    <row r="13" spans="2:57" x14ac:dyDescent="0.25">
      <c r="B13" s="96" t="s">
        <v>341</v>
      </c>
      <c r="C13" s="95">
        <v>2016</v>
      </c>
      <c r="D13" s="95" t="s">
        <v>342</v>
      </c>
      <c r="E13" s="95" t="s">
        <v>341</v>
      </c>
      <c r="F13" s="95" t="s">
        <v>343</v>
      </c>
      <c r="G13" s="95" t="s">
        <v>53</v>
      </c>
      <c r="H13" s="95" t="s">
        <v>308</v>
      </c>
      <c r="I13" s="97">
        <v>0</v>
      </c>
      <c r="J13" s="95" t="s">
        <v>260</v>
      </c>
      <c r="K13" s="95">
        <v>0</v>
      </c>
      <c r="L13" s="95" t="s">
        <v>260</v>
      </c>
      <c r="M13" s="113">
        <v>0</v>
      </c>
      <c r="N13" s="95" t="s">
        <v>260</v>
      </c>
      <c r="O13" s="97">
        <v>0</v>
      </c>
      <c r="P13" s="95" t="s">
        <v>260</v>
      </c>
      <c r="Q13" s="95">
        <v>0</v>
      </c>
      <c r="R13" s="95" t="s">
        <v>260</v>
      </c>
      <c r="S13" s="95">
        <v>0</v>
      </c>
      <c r="T13" s="95" t="s">
        <v>260</v>
      </c>
      <c r="U13" s="95">
        <v>10</v>
      </c>
      <c r="V13" s="95">
        <v>0</v>
      </c>
      <c r="W13" s="95">
        <v>0</v>
      </c>
      <c r="X13" s="95">
        <v>0</v>
      </c>
      <c r="Y13" s="95">
        <v>0</v>
      </c>
      <c r="Z13" s="95">
        <v>0</v>
      </c>
      <c r="AA13" s="95">
        <v>0.99753580272021491</v>
      </c>
      <c r="AB13" s="95" t="s">
        <v>338</v>
      </c>
      <c r="AC13" s="95" t="s">
        <v>53</v>
      </c>
      <c r="AD13" s="95">
        <v>2.0930562629698373</v>
      </c>
      <c r="AE13" s="95" t="s">
        <v>344</v>
      </c>
      <c r="AF13" s="95" t="s">
        <v>340</v>
      </c>
      <c r="AG13" s="95">
        <v>2.2085593677825539</v>
      </c>
      <c r="AH13" s="95" t="s">
        <v>345</v>
      </c>
      <c r="AI13" s="95" t="s">
        <v>340</v>
      </c>
      <c r="AJ13" s="95">
        <v>9.2191623765196226E-2</v>
      </c>
      <c r="AK13" s="95" t="s">
        <v>346</v>
      </c>
      <c r="AL13" s="95" t="s">
        <v>340</v>
      </c>
      <c r="AM13" s="95">
        <v>0</v>
      </c>
      <c r="AN13" s="95">
        <v>0</v>
      </c>
      <c r="AO13" s="95">
        <v>0</v>
      </c>
      <c r="AP13" s="95">
        <v>1</v>
      </c>
      <c r="AQ13" s="95" t="s">
        <v>343</v>
      </c>
      <c r="AR13" s="95" t="s">
        <v>53</v>
      </c>
      <c r="AS13" s="95">
        <v>1.0615562627254274</v>
      </c>
      <c r="AT13" s="95" t="s">
        <v>347</v>
      </c>
      <c r="AU13" s="95" t="s">
        <v>340</v>
      </c>
      <c r="AV13" s="95">
        <v>4.6547869051979465</v>
      </c>
      <c r="AW13" s="96" t="s">
        <v>348</v>
      </c>
      <c r="AX13" s="96" t="s">
        <v>340</v>
      </c>
      <c r="AY13" s="96">
        <v>6.7212388935409068E-2</v>
      </c>
      <c r="AZ13" s="96" t="s">
        <v>349</v>
      </c>
      <c r="BA13" s="96" t="s">
        <v>340</v>
      </c>
      <c r="BB13" s="96" t="s">
        <v>136</v>
      </c>
      <c r="BC13" s="96" t="s">
        <v>136</v>
      </c>
      <c r="BD13" s="96" t="s">
        <v>136</v>
      </c>
      <c r="BE13" s="96"/>
    </row>
    <row r="14" spans="2:57" x14ac:dyDescent="0.25">
      <c r="B14" s="96" t="s">
        <v>427</v>
      </c>
      <c r="C14" s="95"/>
      <c r="D14" s="95"/>
      <c r="E14" s="95"/>
      <c r="F14" s="95"/>
      <c r="G14" s="95"/>
      <c r="H14" s="95"/>
      <c r="I14" s="97"/>
      <c r="J14" s="95"/>
      <c r="K14" s="95"/>
      <c r="L14" s="95"/>
      <c r="M14" s="113"/>
      <c r="N14" s="95"/>
      <c r="O14" s="97"/>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6"/>
      <c r="AX14" s="96"/>
      <c r="AY14" s="96"/>
      <c r="AZ14" s="96"/>
      <c r="BA14" s="96"/>
      <c r="BB14" s="96"/>
      <c r="BC14" s="96"/>
      <c r="BD14" s="96"/>
      <c r="BE14" s="96"/>
    </row>
    <row r="15" spans="2:57" x14ac:dyDescent="0.25">
      <c r="B15" s="96" t="s">
        <v>350</v>
      </c>
      <c r="C15" s="95">
        <v>2016</v>
      </c>
      <c r="D15" s="95" t="s">
        <v>351</v>
      </c>
      <c r="E15" s="95" t="s">
        <v>294</v>
      </c>
      <c r="F15" s="95" t="s">
        <v>352</v>
      </c>
      <c r="G15" s="95" t="s">
        <v>53</v>
      </c>
      <c r="H15" s="95" t="s">
        <v>308</v>
      </c>
      <c r="I15" s="97">
        <v>3333.3333333333335</v>
      </c>
      <c r="J15" s="95" t="s">
        <v>260</v>
      </c>
      <c r="K15" s="95">
        <v>0</v>
      </c>
      <c r="L15" s="95" t="s">
        <v>260</v>
      </c>
      <c r="M15" s="113">
        <v>0</v>
      </c>
      <c r="N15" s="95" t="s">
        <v>260</v>
      </c>
      <c r="O15" s="113">
        <v>166.66666666666669</v>
      </c>
      <c r="P15" s="95" t="s">
        <v>260</v>
      </c>
      <c r="Q15" s="95">
        <v>0</v>
      </c>
      <c r="R15" s="95" t="s">
        <v>260</v>
      </c>
      <c r="S15" s="95">
        <v>0</v>
      </c>
      <c r="T15" s="95" t="s">
        <v>260</v>
      </c>
      <c r="U15" s="95">
        <v>10</v>
      </c>
      <c r="V15" s="95">
        <v>0</v>
      </c>
      <c r="W15" s="95">
        <v>0</v>
      </c>
      <c r="X15" s="95">
        <f>1.52296096460987/1.00439998652483</f>
        <v>1.5162893120690224</v>
      </c>
      <c r="Y15" s="95">
        <v>0.21291882146567917</v>
      </c>
      <c r="Z15" s="95">
        <v>0</v>
      </c>
      <c r="AA15" s="95">
        <v>3.6000000000000014</v>
      </c>
      <c r="AB15" s="95" t="s">
        <v>343</v>
      </c>
      <c r="AC15" s="95" t="s">
        <v>53</v>
      </c>
      <c r="AD15" s="95">
        <v>0</v>
      </c>
      <c r="AE15" s="95" t="s">
        <v>136</v>
      </c>
      <c r="AF15" s="95" t="s">
        <v>136</v>
      </c>
      <c r="AG15" s="95">
        <v>0</v>
      </c>
      <c r="AH15" s="95" t="s">
        <v>136</v>
      </c>
      <c r="AI15" s="95" t="s">
        <v>136</v>
      </c>
      <c r="AJ15" s="95">
        <v>0</v>
      </c>
      <c r="AK15" s="95" t="s">
        <v>136</v>
      </c>
      <c r="AL15" s="95" t="s">
        <v>136</v>
      </c>
      <c r="AM15" s="95">
        <v>0</v>
      </c>
      <c r="AN15" s="95">
        <v>0</v>
      </c>
      <c r="AO15" s="95">
        <v>0</v>
      </c>
      <c r="AP15" s="95">
        <v>1</v>
      </c>
      <c r="AQ15" s="95" t="s">
        <v>352</v>
      </c>
      <c r="AR15" s="95" t="s">
        <v>53</v>
      </c>
      <c r="AS15" s="95">
        <v>2.6000000000000014</v>
      </c>
      <c r="AT15" s="95" t="s">
        <v>184</v>
      </c>
      <c r="AU15" s="95" t="s">
        <v>53</v>
      </c>
      <c r="AV15" s="95">
        <v>0</v>
      </c>
      <c r="AW15" s="96" t="s">
        <v>136</v>
      </c>
      <c r="AX15" s="96" t="s">
        <v>136</v>
      </c>
      <c r="AY15" s="96">
        <v>0</v>
      </c>
      <c r="AZ15" s="96" t="s">
        <v>136</v>
      </c>
      <c r="BA15" s="96" t="s">
        <v>136</v>
      </c>
      <c r="BB15" s="96" t="s">
        <v>136</v>
      </c>
      <c r="BC15" s="96" t="s">
        <v>136</v>
      </c>
      <c r="BD15" s="96" t="s">
        <v>136</v>
      </c>
      <c r="BE15" s="96"/>
    </row>
    <row r="16" spans="2:57" x14ac:dyDescent="0.25">
      <c r="B16" s="96" t="s">
        <v>353</v>
      </c>
      <c r="C16" s="95">
        <v>2016</v>
      </c>
      <c r="D16" s="95" t="s">
        <v>351</v>
      </c>
      <c r="E16" s="95" t="s">
        <v>294</v>
      </c>
      <c r="F16" s="95" t="s">
        <v>352</v>
      </c>
      <c r="G16" s="95" t="s">
        <v>53</v>
      </c>
      <c r="H16" s="95" t="s">
        <v>308</v>
      </c>
      <c r="I16" s="97">
        <v>5000</v>
      </c>
      <c r="J16" s="95" t="s">
        <v>260</v>
      </c>
      <c r="K16" s="95">
        <v>0</v>
      </c>
      <c r="L16" s="95" t="s">
        <v>260</v>
      </c>
      <c r="M16" s="113">
        <v>0</v>
      </c>
      <c r="N16" s="95" t="s">
        <v>260</v>
      </c>
      <c r="O16" s="113">
        <v>250</v>
      </c>
      <c r="P16" s="95" t="s">
        <v>260</v>
      </c>
      <c r="Q16" s="95">
        <v>0</v>
      </c>
      <c r="R16" s="95" t="s">
        <v>260</v>
      </c>
      <c r="S16" s="95">
        <v>0</v>
      </c>
      <c r="T16" s="95" t="s">
        <v>260</v>
      </c>
      <c r="U16" s="95">
        <v>10</v>
      </c>
      <c r="V16" s="95">
        <v>0</v>
      </c>
      <c r="W16" s="95">
        <v>0</v>
      </c>
      <c r="X16" s="95">
        <f>1.26473316210046/1.00439998652483</f>
        <v>1.2591927310516686</v>
      </c>
      <c r="Y16" s="95">
        <v>0.2684628618480302</v>
      </c>
      <c r="Z16" s="95">
        <v>0</v>
      </c>
      <c r="AA16" s="95">
        <v>3.6000000000000014</v>
      </c>
      <c r="AB16" s="95" t="s">
        <v>343</v>
      </c>
      <c r="AC16" s="95" t="s">
        <v>53</v>
      </c>
      <c r="AD16" s="95">
        <v>0</v>
      </c>
      <c r="AE16" s="95" t="s">
        <v>136</v>
      </c>
      <c r="AF16" s="95" t="s">
        <v>136</v>
      </c>
      <c r="AG16" s="95">
        <v>0</v>
      </c>
      <c r="AH16" s="95" t="s">
        <v>136</v>
      </c>
      <c r="AI16" s="95" t="s">
        <v>136</v>
      </c>
      <c r="AJ16" s="95">
        <v>0</v>
      </c>
      <c r="AK16" s="95" t="s">
        <v>136</v>
      </c>
      <c r="AL16" s="95" t="s">
        <v>136</v>
      </c>
      <c r="AM16" s="95">
        <v>0</v>
      </c>
      <c r="AN16" s="95">
        <v>0</v>
      </c>
      <c r="AO16" s="95">
        <v>0</v>
      </c>
      <c r="AP16" s="95">
        <v>1</v>
      </c>
      <c r="AQ16" s="95" t="s">
        <v>352</v>
      </c>
      <c r="AR16" s="95" t="s">
        <v>53</v>
      </c>
      <c r="AS16" s="95">
        <v>2.6000000000000014</v>
      </c>
      <c r="AT16" s="95" t="s">
        <v>184</v>
      </c>
      <c r="AU16" s="95" t="s">
        <v>53</v>
      </c>
      <c r="AV16" s="95">
        <v>0</v>
      </c>
      <c r="AW16" s="96" t="s">
        <v>136</v>
      </c>
      <c r="AX16" s="96" t="s">
        <v>136</v>
      </c>
      <c r="AY16" s="96">
        <v>0</v>
      </c>
      <c r="AZ16" s="96" t="s">
        <v>136</v>
      </c>
      <c r="BA16" s="96" t="s">
        <v>136</v>
      </c>
      <c r="BB16" s="96" t="s">
        <v>136</v>
      </c>
      <c r="BC16" s="96" t="s">
        <v>136</v>
      </c>
      <c r="BD16" s="96" t="s">
        <v>136</v>
      </c>
      <c r="BE16" s="96"/>
    </row>
    <row r="17" spans="2:57" x14ac:dyDescent="0.25">
      <c r="B17" s="96" t="s">
        <v>354</v>
      </c>
      <c r="C17" s="95">
        <v>2016</v>
      </c>
      <c r="D17" s="95" t="s">
        <v>351</v>
      </c>
      <c r="E17" s="95" t="s">
        <v>294</v>
      </c>
      <c r="F17" s="95" t="s">
        <v>352</v>
      </c>
      <c r="G17" s="95" t="s">
        <v>53</v>
      </c>
      <c r="H17" s="95" t="s">
        <v>308</v>
      </c>
      <c r="I17" s="97">
        <v>5040.2008638589778</v>
      </c>
      <c r="J17" s="95" t="s">
        <v>260</v>
      </c>
      <c r="K17" s="95">
        <v>0</v>
      </c>
      <c r="L17" s="95" t="s">
        <v>260</v>
      </c>
      <c r="M17" s="113">
        <v>0</v>
      </c>
      <c r="N17" s="95" t="s">
        <v>260</v>
      </c>
      <c r="O17" s="113">
        <v>252.0100431929489</v>
      </c>
      <c r="P17" s="95" t="s">
        <v>260</v>
      </c>
      <c r="Q17" s="95">
        <v>0</v>
      </c>
      <c r="R17" s="95" t="s">
        <v>260</v>
      </c>
      <c r="S17" s="95">
        <v>0</v>
      </c>
      <c r="T17" s="95" t="s">
        <v>260</v>
      </c>
      <c r="U17" s="95">
        <v>10</v>
      </c>
      <c r="V17" s="95">
        <v>0</v>
      </c>
      <c r="W17" s="95">
        <v>0</v>
      </c>
      <c r="X17" s="95">
        <f>0.0439439493399612/1.00439998652483</f>
        <v>4.3751443577777119E-2</v>
      </c>
      <c r="Y17" s="95">
        <v>0.66519186546480691</v>
      </c>
      <c r="Z17" s="95">
        <v>0</v>
      </c>
      <c r="AA17" s="95">
        <v>3.6000000000000014</v>
      </c>
      <c r="AB17" s="95" t="s">
        <v>343</v>
      </c>
      <c r="AC17" s="95" t="s">
        <v>53</v>
      </c>
      <c r="AD17" s="95">
        <v>0</v>
      </c>
      <c r="AE17" s="95" t="s">
        <v>136</v>
      </c>
      <c r="AF17" s="95" t="s">
        <v>136</v>
      </c>
      <c r="AG17" s="95">
        <v>0</v>
      </c>
      <c r="AH17" s="95" t="s">
        <v>136</v>
      </c>
      <c r="AI17" s="95" t="s">
        <v>136</v>
      </c>
      <c r="AJ17" s="95">
        <v>0</v>
      </c>
      <c r="AK17" s="95" t="s">
        <v>136</v>
      </c>
      <c r="AL17" s="95" t="s">
        <v>136</v>
      </c>
      <c r="AM17" s="95">
        <v>0</v>
      </c>
      <c r="AN17" s="95">
        <v>0</v>
      </c>
      <c r="AO17" s="95">
        <v>0</v>
      </c>
      <c r="AP17" s="95">
        <v>1</v>
      </c>
      <c r="AQ17" s="95" t="s">
        <v>352</v>
      </c>
      <c r="AR17" s="95" t="s">
        <v>53</v>
      </c>
      <c r="AS17" s="95">
        <v>2.6000000000000014</v>
      </c>
      <c r="AT17" s="95" t="s">
        <v>184</v>
      </c>
      <c r="AU17" s="95" t="s">
        <v>53</v>
      </c>
      <c r="AV17" s="95">
        <v>0</v>
      </c>
      <c r="AW17" s="96" t="s">
        <v>136</v>
      </c>
      <c r="AX17" s="96" t="s">
        <v>136</v>
      </c>
      <c r="AY17" s="96">
        <v>0</v>
      </c>
      <c r="AZ17" s="96" t="s">
        <v>136</v>
      </c>
      <c r="BA17" s="96" t="s">
        <v>136</v>
      </c>
      <c r="BB17" s="96" t="s">
        <v>136</v>
      </c>
      <c r="BC17" s="96" t="s">
        <v>136</v>
      </c>
      <c r="BD17" s="96" t="s">
        <v>136</v>
      </c>
      <c r="BE17" s="96"/>
    </row>
    <row r="18" spans="2:57" x14ac:dyDescent="0.25">
      <c r="B18" s="96" t="s">
        <v>355</v>
      </c>
      <c r="C18" s="95">
        <v>2016</v>
      </c>
      <c r="D18" s="95" t="s">
        <v>356</v>
      </c>
      <c r="E18" s="95" t="s">
        <v>294</v>
      </c>
      <c r="F18" s="95" t="s">
        <v>357</v>
      </c>
      <c r="G18" s="95" t="s">
        <v>53</v>
      </c>
      <c r="H18" s="95" t="s">
        <v>308</v>
      </c>
      <c r="I18" s="97">
        <v>3333.3333333333335</v>
      </c>
      <c r="J18" s="95" t="s">
        <v>260</v>
      </c>
      <c r="K18" s="95">
        <v>0</v>
      </c>
      <c r="L18" s="95" t="s">
        <v>260</v>
      </c>
      <c r="M18" s="113">
        <v>0</v>
      </c>
      <c r="N18" s="95" t="s">
        <v>260</v>
      </c>
      <c r="O18" s="97">
        <v>0</v>
      </c>
      <c r="P18" s="95" t="s">
        <v>260</v>
      </c>
      <c r="Q18" s="95">
        <v>0</v>
      </c>
      <c r="R18" s="95" t="s">
        <v>260</v>
      </c>
      <c r="S18" s="95">
        <v>0</v>
      </c>
      <c r="T18" s="95" t="s">
        <v>260</v>
      </c>
      <c r="U18" s="95">
        <v>10</v>
      </c>
      <c r="V18" s="95">
        <v>0</v>
      </c>
      <c r="W18" s="95">
        <v>0</v>
      </c>
      <c r="X18" s="95">
        <f>0.332341170949622/1.00439998652483</f>
        <v>0.33088528017558483</v>
      </c>
      <c r="Y18" s="95">
        <v>0.31993626515592266</v>
      </c>
      <c r="Z18" s="95">
        <v>0</v>
      </c>
      <c r="AA18" s="95">
        <v>0.36274104885481356</v>
      </c>
      <c r="AB18" s="95" t="s">
        <v>343</v>
      </c>
      <c r="AC18" s="95" t="s">
        <v>53</v>
      </c>
      <c r="AD18" s="95">
        <v>0.88178854867764156</v>
      </c>
      <c r="AE18" s="95" t="s">
        <v>358</v>
      </c>
      <c r="AF18" s="95" t="s">
        <v>53</v>
      </c>
      <c r="AG18" s="95">
        <v>0</v>
      </c>
      <c r="AH18" s="95" t="s">
        <v>136</v>
      </c>
      <c r="AI18" s="95" t="s">
        <v>136</v>
      </c>
      <c r="AJ18" s="95">
        <v>0</v>
      </c>
      <c r="AK18" s="95" t="s">
        <v>136</v>
      </c>
      <c r="AL18" s="95" t="s">
        <v>136</v>
      </c>
      <c r="AM18" s="95">
        <v>0</v>
      </c>
      <c r="AN18" s="95">
        <v>0</v>
      </c>
      <c r="AO18" s="95">
        <v>0</v>
      </c>
      <c r="AP18" s="95">
        <v>1</v>
      </c>
      <c r="AQ18" s="95" t="s">
        <v>357</v>
      </c>
      <c r="AR18" s="95" t="s">
        <v>53</v>
      </c>
      <c r="AS18" s="95">
        <v>0.24452959753245507</v>
      </c>
      <c r="AT18" s="95" t="s">
        <v>184</v>
      </c>
      <c r="AU18" s="95" t="s">
        <v>53</v>
      </c>
      <c r="AV18" s="95">
        <v>0</v>
      </c>
      <c r="AW18" s="96" t="s">
        <v>136</v>
      </c>
      <c r="AX18" s="96" t="s">
        <v>136</v>
      </c>
      <c r="AY18" s="96">
        <v>0</v>
      </c>
      <c r="AZ18" s="96" t="s">
        <v>136</v>
      </c>
      <c r="BA18" s="96" t="s">
        <v>136</v>
      </c>
      <c r="BB18" s="96" t="s">
        <v>136</v>
      </c>
      <c r="BC18" s="96" t="s">
        <v>136</v>
      </c>
      <c r="BD18" s="96" t="s">
        <v>136</v>
      </c>
      <c r="BE18" s="96"/>
    </row>
    <row r="19" spans="2:57" x14ac:dyDescent="0.25">
      <c r="B19" s="96" t="s">
        <v>359</v>
      </c>
      <c r="C19" s="96">
        <v>2016</v>
      </c>
      <c r="D19" s="96" t="s">
        <v>360</v>
      </c>
      <c r="E19" s="96" t="s">
        <v>359</v>
      </c>
      <c r="F19" s="96" t="s">
        <v>252</v>
      </c>
      <c r="G19" s="96" t="s">
        <v>53</v>
      </c>
      <c r="H19" s="96" t="s">
        <v>308</v>
      </c>
      <c r="I19" s="112">
        <v>0</v>
      </c>
      <c r="J19" s="96" t="s">
        <v>260</v>
      </c>
      <c r="K19" s="96">
        <v>0</v>
      </c>
      <c r="L19" s="96" t="s">
        <v>260</v>
      </c>
      <c r="M19" s="113">
        <v>0</v>
      </c>
      <c r="N19" s="96" t="s">
        <v>260</v>
      </c>
      <c r="O19" s="97">
        <v>0</v>
      </c>
      <c r="P19" s="96" t="s">
        <v>260</v>
      </c>
      <c r="Q19" s="95">
        <v>0</v>
      </c>
      <c r="R19" s="96" t="s">
        <v>260</v>
      </c>
      <c r="S19" s="95">
        <v>0</v>
      </c>
      <c r="T19" s="96" t="s">
        <v>260</v>
      </c>
      <c r="U19" s="95">
        <v>10</v>
      </c>
      <c r="V19" s="96">
        <v>0</v>
      </c>
      <c r="W19" s="96">
        <v>0</v>
      </c>
      <c r="X19" s="96">
        <v>0</v>
      </c>
      <c r="Y19" s="96">
        <v>2.6915035842953763E-6</v>
      </c>
      <c r="Z19" s="95">
        <v>0</v>
      </c>
      <c r="AA19" s="96">
        <v>1.0893246187363832</v>
      </c>
      <c r="AB19" s="96" t="s">
        <v>352</v>
      </c>
      <c r="AC19" s="96" t="s">
        <v>53</v>
      </c>
      <c r="AD19" s="96">
        <v>0</v>
      </c>
      <c r="AE19" s="96" t="s">
        <v>136</v>
      </c>
      <c r="AF19" s="96" t="s">
        <v>136</v>
      </c>
      <c r="AG19" s="96">
        <v>0</v>
      </c>
      <c r="AH19" s="96" t="s">
        <v>136</v>
      </c>
      <c r="AI19" s="96" t="s">
        <v>136</v>
      </c>
      <c r="AJ19" s="96">
        <v>0</v>
      </c>
      <c r="AK19" s="96" t="s">
        <v>136</v>
      </c>
      <c r="AL19" s="96" t="s">
        <v>136</v>
      </c>
      <c r="AM19" s="96">
        <v>0</v>
      </c>
      <c r="AN19" s="96">
        <v>0</v>
      </c>
      <c r="AO19" s="96">
        <v>0</v>
      </c>
      <c r="AP19" s="96">
        <v>1</v>
      </c>
      <c r="AQ19" s="96" t="s">
        <v>252</v>
      </c>
      <c r="AR19" s="96" t="s">
        <v>53</v>
      </c>
      <c r="AS19" s="96">
        <v>0</v>
      </c>
      <c r="AT19" s="96" t="s">
        <v>136</v>
      </c>
      <c r="AU19" s="96" t="s">
        <v>136</v>
      </c>
      <c r="AV19" s="96">
        <v>0</v>
      </c>
      <c r="AW19" s="96" t="s">
        <v>136</v>
      </c>
      <c r="AX19" s="96" t="s">
        <v>136</v>
      </c>
      <c r="AY19" s="96">
        <v>0</v>
      </c>
      <c r="AZ19" s="96" t="s">
        <v>136</v>
      </c>
      <c r="BA19" s="96" t="s">
        <v>136</v>
      </c>
      <c r="BB19" s="96" t="s">
        <v>136</v>
      </c>
      <c r="BC19" s="96" t="s">
        <v>136</v>
      </c>
      <c r="BD19" s="96" t="s">
        <v>136</v>
      </c>
      <c r="BE19" s="96"/>
    </row>
    <row r="20" spans="2:57" x14ac:dyDescent="0.25">
      <c r="B20" s="96" t="s">
        <v>361</v>
      </c>
      <c r="C20" s="96">
        <v>2016</v>
      </c>
      <c r="D20" s="96" t="s">
        <v>362</v>
      </c>
      <c r="E20" s="96" t="s">
        <v>361</v>
      </c>
      <c r="F20" s="96" t="s">
        <v>363</v>
      </c>
      <c r="G20" s="96" t="s">
        <v>53</v>
      </c>
      <c r="H20" s="96" t="s">
        <v>308</v>
      </c>
      <c r="I20" s="112">
        <v>0</v>
      </c>
      <c r="J20" s="96" t="s">
        <v>260</v>
      </c>
      <c r="K20" s="96">
        <v>0</v>
      </c>
      <c r="L20" s="96" t="s">
        <v>260</v>
      </c>
      <c r="M20" s="113">
        <v>0</v>
      </c>
      <c r="N20" s="96" t="s">
        <v>260</v>
      </c>
      <c r="O20" s="97">
        <v>0</v>
      </c>
      <c r="P20" s="96" t="s">
        <v>260</v>
      </c>
      <c r="Q20" s="95">
        <v>0</v>
      </c>
      <c r="R20" s="96" t="s">
        <v>260</v>
      </c>
      <c r="S20" s="95">
        <v>0</v>
      </c>
      <c r="T20" s="96" t="s">
        <v>260</v>
      </c>
      <c r="U20" s="95">
        <v>10</v>
      </c>
      <c r="V20" s="96">
        <v>0</v>
      </c>
      <c r="W20" s="96">
        <v>0</v>
      </c>
      <c r="X20" s="96">
        <v>0</v>
      </c>
      <c r="Y20" s="96">
        <v>4.262409590421604E-7</v>
      </c>
      <c r="Z20" s="95">
        <v>0</v>
      </c>
      <c r="AA20" s="96">
        <v>1.0188798435000561</v>
      </c>
      <c r="AB20" s="96" t="s">
        <v>252</v>
      </c>
      <c r="AC20" s="96" t="s">
        <v>53</v>
      </c>
      <c r="AD20" s="96">
        <v>0</v>
      </c>
      <c r="AE20" s="96" t="s">
        <v>136</v>
      </c>
      <c r="AF20" s="96" t="s">
        <v>136</v>
      </c>
      <c r="AG20" s="96">
        <v>0</v>
      </c>
      <c r="AH20" s="96" t="s">
        <v>136</v>
      </c>
      <c r="AI20" s="96" t="s">
        <v>136</v>
      </c>
      <c r="AJ20" s="96">
        <v>0</v>
      </c>
      <c r="AK20" s="96" t="s">
        <v>136</v>
      </c>
      <c r="AL20" s="96" t="s">
        <v>136</v>
      </c>
      <c r="AM20" s="96">
        <v>0</v>
      </c>
      <c r="AN20" s="96">
        <v>0</v>
      </c>
      <c r="AO20" s="96">
        <v>0</v>
      </c>
      <c r="AP20" s="96">
        <v>1</v>
      </c>
      <c r="AQ20" s="96" t="s">
        <v>363</v>
      </c>
      <c r="AR20" s="96" t="s">
        <v>53</v>
      </c>
      <c r="AS20" s="96">
        <v>0</v>
      </c>
      <c r="AT20" s="96" t="s">
        <v>136</v>
      </c>
      <c r="AU20" s="96" t="s">
        <v>136</v>
      </c>
      <c r="AV20" s="96">
        <v>0</v>
      </c>
      <c r="AW20" s="96" t="s">
        <v>136</v>
      </c>
      <c r="AX20" s="96" t="s">
        <v>136</v>
      </c>
      <c r="AY20" s="96">
        <v>0</v>
      </c>
      <c r="AZ20" s="96" t="s">
        <v>136</v>
      </c>
      <c r="BA20" s="96" t="s">
        <v>136</v>
      </c>
      <c r="BB20" s="96" t="s">
        <v>136</v>
      </c>
      <c r="BC20" s="96" t="s">
        <v>136</v>
      </c>
      <c r="BD20" s="96" t="s">
        <v>136</v>
      </c>
      <c r="BE20" s="96"/>
    </row>
  </sheetData>
  <pageMargins left="0.7" right="0.7" top="0.75" bottom="0.75" header="0.3" footer="0.3"/>
  <pageSetup paperSize="9" scale="12" fitToHeight="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theme="5" tint="0.59999389629810485"/>
  </sheetPr>
  <dimension ref="B1:BJ13"/>
  <sheetViews>
    <sheetView showGridLines="0" topLeftCell="A2" zoomScaleNormal="100" workbookViewId="0">
      <pane xSplit="2" ySplit="6" topLeftCell="C8" activePane="bottomRight" state="frozen"/>
      <selection activeCell="A2" sqref="A2"/>
      <selection pane="topRight" activeCell="C2" sqref="C2"/>
      <selection pane="bottomLeft" activeCell="A8" sqref="A8"/>
      <selection pane="bottomRight" activeCell="C9" sqref="C9"/>
    </sheetView>
  </sheetViews>
  <sheetFormatPr defaultColWidth="8.85546875" defaultRowHeight="15" x14ac:dyDescent="0.25"/>
  <cols>
    <col min="1" max="1" width="8.85546875" style="42"/>
    <col min="2" max="2" width="15.85546875" style="42" customWidth="1"/>
    <col min="3" max="3" width="17.140625" style="42" customWidth="1"/>
    <col min="4" max="4" width="24.42578125" style="42" customWidth="1"/>
    <col min="5" max="5" width="36" style="42" customWidth="1"/>
    <col min="6" max="11" width="17.140625" style="42" customWidth="1"/>
    <col min="12" max="13" width="17" customWidth="1"/>
    <col min="14" max="16" width="17.140625" style="42" customWidth="1"/>
    <col min="17" max="17" width="23" style="42" customWidth="1"/>
    <col min="18" max="39" width="17.140625" style="42" customWidth="1"/>
    <col min="40" max="63" width="17.42578125" style="42" customWidth="1"/>
    <col min="64" max="16384" width="8.85546875" style="42"/>
  </cols>
  <sheetData>
    <row r="1" spans="2:62" x14ac:dyDescent="0.25">
      <c r="L1" s="42"/>
      <c r="M1" s="42"/>
    </row>
    <row r="2" spans="2:62" x14ac:dyDescent="0.25">
      <c r="B2" s="42" t="s">
        <v>44</v>
      </c>
      <c r="C2" s="45" t="s">
        <v>109</v>
      </c>
      <c r="L2" s="42"/>
      <c r="M2" s="42"/>
    </row>
    <row r="3" spans="2:62" x14ac:dyDescent="0.25">
      <c r="B3" s="42" t="s">
        <v>45</v>
      </c>
      <c r="C3" s="42" t="s">
        <v>187</v>
      </c>
      <c r="L3" s="42"/>
      <c r="M3" s="42"/>
    </row>
    <row r="4" spans="2:62" x14ac:dyDescent="0.25">
      <c r="B4" s="42" t="s">
        <v>46</v>
      </c>
      <c r="C4" s="42" t="s">
        <v>62</v>
      </c>
      <c r="L4" s="42"/>
      <c r="M4" s="42"/>
    </row>
    <row r="5" spans="2:62" x14ac:dyDescent="0.25">
      <c r="L5" s="42"/>
      <c r="M5" s="42"/>
    </row>
    <row r="6" spans="2:62" x14ac:dyDescent="0.25">
      <c r="B6" s="47" t="s">
        <v>63</v>
      </c>
      <c r="L6" s="42"/>
      <c r="M6" s="42"/>
    </row>
    <row r="7" spans="2:62" s="144" customFormat="1" ht="105" x14ac:dyDescent="0.25">
      <c r="B7" s="122" t="s">
        <v>88</v>
      </c>
      <c r="C7" s="122" t="s">
        <v>29</v>
      </c>
      <c r="D7" s="122" t="s">
        <v>263</v>
      </c>
      <c r="E7" s="122" t="s">
        <v>188</v>
      </c>
      <c r="F7" s="122" t="s">
        <v>189</v>
      </c>
      <c r="G7" s="122" t="s">
        <v>265</v>
      </c>
      <c r="H7" s="122" t="s">
        <v>297</v>
      </c>
      <c r="I7" s="122" t="s">
        <v>299</v>
      </c>
      <c r="J7" s="122" t="s">
        <v>298</v>
      </c>
      <c r="K7" s="122" t="s">
        <v>301</v>
      </c>
      <c r="L7" s="122" t="s">
        <v>300</v>
      </c>
      <c r="M7" s="122" t="s">
        <v>302</v>
      </c>
      <c r="N7" s="122" t="s">
        <v>303</v>
      </c>
      <c r="O7" s="122" t="s">
        <v>334</v>
      </c>
      <c r="P7" s="122" t="s">
        <v>335</v>
      </c>
      <c r="Q7" s="122" t="s">
        <v>455</v>
      </c>
      <c r="R7" s="122" t="s">
        <v>456</v>
      </c>
      <c r="S7" s="122" t="s">
        <v>190</v>
      </c>
      <c r="T7" s="104" t="s">
        <v>389</v>
      </c>
      <c r="U7" s="104" t="s">
        <v>390</v>
      </c>
      <c r="V7" s="104" t="s">
        <v>402</v>
      </c>
      <c r="W7" s="104" t="s">
        <v>391</v>
      </c>
      <c r="X7" s="104" t="s">
        <v>403</v>
      </c>
      <c r="Y7" s="104" t="s">
        <v>404</v>
      </c>
      <c r="Z7" s="104" t="s">
        <v>392</v>
      </c>
      <c r="AA7" s="104" t="s">
        <v>393</v>
      </c>
      <c r="AB7" s="104" t="s">
        <v>405</v>
      </c>
      <c r="AC7" s="104" t="s">
        <v>394</v>
      </c>
      <c r="AD7" s="104" t="s">
        <v>406</v>
      </c>
      <c r="AE7" s="104" t="s">
        <v>407</v>
      </c>
      <c r="AF7" s="104" t="s">
        <v>395</v>
      </c>
      <c r="AG7" s="104" t="s">
        <v>396</v>
      </c>
      <c r="AH7" s="104" t="s">
        <v>408</v>
      </c>
      <c r="AI7" s="104" t="s">
        <v>397</v>
      </c>
      <c r="AJ7" s="104" t="s">
        <v>409</v>
      </c>
      <c r="AK7" s="104" t="s">
        <v>411</v>
      </c>
      <c r="AL7" s="104" t="s">
        <v>304</v>
      </c>
      <c r="AM7" s="104" t="s">
        <v>305</v>
      </c>
      <c r="AN7" s="104" t="s">
        <v>306</v>
      </c>
      <c r="AO7" s="104" t="s">
        <v>307</v>
      </c>
      <c r="AP7" s="104" t="s">
        <v>309</v>
      </c>
      <c r="AQ7" s="104" t="s">
        <v>310</v>
      </c>
      <c r="AR7" s="104" t="s">
        <v>311</v>
      </c>
      <c r="AS7" s="104" t="s">
        <v>312</v>
      </c>
      <c r="AT7" s="104" t="s">
        <v>313</v>
      </c>
      <c r="AU7" s="104" t="s">
        <v>314</v>
      </c>
      <c r="AV7" s="104" t="s">
        <v>315</v>
      </c>
      <c r="AW7" s="104" t="s">
        <v>316</v>
      </c>
      <c r="AX7" s="104" t="s">
        <v>317</v>
      </c>
      <c r="AY7" s="104" t="s">
        <v>318</v>
      </c>
      <c r="AZ7" s="104" t="s">
        <v>319</v>
      </c>
      <c r="BA7" s="104" t="s">
        <v>320</v>
      </c>
      <c r="BB7" s="104" t="s">
        <v>321</v>
      </c>
      <c r="BC7" s="104" t="s">
        <v>322</v>
      </c>
      <c r="BD7" s="104" t="s">
        <v>323</v>
      </c>
      <c r="BE7" s="104" t="s">
        <v>324</v>
      </c>
      <c r="BF7" s="104" t="s">
        <v>325</v>
      </c>
      <c r="BG7" s="104" t="s">
        <v>326</v>
      </c>
      <c r="BH7" s="104" t="s">
        <v>327</v>
      </c>
      <c r="BI7" s="104" t="s">
        <v>328</v>
      </c>
      <c r="BJ7" s="122" t="s">
        <v>131</v>
      </c>
    </row>
    <row r="8" spans="2:62" ht="15.95" customHeight="1" x14ac:dyDescent="0.25">
      <c r="B8" s="42" t="s">
        <v>251</v>
      </c>
      <c r="C8" s="88">
        <v>2016</v>
      </c>
      <c r="D8" s="88" t="s">
        <v>252</v>
      </c>
      <c r="E8" s="88" t="s">
        <v>254</v>
      </c>
      <c r="F8" s="88" t="s">
        <v>253</v>
      </c>
      <c r="G8" s="92">
        <v>2451</v>
      </c>
      <c r="H8" s="88" t="s">
        <v>308</v>
      </c>
      <c r="I8" s="88">
        <v>1</v>
      </c>
      <c r="J8" s="92">
        <v>2451</v>
      </c>
      <c r="K8" s="88" t="s">
        <v>308</v>
      </c>
      <c r="L8" s="94">
        <v>1</v>
      </c>
      <c r="M8" s="89" t="s">
        <v>191</v>
      </c>
      <c r="N8" s="88">
        <v>2020</v>
      </c>
      <c r="O8" s="88" t="s">
        <v>255</v>
      </c>
      <c r="P8" s="92">
        <v>2698.2026940615951</v>
      </c>
      <c r="Q8" s="88" t="s">
        <v>308</v>
      </c>
      <c r="R8" s="88">
        <v>1</v>
      </c>
      <c r="S8" s="88">
        <v>2020</v>
      </c>
      <c r="T8" s="88">
        <v>1</v>
      </c>
      <c r="U8" s="88">
        <v>3.0468063402436378</v>
      </c>
      <c r="V8" s="88" t="s">
        <v>410</v>
      </c>
      <c r="W8" s="88">
        <v>1</v>
      </c>
      <c r="X8" s="88" t="s">
        <v>191</v>
      </c>
      <c r="Y8" s="88">
        <v>2020</v>
      </c>
      <c r="Z8" s="88">
        <v>0</v>
      </c>
      <c r="AA8" s="189">
        <v>2.2063107696000003E-2</v>
      </c>
      <c r="AB8" s="88" t="s">
        <v>410</v>
      </c>
      <c r="AC8" s="88">
        <v>0</v>
      </c>
      <c r="AD8" s="88" t="s">
        <v>191</v>
      </c>
      <c r="AE8" s="88">
        <v>2020</v>
      </c>
      <c r="AF8" s="88">
        <v>1</v>
      </c>
      <c r="AG8" s="88">
        <v>0.52637671949104714</v>
      </c>
      <c r="AH8" s="88" t="s">
        <v>410</v>
      </c>
      <c r="AI8" s="88">
        <v>1</v>
      </c>
      <c r="AJ8" s="88" t="s">
        <v>191</v>
      </c>
      <c r="AK8" s="88">
        <v>2020</v>
      </c>
      <c r="AL8" s="88">
        <v>2</v>
      </c>
      <c r="AM8" s="88">
        <v>1169.6093104910644</v>
      </c>
      <c r="AN8" s="88" t="s">
        <v>308</v>
      </c>
      <c r="AO8" s="88">
        <v>1</v>
      </c>
      <c r="AP8" s="88" t="s">
        <v>191</v>
      </c>
      <c r="AQ8" s="88">
        <v>2020</v>
      </c>
      <c r="AR8" s="88">
        <v>0</v>
      </c>
      <c r="AS8" s="88">
        <v>1100</v>
      </c>
      <c r="AT8" s="88" t="s">
        <v>308</v>
      </c>
      <c r="AU8" s="88">
        <v>1</v>
      </c>
      <c r="AV8" s="88" t="s">
        <v>191</v>
      </c>
      <c r="AW8" s="88">
        <v>2020</v>
      </c>
      <c r="AX8" s="88">
        <v>1</v>
      </c>
      <c r="AY8" s="88">
        <v>600</v>
      </c>
      <c r="AZ8" s="88" t="s">
        <v>308</v>
      </c>
      <c r="BA8" s="88">
        <v>1</v>
      </c>
      <c r="BB8" s="88" t="s">
        <v>191</v>
      </c>
      <c r="BC8" s="88">
        <v>2020</v>
      </c>
      <c r="BD8" s="88">
        <v>0</v>
      </c>
      <c r="BE8" s="88">
        <v>0</v>
      </c>
      <c r="BF8" s="88" t="s">
        <v>308</v>
      </c>
      <c r="BG8" s="88">
        <v>0</v>
      </c>
      <c r="BH8" s="88" t="s">
        <v>191</v>
      </c>
      <c r="BI8" s="88">
        <v>2020</v>
      </c>
      <c r="BJ8" s="88" t="s">
        <v>257</v>
      </c>
    </row>
    <row r="9" spans="2:62" ht="15.95" customHeight="1" x14ac:dyDescent="0.25">
      <c r="B9" s="42" t="s">
        <v>274</v>
      </c>
      <c r="C9" s="88">
        <v>2016</v>
      </c>
      <c r="D9" s="88" t="s">
        <v>252</v>
      </c>
      <c r="E9" s="88" t="s">
        <v>254</v>
      </c>
      <c r="F9" s="88"/>
      <c r="G9" s="92">
        <v>3021</v>
      </c>
      <c r="H9" s="88" t="s">
        <v>308</v>
      </c>
      <c r="I9" s="88">
        <v>1</v>
      </c>
      <c r="J9" s="92">
        <v>3021</v>
      </c>
      <c r="K9" s="88" t="s">
        <v>308</v>
      </c>
      <c r="L9" s="94">
        <v>1</v>
      </c>
      <c r="M9" s="89" t="s">
        <v>191</v>
      </c>
      <c r="N9" s="88">
        <v>2020</v>
      </c>
      <c r="O9" s="88" t="s">
        <v>255</v>
      </c>
      <c r="P9" s="92">
        <v>2756.1604171494773</v>
      </c>
      <c r="Q9" s="88" t="s">
        <v>308</v>
      </c>
      <c r="R9" s="88">
        <v>1</v>
      </c>
      <c r="S9" s="88">
        <v>2020</v>
      </c>
      <c r="T9" s="88">
        <v>1</v>
      </c>
      <c r="U9" s="88">
        <v>4.6008650740864052</v>
      </c>
      <c r="V9" s="88" t="s">
        <v>410</v>
      </c>
      <c r="W9" s="88">
        <v>1</v>
      </c>
      <c r="X9" s="88" t="s">
        <v>191</v>
      </c>
      <c r="Y9" s="88">
        <v>2020</v>
      </c>
      <c r="Z9" s="88">
        <v>0</v>
      </c>
      <c r="AA9" s="189">
        <v>2.2063107696000003E-2</v>
      </c>
      <c r="AB9" s="88" t="s">
        <v>410</v>
      </c>
      <c r="AC9" s="88">
        <v>0</v>
      </c>
      <c r="AD9" s="88" t="s">
        <v>191</v>
      </c>
      <c r="AE9" s="88">
        <v>2020</v>
      </c>
      <c r="AF9" s="88">
        <v>0</v>
      </c>
      <c r="AG9" s="88">
        <v>0</v>
      </c>
      <c r="AH9" s="88" t="s">
        <v>410</v>
      </c>
      <c r="AI9" s="88">
        <v>0</v>
      </c>
      <c r="AJ9" s="88" t="s">
        <v>191</v>
      </c>
      <c r="AK9" s="88">
        <v>2020</v>
      </c>
      <c r="AL9" s="88">
        <v>1</v>
      </c>
      <c r="AM9" s="88">
        <v>1078.0802085747387</v>
      </c>
      <c r="AN9" s="88" t="s">
        <v>308</v>
      </c>
      <c r="AO9" s="88">
        <v>1</v>
      </c>
      <c r="AP9" s="88" t="s">
        <v>191</v>
      </c>
      <c r="AQ9" s="88">
        <v>2020</v>
      </c>
      <c r="AR9" s="88">
        <v>1</v>
      </c>
      <c r="AS9" s="88">
        <v>1078.0802085747387</v>
      </c>
      <c r="AT9" s="88" t="s">
        <v>308</v>
      </c>
      <c r="AU9" s="88">
        <v>1</v>
      </c>
      <c r="AV9" s="88" t="s">
        <v>191</v>
      </c>
      <c r="AW9" s="88">
        <v>2020</v>
      </c>
      <c r="AX9" s="88">
        <v>1</v>
      </c>
      <c r="AY9" s="88">
        <v>600</v>
      </c>
      <c r="AZ9" s="88" t="s">
        <v>308</v>
      </c>
      <c r="BA9" s="88">
        <v>1</v>
      </c>
      <c r="BB9" s="88" t="s">
        <v>191</v>
      </c>
      <c r="BC9" s="88">
        <v>2020</v>
      </c>
      <c r="BD9" s="88">
        <v>1</v>
      </c>
      <c r="BE9" s="88">
        <v>797.26962457337879</v>
      </c>
      <c r="BF9" s="88" t="s">
        <v>308</v>
      </c>
      <c r="BG9" s="88">
        <v>1</v>
      </c>
      <c r="BH9" s="88" t="s">
        <v>191</v>
      </c>
      <c r="BI9" s="88">
        <v>2020</v>
      </c>
      <c r="BJ9" s="88" t="s">
        <v>257</v>
      </c>
    </row>
    <row r="10" spans="2:62" ht="15.95" customHeight="1" x14ac:dyDescent="0.25">
      <c r="B10" s="42" t="s">
        <v>280</v>
      </c>
      <c r="C10" s="88">
        <v>2016</v>
      </c>
      <c r="D10" s="88" t="s">
        <v>252</v>
      </c>
      <c r="E10" s="88" t="s">
        <v>254</v>
      </c>
      <c r="F10" s="88"/>
      <c r="G10" s="92">
        <v>880</v>
      </c>
      <c r="H10" s="88" t="s">
        <v>308</v>
      </c>
      <c r="I10" s="88">
        <v>1</v>
      </c>
      <c r="J10" s="92">
        <v>880</v>
      </c>
      <c r="K10" s="88" t="s">
        <v>308</v>
      </c>
      <c r="L10" s="94">
        <v>1</v>
      </c>
      <c r="M10" s="89" t="s">
        <v>191</v>
      </c>
      <c r="N10" s="88">
        <v>2020</v>
      </c>
      <c r="O10" s="88" t="s">
        <v>255</v>
      </c>
      <c r="P10" s="92">
        <v>968.75494523631312</v>
      </c>
      <c r="Q10" s="88" t="s">
        <v>308</v>
      </c>
      <c r="R10" s="88">
        <v>1</v>
      </c>
      <c r="S10" s="88">
        <v>2020</v>
      </c>
      <c r="T10" s="88">
        <v>0</v>
      </c>
      <c r="U10" s="88">
        <v>0</v>
      </c>
      <c r="V10" s="88" t="s">
        <v>410</v>
      </c>
      <c r="W10" s="88">
        <v>0</v>
      </c>
      <c r="X10" s="88" t="s">
        <v>191</v>
      </c>
      <c r="Y10" s="88">
        <v>2020</v>
      </c>
      <c r="Z10" s="88">
        <v>0</v>
      </c>
      <c r="AA10" s="189">
        <v>2.2063107696000003E-2</v>
      </c>
      <c r="AB10" s="88" t="s">
        <v>410</v>
      </c>
      <c r="AC10" s="88">
        <v>0</v>
      </c>
      <c r="AD10" s="88" t="s">
        <v>191</v>
      </c>
      <c r="AE10" s="88">
        <v>2020</v>
      </c>
      <c r="AF10" s="88">
        <v>1</v>
      </c>
      <c r="AG10" s="88">
        <v>1.340205648856682</v>
      </c>
      <c r="AH10" s="88" t="s">
        <v>410</v>
      </c>
      <c r="AI10" s="88">
        <v>1</v>
      </c>
      <c r="AJ10" s="88" t="s">
        <v>191</v>
      </c>
      <c r="AK10" s="88">
        <v>2020</v>
      </c>
      <c r="AL10" s="88">
        <v>0</v>
      </c>
      <c r="AM10" s="88">
        <v>1055.2886113685327</v>
      </c>
      <c r="AN10" s="88" t="s">
        <v>308</v>
      </c>
      <c r="AO10" s="88">
        <v>0</v>
      </c>
      <c r="AP10" s="88" t="s">
        <v>191</v>
      </c>
      <c r="AQ10" s="88">
        <v>2020</v>
      </c>
      <c r="AR10" s="88">
        <v>1</v>
      </c>
      <c r="AS10" s="88">
        <v>1055.2886113685327</v>
      </c>
      <c r="AT10" s="88" t="s">
        <v>308</v>
      </c>
      <c r="AU10" s="88">
        <v>1</v>
      </c>
      <c r="AV10" s="88" t="s">
        <v>191</v>
      </c>
      <c r="AW10" s="88">
        <v>2020</v>
      </c>
      <c r="AX10" s="88">
        <v>0</v>
      </c>
      <c r="AY10" s="88">
        <v>600</v>
      </c>
      <c r="AZ10" s="88" t="s">
        <v>308</v>
      </c>
      <c r="BA10" s="88">
        <v>1</v>
      </c>
      <c r="BB10" s="88" t="s">
        <v>191</v>
      </c>
      <c r="BC10" s="88">
        <v>2020</v>
      </c>
      <c r="BD10" s="88">
        <v>0</v>
      </c>
      <c r="BE10" s="88">
        <v>0</v>
      </c>
      <c r="BF10" s="88" t="s">
        <v>308</v>
      </c>
      <c r="BG10" s="88">
        <v>0</v>
      </c>
      <c r="BH10" s="88" t="s">
        <v>191</v>
      </c>
      <c r="BI10" s="88">
        <v>2020</v>
      </c>
      <c r="BJ10" s="88"/>
    </row>
    <row r="11" spans="2:62" ht="15.95" customHeight="1" x14ac:dyDescent="0.25">
      <c r="B11" s="42" t="s">
        <v>287</v>
      </c>
      <c r="C11" s="88">
        <v>2016</v>
      </c>
      <c r="D11" s="88" t="s">
        <v>429</v>
      </c>
      <c r="E11" s="88" t="s">
        <v>254</v>
      </c>
      <c r="F11" s="88"/>
      <c r="G11" s="92">
        <v>274</v>
      </c>
      <c r="H11" s="88" t="s">
        <v>308</v>
      </c>
      <c r="I11" s="88">
        <v>1</v>
      </c>
      <c r="J11" s="92">
        <v>274</v>
      </c>
      <c r="K11" s="88" t="s">
        <v>308</v>
      </c>
      <c r="L11" s="94">
        <v>1</v>
      </c>
      <c r="M11" s="89" t="s">
        <v>191</v>
      </c>
      <c r="N11" s="88">
        <v>2020</v>
      </c>
      <c r="O11" s="88" t="s">
        <v>255</v>
      </c>
      <c r="P11" s="92">
        <v>301.63506249403389</v>
      </c>
      <c r="Q11" s="88" t="s">
        <v>308</v>
      </c>
      <c r="R11" s="88">
        <v>1</v>
      </c>
      <c r="S11" s="88">
        <v>2020</v>
      </c>
      <c r="T11" s="88">
        <v>1</v>
      </c>
      <c r="U11" s="88">
        <v>0.41729130430310329</v>
      </c>
      <c r="V11" s="88" t="s">
        <v>410</v>
      </c>
      <c r="W11" s="88">
        <v>1</v>
      </c>
      <c r="X11" s="88" t="s">
        <v>191</v>
      </c>
      <c r="Y11" s="88">
        <v>2020</v>
      </c>
      <c r="Z11" s="88">
        <v>0</v>
      </c>
      <c r="AA11" s="189">
        <v>2.2063107696000003E-2</v>
      </c>
      <c r="AB11" s="88" t="s">
        <v>410</v>
      </c>
      <c r="AC11" s="88">
        <v>0</v>
      </c>
      <c r="AD11" s="88" t="s">
        <v>191</v>
      </c>
      <c r="AE11" s="88">
        <v>2020</v>
      </c>
      <c r="AF11" s="88">
        <v>0</v>
      </c>
      <c r="AG11" s="88">
        <v>0</v>
      </c>
      <c r="AH11" s="88" t="s">
        <v>410</v>
      </c>
      <c r="AI11" s="88">
        <v>0</v>
      </c>
      <c r="AJ11" s="88" t="s">
        <v>191</v>
      </c>
      <c r="AK11" s="88">
        <v>2020</v>
      </c>
      <c r="AL11" s="88">
        <v>0</v>
      </c>
      <c r="AM11" s="88">
        <v>328.57849944883856</v>
      </c>
      <c r="AN11" s="88" t="s">
        <v>308</v>
      </c>
      <c r="AO11" s="88">
        <v>0</v>
      </c>
      <c r="AP11" s="88" t="s">
        <v>191</v>
      </c>
      <c r="AQ11" s="88">
        <v>2020</v>
      </c>
      <c r="AR11" s="88">
        <v>1</v>
      </c>
      <c r="AS11" s="88">
        <v>328.57849944883856</v>
      </c>
      <c r="AT11" s="88" t="s">
        <v>308</v>
      </c>
      <c r="AU11" s="88">
        <v>1</v>
      </c>
      <c r="AV11" s="88" t="s">
        <v>191</v>
      </c>
      <c r="AW11" s="88">
        <v>2020</v>
      </c>
      <c r="AX11" s="88">
        <v>0</v>
      </c>
      <c r="AY11" s="88">
        <v>600</v>
      </c>
      <c r="AZ11" s="88" t="s">
        <v>308</v>
      </c>
      <c r="BA11" s="88">
        <v>1</v>
      </c>
      <c r="BB11" s="88" t="s">
        <v>191</v>
      </c>
      <c r="BC11" s="88">
        <v>2020</v>
      </c>
      <c r="BD11" s="88">
        <v>0</v>
      </c>
      <c r="BE11" s="88">
        <v>0</v>
      </c>
      <c r="BF11" s="88" t="s">
        <v>308</v>
      </c>
      <c r="BG11" s="88">
        <v>0</v>
      </c>
      <c r="BH11" s="88" t="s">
        <v>191</v>
      </c>
      <c r="BI11" s="88">
        <v>2020</v>
      </c>
      <c r="BJ11" s="88"/>
    </row>
    <row r="12" spans="2:62" ht="15.95" customHeight="1" x14ac:dyDescent="0.25">
      <c r="B12" s="53"/>
      <c r="C12" s="53"/>
      <c r="D12" s="53"/>
      <c r="E12" s="89"/>
      <c r="F12" s="89"/>
      <c r="G12" s="53"/>
      <c r="H12" s="53"/>
      <c r="I12" s="53"/>
      <c r="J12" s="93"/>
      <c r="K12" s="53"/>
      <c r="L12" s="53"/>
      <c r="M12" s="89"/>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row>
    <row r="13" spans="2:62" x14ac:dyDescent="0.25">
      <c r="B13" s="53"/>
      <c r="C13" s="53"/>
      <c r="D13" s="53"/>
      <c r="E13" s="89"/>
      <c r="F13" s="89"/>
      <c r="G13" s="53"/>
      <c r="H13" s="53"/>
      <c r="I13" s="53"/>
      <c r="J13" s="90"/>
      <c r="K13" s="53"/>
      <c r="N13" s="53"/>
      <c r="O13" s="89"/>
      <c r="P13" s="53"/>
      <c r="Q13" s="53"/>
      <c r="R13" s="53"/>
      <c r="S13" s="53"/>
      <c r="T13" s="53"/>
      <c r="U13" s="53"/>
      <c r="V13" s="53"/>
      <c r="W13" s="53"/>
      <c r="X13" s="53"/>
      <c r="Y13" s="53"/>
      <c r="Z13" s="53"/>
      <c r="AA13" s="53"/>
      <c r="AB13" s="53"/>
      <c r="AC13" s="53"/>
      <c r="AD13" s="53"/>
      <c r="AE13" s="53"/>
      <c r="AF13" s="53"/>
      <c r="AG13" s="53"/>
      <c r="AH13" s="53"/>
      <c r="AI13" s="53"/>
      <c r="AJ13" s="53"/>
      <c r="AK13" s="53"/>
      <c r="AL13" s="91"/>
      <c r="AM13" s="53"/>
    </row>
  </sheetData>
  <pageMargins left="0.7" right="0.7" top="0.75" bottom="0.75" header="0.3" footer="0.3"/>
  <pageSetup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5" tint="0.59999389629810485"/>
  </sheetPr>
  <dimension ref="B2:Q11"/>
  <sheetViews>
    <sheetView showGridLines="0" topLeftCell="A4" workbookViewId="0">
      <selection activeCell="C5" sqref="C5"/>
    </sheetView>
  </sheetViews>
  <sheetFormatPr defaultColWidth="8.85546875" defaultRowHeight="15" x14ac:dyDescent="0.25"/>
  <cols>
    <col min="1" max="1" width="8.85546875" style="42"/>
    <col min="2" max="2" width="13" style="42" customWidth="1"/>
    <col min="3" max="3" width="8.85546875" style="42"/>
    <col min="4" max="4" width="15.85546875" style="42" customWidth="1"/>
    <col min="5" max="5" width="20.42578125" style="42" customWidth="1"/>
    <col min="6" max="6" width="19.85546875" style="42" customWidth="1"/>
    <col min="7" max="7" width="23.140625" style="42" customWidth="1"/>
    <col min="8" max="8" width="27.85546875" style="42" customWidth="1"/>
    <col min="9" max="9" width="26.42578125" style="42" customWidth="1"/>
    <col min="10" max="10" width="14.85546875" style="42" customWidth="1"/>
    <col min="11" max="11" width="12.42578125" style="42" customWidth="1"/>
    <col min="12" max="12" width="14.140625" style="42" customWidth="1"/>
    <col min="13" max="13" width="28.140625" style="42" customWidth="1"/>
    <col min="14" max="16384" width="8.85546875" style="42"/>
  </cols>
  <sheetData>
    <row r="2" spans="2:17" x14ac:dyDescent="0.25">
      <c r="B2" s="42" t="s">
        <v>44</v>
      </c>
      <c r="C2" s="45" t="s">
        <v>109</v>
      </c>
    </row>
    <row r="3" spans="2:17" x14ac:dyDescent="0.25">
      <c r="B3" s="42" t="s">
        <v>45</v>
      </c>
      <c r="C3" s="42" t="s">
        <v>187</v>
      </c>
    </row>
    <row r="4" spans="2:17" x14ac:dyDescent="0.25">
      <c r="B4" s="42" t="s">
        <v>46</v>
      </c>
      <c r="C4" s="42" t="s">
        <v>473</v>
      </c>
    </row>
    <row r="6" spans="2:17" x14ac:dyDescent="0.25">
      <c r="B6" s="47" t="s">
        <v>61</v>
      </c>
    </row>
    <row r="7" spans="2:17" x14ac:dyDescent="0.25">
      <c r="B7" s="42" t="s">
        <v>88</v>
      </c>
      <c r="C7" s="42" t="s">
        <v>29</v>
      </c>
      <c r="D7" s="42" t="s">
        <v>122</v>
      </c>
      <c r="E7" s="42" t="s">
        <v>123</v>
      </c>
      <c r="F7" s="42" t="s">
        <v>124</v>
      </c>
      <c r="G7" s="42" t="s">
        <v>125</v>
      </c>
      <c r="H7" s="42" t="s">
        <v>126</v>
      </c>
      <c r="I7" s="42" t="s">
        <v>127</v>
      </c>
      <c r="J7" s="42" t="s">
        <v>128</v>
      </c>
      <c r="K7" s="42" t="s">
        <v>129</v>
      </c>
      <c r="L7" s="42" t="s">
        <v>130</v>
      </c>
      <c r="M7" s="42" t="s">
        <v>131</v>
      </c>
      <c r="N7" s="42" t="s">
        <v>132</v>
      </c>
      <c r="O7" s="42" t="s">
        <v>133</v>
      </c>
      <c r="P7" s="42" t="s">
        <v>134</v>
      </c>
      <c r="Q7" s="42" t="s">
        <v>135</v>
      </c>
    </row>
    <row r="8" spans="2:17" x14ac:dyDescent="0.25">
      <c r="B8" s="42" t="s">
        <v>251</v>
      </c>
      <c r="C8" s="42">
        <v>2018</v>
      </c>
      <c r="D8" s="42" t="s">
        <v>267</v>
      </c>
      <c r="E8" s="42" t="s">
        <v>268</v>
      </c>
      <c r="F8" s="42">
        <v>150</v>
      </c>
      <c r="G8" s="42" t="s">
        <v>137</v>
      </c>
      <c r="H8" s="42" t="s">
        <v>269</v>
      </c>
      <c r="I8" s="42" t="s">
        <v>270</v>
      </c>
      <c r="J8" s="42" t="s">
        <v>271</v>
      </c>
      <c r="K8" s="42" t="s">
        <v>272</v>
      </c>
      <c r="L8" s="42" t="s">
        <v>273</v>
      </c>
    </row>
    <row r="9" spans="2:17" x14ac:dyDescent="0.25">
      <c r="B9" s="42" t="s">
        <v>274</v>
      </c>
      <c r="C9" s="42">
        <v>2018</v>
      </c>
      <c r="D9" s="42" t="s">
        <v>267</v>
      </c>
      <c r="E9" s="42" t="s">
        <v>268</v>
      </c>
      <c r="F9" s="42">
        <v>280</v>
      </c>
      <c r="G9" s="42" t="s">
        <v>137</v>
      </c>
      <c r="H9" s="42" t="s">
        <v>275</v>
      </c>
      <c r="I9" s="42" t="s">
        <v>276</v>
      </c>
      <c r="J9" s="42" t="s">
        <v>277</v>
      </c>
      <c r="K9" s="42" t="s">
        <v>278</v>
      </c>
      <c r="L9" s="42" t="s">
        <v>279</v>
      </c>
    </row>
    <row r="10" spans="2:17" x14ac:dyDescent="0.25">
      <c r="B10" s="42" t="s">
        <v>280</v>
      </c>
      <c r="C10" s="42">
        <v>2018</v>
      </c>
      <c r="D10" s="42" t="s">
        <v>267</v>
      </c>
      <c r="E10" s="42" t="s">
        <v>281</v>
      </c>
      <c r="F10" s="42">
        <v>80</v>
      </c>
      <c r="G10" s="42" t="s">
        <v>137</v>
      </c>
      <c r="H10" s="42" t="s">
        <v>282</v>
      </c>
      <c r="I10" s="42" t="s">
        <v>283</v>
      </c>
      <c r="J10" s="42" t="s">
        <v>284</v>
      </c>
      <c r="K10" s="42" t="s">
        <v>285</v>
      </c>
      <c r="L10" s="42" t="s">
        <v>286</v>
      </c>
    </row>
    <row r="11" spans="2:17" x14ac:dyDescent="0.25">
      <c r="B11" s="42" t="s">
        <v>287</v>
      </c>
      <c r="C11" s="42">
        <v>2018</v>
      </c>
      <c r="D11" s="42" t="s">
        <v>267</v>
      </c>
      <c r="E11" s="42" t="s">
        <v>288</v>
      </c>
      <c r="F11" s="42">
        <v>145</v>
      </c>
      <c r="G11" s="42" t="s">
        <v>137</v>
      </c>
      <c r="H11" s="42" t="s">
        <v>289</v>
      </c>
      <c r="I11" s="42" t="s">
        <v>290</v>
      </c>
      <c r="J11" s="42" t="s">
        <v>291</v>
      </c>
      <c r="K11" s="42" t="s">
        <v>292</v>
      </c>
      <c r="L11" s="42" t="s">
        <v>293</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5" tint="0.59999389629810485"/>
  </sheetPr>
  <dimension ref="B2:H27"/>
  <sheetViews>
    <sheetView showGridLines="0" workbookViewId="0">
      <selection activeCell="A17" sqref="A17"/>
    </sheetView>
  </sheetViews>
  <sheetFormatPr defaultColWidth="8.85546875" defaultRowHeight="15" x14ac:dyDescent="0.25"/>
  <cols>
    <col min="1" max="1" width="8.85546875" style="42"/>
    <col min="2" max="2" width="14.85546875" style="42" customWidth="1"/>
    <col min="3" max="3" width="8.85546875" style="42"/>
    <col min="4" max="4" width="17.85546875" style="42" customWidth="1"/>
    <col min="5" max="5" width="20" style="42" customWidth="1"/>
    <col min="6" max="6" width="18.42578125" style="42" customWidth="1"/>
    <col min="7" max="7" width="22.140625" style="42" customWidth="1"/>
    <col min="8" max="8" width="20.85546875" style="42" customWidth="1"/>
    <col min="9" max="16384" width="8.85546875" style="42"/>
  </cols>
  <sheetData>
    <row r="2" spans="2:8" x14ac:dyDescent="0.25">
      <c r="B2" s="42" t="s">
        <v>44</v>
      </c>
      <c r="C2" s="45" t="s">
        <v>109</v>
      </c>
    </row>
    <row r="3" spans="2:8" x14ac:dyDescent="0.25">
      <c r="B3" s="42" t="s">
        <v>45</v>
      </c>
      <c r="C3" s="42" t="s">
        <v>187</v>
      </c>
    </row>
    <row r="4" spans="2:8" x14ac:dyDescent="0.25">
      <c r="B4" s="42" t="s">
        <v>46</v>
      </c>
      <c r="C4" s="42" t="s">
        <v>65</v>
      </c>
    </row>
    <row r="6" spans="2:8" x14ac:dyDescent="0.25">
      <c r="B6" s="47" t="s">
        <v>64</v>
      </c>
    </row>
    <row r="7" spans="2:8" x14ac:dyDescent="0.25">
      <c r="B7" s="42" t="s">
        <v>192</v>
      </c>
      <c r="C7" s="42" t="s">
        <v>29</v>
      </c>
      <c r="D7" s="42" t="s">
        <v>193</v>
      </c>
      <c r="E7" s="42" t="s">
        <v>194</v>
      </c>
      <c r="F7" s="42" t="s">
        <v>195</v>
      </c>
      <c r="G7" s="42" t="s">
        <v>196</v>
      </c>
      <c r="H7" s="42" t="s">
        <v>197</v>
      </c>
    </row>
    <row r="8" spans="2:8" x14ac:dyDescent="0.25">
      <c r="B8" s="42" t="s">
        <v>198</v>
      </c>
      <c r="C8" s="42">
        <v>2017</v>
      </c>
      <c r="D8" s="42">
        <v>129</v>
      </c>
      <c r="G8" s="42" t="s">
        <v>199</v>
      </c>
      <c r="H8" s="42" t="s">
        <v>138</v>
      </c>
    </row>
    <row r="9" spans="2:8" x14ac:dyDescent="0.25">
      <c r="B9" s="42" t="s">
        <v>200</v>
      </c>
      <c r="C9" s="42">
        <v>2017</v>
      </c>
      <c r="D9" s="42">
        <v>788</v>
      </c>
      <c r="G9" s="42" t="s">
        <v>199</v>
      </c>
      <c r="H9" s="42" t="s">
        <v>138</v>
      </c>
    </row>
    <row r="10" spans="2:8" x14ac:dyDescent="0.25">
      <c r="B10" s="42" t="s">
        <v>201</v>
      </c>
      <c r="C10" s="42">
        <v>2017</v>
      </c>
      <c r="D10" s="42">
        <v>836</v>
      </c>
      <c r="G10" s="42" t="s">
        <v>202</v>
      </c>
      <c r="H10" s="42" t="s">
        <v>138</v>
      </c>
    </row>
    <row r="11" spans="2:8" x14ac:dyDescent="0.25">
      <c r="B11" s="42" t="s">
        <v>56</v>
      </c>
      <c r="C11" s="42">
        <v>2017</v>
      </c>
      <c r="D11" s="42">
        <v>628</v>
      </c>
      <c r="G11" s="42" t="s">
        <v>199</v>
      </c>
      <c r="H11" s="42" t="s">
        <v>138</v>
      </c>
    </row>
    <row r="12" spans="2:8" x14ac:dyDescent="0.25">
      <c r="B12" s="42" t="s">
        <v>203</v>
      </c>
      <c r="C12" s="42">
        <v>2017</v>
      </c>
      <c r="D12" s="42">
        <v>431</v>
      </c>
      <c r="G12" s="42" t="s">
        <v>199</v>
      </c>
      <c r="H12" s="42" t="s">
        <v>138</v>
      </c>
    </row>
    <row r="13" spans="2:8" x14ac:dyDescent="0.25">
      <c r="B13" s="42" t="s">
        <v>204</v>
      </c>
      <c r="C13" s="42">
        <v>2017</v>
      </c>
      <c r="D13" s="42">
        <v>550</v>
      </c>
      <c r="G13" s="42" t="s">
        <v>199</v>
      </c>
      <c r="H13" s="42" t="s">
        <v>138</v>
      </c>
    </row>
    <row r="14" spans="2:8" x14ac:dyDescent="0.25">
      <c r="B14" s="42" t="s">
        <v>205</v>
      </c>
      <c r="C14" s="42">
        <v>2017</v>
      </c>
      <c r="D14" s="42">
        <v>619</v>
      </c>
      <c r="G14" s="42" t="s">
        <v>199</v>
      </c>
      <c r="H14" s="42" t="s">
        <v>138</v>
      </c>
    </row>
    <row r="15" spans="2:8" x14ac:dyDescent="0.25">
      <c r="B15" s="42" t="s">
        <v>206</v>
      </c>
      <c r="C15" s="42">
        <v>2017</v>
      </c>
      <c r="D15" s="42">
        <v>811</v>
      </c>
      <c r="G15" s="42" t="s">
        <v>199</v>
      </c>
      <c r="H15" s="42" t="s">
        <v>138</v>
      </c>
    </row>
    <row r="16" spans="2:8" x14ac:dyDescent="0.25">
      <c r="B16" s="42" t="s">
        <v>207</v>
      </c>
      <c r="C16" s="42">
        <v>2017</v>
      </c>
      <c r="D16" s="42">
        <v>729</v>
      </c>
      <c r="G16" s="42" t="s">
        <v>199</v>
      </c>
      <c r="H16" s="42" t="s">
        <v>138</v>
      </c>
    </row>
    <row r="17" spans="2:8" x14ac:dyDescent="0.25">
      <c r="B17" s="42" t="s">
        <v>52</v>
      </c>
      <c r="C17" s="42">
        <v>2017</v>
      </c>
      <c r="D17" s="42">
        <v>629</v>
      </c>
      <c r="G17" s="42" t="s">
        <v>199</v>
      </c>
      <c r="H17" s="42" t="s">
        <v>138</v>
      </c>
    </row>
    <row r="18" spans="2:8" x14ac:dyDescent="0.25">
      <c r="B18" s="42" t="s">
        <v>208</v>
      </c>
      <c r="C18" s="42">
        <v>2017</v>
      </c>
      <c r="D18" s="42">
        <v>699</v>
      </c>
      <c r="G18" s="42" t="s">
        <v>199</v>
      </c>
      <c r="H18" s="42" t="s">
        <v>138</v>
      </c>
    </row>
    <row r="19" spans="2:8" x14ac:dyDescent="0.25">
      <c r="B19" s="42" t="s">
        <v>209</v>
      </c>
      <c r="C19" s="42">
        <v>2017</v>
      </c>
      <c r="D19" s="42">
        <v>559</v>
      </c>
      <c r="G19" s="42" t="s">
        <v>199</v>
      </c>
      <c r="H19" s="42" t="s">
        <v>138</v>
      </c>
    </row>
    <row r="20" spans="2:8" x14ac:dyDescent="0.25">
      <c r="B20" s="42" t="s">
        <v>210</v>
      </c>
      <c r="C20" s="42">
        <v>2017</v>
      </c>
      <c r="D20" s="42">
        <v>920</v>
      </c>
      <c r="G20" s="42" t="s">
        <v>199</v>
      </c>
      <c r="H20" s="42" t="s">
        <v>138</v>
      </c>
    </row>
    <row r="21" spans="2:8" x14ac:dyDescent="0.25">
      <c r="B21" s="42" t="s">
        <v>57</v>
      </c>
      <c r="C21" s="42">
        <v>2017</v>
      </c>
      <c r="D21" s="42">
        <v>375</v>
      </c>
      <c r="G21" s="42" t="s">
        <v>199</v>
      </c>
      <c r="H21" s="42" t="s">
        <v>138</v>
      </c>
    </row>
    <row r="22" spans="2:8" x14ac:dyDescent="0.25">
      <c r="B22" s="42" t="s">
        <v>186</v>
      </c>
      <c r="C22" s="42">
        <v>2017</v>
      </c>
      <c r="D22" s="42">
        <v>891</v>
      </c>
      <c r="G22" s="42" t="s">
        <v>199</v>
      </c>
      <c r="H22" s="42" t="s">
        <v>138</v>
      </c>
    </row>
    <row r="23" spans="2:8" x14ac:dyDescent="0.25">
      <c r="B23" s="42" t="s">
        <v>211</v>
      </c>
      <c r="C23" s="42">
        <v>2017</v>
      </c>
      <c r="D23" s="42">
        <v>1065</v>
      </c>
      <c r="G23" s="42" t="s">
        <v>199</v>
      </c>
      <c r="H23" s="42" t="s">
        <v>138</v>
      </c>
    </row>
    <row r="24" spans="2:8" x14ac:dyDescent="0.25">
      <c r="B24" s="42" t="s">
        <v>212</v>
      </c>
      <c r="C24" s="42">
        <v>2017</v>
      </c>
      <c r="D24" s="42">
        <v>717</v>
      </c>
      <c r="G24" s="42" t="s">
        <v>199</v>
      </c>
      <c r="H24" s="42" t="s">
        <v>138</v>
      </c>
    </row>
    <row r="25" spans="2:8" x14ac:dyDescent="0.25">
      <c r="B25" s="42" t="s">
        <v>58</v>
      </c>
      <c r="C25" s="42">
        <v>2017</v>
      </c>
      <c r="D25" s="42">
        <v>900</v>
      </c>
      <c r="E25" s="42">
        <v>800</v>
      </c>
      <c r="F25" s="42">
        <v>1000</v>
      </c>
      <c r="G25" s="42" t="s">
        <v>199</v>
      </c>
      <c r="H25" s="42" t="s">
        <v>138</v>
      </c>
    </row>
    <row r="26" spans="2:8" x14ac:dyDescent="0.25">
      <c r="B26" s="42" t="s">
        <v>2</v>
      </c>
      <c r="C26" s="42">
        <v>2017</v>
      </c>
      <c r="D26" s="42">
        <v>140</v>
      </c>
      <c r="G26" s="42" t="s">
        <v>199</v>
      </c>
      <c r="H26" s="42" t="s">
        <v>138</v>
      </c>
    </row>
    <row r="27" spans="2:8" x14ac:dyDescent="0.25">
      <c r="B27" s="42" t="s">
        <v>3</v>
      </c>
      <c r="C27" s="42">
        <v>2016</v>
      </c>
      <c r="D27" s="42">
        <v>110</v>
      </c>
      <c r="G27" s="42" t="s">
        <v>199</v>
      </c>
      <c r="H27" s="42" t="s">
        <v>138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1E08F-4EAF-45BB-A197-5A0B17160F6E}">
  <sheetPr codeName="Sheet12"/>
  <dimension ref="B4:C12"/>
  <sheetViews>
    <sheetView showGridLines="0" workbookViewId="0">
      <selection activeCell="B10" sqref="B10"/>
    </sheetView>
  </sheetViews>
  <sheetFormatPr defaultColWidth="8.7109375" defaultRowHeight="15" x14ac:dyDescent="0.25"/>
  <cols>
    <col min="1" max="16384" width="8.7109375" style="42"/>
  </cols>
  <sheetData>
    <row r="4" spans="2:3" x14ac:dyDescent="0.25">
      <c r="B4" s="42" t="s">
        <v>44</v>
      </c>
      <c r="C4" s="42" t="s">
        <v>109</v>
      </c>
    </row>
    <row r="5" spans="2:3" x14ac:dyDescent="0.25">
      <c r="B5" s="42" t="s">
        <v>45</v>
      </c>
    </row>
    <row r="6" spans="2:3" x14ac:dyDescent="0.25">
      <c r="B6" s="42" t="s">
        <v>46</v>
      </c>
      <c r="C6" s="42" t="s">
        <v>226</v>
      </c>
    </row>
    <row r="9" spans="2:3" x14ac:dyDescent="0.25">
      <c r="B9" s="42" t="s">
        <v>219</v>
      </c>
    </row>
    <row r="10" spans="2:3" x14ac:dyDescent="0.25">
      <c r="B10" s="42" t="s">
        <v>225</v>
      </c>
    </row>
    <row r="11" spans="2:3" x14ac:dyDescent="0.25">
      <c r="B11" s="42" t="s">
        <v>228</v>
      </c>
    </row>
    <row r="12" spans="2:3" x14ac:dyDescent="0.25">
      <c r="B12"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34</vt:i4>
      </vt:variant>
    </vt:vector>
  </HeadingPairs>
  <TitlesOfParts>
    <vt:vector size="43" baseType="lpstr">
      <vt:lpstr>READ</vt:lpstr>
      <vt:lpstr>Scenario</vt:lpstr>
      <vt:lpstr>Experiment</vt:lpstr>
      <vt:lpstr>Template_calc</vt:lpstr>
      <vt:lpstr>Technology characteristics</vt:lpstr>
      <vt:lpstr>Current plant configuration</vt:lpstr>
      <vt:lpstr>Company_data</vt:lpstr>
      <vt:lpstr>Commodity_data</vt:lpstr>
      <vt:lpstr>Comments</vt:lpstr>
      <vt:lpstr>CO2_scenario</vt:lpstr>
      <vt:lpstr>CO2scenario</vt:lpstr>
      <vt:lpstr>Direct_emissions</vt:lpstr>
      <vt:lpstr>Direct_emissions_change</vt:lpstr>
      <vt:lpstr>Disc_rate</vt:lpstr>
      <vt:lpstr>Discount_rate</vt:lpstr>
      <vt:lpstr>Efficiency_gain</vt:lpstr>
      <vt:lpstr>Emissions_change</vt:lpstr>
      <vt:lpstr>Energy_usage_change</vt:lpstr>
      <vt:lpstr>Gas_tax</vt:lpstr>
      <vt:lpstr>Green_electricity_subsidy</vt:lpstr>
      <vt:lpstr>Indirect_emissions</vt:lpstr>
      <vt:lpstr>Indirect_emissions_change</vt:lpstr>
      <vt:lpstr>Investment_year</vt:lpstr>
      <vt:lpstr>Lifetime</vt:lpstr>
      <vt:lpstr>Net_emissions</vt:lpstr>
      <vt:lpstr>NPV</vt:lpstr>
      <vt:lpstr>NPV_of_pathway</vt:lpstr>
      <vt:lpstr>NPV_test</vt:lpstr>
      <vt:lpstr>P_direct_emission_change</vt:lpstr>
      <vt:lpstr>P_indirect_emission_change</vt:lpstr>
      <vt:lpstr>Plant_name</vt:lpstr>
      <vt:lpstr>Plant_number</vt:lpstr>
      <vt:lpstr>Price_scenario</vt:lpstr>
      <vt:lpstr>Production_uncertainty</vt:lpstr>
      <vt:lpstr>Steam_Number</vt:lpstr>
      <vt:lpstr>Steam_Tech</vt:lpstr>
      <vt:lpstr>Steam_tech_amount</vt:lpstr>
      <vt:lpstr>Steam_tech_explored</vt:lpstr>
      <vt:lpstr>Tec_chosen</vt:lpstr>
      <vt:lpstr>Vapor_Number</vt:lpstr>
      <vt:lpstr>Vapor_Tech</vt:lpstr>
      <vt:lpstr>Vapor_tech_amount</vt:lpstr>
      <vt:lpstr>Vapor_tech_explored</vt:lpstr>
    </vt:vector>
  </TitlesOfParts>
  <Company>ECN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Marsidi, M.</dc:creator>
  <cp:lastModifiedBy>Edzard</cp:lastModifiedBy>
  <cp:lastPrinted>2018-04-04T07:00:38Z</cp:lastPrinted>
  <dcterms:created xsi:type="dcterms:W3CDTF">2018-01-23T13:21:30Z</dcterms:created>
  <dcterms:modified xsi:type="dcterms:W3CDTF">2018-06-12T17:06:22Z</dcterms:modified>
</cp:coreProperties>
</file>