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lsaekevall/Documents/Data Science/Career Foundry/2 Data Immersion/Achievement 1 Preparing &amp; Analyzing Data/6 Data Quality Measures/"/>
    </mc:Choice>
  </mc:AlternateContent>
  <xr:revisionPtr revIDLastSave="0" documentId="13_ncr:1_{65D7E080-03C2-DE48-9A48-3C6EEFABE076}" xr6:coauthVersionLast="47" xr6:coauthVersionMax="47" xr10:uidLastSave="{00000000-0000-0000-0000-000000000000}"/>
  <bookViews>
    <workbookView xWindow="27100" yWindow="-20560" windowWidth="30760" windowHeight="19920" xr2:uid="{D9AE960B-1C03-3D48-80E1-37AB440A879E}"/>
  </bookViews>
  <sheets>
    <sheet name="Data Profiles"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75" i="1" l="1"/>
  <c r="M269" i="1"/>
  <c r="M267" i="1"/>
  <c r="M259" i="1"/>
  <c r="L259" i="1"/>
  <c r="K259" i="1"/>
  <c r="J259" i="1"/>
  <c r="I259" i="1"/>
  <c r="M258" i="1"/>
  <c r="L258" i="1"/>
  <c r="K258" i="1"/>
  <c r="J258" i="1"/>
  <c r="I258" i="1"/>
  <c r="M257" i="1"/>
  <c r="L257" i="1"/>
  <c r="K257" i="1"/>
  <c r="J257" i="1"/>
  <c r="I257" i="1"/>
  <c r="M256" i="1"/>
  <c r="L256" i="1"/>
  <c r="K256" i="1"/>
  <c r="J256" i="1"/>
  <c r="I256" i="1"/>
  <c r="M255" i="1"/>
  <c r="L255" i="1"/>
  <c r="K255" i="1"/>
  <c r="J255" i="1"/>
  <c r="I255" i="1"/>
  <c r="M254" i="1"/>
  <c r="L254" i="1"/>
  <c r="K254" i="1"/>
  <c r="J254" i="1"/>
  <c r="I254" i="1"/>
  <c r="M253" i="1"/>
  <c r="L253" i="1"/>
  <c r="K253" i="1"/>
  <c r="J253" i="1"/>
  <c r="I253" i="1"/>
  <c r="M252" i="1"/>
  <c r="L252" i="1"/>
  <c r="K252" i="1"/>
  <c r="J252" i="1"/>
  <c r="I252" i="1"/>
  <c r="M251" i="1"/>
  <c r="L251" i="1"/>
  <c r="K251" i="1"/>
  <c r="J251" i="1"/>
  <c r="I251" i="1"/>
  <c r="M250" i="1"/>
  <c r="L250" i="1"/>
  <c r="K250" i="1"/>
  <c r="J250" i="1"/>
  <c r="I250" i="1"/>
  <c r="M249" i="1"/>
  <c r="L249" i="1"/>
  <c r="K249" i="1"/>
  <c r="J249" i="1"/>
  <c r="I249" i="1"/>
  <c r="M248" i="1"/>
  <c r="L248" i="1"/>
  <c r="K248" i="1"/>
  <c r="J248" i="1"/>
  <c r="I248" i="1"/>
  <c r="M247" i="1"/>
  <c r="L247" i="1"/>
  <c r="K247" i="1"/>
  <c r="J247" i="1"/>
  <c r="I247" i="1"/>
  <c r="M246" i="1"/>
  <c r="L246" i="1"/>
  <c r="K246" i="1"/>
  <c r="J246" i="1"/>
  <c r="I246" i="1"/>
  <c r="M245" i="1"/>
  <c r="L245" i="1"/>
  <c r="K245" i="1"/>
  <c r="J245" i="1"/>
  <c r="I245" i="1"/>
  <c r="M244" i="1"/>
  <c r="L244" i="1"/>
  <c r="K244" i="1"/>
  <c r="J244" i="1"/>
  <c r="I244" i="1"/>
  <c r="M243" i="1"/>
  <c r="L243" i="1"/>
  <c r="K243" i="1"/>
  <c r="J243" i="1"/>
  <c r="I243" i="1"/>
  <c r="M202" i="1"/>
  <c r="M201" i="1"/>
  <c r="M200" i="1"/>
  <c r="M199" i="1"/>
  <c r="M198" i="1"/>
  <c r="M197" i="1"/>
  <c r="M196" i="1"/>
  <c r="M195" i="1"/>
  <c r="M194" i="1"/>
  <c r="M193" i="1"/>
  <c r="M192" i="1"/>
  <c r="M191" i="1"/>
  <c r="M190" i="1"/>
  <c r="M189" i="1"/>
  <c r="M188" i="1"/>
  <c r="M187" i="1"/>
  <c r="M186" i="1"/>
  <c r="M185" i="1"/>
  <c r="M184" i="1"/>
  <c r="M183" i="1"/>
  <c r="M182" i="1"/>
  <c r="M181" i="1"/>
  <c r="M172" i="1"/>
  <c r="L172" i="1"/>
  <c r="K172" i="1"/>
  <c r="J172" i="1"/>
  <c r="I172" i="1"/>
  <c r="M171" i="1"/>
  <c r="L171" i="1"/>
  <c r="K171" i="1"/>
  <c r="J171" i="1"/>
  <c r="I171" i="1"/>
  <c r="M170" i="1"/>
  <c r="L170" i="1"/>
  <c r="K170" i="1"/>
  <c r="J170" i="1"/>
  <c r="I170" i="1"/>
  <c r="M169" i="1"/>
  <c r="L169" i="1"/>
  <c r="K169" i="1"/>
  <c r="J169" i="1"/>
  <c r="I169" i="1"/>
  <c r="M168" i="1"/>
  <c r="L168" i="1"/>
  <c r="K168" i="1"/>
  <c r="J168" i="1"/>
  <c r="I168" i="1"/>
  <c r="M167" i="1"/>
  <c r="L167" i="1"/>
  <c r="K167" i="1"/>
  <c r="J167" i="1"/>
  <c r="I167" i="1"/>
  <c r="M166" i="1"/>
  <c r="L166" i="1"/>
  <c r="K166" i="1"/>
  <c r="J166" i="1"/>
  <c r="I166" i="1"/>
  <c r="M165" i="1"/>
  <c r="L165" i="1"/>
  <c r="K165" i="1"/>
  <c r="J165" i="1"/>
  <c r="I165" i="1"/>
  <c r="M164" i="1"/>
  <c r="L164" i="1"/>
  <c r="K164" i="1"/>
  <c r="J164" i="1"/>
  <c r="I164" i="1"/>
  <c r="M163" i="1"/>
  <c r="L163" i="1"/>
  <c r="K163" i="1"/>
  <c r="J163" i="1"/>
  <c r="I163" i="1"/>
  <c r="M162" i="1"/>
  <c r="L162" i="1"/>
  <c r="K162" i="1"/>
  <c r="J162" i="1"/>
  <c r="I162" i="1"/>
  <c r="M161" i="1"/>
  <c r="L161" i="1"/>
  <c r="K161" i="1"/>
  <c r="J161" i="1"/>
  <c r="I161" i="1"/>
  <c r="M160" i="1"/>
  <c r="L160" i="1"/>
  <c r="K160" i="1"/>
  <c r="J160" i="1"/>
  <c r="I160" i="1"/>
  <c r="M159" i="1"/>
  <c r="L159" i="1"/>
  <c r="K159" i="1"/>
  <c r="J159" i="1"/>
  <c r="I159" i="1"/>
  <c r="M158" i="1"/>
  <c r="L158" i="1"/>
  <c r="K158" i="1"/>
  <c r="J158" i="1"/>
  <c r="I158" i="1"/>
  <c r="M157" i="1"/>
  <c r="L157" i="1"/>
  <c r="K157" i="1"/>
  <c r="J157" i="1"/>
  <c r="I157" i="1"/>
  <c r="M156" i="1"/>
  <c r="L156" i="1"/>
  <c r="K156" i="1"/>
  <c r="J156" i="1"/>
  <c r="I156" i="1"/>
  <c r="M155" i="1"/>
  <c r="L155" i="1"/>
  <c r="K155" i="1"/>
  <c r="J155" i="1"/>
  <c r="I155" i="1"/>
  <c r="M154" i="1"/>
  <c r="L154" i="1"/>
  <c r="K154" i="1"/>
  <c r="J154" i="1"/>
  <c r="I154" i="1"/>
  <c r="M153" i="1"/>
  <c r="L153" i="1"/>
  <c r="K153" i="1"/>
  <c r="J153" i="1"/>
  <c r="I153" i="1"/>
  <c r="M152" i="1"/>
  <c r="L152" i="1"/>
  <c r="K152" i="1"/>
  <c r="J152" i="1"/>
  <c r="I152" i="1"/>
  <c r="M151" i="1"/>
  <c r="J151" i="1"/>
  <c r="I151" i="1"/>
  <c r="T137" i="1"/>
  <c r="T135" i="1"/>
  <c r="T134" i="1"/>
  <c r="T133" i="1"/>
  <c r="F131" i="1"/>
  <c r="F142" i="1" s="1"/>
  <c r="E131" i="1"/>
  <c r="D131" i="1"/>
  <c r="C131" i="1"/>
  <c r="B131" i="1"/>
  <c r="AH130" i="1"/>
  <c r="F130" i="1"/>
  <c r="F141" i="1" s="1"/>
  <c r="C130" i="1"/>
  <c r="B130" i="1"/>
  <c r="AH129" i="1"/>
  <c r="F129" i="1"/>
  <c r="F140" i="1" s="1"/>
  <c r="C129" i="1"/>
  <c r="B129" i="1"/>
  <c r="T126" i="1"/>
  <c r="S126" i="1"/>
  <c r="R126" i="1"/>
  <c r="Q126" i="1"/>
  <c r="P126" i="1"/>
  <c r="T125" i="1"/>
  <c r="T136" i="1" s="1"/>
  <c r="S125" i="1"/>
  <c r="R125" i="1"/>
  <c r="Q125" i="1"/>
  <c r="P125" i="1"/>
  <c r="T124" i="1"/>
  <c r="S124" i="1"/>
  <c r="R124" i="1"/>
  <c r="Q124" i="1"/>
  <c r="P124" i="1"/>
  <c r="T123" i="1"/>
  <c r="S123" i="1"/>
  <c r="R123" i="1"/>
  <c r="Q123" i="1"/>
  <c r="P123" i="1"/>
  <c r="T122" i="1"/>
  <c r="S122" i="1"/>
  <c r="R122" i="1"/>
  <c r="Q122" i="1"/>
  <c r="P122" i="1"/>
  <c r="AH118" i="1"/>
  <c r="AH131" i="1" s="1"/>
  <c r="AG118" i="1"/>
  <c r="AF118" i="1"/>
  <c r="AE118" i="1"/>
  <c r="AD118" i="1"/>
  <c r="AH117" i="1"/>
  <c r="AG117" i="1"/>
  <c r="AF117" i="1"/>
  <c r="AE117" i="1"/>
  <c r="AD117" i="1"/>
  <c r="AH116" i="1"/>
  <c r="AG116" i="1"/>
  <c r="AF116" i="1"/>
  <c r="AE116" i="1"/>
  <c r="AD116" i="1"/>
  <c r="AO92" i="1"/>
  <c r="F85" i="1"/>
  <c r="E85" i="1"/>
  <c r="D85" i="1"/>
  <c r="C85" i="1"/>
  <c r="B85" i="1"/>
  <c r="M84" i="1"/>
  <c r="M113" i="1" s="1"/>
  <c r="L84" i="1"/>
  <c r="K84" i="1"/>
  <c r="J84" i="1"/>
  <c r="I84" i="1"/>
  <c r="F84" i="1"/>
  <c r="C84" i="1"/>
  <c r="B84" i="1"/>
  <c r="M83" i="1"/>
  <c r="M112" i="1" s="1"/>
  <c r="L83" i="1"/>
  <c r="K83" i="1"/>
  <c r="J83" i="1"/>
  <c r="I83" i="1"/>
  <c r="F83" i="1"/>
  <c r="C83" i="1"/>
  <c r="B83" i="1"/>
  <c r="M82" i="1"/>
  <c r="M111" i="1" s="1"/>
  <c r="L82" i="1"/>
  <c r="K82" i="1"/>
  <c r="J82" i="1"/>
  <c r="I82" i="1"/>
  <c r="AO81" i="1"/>
  <c r="AN81" i="1"/>
  <c r="AM81" i="1"/>
  <c r="AL81" i="1"/>
  <c r="AK81" i="1"/>
  <c r="M81" i="1"/>
  <c r="M110" i="1" s="1"/>
  <c r="L81" i="1"/>
  <c r="K81" i="1"/>
  <c r="J81" i="1"/>
  <c r="I81" i="1"/>
  <c r="AO80" i="1"/>
  <c r="AO91" i="1" s="1"/>
  <c r="AN80" i="1"/>
  <c r="AM80" i="1"/>
  <c r="AL80" i="1"/>
  <c r="AK80" i="1"/>
  <c r="M80" i="1"/>
  <c r="M109" i="1" s="1"/>
  <c r="L80" i="1"/>
  <c r="K80" i="1"/>
  <c r="J80" i="1"/>
  <c r="I80" i="1"/>
  <c r="AO79" i="1"/>
  <c r="AO90" i="1" s="1"/>
  <c r="AN79" i="1"/>
  <c r="AM79" i="1"/>
  <c r="AL79" i="1"/>
  <c r="AK79" i="1"/>
  <c r="T79" i="1"/>
  <c r="M79" i="1"/>
  <c r="M108" i="1" s="1"/>
  <c r="L79" i="1"/>
  <c r="K79" i="1"/>
  <c r="J79" i="1"/>
  <c r="I79" i="1"/>
  <c r="AO78" i="1"/>
  <c r="AO89" i="1" s="1"/>
  <c r="AN78" i="1"/>
  <c r="AM78" i="1"/>
  <c r="AL78" i="1"/>
  <c r="AK78" i="1"/>
  <c r="M78" i="1"/>
  <c r="M107" i="1" s="1"/>
  <c r="L78" i="1"/>
  <c r="K78" i="1"/>
  <c r="J78" i="1"/>
  <c r="I78" i="1"/>
  <c r="M77" i="1"/>
  <c r="L77" i="1"/>
  <c r="K77" i="1"/>
  <c r="J77" i="1"/>
  <c r="I77" i="1"/>
  <c r="M76" i="1"/>
  <c r="M106" i="1" s="1"/>
  <c r="L76" i="1"/>
  <c r="K76" i="1"/>
  <c r="J76" i="1"/>
  <c r="I76" i="1"/>
  <c r="M75" i="1"/>
  <c r="M105" i="1" s="1"/>
  <c r="L75" i="1"/>
  <c r="K75" i="1"/>
  <c r="J75" i="1"/>
  <c r="I75" i="1"/>
  <c r="M74" i="1"/>
  <c r="M104" i="1" s="1"/>
  <c r="L74" i="1"/>
  <c r="K74" i="1"/>
  <c r="J74" i="1"/>
  <c r="I74" i="1"/>
  <c r="M73" i="1"/>
  <c r="M103" i="1" s="1"/>
  <c r="L73" i="1"/>
  <c r="K73" i="1"/>
  <c r="J73" i="1"/>
  <c r="I73" i="1"/>
  <c r="M72" i="1"/>
  <c r="M102" i="1" s="1"/>
  <c r="L72" i="1"/>
  <c r="K72" i="1"/>
  <c r="J72" i="1"/>
  <c r="I72" i="1"/>
  <c r="AH71" i="1"/>
  <c r="AH87" i="1" s="1"/>
  <c r="AG71" i="1"/>
  <c r="AF71" i="1"/>
  <c r="AE71" i="1"/>
  <c r="AD71" i="1"/>
  <c r="M71" i="1"/>
  <c r="M101" i="1" s="1"/>
  <c r="L71" i="1"/>
  <c r="K71" i="1"/>
  <c r="J71" i="1"/>
  <c r="I71" i="1"/>
  <c r="AH70" i="1"/>
  <c r="AH86" i="1" s="1"/>
  <c r="AG70" i="1"/>
  <c r="AF70" i="1"/>
  <c r="AE70" i="1"/>
  <c r="AD70" i="1"/>
  <c r="T70" i="1"/>
  <c r="T91" i="1" s="1"/>
  <c r="S70" i="1"/>
  <c r="R70" i="1"/>
  <c r="Q70" i="1"/>
  <c r="P70" i="1"/>
  <c r="M70" i="1"/>
  <c r="M100" i="1" s="1"/>
  <c r="L70" i="1"/>
  <c r="K70" i="1"/>
  <c r="J70" i="1"/>
  <c r="I70" i="1"/>
  <c r="AH69" i="1"/>
  <c r="AH85" i="1" s="1"/>
  <c r="AG69" i="1"/>
  <c r="AF69" i="1"/>
  <c r="AE69" i="1"/>
  <c r="AD69" i="1"/>
  <c r="T69" i="1"/>
  <c r="T90" i="1" s="1"/>
  <c r="S69" i="1"/>
  <c r="R69" i="1"/>
  <c r="Q69" i="1"/>
  <c r="P69" i="1"/>
  <c r="M69" i="1"/>
  <c r="M99" i="1" s="1"/>
  <c r="L69" i="1"/>
  <c r="K69" i="1"/>
  <c r="J69" i="1"/>
  <c r="I69" i="1"/>
  <c r="T68" i="1"/>
  <c r="T82" i="1" s="1"/>
  <c r="S68" i="1"/>
  <c r="R68" i="1"/>
  <c r="Q68" i="1"/>
  <c r="P68" i="1"/>
  <c r="M68" i="1"/>
  <c r="M98" i="1" s="1"/>
  <c r="L68" i="1"/>
  <c r="K68" i="1"/>
  <c r="J68" i="1"/>
  <c r="I68" i="1"/>
  <c r="T67" i="1"/>
  <c r="S67" i="1"/>
  <c r="R67" i="1"/>
  <c r="Q67" i="1"/>
  <c r="P67" i="1"/>
  <c r="M67" i="1"/>
  <c r="M97" i="1" s="1"/>
  <c r="L67" i="1"/>
  <c r="K67" i="1"/>
  <c r="J67" i="1"/>
  <c r="I67" i="1"/>
  <c r="AA66" i="1"/>
  <c r="AA77" i="1" s="1"/>
  <c r="Z66" i="1"/>
  <c r="Y66" i="1"/>
  <c r="X66" i="1"/>
  <c r="W66" i="1"/>
  <c r="T66" i="1"/>
  <c r="T80" i="1" s="1"/>
  <c r="Q66" i="1"/>
  <c r="P66" i="1"/>
  <c r="M66" i="1"/>
  <c r="M96" i="1" s="1"/>
  <c r="L66" i="1"/>
  <c r="K66" i="1"/>
  <c r="J66" i="1"/>
  <c r="I66" i="1"/>
  <c r="AA65" i="1"/>
  <c r="AA76" i="1" s="1"/>
  <c r="Z65" i="1"/>
  <c r="Y65" i="1"/>
  <c r="X65" i="1"/>
  <c r="W65" i="1"/>
  <c r="T65" i="1"/>
  <c r="Q65" i="1"/>
  <c r="P65" i="1"/>
  <c r="M65" i="1"/>
  <c r="M95" i="1" s="1"/>
  <c r="L65" i="1"/>
  <c r="K65" i="1"/>
  <c r="J65" i="1"/>
  <c r="I65" i="1"/>
  <c r="M64" i="1"/>
  <c r="M94" i="1" s="1"/>
  <c r="L64" i="1"/>
  <c r="K64" i="1"/>
  <c r="J64" i="1"/>
  <c r="I64" i="1"/>
  <c r="M63" i="1"/>
  <c r="M93" i="1" s="1"/>
  <c r="J63" i="1"/>
  <c r="I63" i="1"/>
  <c r="AO58" i="1"/>
  <c r="AO57" i="1"/>
  <c r="AO45" i="1"/>
  <c r="AO60" i="1" s="1"/>
  <c r="AN45" i="1"/>
  <c r="AM45" i="1"/>
  <c r="AL45" i="1"/>
  <c r="AK45" i="1"/>
  <c r="AO44" i="1"/>
  <c r="AO59" i="1" s="1"/>
  <c r="AN44" i="1"/>
  <c r="AM44" i="1"/>
  <c r="AL44" i="1"/>
  <c r="AK44" i="1"/>
  <c r="AO43" i="1"/>
  <c r="AN43" i="1"/>
  <c r="AM43" i="1"/>
  <c r="AL43" i="1"/>
  <c r="AK43" i="1"/>
  <c r="AO42" i="1"/>
  <c r="AN42" i="1"/>
  <c r="AM42" i="1"/>
  <c r="AL42" i="1"/>
  <c r="AK42" i="1"/>
  <c r="AA33" i="1"/>
  <c r="AA45" i="1" s="1"/>
  <c r="Z33" i="1"/>
  <c r="Y33" i="1"/>
  <c r="X33" i="1"/>
  <c r="W33" i="1"/>
  <c r="AA32" i="1"/>
  <c r="AA44" i="1" s="1"/>
  <c r="Z32" i="1"/>
  <c r="Y32" i="1"/>
  <c r="X32" i="1"/>
  <c r="W32" i="1"/>
  <c r="T89" i="1" l="1"/>
</calcChain>
</file>

<file path=xl/sharedStrings.xml><?xml version="1.0" encoding="utf-8"?>
<sst xmlns="http://schemas.openxmlformats.org/spreadsheetml/2006/main" count="1765" uniqueCount="624">
  <si>
    <t>Data Profiling Notes</t>
  </si>
  <si>
    <t>Month and Age Data Set</t>
  </si>
  <si>
    <t>Population Data Set</t>
  </si>
  <si>
    <t>Influenza Visits Data Set</t>
  </si>
  <si>
    <t>HCP Vaccinated Data Set</t>
  </si>
  <si>
    <t>All Vaccinated Data Set</t>
  </si>
  <si>
    <t>Hospitalisation Rates Data Set</t>
  </si>
  <si>
    <t>Data set dowloaded from: https://coach-courses-us.s3.amazonaws.com/public/courses/da_program/CDC_Influenza_Deaths_edited.xlsx</t>
  </si>
  <si>
    <t>Data set dowloaded from: https://coach-courses-us.s3.amazonaws.com/public/courses/data-immersion/A1-A2_Influenza_Project/Census_Population_transformed_202101.csv</t>
  </si>
  <si>
    <t>Data set dowloaded from: https://images.careerfoundry.com/public/courses/data-immersion/A1-A2_Influenza_Project/CDC_Influenza_Visits.xlsx</t>
  </si>
  <si>
    <t>Data set dowloaded from: https://data.cdc.gov/Vaccinations/Vaccination-Coverage-among-Health-Care-Personnel/xerk-pcm8</t>
  </si>
  <si>
    <t>Data set dowloaded from: https://data.cdc.gov/Flu-Vaccinations/Influenza-Vaccination-Coverage-for-All-Ages-6-Mont/vh55-3he6</t>
  </si>
  <si>
    <t>Data set dowloaded from: https://gis.cdc.gov/GRASP/Fluview/FluHospRates.html</t>
  </si>
  <si>
    <t>Variables and Data Types:</t>
  </si>
  <si>
    <t>Variable Name</t>
  </si>
  <si>
    <t>Column</t>
  </si>
  <si>
    <t>Data Type</t>
  </si>
  <si>
    <t>Row *</t>
  </si>
  <si>
    <t>A</t>
  </si>
  <si>
    <t>time-invariant</t>
  </si>
  <si>
    <t>structured</t>
  </si>
  <si>
    <t>qualitative</t>
  </si>
  <si>
    <t>ordinal</t>
  </si>
  <si>
    <t>ROW *</t>
  </si>
  <si>
    <t>State</t>
  </si>
  <si>
    <t>B</t>
  </si>
  <si>
    <t>nominal</t>
  </si>
  <si>
    <t xml:space="preserve">County </t>
  </si>
  <si>
    <t>time-variant</t>
  </si>
  <si>
    <t>REGION TYPE</t>
  </si>
  <si>
    <t>Vaccine</t>
  </si>
  <si>
    <t>CATCHMENT</t>
  </si>
  <si>
    <t>State Code</t>
  </si>
  <si>
    <t xml:space="preserve">C </t>
  </si>
  <si>
    <t>State*</t>
  </si>
  <si>
    <t>C</t>
  </si>
  <si>
    <t>REGION</t>
  </si>
  <si>
    <t>Geography Type</t>
  </si>
  <si>
    <t>NETWORK</t>
  </si>
  <si>
    <t>Year</t>
  </si>
  <si>
    <t>D</t>
  </si>
  <si>
    <t>quantitative</t>
  </si>
  <si>
    <t>continuous</t>
  </si>
  <si>
    <t>YEAR</t>
  </si>
  <si>
    <t>Geography</t>
  </si>
  <si>
    <t>Month</t>
  </si>
  <si>
    <t>E</t>
  </si>
  <si>
    <t>Total population</t>
  </si>
  <si>
    <t>discrete</t>
  </si>
  <si>
    <t>WEEK</t>
  </si>
  <si>
    <t>Season</t>
  </si>
  <si>
    <t>FIPS</t>
  </si>
  <si>
    <t>MMWR-YEAR</t>
  </si>
  <si>
    <t>Month Code</t>
  </si>
  <si>
    <t>F</t>
  </si>
  <si>
    <t>Male Total population</t>
  </si>
  <si>
    <t>% WEIGHTED ILI</t>
  </si>
  <si>
    <t>Personnel Type</t>
  </si>
  <si>
    <t>MMWR-WEEK</t>
  </si>
  <si>
    <t>Ten-Year Age Groups</t>
  </si>
  <si>
    <t>G</t>
  </si>
  <si>
    <t>Female Total population</t>
  </si>
  <si>
    <t>%UNWEIGHTED ILI</t>
  </si>
  <si>
    <t>Estimate (%)</t>
  </si>
  <si>
    <t>AGE CATEGORY</t>
  </si>
  <si>
    <t>Ten-Year Age Groups Code</t>
  </si>
  <si>
    <t>H</t>
  </si>
  <si>
    <t>Under 5 years</t>
  </si>
  <si>
    <t>AGE 0-4</t>
  </si>
  <si>
    <t>95% CI (%)</t>
  </si>
  <si>
    <t>Dimension Type</t>
  </si>
  <si>
    <t>SEX CATEGORY</t>
  </si>
  <si>
    <t>Deaths</t>
  </si>
  <si>
    <t>I</t>
  </si>
  <si>
    <t>5 to 9 years</t>
  </si>
  <si>
    <t>AGE 25-49</t>
  </si>
  <si>
    <t>Sample Size</t>
  </si>
  <si>
    <t>Dimension</t>
  </si>
  <si>
    <t>RACE CATEGORY</t>
  </si>
  <si>
    <t>* Not in original data set added during the cleaning process to make checking rows easier</t>
  </si>
  <si>
    <t>10 to 14 years</t>
  </si>
  <si>
    <t>J</t>
  </si>
  <si>
    <t>AGE 25-64</t>
  </si>
  <si>
    <t>* Not in original data set added during the cleaning process to make checking rows and counties/states easier</t>
  </si>
  <si>
    <t>Estimate(%)</t>
  </si>
  <si>
    <t>CUMULATIVE RATE</t>
  </si>
  <si>
    <t>8 variables (not including row), 66096 Records</t>
  </si>
  <si>
    <t>15 to 19 years</t>
  </si>
  <si>
    <t>K</t>
  </si>
  <si>
    <t>AGE 5-24</t>
  </si>
  <si>
    <t>8 variables (not including row), 1456 Records</t>
  </si>
  <si>
    <t>WEEKLY RATE</t>
  </si>
  <si>
    <t>Data Formatting:</t>
  </si>
  <si>
    <t>20 to 24 years</t>
  </si>
  <si>
    <t>L</t>
  </si>
  <si>
    <t>AGE 50-64</t>
  </si>
  <si>
    <t>Column A, B, C, G and H formatted to text</t>
  </si>
  <si>
    <t>25 to 29 years</t>
  </si>
  <si>
    <t>M</t>
  </si>
  <si>
    <t>AGE 65</t>
  </si>
  <si>
    <t>Column A, B, .. to F formatted to text.</t>
  </si>
  <si>
    <t>10 variables (not including row), 88274 Records</t>
  </si>
  <si>
    <t>Column E formatted as date format Jan, 09</t>
  </si>
  <si>
    <t>30 to 34 years</t>
  </si>
  <si>
    <t xml:space="preserve">N </t>
  </si>
  <si>
    <t>ILITOTAL</t>
  </si>
  <si>
    <t>Column I formatted as number.</t>
  </si>
  <si>
    <t>11 variables (not including row), 165966 Records</t>
  </si>
  <si>
    <t>Column D and I formatted as number</t>
  </si>
  <si>
    <t>35 to 39 years</t>
  </si>
  <si>
    <t>O</t>
  </si>
  <si>
    <t>NUM. OF PROVIDERS</t>
  </si>
  <si>
    <t>Column G formatted as percentage</t>
  </si>
  <si>
    <t>Column A, B, C, D, G, H and I formatted to text.</t>
  </si>
  <si>
    <t>Data Integrity Issues:</t>
  </si>
  <si>
    <t>40 to 44 years</t>
  </si>
  <si>
    <t>P</t>
  </si>
  <si>
    <t>TOTAL PATIENTS</t>
  </si>
  <si>
    <t>Column A, B … E, H, I and K formatted to text.</t>
  </si>
  <si>
    <t>Column E, F, J and K formatted as number.</t>
  </si>
  <si>
    <t>No duplicate values found</t>
  </si>
  <si>
    <t>45 to 49 years</t>
  </si>
  <si>
    <t>Q</t>
  </si>
  <si>
    <t>Column G and L formatted as number.</t>
  </si>
  <si>
    <t>No blanks found</t>
  </si>
  <si>
    <t>50 to 54 years</t>
  </si>
  <si>
    <t>R</t>
  </si>
  <si>
    <t>15 variables (not including row), 24950 Records</t>
  </si>
  <si>
    <t xml:space="preserve">Column H all blank (no entries) - remove column </t>
  </si>
  <si>
    <t>Column J formatted as percentage</t>
  </si>
  <si>
    <t>Column B abbreviations used instead of State names e.g. Al instead of Alabama</t>
  </si>
  <si>
    <t>55 to 59 years</t>
  </si>
  <si>
    <t>S</t>
  </si>
  <si>
    <t>There are 52 States and should only be 51</t>
  </si>
  <si>
    <t>No blanks found.</t>
  </si>
  <si>
    <t>Column B abbreviation #N/A used instead of District of Columbia</t>
  </si>
  <si>
    <t>60 to 64 years</t>
  </si>
  <si>
    <t>T</t>
  </si>
  <si>
    <t>Column A, B and C formatted to text.</t>
  </si>
  <si>
    <t xml:space="preserve"> - Remove United States which is not one of the 51 States</t>
  </si>
  <si>
    <t>CATCHMENT need to combine New York - Albany and New York - Rochester under state name New York before integrating.</t>
  </si>
  <si>
    <t>Column G some ages Not Stated</t>
  </si>
  <si>
    <t>65 to 69 years</t>
  </si>
  <si>
    <t>U</t>
  </si>
  <si>
    <t>Column D, E, H, I … to P formatted as number.</t>
  </si>
  <si>
    <t>There are 28 entries for each State for Season</t>
  </si>
  <si>
    <r>
      <t>Data entries for CATCHMENT are not conisistent ranging from 805 to 6348. Idaho, Iowa, Oklahoma,</t>
    </r>
    <r>
      <rPr>
        <b/>
        <sz val="14"/>
        <color theme="1"/>
        <rFont val="Calibri"/>
        <family val="2"/>
        <scheme val="minor"/>
      </rPr>
      <t xml:space="preserve"> </t>
    </r>
    <r>
      <rPr>
        <sz val="14"/>
        <color theme="1"/>
        <rFont val="Calibri"/>
        <family val="2"/>
        <scheme val="minor"/>
      </rPr>
      <t xml:space="preserve">Ohio, Rhode Island, South Dakota and Utah all have missing years. </t>
    </r>
  </si>
  <si>
    <t>Column I deaths of &lt; 10 are Suppressed</t>
  </si>
  <si>
    <t>70 to 74 years</t>
  </si>
  <si>
    <t>V</t>
  </si>
  <si>
    <t>Columns F, G and N formatted as percentage</t>
  </si>
  <si>
    <t>Data Changed/Fixed Records:</t>
  </si>
  <si>
    <t>There are 1933 values for Geography and should only be 51</t>
  </si>
  <si>
    <t>75 to 79 years</t>
  </si>
  <si>
    <t>W</t>
  </si>
  <si>
    <t>Removed United States - 28 records deleted</t>
  </si>
  <si>
    <t xml:space="preserve"> - Remove Counties (9379 entries) which does not contain any of the States</t>
  </si>
  <si>
    <t>Idaho has data for 2009 to 2011</t>
  </si>
  <si>
    <t>Column B Changed state abbreviation AL to full name Alabama. 144 Replaced</t>
  </si>
  <si>
    <t>80 to 84 years</t>
  </si>
  <si>
    <t>X</t>
  </si>
  <si>
    <t>Removed Column H - 95% CI (%)</t>
  </si>
  <si>
    <t xml:space="preserve"> - Remove HHS Regions/National (26903 entries) which does not contain any of the States</t>
  </si>
  <si>
    <t>Iowa has data for 2009 to 2013</t>
  </si>
  <si>
    <t>Column B Changed state abbreviation AK to full name Alaska. 144 Replaced</t>
  </si>
  <si>
    <t>85 years and over</t>
  </si>
  <si>
    <t>Y</t>
  </si>
  <si>
    <t>Data Accuracy</t>
  </si>
  <si>
    <t xml:space="preserve"> - Remove Puerto Rico which is not one of the 51 States from States / Local Areas</t>
  </si>
  <si>
    <t>Oklahoma has data for 2009 to 2011</t>
  </si>
  <si>
    <t>Column B Changed state abbreviation AR to full name Arkansas. 144 Replaced</t>
  </si>
  <si>
    <t>There are 55 States and should only be 51</t>
  </si>
  <si>
    <t>Min</t>
  </si>
  <si>
    <t>Max</t>
  </si>
  <si>
    <t>Mean</t>
  </si>
  <si>
    <t>Median</t>
  </si>
  <si>
    <t>Mode</t>
  </si>
  <si>
    <t xml:space="preserve"> - Remove US Virgin Islands which is not one of the 51 States from States / Local Areas</t>
  </si>
  <si>
    <t>Ohio has data for 2010 to 2018 (will not affact the analysis)</t>
  </si>
  <si>
    <t>Column B Changed state abbreviation AZ to full name Arizona. 144 Replaced</t>
  </si>
  <si>
    <t>24 variables (not including row), 28985 Records</t>
  </si>
  <si>
    <t xml:space="preserve"> - Remove Commonwealth of the Northern Mariana Islands which is not one of the 51 States</t>
  </si>
  <si>
    <t>G - Estimate (%)</t>
  </si>
  <si>
    <t xml:space="preserve"> - Remove Guam which is not one of the 51 States  from States / Local Areas</t>
  </si>
  <si>
    <t>Rhode Island has data for 2010 to 2013</t>
  </si>
  <si>
    <t>Column B Changed state abbreviation CA to full name California. 144 Replaced</t>
  </si>
  <si>
    <t xml:space="preserve"> - Remove New York City which is not one of the 51 States</t>
  </si>
  <si>
    <t>H - Sample Size</t>
  </si>
  <si>
    <t xml:space="preserve"> - Remove IL - City of Chicago which is not one of the 51 States  from States / Local Areas</t>
  </si>
  <si>
    <t>South Dakota has data for 2009 to 2010</t>
  </si>
  <si>
    <t>Column B Changed state abbreviation CO to full name Colarado. 144 Replaced</t>
  </si>
  <si>
    <t xml:space="preserve"> - Remove Puerto Rico which is not one of the 51 States</t>
  </si>
  <si>
    <t>All Columns inspected for accuracy using a pivot table count.</t>
  </si>
  <si>
    <t xml:space="preserve"> - Remove IL - Rest of State which is not one of the 51 States  from States / Local Areas</t>
  </si>
  <si>
    <t>Utah has data for 2010 to 2018 (will not affect the analysis)</t>
  </si>
  <si>
    <t>Column D, E, F, … to X  formatted as number.</t>
  </si>
  <si>
    <t xml:space="preserve"> - Remove Virgin Islands which is not one of the 51 States </t>
  </si>
  <si>
    <t>Data Summary</t>
  </si>
  <si>
    <t xml:space="preserve"> - Remove NY - City of New York which is not one of the 51 States  from States / Local Areas</t>
  </si>
  <si>
    <t>Data entries for YEAR are not conisistent ranging from 8970 to 12075.</t>
  </si>
  <si>
    <t>There are 465 entries for each State for YEAR, except for Commonwealth of the Northern Mariana Islands, Puerto Rico and Virgin Islands, which will be removed.</t>
  </si>
  <si>
    <t>7 Variables (not including Row), 1428 Records</t>
  </si>
  <si>
    <t xml:space="preserve"> - Remove NY - Rest of State which is not one of the 51 States  from States / Local Areas</t>
  </si>
  <si>
    <t>Data entries for MMWR-WEEK are not conisistent ranging from 299 to 2875.</t>
  </si>
  <si>
    <t>Qualitative:</t>
  </si>
  <si>
    <t xml:space="preserve"> - Remove PA - Philadelphia which is not one of the 51 States  from States / Local Areas</t>
  </si>
  <si>
    <t>Data entries for MMWR-YEAR are not conisistent ranging from 5083 (in 2018) to 10649 (in 2010).</t>
  </si>
  <si>
    <t>Column B Changed state abbreviation CT to full nameConnecticut. 144 Replaced</t>
  </si>
  <si>
    <t>There are 465 entries for each State for WEEK, except for Commonwealth of the Northern Mariana Islands, Puerto Rico and Virgin Islands, which will be removed.</t>
  </si>
  <si>
    <t>Column (B) - Vaccine</t>
  </si>
  <si>
    <t>Values Count:</t>
  </si>
  <si>
    <t>Mode:</t>
  </si>
  <si>
    <t>All values have the same count</t>
  </si>
  <si>
    <t xml:space="preserve"> - Remove PA - Rest of State which is not one of the 51 States  from States / Local Areas</t>
  </si>
  <si>
    <t>Column B Changed state abbreviation DE to full name Delaware. 144 Replaced</t>
  </si>
  <si>
    <t>Too many States should only be 51</t>
  </si>
  <si>
    <t>Column (C) - Geography Type</t>
  </si>
  <si>
    <t xml:space="preserve">Values Count: </t>
  </si>
  <si>
    <t xml:space="preserve"> - Remove TX - Bexar County which is not one of the 51 States  from States / Local Areas</t>
  </si>
  <si>
    <t>Column B Changed state abbreviation FL to full nameFlorida. 144 Replaced</t>
  </si>
  <si>
    <t>Data entries for YEAR are not conisistent ranging from 676 in 2010 to 2862 in 2014.</t>
  </si>
  <si>
    <t>Column (D) - Geography</t>
  </si>
  <si>
    <t xml:space="preserve"> - Remove TX - City of Houston which is not one of the 51 States  from States / Local Areas</t>
  </si>
  <si>
    <t>Column B Changed state abbreviation GA to full name Georgia. 144 Replaced</t>
  </si>
  <si>
    <t xml:space="preserve">Missing county data and duplicate counties. - 3225 county entries and should only be 3143 counties and equivalent entities (source  - https://www2.census.gov/geo/maps/general_ref/us_base/stco2010/USstcou2010_wallmap.pdf). </t>
  </si>
  <si>
    <t>WEEK ranges from 1 to 53 and not 52 as expected.  There are 54 entries in WEEK 53 in 2014. [According to United States calendar rules which go from Sunday to Saturday there can be 53 weeks, but this would also apply to other years, not just 2014]</t>
  </si>
  <si>
    <t>Column (E) - Season</t>
  </si>
  <si>
    <t xml:space="preserve"> - Remove TX - Rest of State which is not one of the 51 States  from States / Local Areas</t>
  </si>
  <si>
    <t>Column B Changed state abbreviation HI to full name Hawaii. 144 Replaced</t>
  </si>
  <si>
    <t>Column (F) - Personnel Type</t>
  </si>
  <si>
    <t>Data entries for Season are not conisistent ranging from 9905 in 2010-11 to 19259 in 2018-19.</t>
  </si>
  <si>
    <t>E - MMWR-YEAR</t>
  </si>
  <si>
    <t>Column B Changed state abbreviation IA to full name Iowa. 144 Replaced</t>
  </si>
  <si>
    <t xml:space="preserve"> - Alaska has 31 counties which should be 29 (combine Petersburg Borough, Alaska with Petersburg Census Area, Alaska and  Wade Hampton Census Area, Alaska with Kusilvak Census Area, Alaska)
Petersburg Census Area, Alaska)</t>
  </si>
  <si>
    <t>Entries for % WEIGHTED ILI either X (24885) or 0 (65) - remove column during the cleaning process</t>
  </si>
  <si>
    <t>Quantitative:</t>
  </si>
  <si>
    <t>Data entries for Month are not conisistent ranging from 9786 in Month 7 to 14718 in Month 11</t>
  </si>
  <si>
    <t>F - MMWR-WEEK</t>
  </si>
  <si>
    <t>Column B Changed state abbreviation ID to full name Idaho. 144 Replaced</t>
  </si>
  <si>
    <t xml:space="preserve">Entries for %UNWEIGHTED ILI vary from 0 to 999491 [Column G contains dates, entries stored as numbers and some very large numbers for percentages]  - remove column during the cleaning process </t>
  </si>
  <si>
    <t>Column (G) - Estimate (%)</t>
  </si>
  <si>
    <t>No Month 6?  [Vaccinations for flu are probably seasonal and not given all year round]</t>
  </si>
  <si>
    <t>J - CUMULATIVE RATE</t>
  </si>
  <si>
    <t>Column B Changed state abbreviation IL to full name Illinois. 144 Replaced</t>
  </si>
  <si>
    <t xml:space="preserve"> - Louisiana has 65 counties which should be 64 (change LaSalle Parish, Louisiana to La Salle Parish, Louisiana)</t>
  </si>
  <si>
    <t>Column (H) -Sample Size</t>
  </si>
  <si>
    <t xml:space="preserve">Mode: </t>
  </si>
  <si>
    <t>K - WEEKLY RATE</t>
  </si>
  <si>
    <t>Column B Changed state abbreviation IN to full name Indiana. 144 Replaced</t>
  </si>
  <si>
    <t xml:space="preserve"> - South Dakota has 67 counties which should be 66 (combine Shannon County, South Dakota with Oglala Lakota County, South Dakota)</t>
  </si>
  <si>
    <t>Entries for AGE groups all  X (24950). Change X to N/A - remove columns during the cleaning process</t>
  </si>
  <si>
    <t>Data Cleaning Steps To Do</t>
  </si>
  <si>
    <t>Due to the size of the original data table, the data was filtered by States/Local Area and these entries copied into a new sheet 'All Vaccinated Profiling Checks' and then the row numbers (129684 total) were added before the following changes were made:</t>
  </si>
  <si>
    <t>Column B Changed state abbreviation KS to full name Kansas. 144 Replaced</t>
  </si>
  <si>
    <t>514 records where % WEIGHTED ILI, %UNWEIGHTED ILI, AGE 0-4, AGE 25-49, AGE 25-64, AGE 5-24, AGE 50-64, AGE 65, ILITOTAL, NUM. OF PROVIDERS and TOTAL PATIENTS for Florida state are all X - remove or substitute values during the cleaning process</t>
  </si>
  <si>
    <t>Remove Geography Type</t>
  </si>
  <si>
    <t>Column B Changed state abbreviation KY to full name Kentucky. 144 Replaced</t>
  </si>
  <si>
    <t xml:space="preserve">Missing county population data for some years and duplicate data for others. </t>
  </si>
  <si>
    <t>Questions</t>
  </si>
  <si>
    <t>10 Variables (not including Row), 88274 Records</t>
  </si>
  <si>
    <t>Column B Changed state abbreviation LA to full name Louisiana. 144 Replaced</t>
  </si>
  <si>
    <t xml:space="preserve"> - Only 3 States appear to have the correct count and no of counties for each year - Connecticut, Delaware and District of Columbia</t>
  </si>
  <si>
    <t>No.</t>
  </si>
  <si>
    <t xml:space="preserve"> - Removed Puerto Rico - 484 records deleted</t>
  </si>
  <si>
    <t>Column B Changed state abbreviation MA to full name Massachusetts. 144 Replaced</t>
  </si>
  <si>
    <t>Data Completeness:</t>
  </si>
  <si>
    <t xml:space="preserve"> - Removed US Virgin Islands  - 44 records deleted</t>
  </si>
  <si>
    <t>Column (B) - CATCHMENT</t>
  </si>
  <si>
    <t>-</t>
  </si>
  <si>
    <t>Column B Changed state abbreviation MD to full name Maryland. 144 Replaced</t>
  </si>
  <si>
    <t>Removed Commonwealth of the Northern Mariana Islands - 48 records deleted</t>
  </si>
  <si>
    <t>The data is complete no missing entries, duplicates, etc found.</t>
  </si>
  <si>
    <t xml:space="preserve"> - Removed Guam  - 592 records deleted</t>
  </si>
  <si>
    <t>Column (C) - NETWORK</t>
  </si>
  <si>
    <t>Column B Changed state abbreviation ME to full name Maine. 144 Replaced</t>
  </si>
  <si>
    <t>Deleted all 687 entries for Puerto Rico</t>
  </si>
  <si>
    <t>Removed New York City - 465 records deleted</t>
  </si>
  <si>
    <r>
      <rPr>
        <b/>
        <sz val="14"/>
        <color theme="1"/>
        <rFont val="Calibri"/>
        <family val="2"/>
        <scheme val="minor"/>
      </rPr>
      <t>Column (C) - Geography Type</t>
    </r>
    <r>
      <rPr>
        <sz val="14"/>
        <color theme="1"/>
        <rFont val="Calibri"/>
        <family val="2"/>
        <scheme val="minor"/>
      </rPr>
      <t xml:space="preserve"> removed now that only the states remain.</t>
    </r>
  </si>
  <si>
    <t xml:space="preserve"> - Removed IL - City of Chicago - 572 records deleted</t>
  </si>
  <si>
    <t>Column (D) - YEAR</t>
  </si>
  <si>
    <t>Column B Changed state abbreviation MI to full name Michigan. 144 Replaced</t>
  </si>
  <si>
    <t>Changed LaSalle Parish, Louisiana to La Salle Parish, Louisiana. 3 Replaced.</t>
  </si>
  <si>
    <t>Removed Puerto Rico - 309 records deleted</t>
  </si>
  <si>
    <t>Data Uniqueness:</t>
  </si>
  <si>
    <t xml:space="preserve"> - Removed IL -Rest of State -176 records deleted</t>
  </si>
  <si>
    <t>Column (G) - AGE CATEGORY</t>
  </si>
  <si>
    <t>Column B Changed state abbreviation MN to full name Minnesota. 144 Replaced</t>
  </si>
  <si>
    <t>Changed Wade Hampton Census Area, Alaska to Kusilvak (Wade Hampton to 2015) Census Area, Alaska. 6 Replaced.</t>
  </si>
  <si>
    <t>Removed  Virgin Islands - 413 records deleted
Petersburg Census Area, Alaska)</t>
  </si>
  <si>
    <t>Data Grain:</t>
  </si>
  <si>
    <t>Geography  - Season - Personnel Type</t>
  </si>
  <si>
    <t>PivotTable20</t>
  </si>
  <si>
    <t xml:space="preserve"> - Remove NY - City of New York - 572 records deleted</t>
  </si>
  <si>
    <t>Column (H) - SEX CATEGORY</t>
  </si>
  <si>
    <t>Column B Changed state abbreviation MO to full name Missouri. 144 Replaced</t>
  </si>
  <si>
    <t>Changed Kusilvak Census Area, Alaska to Kusilvak (Wade Hampton to 2015) Census Area, Alaska. 4 Replaced.</t>
  </si>
  <si>
    <t>Dates in rows 1293, 1305, 9030, 15325, 16755, 17379, 19483, 19722 and 23440 of column G %UNWEIGHTED ILI changed to N/A (9)
1305
9030
15325
16755
|17379|19483|19722</t>
  </si>
  <si>
    <t>Results in a count of one record for each unique row combination and there are no duplicates.</t>
  </si>
  <si>
    <t xml:space="preserve"> - Remove NY - Rest of State - 176 records deleted</t>
  </si>
  <si>
    <t>Column (I) - RACE CATEGORY</t>
  </si>
  <si>
    <t>Column B Changed state abbreviation MS to full name Mississippi. 144 Replaced</t>
  </si>
  <si>
    <t>Changed Shannon County, South Dakota to Oglala Lakota (Shannon to 2015) County, South Dakota. 9 Replaced.</t>
  </si>
  <si>
    <t>Numbers stored as text converted to number and then changed to percentage.</t>
  </si>
  <si>
    <t>Data Timeliness</t>
  </si>
  <si>
    <t xml:space="preserve"> - Remove PA - Philadelphia - 572 records deleted</t>
  </si>
  <si>
    <t>Column B Changed state abbreviation MT to full name Montana. 144 Replaced</t>
  </si>
  <si>
    <t>Changed Oglala Lakota County, South Dakota to Oglala Lakota (Shannon to 2015) County, South Dakota. 3 Replaced.</t>
  </si>
  <si>
    <t>Changed X (23679) entries for % WEIGHTED ILI to N/A</t>
  </si>
  <si>
    <t>The analysis is being conducted on historical data to help plan for an upcoming influenza season and therefore does not need to be updated.</t>
  </si>
  <si>
    <t xml:space="preserve"> - Remove PA - Rest of State - 176 records deleted</t>
  </si>
  <si>
    <t>Column (E) - MMWR-YEAR</t>
  </si>
  <si>
    <t>Column B Changed state abbreviation NC to full name North Carolina. 144 Replaced</t>
  </si>
  <si>
    <t>Changed Petersburg Borough, Alaska to  Petersburg (Census Area) Borough, Alaska. 6 Replaced.</t>
  </si>
  <si>
    <t>Changed X (468) entries for %UNWEIGHTED ILI to N/A</t>
  </si>
  <si>
    <t xml:space="preserve"> - Remove TX - Bexar County - 572 records deleted</t>
  </si>
  <si>
    <t>Column (F) - MMWR-WEEK</t>
  </si>
  <si>
    <t>Column B Changed state abbreviation ND to full name Noerth Dakota. 144 Replaced</t>
  </si>
  <si>
    <t>Changed Petersburg Census Area, Alaska to  Petersburg (Census Area) Borough, Alaska. 9 Replaced.</t>
  </si>
  <si>
    <t>Changed X (23715) entries for each AGE group (AGE 0-4, AGE 25-49, AGE 25-64, AGE 5-24, AGE 50-64 and AGE 65) to N/A</t>
  </si>
  <si>
    <t>The current year for the brief is 2018 and ideally the data set should cover at least the preceding 5 years 2017 to 2013/12</t>
  </si>
  <si>
    <t xml:space="preserve"> - Remove TX - City of Houston - 572 records deleted</t>
  </si>
  <si>
    <t>Column (J) - CUMULATIVE RATE</t>
  </si>
  <si>
    <t>Column B Changed state abbreviation NE to full name Nebraska. 144 Replaced</t>
  </si>
  <si>
    <t>Now 51 States and 3143 county entries.</t>
  </si>
  <si>
    <t>Changed X (465) entries for ILITOTAL to N/A</t>
  </si>
  <si>
    <t xml:space="preserve"> - Remove TX - Rest of State - 176 records deleted</t>
  </si>
  <si>
    <t>Column (K) - WEEKLY RATE</t>
  </si>
  <si>
    <t>Column B Changed state abbreviation NH to full name New Hampshire. 144 Replaced</t>
  </si>
  <si>
    <t>Data Accuracy:</t>
  </si>
  <si>
    <t>Changed X (465) entries for NUM. OF PROVIDERS to N/A</t>
  </si>
  <si>
    <t>This CDC HCP Vaccinated data set covers 2013/14 to 2020/21.</t>
  </si>
  <si>
    <t xml:space="preserve"> - Remove Race/Ethnicity from Dimension in Column H - 32573 records deleted</t>
  </si>
  <si>
    <t>Column B Changed state abbreviation NJ to full name New Jersey. 144 Replaced</t>
  </si>
  <si>
    <t>Changed X (465) entries for TOTAL PATIENTS to N/A</t>
  </si>
  <si>
    <t>Therefore the data set has a suitable level of timeliness for the influenza season analysis.</t>
  </si>
  <si>
    <t>Remove NETWORK, YEAR, SEX CATEGORY and RACE CAGTEGORY in columns C, D, G which are not required.</t>
  </si>
  <si>
    <t>Column B Changed state abbreviation NM to full name New Mexico. 144 Replaced</t>
  </si>
  <si>
    <t>D - Year</t>
  </si>
  <si>
    <t>Column B Changed state abbreviation NV to full name Nevada. 144 Replaced</t>
  </si>
  <si>
    <t>E -  Total Population</t>
  </si>
  <si>
    <t>No duplicate records were found.</t>
  </si>
  <si>
    <t>Column B Changed state abbreviation NY to full name New York. 144 Replaced</t>
  </si>
  <si>
    <t>F - Male Total population</t>
  </si>
  <si>
    <t>D - YEAR</t>
  </si>
  <si>
    <t>All NR entries (7978) replaced with N/A in Column J Estimate (%)</t>
  </si>
  <si>
    <r>
      <rPr>
        <b/>
        <sz val="14"/>
        <color theme="1"/>
        <rFont val="Calibri"/>
        <family val="2"/>
        <scheme val="minor"/>
      </rPr>
      <t>Column (G) - AGE CATEGORY</t>
    </r>
    <r>
      <rPr>
        <sz val="14"/>
        <color theme="1"/>
        <rFont val="Calibri"/>
        <family val="2"/>
        <scheme val="minor"/>
      </rPr>
      <t xml:space="preserve"> removed the duplicate data </t>
    </r>
    <r>
      <rPr>
        <b/>
        <sz val="14"/>
        <color theme="1"/>
        <rFont val="Calibri"/>
        <family val="2"/>
        <scheme val="minor"/>
      </rPr>
      <t>overall</t>
    </r>
    <r>
      <rPr>
        <sz val="14"/>
        <color theme="1"/>
        <rFont val="Calibri"/>
        <family val="2"/>
        <scheme val="minor"/>
      </rPr>
      <t xml:space="preserve"> (30704 records), and the age groups (3838 records each) that are not required </t>
    </r>
    <r>
      <rPr>
        <b/>
        <sz val="14"/>
        <color theme="1"/>
        <rFont val="Calibri"/>
        <family val="2"/>
        <scheme val="minor"/>
      </rPr>
      <t>&lt;18</t>
    </r>
    <r>
      <rPr>
        <sz val="14"/>
        <color theme="1"/>
        <rFont val="Calibri"/>
        <family val="2"/>
        <scheme val="minor"/>
      </rPr>
      <t xml:space="preserve"> , </t>
    </r>
    <r>
      <rPr>
        <b/>
        <sz val="14"/>
        <color theme="1"/>
        <rFont val="Calibri"/>
        <family val="2"/>
        <scheme val="minor"/>
      </rPr>
      <t>&gt;=18</t>
    </r>
    <r>
      <rPr>
        <sz val="14"/>
        <color theme="1"/>
        <rFont val="Calibri"/>
        <family val="2"/>
        <scheme val="minor"/>
      </rPr>
      <t xml:space="preserve"> , </t>
    </r>
    <r>
      <rPr>
        <b/>
        <sz val="14"/>
        <color theme="1"/>
        <rFont val="Calibri"/>
        <family val="2"/>
        <scheme val="minor"/>
      </rPr>
      <t xml:space="preserve">18-49 yr </t>
    </r>
    <r>
      <rPr>
        <sz val="14"/>
        <color theme="1"/>
        <rFont val="Calibri"/>
        <family val="2"/>
        <scheme val="minor"/>
      </rPr>
      <t xml:space="preserve"> and </t>
    </r>
    <r>
      <rPr>
        <b/>
        <sz val="14"/>
        <color theme="1"/>
        <rFont val="Calibri"/>
        <family val="2"/>
        <scheme val="minor"/>
      </rPr>
      <t>5-11 yr</t>
    </r>
    <r>
      <rPr>
        <sz val="14"/>
        <color theme="1"/>
        <rFont val="Calibri"/>
        <family val="2"/>
        <scheme val="minor"/>
      </rPr>
      <t xml:space="preserve"> and </t>
    </r>
    <r>
      <rPr>
        <b/>
        <sz val="14"/>
        <color theme="1"/>
        <rFont val="Calibri"/>
        <family val="2"/>
        <scheme val="minor"/>
      </rPr>
      <t>12-17 yr</t>
    </r>
    <r>
      <rPr>
        <sz val="14"/>
        <color theme="1"/>
        <rFont val="Calibri"/>
        <family val="2"/>
        <scheme val="minor"/>
      </rPr>
      <t>.</t>
    </r>
  </si>
  <si>
    <t>Column B Changed state abbreviation OH to full name Ohio. 144 Replaced</t>
  </si>
  <si>
    <t>G - Female Total population</t>
  </si>
  <si>
    <t>E -  WEEK</t>
  </si>
  <si>
    <t>All NR entries (7888) replaced with N/A in Column K 95% CI (%)</t>
  </si>
  <si>
    <t>Column B Changed state abbreviation OK to full name Oklahoma. 144 Replaced</t>
  </si>
  <si>
    <t>H - Under 5 years</t>
  </si>
  <si>
    <t>G - %UNWEIGHTED ILI</t>
  </si>
  <si>
    <t>Column B Changed state abbreviation OR to full name Oregon. 144 Replaced</t>
  </si>
  <si>
    <t>I - 5 to 9 years</t>
  </si>
  <si>
    <t>N - ILITOTAL</t>
  </si>
  <si>
    <t>CATCHMENT  - 'MMWR-YEAR' -  MMWR-WEEK'  - AGE CATEGORY</t>
  </si>
  <si>
    <t>PivotTable12</t>
  </si>
  <si>
    <t>Column B Changed state abbreviation PA to full name Pennsylvania. 144 Replaced</t>
  </si>
  <si>
    <t>J - 10 to 14 years</t>
  </si>
  <si>
    <t>O - NUM. OF PROVIDERS</t>
  </si>
  <si>
    <t>6 Variables (not including Row), 1428 Records</t>
  </si>
  <si>
    <t>G - Month</t>
  </si>
  <si>
    <t>Column B Changed state abbreviation RI to full name Rhode Island. 144 Replaced</t>
  </si>
  <si>
    <t>K - 15 to 19 years</t>
  </si>
  <si>
    <t>P - TOTAL PATIENTS</t>
  </si>
  <si>
    <t>J -  Estimate (%)</t>
  </si>
  <si>
    <t>Column B Changed state abbreviation SC to full name South Carolina. 144 Replaced</t>
  </si>
  <si>
    <t>L - 20 to 24 years</t>
  </si>
  <si>
    <t>L - Sample Size</t>
  </si>
  <si>
    <t>Column B Changed state abbreviation SD to full name South Dakota. 144 Replaced</t>
  </si>
  <si>
    <t>M - 25 to 29 years</t>
  </si>
  <si>
    <t>Week now 51 entries per year.</t>
  </si>
  <si>
    <t>Column (C) - Geography</t>
  </si>
  <si>
    <t>Column B Changed state abbreviation TN to full name Tennessee. 144 Replaced</t>
  </si>
  <si>
    <t>N - 30 to 34 years</t>
  </si>
  <si>
    <t>Column (D) - Season</t>
  </si>
  <si>
    <t>Column B Changed state abbreviation TX to full name Texas. 144 Replaced</t>
  </si>
  <si>
    <t>O - 35 to 39 years</t>
  </si>
  <si>
    <t>15 Variables (not including Row), 23715 Records</t>
  </si>
  <si>
    <t>Column (E) - Personnel Type</t>
  </si>
  <si>
    <t>11 Variables (not including Row), 92427 Records</t>
  </si>
  <si>
    <t>This CDC Hospitalisation Rates data set covers 2009 to 2018.</t>
  </si>
  <si>
    <t>Column B Changed state abbreviation UT to full name Utah. 144 Replaced</t>
  </si>
  <si>
    <t>P - 40 to 44 years</t>
  </si>
  <si>
    <t>Column B Changed state abbreviation #N/A to full name District of Columbia (based on State Code). 144 Replaced</t>
  </si>
  <si>
    <t>Q - 45 to 49 years</t>
  </si>
  <si>
    <t>Column (B) - REGION TYPE</t>
  </si>
  <si>
    <t>Column (F) - Estimate (%)</t>
  </si>
  <si>
    <t xml:space="preserve">Column D 20133 replaced with 2013. 17 Replaced					</t>
  </si>
  <si>
    <t>R - 50 to 54 years</t>
  </si>
  <si>
    <t>Column (C) - REGION</t>
  </si>
  <si>
    <t>Column (G) -Sample Size</t>
  </si>
  <si>
    <t>Column G replaced Not Stated with N/A. 5508 Replaced</t>
  </si>
  <si>
    <t>S - 55 to 59 years</t>
  </si>
  <si>
    <t>Column H replaced NS with N/A. 5508 Replaced</t>
  </si>
  <si>
    <t>T - 60 to 64 years</t>
  </si>
  <si>
    <t>Column (E) - FIPS</t>
  </si>
  <si>
    <t>Column I replaced Suppressed with N/A, where N/A represents values &lt; 10. 54013 Replaced.</t>
  </si>
  <si>
    <t>U - 65 to 69 years</t>
  </si>
  <si>
    <t>Column (E) - WEEK</t>
  </si>
  <si>
    <t>Column (F) - Season</t>
  </si>
  <si>
    <t>V - 70 to 74 years</t>
  </si>
  <si>
    <t>Column (F) - % WEIGHTED ILI</t>
  </si>
  <si>
    <t>Column (H) - Dimension Type</t>
  </si>
  <si>
    <t>W - 75 to 79 years</t>
  </si>
  <si>
    <t>Column (G) - %UNWEIGHTED ILI</t>
  </si>
  <si>
    <t>Column (I) - Dimension</t>
  </si>
  <si>
    <t>D- Year</t>
  </si>
  <si>
    <t>X - 80 to 84 years</t>
  </si>
  <si>
    <t>Column (H) - AGE 0-4</t>
  </si>
  <si>
    <t>Column (K) - 95% CI (%)</t>
  </si>
  <si>
    <t>E - Month</t>
  </si>
  <si>
    <t>Y - 85 years and over</t>
  </si>
  <si>
    <t>Column (I) - AGE 25-49</t>
  </si>
  <si>
    <t>6 Variables (not including Row), 38380 Records</t>
  </si>
  <si>
    <t>I - Deaths</t>
  </si>
  <si>
    <t>Columns B, C and D inspected for accuracy using pivot table counts. Columns E - Y checked for accuracy using pivot table counts and pivot table counts by Year.</t>
  </si>
  <si>
    <t>Column (J) - AGE 25-64</t>
  </si>
  <si>
    <t>Column (G) - Month</t>
  </si>
  <si>
    <t>All Columns inspected for accuracy using a pivot table count</t>
  </si>
  <si>
    <t>Column (K) - AGE 5-24</t>
  </si>
  <si>
    <t>Column (J) - Estimate (%)</t>
  </si>
  <si>
    <t>Data Summary:</t>
  </si>
  <si>
    <t>Column (L) - AGE 50-64</t>
  </si>
  <si>
    <t>Column (L) - Sample Size</t>
  </si>
  <si>
    <t>8 Variables (not including Row), 66096 Records</t>
  </si>
  <si>
    <t>24 Variables (not including Row and now including State), 28298 Records</t>
  </si>
  <si>
    <t>Column (M) - AGE 65</t>
  </si>
  <si>
    <t>Column (N) - ILITOTAL</t>
  </si>
  <si>
    <t>Remove Geography Type and 95% CI (%) in columns C and K</t>
  </si>
  <si>
    <t xml:space="preserve">Column (B) - State </t>
  </si>
  <si>
    <t xml:space="preserve">Values Count: 51 </t>
  </si>
  <si>
    <t>Mode: All values have the same count</t>
  </si>
  <si>
    <t>Column (B) - County</t>
  </si>
  <si>
    <t>Column (O) - NUM. OF PROVIDERS</t>
  </si>
  <si>
    <t>Column (C) - State Code</t>
  </si>
  <si>
    <t>Column (C) - State</t>
  </si>
  <si>
    <t>Column (P) - TOTAL PATIENTS</t>
  </si>
  <si>
    <r>
      <t xml:space="preserve">Remove all vaccine entries except Seasonal Influenza to standardise the data with HCP Vaccinated and then remove Vaccine column? </t>
    </r>
    <r>
      <rPr>
        <i/>
        <sz val="14"/>
        <color theme="1"/>
        <rFont val="Calibri"/>
        <family val="2"/>
        <scheme val="minor"/>
      </rPr>
      <t>[No. Can include/exclude in Tableau.]</t>
    </r>
  </si>
  <si>
    <t>Column (F) - Month Code</t>
  </si>
  <si>
    <t>Values Count: 108</t>
  </si>
  <si>
    <t>Column (G) - Ten-Year Age Groups</t>
  </si>
  <si>
    <t>Values Count: 12</t>
  </si>
  <si>
    <t>Column (D) - Year</t>
  </si>
  <si>
    <t>What is ILI? [Influenza-like illness (ILI)]</t>
  </si>
  <si>
    <r>
      <t>Remove all other dimensions except Age? Most of the N/A entries are for the different settings such as school, workplace, etc. and are not essential to the analysis.</t>
    </r>
    <r>
      <rPr>
        <i/>
        <sz val="14"/>
        <color theme="1"/>
        <rFont val="Calibri"/>
        <family val="2"/>
        <scheme val="minor"/>
      </rPr>
      <t xml:space="preserve"> [Yes see below.]</t>
    </r>
  </si>
  <si>
    <t>Column (H) - Ten-Year Age Groups Code</t>
  </si>
  <si>
    <t>Column (E) - Total Population</t>
  </si>
  <si>
    <t xml:space="preserve">Why are some of the values in the %UNWEIGHTED ILI Column so high - are the other values in the row affected? </t>
  </si>
  <si>
    <t>Column (F) - Male Total population</t>
  </si>
  <si>
    <t>Values Count: 9</t>
  </si>
  <si>
    <t>Mode: 2009</t>
  </si>
  <si>
    <t>Column (G) - Female Total population</t>
  </si>
  <si>
    <r>
      <rPr>
        <b/>
        <sz val="14"/>
        <color theme="1"/>
        <rFont val="Calibri"/>
        <family val="2"/>
        <scheme val="minor"/>
      </rPr>
      <t xml:space="preserve">Column (F) - % WEIGHTED ILI </t>
    </r>
    <r>
      <rPr>
        <sz val="14"/>
        <color theme="1"/>
        <rFont val="Calibri"/>
        <family val="2"/>
        <scheme val="minor"/>
      </rPr>
      <t xml:space="preserve">had 23679 entries (around 99.8% of the data) where the percentage was 'X' </t>
    </r>
  </si>
  <si>
    <t>PivotTable30</t>
  </si>
  <si>
    <t>No duplicates were found.</t>
  </si>
  <si>
    <t>Column (E) - Month</t>
  </si>
  <si>
    <t>Mode: Apr, 09</t>
  </si>
  <si>
    <t>Column (H) - Under 5 years</t>
  </si>
  <si>
    <t>Column (I) - Deaths</t>
  </si>
  <si>
    <t>Values Count: 271</t>
  </si>
  <si>
    <t>Mode: 10</t>
  </si>
  <si>
    <t>Column (I) - 5 to 9 years</t>
  </si>
  <si>
    <t>These entries are distributed throughout the States and the Years in a recurring pattern.</t>
  </si>
  <si>
    <t>PivotTable25</t>
  </si>
  <si>
    <r>
      <rPr>
        <b/>
        <sz val="14"/>
        <color theme="1"/>
        <rFont val="Calibri"/>
        <family val="2"/>
        <scheme val="minor"/>
      </rPr>
      <t xml:space="preserve">Column (K) - 95% CI </t>
    </r>
    <r>
      <rPr>
        <sz val="14"/>
        <color theme="1"/>
        <rFont val="Calibri"/>
        <family val="2"/>
        <scheme val="minor"/>
      </rPr>
      <t>removed.</t>
    </r>
  </si>
  <si>
    <t>Column (J) - 10 to 14 years</t>
  </si>
  <si>
    <t>With so much missing data this coulmn was removed as it was not essential to the analysis of the data set. [The other option was to do nothing and leave it.]</t>
  </si>
  <si>
    <r>
      <rPr>
        <b/>
        <sz val="14"/>
        <color theme="1"/>
        <rFont val="Calibri (Body)"/>
      </rPr>
      <t>Column (I) - Dimensions</t>
    </r>
    <r>
      <rPr>
        <sz val="14"/>
        <color theme="1"/>
        <rFont val="Calibri"/>
        <family val="2"/>
        <scheme val="minor"/>
      </rPr>
      <t xml:space="preserve"> removed the dimensions: Medical Setting, Non-Medical Setting, Pharmacy/Store and School from the column 16896 records were removed; which left only Age in</t>
    </r>
    <r>
      <rPr>
        <b/>
        <sz val="14"/>
        <color theme="1"/>
        <rFont val="Calibri"/>
        <family val="2"/>
        <scheme val="minor"/>
      </rPr>
      <t xml:space="preserve"> Column (H) - Dimension Type </t>
    </r>
    <r>
      <rPr>
        <sz val="14"/>
        <color theme="1"/>
        <rFont val="Calibri"/>
        <family val="2"/>
        <scheme val="minor"/>
      </rPr>
      <t>therefore this column was also removed.</t>
    </r>
  </si>
  <si>
    <r>
      <rPr>
        <b/>
        <sz val="14"/>
        <color theme="1"/>
        <rFont val="Calibri"/>
        <family val="2"/>
        <scheme val="minor"/>
      </rPr>
      <t>Column (G) Ten Year Age Groups and Column (H) Ten Year Age Groups Code</t>
    </r>
    <r>
      <rPr>
        <sz val="14"/>
        <color theme="1"/>
        <rFont val="Calibri"/>
        <family val="2"/>
        <scheme val="minor"/>
      </rPr>
      <t xml:space="preserve"> both had 5508 entries (around 8% of the data) where the age group was 'Not Stated'</t>
    </r>
  </si>
  <si>
    <t>PivotTable18</t>
  </si>
  <si>
    <t>Column (K) - 15 to 19 years</t>
  </si>
  <si>
    <t>Column (L) - 20 to 24 years</t>
  </si>
  <si>
    <r>
      <rPr>
        <b/>
        <sz val="14"/>
        <color theme="1"/>
        <rFont val="Calibri"/>
        <family val="2"/>
        <scheme val="minor"/>
      </rPr>
      <t xml:space="preserve">Column (G) - %UNWEIGHTED ILI </t>
    </r>
    <r>
      <rPr>
        <sz val="14"/>
        <color theme="1"/>
        <rFont val="Calibri"/>
        <family val="2"/>
        <scheme val="minor"/>
      </rPr>
      <t xml:space="preserve">had 468 entries (around 2% of the data) where the percentage was 'X' and a large number of entries where the percentage is ambiguous / far too high. There is also no baseline for the data and all the % WEIGHTED ILI entries are blank. </t>
    </r>
  </si>
  <si>
    <t>PivotTable2</t>
  </si>
  <si>
    <t>These entries are evenly distributed throughout the States and the Years (12 entries for each state in each year) and filtering out these entries show that the death counts are also missing.</t>
  </si>
  <si>
    <t>PivotTable68</t>
  </si>
  <si>
    <t>Column (M) - 25 to 29 years</t>
  </si>
  <si>
    <r>
      <t xml:space="preserve">Column (K) - Estimate (%) </t>
    </r>
    <r>
      <rPr>
        <sz val="14"/>
        <color theme="1"/>
        <rFont val="Calibri (Body)"/>
      </rPr>
      <t>now has 7946 N/A entries (8.7% of the total entries in this column) spread throughout the states and months, but there are variations with some states appearing more in certain months. New values could be imputed, but it may also be that these states do not vaccinate these age agroups during these times, therefore the data was left.</t>
    </r>
  </si>
  <si>
    <t>Column (N) - 30 to 34 years</t>
  </si>
  <si>
    <t>Because both Age Group and Death count are missing this data was removed. Although the missing data makes up more than 5% of the data set it is evenly spread throughout the states and years, therefore removing this data will not greatly alter the data set. [The other option was to do nothing and leave it as unknown N/A.]</t>
  </si>
  <si>
    <t>Column (O) - 35 to 39 years</t>
  </si>
  <si>
    <t>With so much unreliable data this coulmn was removed as it was not essential to the analysis of the data set. [The other option was to try to correct the errors.]</t>
  </si>
  <si>
    <t>Column (P) - 40 to 44 years</t>
  </si>
  <si>
    <t>Column (Q) - 45 to 49 years</t>
  </si>
  <si>
    <r>
      <rPr>
        <b/>
        <sz val="14"/>
        <color theme="1"/>
        <rFont val="Calibri"/>
        <family val="2"/>
        <scheme val="minor"/>
      </rPr>
      <t>Columns H, I, J, K, L, and M - AGE groups</t>
    </r>
    <r>
      <rPr>
        <sz val="14"/>
        <color theme="1"/>
        <rFont val="Calibri"/>
        <family val="2"/>
        <scheme val="minor"/>
      </rPr>
      <t xml:space="preserve"> have all X entries</t>
    </r>
  </si>
  <si>
    <t>PivotTable15</t>
  </si>
  <si>
    <t>Geography  - Season - Month - Vaccine - Dimension</t>
  </si>
  <si>
    <r>
      <t xml:space="preserve">Column (I) - Deaths </t>
    </r>
    <r>
      <rPr>
        <sz val="14"/>
        <color theme="1"/>
        <rFont val="Calibri"/>
        <family val="2"/>
        <scheme val="minor"/>
      </rPr>
      <t>has 54013 suppressed entries.</t>
    </r>
  </si>
  <si>
    <t>Column (S) - 55 to 59 years</t>
  </si>
  <si>
    <r>
      <rPr>
        <b/>
        <sz val="14"/>
        <color theme="1"/>
        <rFont val="Calibri"/>
        <family val="2"/>
        <scheme val="minor"/>
      </rPr>
      <t xml:space="preserve">Columns (N) - ILITOTAL, (O) - NUM. OF PROVIDERS and (P) - TOTAL PATIENTS </t>
    </r>
    <r>
      <rPr>
        <sz val="14"/>
        <color theme="1"/>
        <rFont val="Calibri"/>
        <family val="2"/>
        <scheme val="minor"/>
      </rPr>
      <t>for the state of Florida all the entries (465 per column) are blank.</t>
    </r>
  </si>
  <si>
    <t>PivotTable24</t>
  </si>
  <si>
    <t>These entries are distributed throughout the States, the Age Groups and the Years. They make up 82% of the data (with the 5508 entries above removed 80%) and therefore removing them is not an option.</t>
  </si>
  <si>
    <t>Column (T) - 60 to 64 years</t>
  </si>
  <si>
    <t>PivotTable71</t>
  </si>
  <si>
    <t>Column (U) - 65 to 69 years</t>
  </si>
  <si>
    <t>The data could have been imputed, but with no reliable baseline or values provided at all for Florida the decision was taken to remove this state completely. The data is just under 2% of the total data set and means there is no comparison for Florida.</t>
  </si>
  <si>
    <t>PivotTable72</t>
  </si>
  <si>
    <t>Column (V) - 70 to 74 years</t>
  </si>
  <si>
    <t>In general central tendency and random values methods should only be used if the data is 5% or less and interpolation is not applicable. However leaving these values as suppressed will exclude them in some analysis and invalidate the fields when the data is aggregated. The Suppressed data is between 0 and 9, therefore the mean 4.5 rounded up to 5 was imputed (48505 replaced). [With all of  the values below 10 suppressed the mean, mode and median for the original data set are too high].</t>
  </si>
  <si>
    <t>Column (W) - 75 to 79 years</t>
  </si>
  <si>
    <t>Column (X) - 80 to 84 years</t>
  </si>
  <si>
    <t>REGION - YEAR - WEEK</t>
  </si>
  <si>
    <t>PivotTable22</t>
  </si>
  <si>
    <t>This CDC All Vaccinated data set covers 2009-10 to 2020-21.</t>
  </si>
  <si>
    <t>Column (Y) - 85 years and over</t>
  </si>
  <si>
    <t>Questions:</t>
  </si>
  <si>
    <t>Are the lowest county and highest county populations correct? Checked that Loving County, Texas and Kalawao County, Hawaii do have very low populations and that the population of Los Angeles County, California is around 10 million</t>
  </si>
  <si>
    <t>F - Month</t>
  </si>
  <si>
    <t>State  - Month - 'Ten-Year Age Groups'</t>
  </si>
  <si>
    <t>Is it true that counties will have 0 counts in certain age brackets - how big are the counties? Why is the mode mainly 0 for the lower age groups?</t>
  </si>
  <si>
    <t>H -  Estimate (%)</t>
  </si>
  <si>
    <r>
      <t xml:space="preserve">Results in a count of one record for each unique row combination and there are no duplicates. </t>
    </r>
    <r>
      <rPr>
        <i/>
        <sz val="14"/>
        <color theme="1"/>
        <rFont val="Calibri Light"/>
        <family val="2"/>
        <scheme val="major"/>
      </rPr>
      <t>[The way month was formatted meant the year was not recognised therefore reformatted to Date mmm, yy and the changes made above]</t>
    </r>
  </si>
  <si>
    <t xml:space="preserve">This CDC Influenza Visits data set covers 2010 to  2019. </t>
  </si>
  <si>
    <t>I - Sample Size</t>
  </si>
  <si>
    <t>No fully duplicated records or blank, N/A, NS, etc entries found.</t>
  </si>
  <si>
    <t>Cleaned Data Accuracy:</t>
  </si>
  <si>
    <t>Missing county population data for some years and duplicate county population data for other years.  There doesn't appear to be a pattern to the missing and duplicate years.</t>
  </si>
  <si>
    <t>PivotTable8</t>
  </si>
  <si>
    <t>8 Variables (not including Row), 91019 Records</t>
  </si>
  <si>
    <t>C -YEAR</t>
  </si>
  <si>
    <t xml:space="preserve"> - Only 3 States appear to have the correct count (9) for each year  - Connecticut, Delaware and District of Columbia</t>
  </si>
  <si>
    <t>D - WEEK</t>
  </si>
  <si>
    <t>No year has the correct count - some years have more entries than expected and some have less.</t>
  </si>
  <si>
    <t>PivotTable27</t>
  </si>
  <si>
    <t>E - ILITOTAL</t>
  </si>
  <si>
    <t xml:space="preserve">This CDC Month and Age data set covers January 2009 to December 2017 . </t>
  </si>
  <si>
    <t>F - NUM. OF PROVIDERS</t>
  </si>
  <si>
    <t>Column (D) - FIPS</t>
  </si>
  <si>
    <t>The dupicate year data (3222 records 11% of the profiled data set) was removed filtered by the columns that make the records unique (County and Year). The duplicate data was spread throughout the data set and counties.</t>
  </si>
  <si>
    <t>G - TOTAL PATIENTS</t>
  </si>
  <si>
    <t>Column (G) - Dimension</t>
  </si>
  <si>
    <t>There is still data (3211 records) missing for each of the years ranging from 59 in 2009 to 555 in 2017. The only complete counties are Connecticut, Delaware, District of Columbia and Rhode Island. Hawaii and New Jeresey only have 1 record missing. 26 of the states are missing more than 10% of their county data over the years.</t>
  </si>
  <si>
    <t>PivotTable9</t>
  </si>
  <si>
    <t>Cleaned Data Summary:</t>
  </si>
  <si>
    <t>6 Variables (not including Row), 23250 Records</t>
  </si>
  <si>
    <t>Column (F) - Month</t>
  </si>
  <si>
    <t>PivotTable29</t>
  </si>
  <si>
    <t>Column (H) - Estimate (%)</t>
  </si>
  <si>
    <t>Column (B) - REGION</t>
  </si>
  <si>
    <t>Values Count: 50</t>
  </si>
  <si>
    <t>Column (I) -Sample Size</t>
  </si>
  <si>
    <t>The data set has 25076 records and should have 28287 records - 3211 records are missing; !!% of the total data set. The only nearly complete year is 2009 which is now (year of the brief is 2018) 9 years ago.</t>
  </si>
  <si>
    <t>Column (C) - YEAR</t>
  </si>
  <si>
    <t>Values Count: 10</t>
  </si>
  <si>
    <t>With such a large part of the data set missing that will affect some states (26 missing more than 10% of their country data) more than others I would resolve this issue by seeking out a more complete data set.</t>
  </si>
  <si>
    <t>Column (D) - WEEK</t>
  </si>
  <si>
    <t>Values Count: 53</t>
  </si>
  <si>
    <t>Column (E) - ILITOTAL</t>
  </si>
  <si>
    <t>Values Count: 1964</t>
  </si>
  <si>
    <t>Therefore I have sourced a more complete data set to do the analysis - see New Population Data Set below. [https://www.census.gov/data/developers/data-sets/acs-5year.html]</t>
  </si>
  <si>
    <t>Column (F) - NUM. OF PROVIDERS</t>
  </si>
  <si>
    <t>Values Count: 23250</t>
  </si>
  <si>
    <t>Column (G) - TOTAL PATIENTS</t>
  </si>
  <si>
    <t>Column (F) - Ten-Year Age Groups</t>
  </si>
  <si>
    <t>Values Count: 11</t>
  </si>
  <si>
    <t>Changed ILITOTAL to percentage in cleaned and the profile %</t>
  </si>
  <si>
    <t>County  - Year</t>
  </si>
  <si>
    <t xml:space="preserve">Results in a count of one record for each unique row combination and after removing the duplicated year entries (3222 records) there are now no duplicates. </t>
  </si>
  <si>
    <t>Column (G) - Deaths</t>
  </si>
  <si>
    <t>DataTimeliness:</t>
  </si>
  <si>
    <t>Data Cleaning Steps To Do:</t>
  </si>
  <si>
    <t>Check age range across alll data sets e.g. add &lt; 1 year to 1-4 years to create Under 5 years column</t>
  </si>
  <si>
    <t xml:space="preserve">This CDC Population data set covers 2009 to 2017. </t>
  </si>
  <si>
    <t>24 Variables (not including Row and now including State), 25076 Records</t>
  </si>
  <si>
    <t>Column (R) - 50 to 54 years</t>
  </si>
  <si>
    <t>New Population Data Set (Note)</t>
  </si>
  <si>
    <t>The relevant columns from the American Community Survey - DPO5 ACS Demographic and Housing Estimates tables were selected and the data sets for the individual years (5 year estimates) were dowloaded in excel format from: https://data.census.gov/cedsci/table?q=Age%20and%20Sex&amp;g=0400000US01,02,04,05,06,08,09,10,11,12,13,15,16,17,18,19,20,21,22,23,24,25,26,27,28,29,30,31,32,33,34,35,36,37,38,39,40,41,42,44,45,46,47,48,49,50,51,53,54,55,56&amp;tid=ACSDP1Y2019.DP05</t>
  </si>
  <si>
    <t>Before combining the data sets, each was cleaned in excel; the percent and estimate rows for each of the 51 states were removed and a column for the year added.</t>
  </si>
  <si>
    <t>25 to 34 years</t>
  </si>
  <si>
    <t>35 to 44 years</t>
  </si>
  <si>
    <t>45 to 54 years</t>
  </si>
  <si>
    <t>N</t>
  </si>
  <si>
    <t>65 to 74 years</t>
  </si>
  <si>
    <t>75 to 84 years</t>
  </si>
  <si>
    <t>19 variables (not including row), 408 Records</t>
  </si>
  <si>
    <t>Column A and B formatted to text.</t>
  </si>
  <si>
    <t>Column C, D, E, … to S  formatted as number.</t>
  </si>
  <si>
    <t>Numbers stored as text error for the population entries fixed using paste special to change to numbers.</t>
  </si>
  <si>
    <t>C - Year</t>
  </si>
  <si>
    <t>D -  Total Population</t>
  </si>
  <si>
    <t>E - Male Total population</t>
  </si>
  <si>
    <t>F - Female Total population</t>
  </si>
  <si>
    <t>G - Under 5 years</t>
  </si>
  <si>
    <t>H - 5 to 9 years</t>
  </si>
  <si>
    <t>I - 10 to 14 years</t>
  </si>
  <si>
    <t>J - 15 to 19 years</t>
  </si>
  <si>
    <t>K - 20 to 24 years</t>
  </si>
  <si>
    <t>L - 25 to 34 years</t>
  </si>
  <si>
    <t>M - 35 to 44 years</t>
  </si>
  <si>
    <t>N - 45 to 54 years</t>
  </si>
  <si>
    <t>O - 55 to 59 years</t>
  </si>
  <si>
    <t>P - 60 to 64 years</t>
  </si>
  <si>
    <t>Q - 65 to 74 years</t>
  </si>
  <si>
    <t>R - 75 to 84 years</t>
  </si>
  <si>
    <t>S - 85 years and over</t>
  </si>
  <si>
    <t>Columns B and C inspected for accuracy using pivot table counts. Columns D - S checked for accuracy using pivot table counts and pivot table counts by Year.</t>
  </si>
  <si>
    <t>18 Variables (not including Row), 408 Records</t>
  </si>
  <si>
    <t>Column (B) - State</t>
  </si>
  <si>
    <t>Column (C) - Year</t>
  </si>
  <si>
    <t>Column (D) - Total Population</t>
  </si>
  <si>
    <t>Column (E) - Male Total population</t>
  </si>
  <si>
    <t>Column (F) - Female Total population</t>
  </si>
  <si>
    <t>Column (G) - Under 5 years</t>
  </si>
  <si>
    <t>Column (H) - 5 to 9 years</t>
  </si>
  <si>
    <t>Column (I) - 10 to 14 years</t>
  </si>
  <si>
    <t>Column (J) - 15 to 19 years</t>
  </si>
  <si>
    <t>Column (K) - 20 to 24 years</t>
  </si>
  <si>
    <t>Column (L) - 25 to 34 years</t>
  </si>
  <si>
    <t>Column (M) - 35 to 44 years</t>
  </si>
  <si>
    <t>Column (N) - 45 to 54 years</t>
  </si>
  <si>
    <t>Column (O) - 55 to 59 years</t>
  </si>
  <si>
    <t>Column (P) - 60 to 64 years</t>
  </si>
  <si>
    <t>Column (Q) - 65 to 74 years</t>
  </si>
  <si>
    <t>Column (R) - 75 to 84 years</t>
  </si>
  <si>
    <t>Column (S) - 85 years and over</t>
  </si>
  <si>
    <t>State  - Year</t>
  </si>
  <si>
    <t xml:space="preserve">Results in a count of one record for each unique row combination. </t>
  </si>
  <si>
    <t xml:space="preserve">This CDC Population data set covers 2010 to 2017. </t>
  </si>
  <si>
    <t>Column L Sample Size blanks (10965) - replace with null</t>
  </si>
  <si>
    <t>Blanks (60) replaced with null in Column K 95% CI (%) with Geography California</t>
  </si>
  <si>
    <t>Blanks (30) replaced with null in Column K 95% CI (%) with Geography Mississippi</t>
  </si>
  <si>
    <t>Blanks (1030) replaced with null in Column L Sample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</si>
</sst>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mmm\,\ yy"/>
  </numFmts>
  <fonts count="17" x14ac:knownFonts="1">
    <font>
      <sz val="12"/>
      <color theme="1"/>
      <name val="Calibri"/>
      <family val="2"/>
      <scheme val="minor"/>
    </font>
    <font>
      <sz val="12"/>
      <color theme="1"/>
      <name val="Calibri"/>
      <family val="2"/>
      <scheme val="minor"/>
    </font>
    <font>
      <b/>
      <sz val="12"/>
      <color rgb="FF3F3F3F"/>
      <name val="Calibri"/>
      <family val="2"/>
      <scheme val="minor"/>
    </font>
    <font>
      <u/>
      <sz val="12"/>
      <color theme="10"/>
      <name val="Calibri"/>
      <family val="2"/>
      <scheme val="minor"/>
    </font>
    <font>
      <sz val="18"/>
      <color theme="1"/>
      <name val="Calibri"/>
      <family val="2"/>
      <scheme val="minor"/>
    </font>
    <font>
      <sz val="12"/>
      <color theme="1"/>
      <name val="Calibri Light"/>
      <family val="2"/>
      <scheme val="major"/>
    </font>
    <font>
      <sz val="12"/>
      <color theme="1"/>
      <name val="Calibri Light (Headings)"/>
    </font>
    <font>
      <sz val="16"/>
      <color theme="1"/>
      <name val="Calibri Light"/>
      <family val="2"/>
      <scheme val="major"/>
    </font>
    <font>
      <sz val="14"/>
      <color theme="1"/>
      <name val="Calibri Light"/>
      <family val="2"/>
      <scheme val="major"/>
    </font>
    <font>
      <i/>
      <sz val="14"/>
      <color theme="1"/>
      <name val="Calibri"/>
      <family val="2"/>
      <scheme val="minor"/>
    </font>
    <font>
      <sz val="14"/>
      <color theme="1"/>
      <name val="Calibri"/>
      <family val="2"/>
      <scheme val="minor"/>
    </font>
    <font>
      <b/>
      <sz val="14"/>
      <color theme="1"/>
      <name val="Calibri"/>
      <family val="2"/>
      <scheme val="minor"/>
    </font>
    <font>
      <i/>
      <sz val="14"/>
      <color theme="1"/>
      <name val="Calibri Light"/>
      <family val="2"/>
      <scheme val="major"/>
    </font>
    <font>
      <u/>
      <sz val="14"/>
      <color theme="10"/>
      <name val="Calibri"/>
      <family val="2"/>
      <scheme val="minor"/>
    </font>
    <font>
      <b/>
      <sz val="14"/>
      <color theme="1"/>
      <name val="Calibri (Body)"/>
    </font>
    <font>
      <sz val="14"/>
      <color theme="1"/>
      <name val="Calibri (Body)"/>
    </font>
    <font>
      <sz val="14"/>
      <color rgb="FF3F3F3F"/>
      <name val="Calibri"/>
      <family val="2"/>
      <scheme val="minor"/>
    </font>
  </fonts>
  <fills count="13">
    <fill>
      <patternFill patternType="none"/>
    </fill>
    <fill>
      <patternFill patternType="gray125"/>
    </fill>
    <fill>
      <patternFill patternType="solid">
        <fgColor rgb="FFF2F2F2"/>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7FC5D9"/>
        <bgColor indexed="64"/>
      </patternFill>
    </fill>
    <fill>
      <patternFill patternType="solid">
        <fgColor theme="4" tint="0.79998168889431442"/>
        <bgColor indexed="64"/>
      </patternFill>
    </fill>
    <fill>
      <patternFill patternType="solid">
        <fgColor rgb="FFFFB4AC"/>
        <bgColor indexed="64"/>
      </patternFill>
    </fill>
    <fill>
      <patternFill patternType="solid">
        <fgColor theme="7" tint="0.79998168889431442"/>
        <bgColor indexed="64"/>
      </patternFill>
    </fill>
    <fill>
      <patternFill patternType="solid">
        <fgColor rgb="FFFF9496"/>
        <bgColor indexed="64"/>
      </patternFill>
    </fill>
    <fill>
      <patternFill patternType="solid">
        <fgColor theme="5" tint="0.79998168889431442"/>
        <bgColor indexed="64"/>
      </patternFill>
    </fill>
  </fills>
  <borders count="17">
    <border>
      <left/>
      <right/>
      <top/>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1" applyNumberFormat="0" applyAlignment="0" applyProtection="0"/>
    <xf numFmtId="0" fontId="3" fillId="0" borderId="0" applyNumberFormat="0" applyFill="0" applyBorder="0" applyAlignment="0" applyProtection="0"/>
  </cellStyleXfs>
  <cellXfs count="294">
    <xf numFmtId="0" fontId="0" fillId="0" borderId="0" xfId="0"/>
    <xf numFmtId="0" fontId="4" fillId="4" borderId="5" xfId="0" applyFont="1" applyFill="1" applyBorder="1"/>
    <xf numFmtId="0" fontId="4" fillId="4" borderId="6" xfId="0" applyFont="1" applyFill="1" applyBorder="1"/>
    <xf numFmtId="0" fontId="4" fillId="5" borderId="5" xfId="0" applyFont="1" applyFill="1" applyBorder="1"/>
    <xf numFmtId="0" fontId="4" fillId="5" borderId="6" xfId="0" applyFont="1" applyFill="1" applyBorder="1"/>
    <xf numFmtId="0" fontId="4" fillId="5" borderId="7" xfId="0" applyFont="1" applyFill="1" applyBorder="1"/>
    <xf numFmtId="0" fontId="4" fillId="6" borderId="5" xfId="0" applyFont="1" applyFill="1" applyBorder="1"/>
    <xf numFmtId="0" fontId="4" fillId="6" borderId="6" xfId="0" applyFont="1" applyFill="1" applyBorder="1"/>
    <xf numFmtId="0" fontId="4" fillId="6" borderId="7" xfId="0" applyFont="1" applyFill="1" applyBorder="1"/>
    <xf numFmtId="0" fontId="4" fillId="7" borderId="5" xfId="0" applyFont="1" applyFill="1" applyBorder="1"/>
    <xf numFmtId="0" fontId="4" fillId="7" borderId="6" xfId="0" applyFont="1" applyFill="1" applyBorder="1"/>
    <xf numFmtId="0" fontId="4" fillId="7" borderId="7" xfId="0" applyFont="1" applyFill="1" applyBorder="1"/>
    <xf numFmtId="0" fontId="4" fillId="8" borderId="5" xfId="0" applyFont="1" applyFill="1" applyBorder="1"/>
    <xf numFmtId="0" fontId="4" fillId="8" borderId="6" xfId="0" applyFont="1" applyFill="1" applyBorder="1"/>
    <xf numFmtId="0" fontId="4" fillId="8" borderId="7" xfId="0" applyFont="1" applyFill="1" applyBorder="1"/>
    <xf numFmtId="0" fontId="4" fillId="9" borderId="5" xfId="0" applyFont="1" applyFill="1" applyBorder="1"/>
    <xf numFmtId="0" fontId="4" fillId="9" borderId="6" xfId="0" applyFont="1" applyFill="1" applyBorder="1"/>
    <xf numFmtId="0" fontId="4" fillId="9" borderId="7" xfId="0" applyFont="1" applyFill="1" applyBorder="1"/>
    <xf numFmtId="0" fontId="8" fillId="0" borderId="0" xfId="0" applyFont="1"/>
    <xf numFmtId="0" fontId="8" fillId="4" borderId="8" xfId="0" applyFont="1" applyFill="1" applyBorder="1" applyAlignment="1">
      <alignment horizontal="center"/>
    </xf>
    <xf numFmtId="0" fontId="8" fillId="5" borderId="8"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xf>
    <xf numFmtId="0" fontId="8" fillId="7" borderId="8" xfId="0" applyFont="1" applyFill="1" applyBorder="1" applyAlignment="1">
      <alignment horizontal="center"/>
    </xf>
    <xf numFmtId="0" fontId="8" fillId="7" borderId="9" xfId="0" applyFont="1" applyFill="1" applyBorder="1" applyAlignment="1">
      <alignment horizontal="center"/>
    </xf>
    <xf numFmtId="0" fontId="8" fillId="8" borderId="8" xfId="0" applyFont="1" applyFill="1" applyBorder="1" applyAlignment="1">
      <alignment horizontal="center"/>
    </xf>
    <xf numFmtId="0" fontId="8" fillId="8" borderId="9" xfId="0" applyFont="1" applyFill="1" applyBorder="1" applyAlignment="1">
      <alignment horizontal="center"/>
    </xf>
    <xf numFmtId="0" fontId="8" fillId="9" borderId="8" xfId="0" applyFont="1" applyFill="1" applyBorder="1" applyAlignment="1">
      <alignment horizontal="center"/>
    </xf>
    <xf numFmtId="0" fontId="8" fillId="9" borderId="9" xfId="0" applyFont="1" applyFill="1" applyBorder="1" applyAlignment="1">
      <alignment horizontal="center"/>
    </xf>
    <xf numFmtId="0" fontId="9" fillId="10" borderId="10" xfId="0" applyFont="1" applyFill="1" applyBorder="1"/>
    <xf numFmtId="0" fontId="10" fillId="10" borderId="9" xfId="0" applyFont="1" applyFill="1" applyBorder="1" applyAlignment="1">
      <alignment horizontal="center"/>
    </xf>
    <xf numFmtId="0" fontId="9" fillId="10" borderId="11" xfId="0" applyFont="1" applyFill="1" applyBorder="1"/>
    <xf numFmtId="0" fontId="0" fillId="10" borderId="12" xfId="0" applyFill="1" applyBorder="1"/>
    <xf numFmtId="0" fontId="10" fillId="10" borderId="10" xfId="0" applyFont="1" applyFill="1" applyBorder="1" applyAlignment="1">
      <alignment horizontal="center"/>
    </xf>
    <xf numFmtId="0" fontId="9" fillId="10" borderId="12" xfId="0" applyFont="1" applyFill="1" applyBorder="1"/>
    <xf numFmtId="0" fontId="10" fillId="10" borderId="13" xfId="0" applyFont="1" applyFill="1" applyBorder="1"/>
    <xf numFmtId="0" fontId="10" fillId="10" borderId="14" xfId="0" applyFont="1" applyFill="1" applyBorder="1" applyAlignment="1">
      <alignment horizontal="center"/>
    </xf>
    <xf numFmtId="0" fontId="0" fillId="10" borderId="15" xfId="0" applyFill="1" applyBorder="1"/>
    <xf numFmtId="0" fontId="10" fillId="10" borderId="13" xfId="0" applyFont="1" applyFill="1" applyBorder="1" applyAlignment="1">
      <alignment horizontal="center"/>
    </xf>
    <xf numFmtId="49" fontId="10" fillId="10" borderId="13" xfId="0" applyNumberFormat="1" applyFont="1" applyFill="1" applyBorder="1" applyAlignment="1">
      <alignment horizontal="left"/>
    </xf>
    <xf numFmtId="0" fontId="10" fillId="10" borderId="5" xfId="0" applyFont="1" applyFill="1" applyBorder="1"/>
    <xf numFmtId="0" fontId="10" fillId="10" borderId="16" xfId="0" applyFont="1" applyFill="1" applyBorder="1" applyAlignment="1">
      <alignment horizontal="center"/>
    </xf>
    <xf numFmtId="0" fontId="10" fillId="10" borderId="6" xfId="0" applyFont="1" applyFill="1" applyBorder="1"/>
    <xf numFmtId="0" fontId="0" fillId="10" borderId="7" xfId="0" applyFill="1" applyBorder="1"/>
    <xf numFmtId="0" fontId="10" fillId="10" borderId="7" xfId="0" applyFont="1" applyFill="1" applyBorder="1"/>
    <xf numFmtId="0" fontId="10" fillId="10" borderId="15" xfId="0" applyFont="1" applyFill="1" applyBorder="1" applyAlignment="1">
      <alignment wrapText="1"/>
    </xf>
    <xf numFmtId="0" fontId="7" fillId="7" borderId="3" xfId="0" applyFont="1" applyFill="1" applyBorder="1" applyAlignment="1">
      <alignment horizontal="left"/>
    </xf>
    <xf numFmtId="0" fontId="7" fillId="7" borderId="4" xfId="0" applyFont="1" applyFill="1" applyBorder="1" applyAlignment="1">
      <alignment horizontal="left"/>
    </xf>
    <xf numFmtId="0" fontId="10" fillId="10" borderId="15" xfId="0" applyFont="1" applyFill="1" applyBorder="1" applyAlignment="1">
      <alignment horizontal="left" wrapText="1"/>
    </xf>
    <xf numFmtId="49" fontId="10" fillId="10" borderId="6" xfId="0" applyNumberFormat="1" applyFont="1" applyFill="1" applyBorder="1" applyAlignment="1">
      <alignment horizontal="left"/>
    </xf>
    <xf numFmtId="0" fontId="10" fillId="10" borderId="5" xfId="0" applyFont="1" applyFill="1" applyBorder="1" applyAlignment="1">
      <alignment horizontal="center"/>
    </xf>
    <xf numFmtId="0" fontId="7" fillId="7" borderId="12" xfId="0" applyFont="1" applyFill="1" applyBorder="1" applyAlignment="1">
      <alignment horizontal="left"/>
    </xf>
    <xf numFmtId="0" fontId="9" fillId="10" borderId="10" xfId="0" applyFont="1" applyFill="1" applyBorder="1" applyAlignment="1">
      <alignment horizontal="center"/>
    </xf>
    <xf numFmtId="0" fontId="9" fillId="10" borderId="11" xfId="0" applyFont="1" applyFill="1" applyBorder="1" applyAlignment="1">
      <alignment horizontal="center"/>
    </xf>
    <xf numFmtId="9" fontId="10" fillId="10" borderId="0" xfId="2" applyFont="1" applyFill="1" applyBorder="1" applyAlignment="1">
      <alignment horizontal="center" wrapText="1"/>
    </xf>
    <xf numFmtId="1" fontId="10" fillId="10" borderId="0" xfId="0" applyNumberFormat="1" applyFont="1" applyFill="1" applyAlignment="1">
      <alignment horizontal="center" wrapText="1"/>
    </xf>
    <xf numFmtId="0" fontId="10" fillId="10" borderId="12" xfId="0" applyFont="1" applyFill="1" applyBorder="1" applyAlignment="1">
      <alignment horizontal="left"/>
    </xf>
    <xf numFmtId="0" fontId="10" fillId="10" borderId="7" xfId="0" applyFont="1" applyFill="1" applyBorder="1" applyAlignment="1">
      <alignment horizontal="left"/>
    </xf>
    <xf numFmtId="0" fontId="10" fillId="10" borderId="11" xfId="0" applyFont="1" applyFill="1" applyBorder="1" applyAlignment="1">
      <alignment horizontal="left"/>
    </xf>
    <xf numFmtId="0" fontId="10" fillId="10" borderId="15" xfId="0" applyFont="1" applyFill="1" applyBorder="1" applyAlignment="1">
      <alignment horizontal="left"/>
    </xf>
    <xf numFmtId="0" fontId="10" fillId="10" borderId="0" xfId="0" applyFont="1" applyFill="1" applyAlignment="1">
      <alignment horizontal="left"/>
    </xf>
    <xf numFmtId="0" fontId="10" fillId="10" borderId="0" xfId="0" applyFont="1" applyFill="1" applyAlignment="1">
      <alignment horizontal="center"/>
    </xf>
    <xf numFmtId="0" fontId="10" fillId="10" borderId="13" xfId="0" applyFont="1" applyFill="1" applyBorder="1" applyAlignment="1">
      <alignment horizontal="left"/>
    </xf>
    <xf numFmtId="0" fontId="10" fillId="10" borderId="4" xfId="0" applyFont="1" applyFill="1" applyBorder="1" applyAlignment="1">
      <alignment wrapText="1"/>
    </xf>
    <xf numFmtId="0" fontId="7" fillId="9" borderId="5" xfId="0" applyFont="1" applyFill="1" applyBorder="1" applyAlignment="1">
      <alignment horizontal="left"/>
    </xf>
    <xf numFmtId="0" fontId="7" fillId="9" borderId="6" xfId="0" applyFont="1" applyFill="1" applyBorder="1" applyAlignment="1">
      <alignment horizontal="left"/>
    </xf>
    <xf numFmtId="0" fontId="7" fillId="9" borderId="7" xfId="0" applyFont="1" applyFill="1" applyBorder="1" applyAlignment="1">
      <alignment horizontal="left"/>
    </xf>
    <xf numFmtId="1" fontId="10" fillId="10" borderId="0" xfId="2" applyNumberFormat="1" applyFont="1" applyFill="1" applyBorder="1" applyAlignment="1">
      <alignment horizontal="left"/>
    </xf>
    <xf numFmtId="9" fontId="10" fillId="10" borderId="0" xfId="2" applyFont="1" applyFill="1" applyBorder="1" applyAlignment="1">
      <alignment horizontal="left"/>
    </xf>
    <xf numFmtId="1" fontId="10" fillId="10" borderId="0" xfId="0" applyNumberFormat="1" applyFont="1" applyFill="1" applyAlignment="1">
      <alignment horizontal="left"/>
    </xf>
    <xf numFmtId="0" fontId="7" fillId="7" borderId="11" xfId="0" applyFont="1" applyFill="1" applyBorder="1" applyAlignment="1">
      <alignment horizontal="left"/>
    </xf>
    <xf numFmtId="0" fontId="7" fillId="10" borderId="12" xfId="0" applyFont="1" applyFill="1" applyBorder="1" applyAlignment="1">
      <alignment horizontal="left"/>
    </xf>
    <xf numFmtId="0" fontId="10" fillId="10" borderId="11" xfId="0" applyFont="1" applyFill="1" applyBorder="1" applyAlignment="1">
      <alignment horizontal="left" wrapText="1"/>
    </xf>
    <xf numFmtId="0" fontId="7" fillId="10" borderId="15" xfId="0" applyFont="1" applyFill="1" applyBorder="1" applyAlignment="1">
      <alignment horizontal="left"/>
    </xf>
    <xf numFmtId="0" fontId="7" fillId="9" borderId="3" xfId="0" applyFont="1" applyFill="1" applyBorder="1" applyAlignment="1">
      <alignment horizontal="left"/>
    </xf>
    <xf numFmtId="0" fontId="7" fillId="9" borderId="4" xfId="0" applyFont="1" applyFill="1" applyBorder="1" applyAlignment="1">
      <alignment horizontal="left"/>
    </xf>
    <xf numFmtId="0" fontId="7" fillId="7" borderId="2" xfId="0" applyFont="1" applyFill="1" applyBorder="1" applyAlignment="1">
      <alignment horizontal="left"/>
    </xf>
    <xf numFmtId="0" fontId="10" fillId="10" borderId="6" xfId="0" applyFont="1" applyFill="1" applyBorder="1" applyAlignment="1">
      <alignment horizontal="left" wrapText="1"/>
    </xf>
    <xf numFmtId="0" fontId="7" fillId="6" borderId="3" xfId="0" applyFont="1" applyFill="1" applyBorder="1" applyAlignment="1">
      <alignment horizontal="left"/>
    </xf>
    <xf numFmtId="0" fontId="7" fillId="6" borderId="4" xfId="0" applyFont="1" applyFill="1" applyBorder="1" applyAlignment="1">
      <alignment horizontal="left"/>
    </xf>
    <xf numFmtId="0" fontId="0" fillId="10" borderId="0" xfId="0" applyFill="1"/>
    <xf numFmtId="0" fontId="11" fillId="10" borderId="10" xfId="0" applyFont="1" applyFill="1" applyBorder="1" applyAlignment="1">
      <alignment horizontal="left"/>
    </xf>
    <xf numFmtId="0" fontId="13" fillId="10" borderId="11" xfId="4" applyFont="1" applyFill="1" applyBorder="1" applyAlignment="1">
      <alignment horizontal="center"/>
    </xf>
    <xf numFmtId="164" fontId="10" fillId="10" borderId="0" xfId="0" applyNumberFormat="1" applyFont="1" applyFill="1" applyAlignment="1">
      <alignment horizontal="left"/>
    </xf>
    <xf numFmtId="0" fontId="9" fillId="10" borderId="7" xfId="0" applyFont="1" applyFill="1" applyBorder="1" applyAlignment="1">
      <alignment horizontal="left" wrapText="1"/>
    </xf>
    <xf numFmtId="0" fontId="8" fillId="10" borderId="15" xfId="0" applyFont="1" applyFill="1" applyBorder="1" applyAlignment="1">
      <alignment wrapText="1"/>
    </xf>
    <xf numFmtId="0" fontId="7" fillId="9" borderId="11" xfId="0" applyFont="1" applyFill="1" applyBorder="1" applyAlignment="1">
      <alignment horizontal="left"/>
    </xf>
    <xf numFmtId="0" fontId="7" fillId="9" borderId="12" xfId="0" applyFont="1" applyFill="1" applyBorder="1" applyAlignment="1">
      <alignment horizontal="left"/>
    </xf>
    <xf numFmtId="0" fontId="9" fillId="10" borderId="12" xfId="0" applyFont="1" applyFill="1" applyBorder="1" applyAlignment="1">
      <alignment horizontal="center"/>
    </xf>
    <xf numFmtId="0" fontId="8" fillId="10" borderId="7" xfId="0" applyFont="1" applyFill="1" applyBorder="1" applyAlignment="1">
      <alignment wrapText="1"/>
    </xf>
    <xf numFmtId="1" fontId="10" fillId="10" borderId="0" xfId="0" applyNumberFormat="1" applyFont="1" applyFill="1" applyAlignment="1">
      <alignment horizontal="center"/>
    </xf>
    <xf numFmtId="1" fontId="10" fillId="10" borderId="15" xfId="0" applyNumberFormat="1" applyFont="1" applyFill="1" applyBorder="1" applyAlignment="1">
      <alignment horizontal="right"/>
    </xf>
    <xf numFmtId="0" fontId="7" fillId="6" borderId="11" xfId="0" applyFont="1" applyFill="1" applyBorder="1" applyAlignment="1">
      <alignment horizontal="left"/>
    </xf>
    <xf numFmtId="0" fontId="7" fillId="6" borderId="12" xfId="0" applyFont="1" applyFill="1" applyBorder="1" applyAlignment="1">
      <alignment horizontal="left"/>
    </xf>
    <xf numFmtId="0" fontId="7" fillId="9" borderId="10" xfId="0" applyFont="1" applyFill="1" applyBorder="1" applyAlignment="1">
      <alignment horizontal="left"/>
    </xf>
    <xf numFmtId="1" fontId="10" fillId="10" borderId="15" xfId="0" applyNumberFormat="1" applyFont="1" applyFill="1" applyBorder="1" applyAlignment="1">
      <alignment horizontal="right" wrapText="1"/>
    </xf>
    <xf numFmtId="1" fontId="10" fillId="10" borderId="0" xfId="1" applyNumberFormat="1" applyFont="1" applyFill="1" applyBorder="1" applyAlignment="1">
      <alignment horizontal="center"/>
    </xf>
    <xf numFmtId="1" fontId="10" fillId="10" borderId="15" xfId="0" applyNumberFormat="1" applyFont="1" applyFill="1" applyBorder="1"/>
    <xf numFmtId="9" fontId="10" fillId="10" borderId="0" xfId="2" applyFont="1" applyFill="1" applyBorder="1" applyAlignment="1">
      <alignment horizontal="center"/>
    </xf>
    <xf numFmtId="0" fontId="7" fillId="8" borderId="2" xfId="0" applyFont="1" applyFill="1" applyBorder="1" applyAlignment="1">
      <alignment horizontal="left"/>
    </xf>
    <xf numFmtId="0" fontId="7" fillId="8" borderId="3" xfId="0" applyFont="1" applyFill="1" applyBorder="1" applyAlignment="1">
      <alignment horizontal="left"/>
    </xf>
    <xf numFmtId="0" fontId="7" fillId="8" borderId="4" xfId="0" applyFont="1" applyFill="1" applyBorder="1" applyAlignment="1">
      <alignment horizontal="left"/>
    </xf>
    <xf numFmtId="10" fontId="10" fillId="10" borderId="0" xfId="2" applyNumberFormat="1" applyFont="1" applyFill="1" applyAlignment="1">
      <alignment horizontal="center"/>
    </xf>
    <xf numFmtId="0" fontId="7" fillId="9" borderId="2" xfId="0" applyFont="1" applyFill="1" applyBorder="1" applyAlignment="1">
      <alignment horizontal="left"/>
    </xf>
    <xf numFmtId="0" fontId="10" fillId="10" borderId="5" xfId="0" applyFont="1" applyFill="1" applyBorder="1" applyAlignment="1">
      <alignment horizontal="left"/>
    </xf>
    <xf numFmtId="0" fontId="12" fillId="10" borderId="6" xfId="0" applyFont="1" applyFill="1" applyBorder="1" applyAlignment="1">
      <alignment horizontal="left"/>
    </xf>
    <xf numFmtId="0" fontId="10" fillId="10" borderId="6" xfId="0" applyFont="1" applyFill="1" applyBorder="1" applyAlignment="1">
      <alignment horizontal="left"/>
    </xf>
    <xf numFmtId="0" fontId="10" fillId="10" borderId="6" xfId="0" applyFont="1" applyFill="1" applyBorder="1" applyAlignment="1">
      <alignment horizontal="center"/>
    </xf>
    <xf numFmtId="1" fontId="10" fillId="10" borderId="6" xfId="0" applyNumberFormat="1" applyFont="1" applyFill="1" applyBorder="1" applyAlignment="1">
      <alignment horizontal="left"/>
    </xf>
    <xf numFmtId="0" fontId="10" fillId="10" borderId="13" xfId="0" applyFont="1" applyFill="1" applyBorder="1" applyAlignment="1">
      <alignment horizontal="left" wrapText="1"/>
    </xf>
    <xf numFmtId="0" fontId="10" fillId="10" borderId="0" xfId="0" applyFont="1" applyFill="1" applyAlignment="1">
      <alignment horizontal="left" wrapText="1"/>
    </xf>
    <xf numFmtId="164" fontId="10" fillId="10" borderId="0" xfId="0" applyNumberFormat="1" applyFont="1" applyFill="1" applyAlignment="1">
      <alignment horizontal="center" wrapText="1"/>
    </xf>
    <xf numFmtId="165" fontId="10" fillId="10" borderId="0" xfId="0" applyNumberFormat="1" applyFont="1" applyFill="1" applyAlignment="1">
      <alignment horizontal="center"/>
    </xf>
    <xf numFmtId="0" fontId="12" fillId="10" borderId="13" xfId="0" applyFont="1" applyFill="1" applyBorder="1" applyAlignment="1">
      <alignment horizontal="left"/>
    </xf>
    <xf numFmtId="0" fontId="12" fillId="10" borderId="0" xfId="0" applyFont="1" applyFill="1" applyAlignment="1">
      <alignment horizontal="left"/>
    </xf>
    <xf numFmtId="0" fontId="10" fillId="10" borderId="0" xfId="0" applyFont="1" applyFill="1"/>
    <xf numFmtId="0" fontId="7" fillId="6" borderId="2" xfId="0" applyFont="1" applyFill="1" applyBorder="1" applyAlignment="1">
      <alignment horizontal="left"/>
    </xf>
    <xf numFmtId="1" fontId="10" fillId="10" borderId="6" xfId="2" applyNumberFormat="1" applyFont="1" applyFill="1" applyBorder="1" applyAlignment="1">
      <alignment horizontal="left"/>
    </xf>
    <xf numFmtId="164" fontId="10" fillId="10" borderId="6" xfId="2" applyNumberFormat="1" applyFont="1" applyFill="1" applyBorder="1" applyAlignment="1">
      <alignment horizontal="left"/>
    </xf>
    <xf numFmtId="0" fontId="10" fillId="10" borderId="13" xfId="0" applyFont="1" applyFill="1" applyBorder="1" applyAlignment="1">
      <alignment wrapText="1"/>
    </xf>
    <xf numFmtId="0" fontId="10" fillId="10" borderId="7" xfId="0" applyFont="1" applyFill="1" applyBorder="1" applyAlignment="1">
      <alignment horizontal="left" wrapText="1"/>
    </xf>
    <xf numFmtId="0" fontId="7" fillId="8" borderId="10" xfId="0" applyFont="1" applyFill="1" applyBorder="1" applyAlignment="1">
      <alignment horizontal="left"/>
    </xf>
    <xf numFmtId="0" fontId="7" fillId="8" borderId="11" xfId="0" applyFont="1" applyFill="1" applyBorder="1" applyAlignment="1">
      <alignment horizontal="left"/>
    </xf>
    <xf numFmtId="0" fontId="7" fillId="8" borderId="12" xfId="0" applyFont="1" applyFill="1" applyBorder="1" applyAlignment="1">
      <alignment horizontal="left"/>
    </xf>
    <xf numFmtId="0" fontId="10" fillId="10" borderId="12" xfId="0" applyFont="1" applyFill="1" applyBorder="1" applyAlignment="1">
      <alignment horizontal="left" wrapText="1"/>
    </xf>
    <xf numFmtId="0" fontId="10" fillId="10" borderId="12" xfId="0" applyFont="1" applyFill="1" applyBorder="1"/>
    <xf numFmtId="1" fontId="10" fillId="10" borderId="15" xfId="0" applyNumberFormat="1" applyFont="1" applyFill="1" applyBorder="1" applyAlignment="1">
      <alignment horizontal="left"/>
    </xf>
    <xf numFmtId="0" fontId="13" fillId="10" borderId="0" xfId="4" applyFont="1" applyFill="1" applyBorder="1" applyAlignment="1">
      <alignment horizontal="center"/>
    </xf>
    <xf numFmtId="0" fontId="13" fillId="10" borderId="0" xfId="4" applyFont="1" applyFill="1" applyAlignment="1">
      <alignment horizontal="center"/>
    </xf>
    <xf numFmtId="0" fontId="12" fillId="10" borderId="15" xfId="0" applyFont="1" applyFill="1" applyBorder="1"/>
    <xf numFmtId="0" fontId="13" fillId="10" borderId="0" xfId="4" applyFont="1" applyFill="1" applyBorder="1" applyAlignment="1">
      <alignment horizontal="center" vertical="top" wrapText="1"/>
    </xf>
    <xf numFmtId="0" fontId="10" fillId="10" borderId="0" xfId="0" applyFont="1" applyFill="1" applyAlignment="1">
      <alignment vertical="top" wrapText="1"/>
    </xf>
    <xf numFmtId="0" fontId="12" fillId="10" borderId="0" xfId="0" applyFont="1" applyFill="1"/>
    <xf numFmtId="1" fontId="10" fillId="10" borderId="7" xfId="0" applyNumberFormat="1" applyFont="1" applyFill="1" applyBorder="1" applyAlignment="1">
      <alignment horizontal="left"/>
    </xf>
    <xf numFmtId="1" fontId="9" fillId="10" borderId="0" xfId="0" applyNumberFormat="1" applyFont="1" applyFill="1" applyAlignment="1">
      <alignment horizontal="center"/>
    </xf>
    <xf numFmtId="0" fontId="0" fillId="0" borderId="0" xfId="0" applyAlignment="1">
      <alignment vertical="center"/>
    </xf>
    <xf numFmtId="0" fontId="13" fillId="10" borderId="0" xfId="4" applyFont="1" applyFill="1" applyBorder="1" applyAlignment="1">
      <alignment horizontal="center" wrapText="1"/>
    </xf>
    <xf numFmtId="9" fontId="10" fillId="10" borderId="13" xfId="2" applyFont="1" applyFill="1" applyBorder="1" applyAlignment="1">
      <alignment horizontal="left"/>
    </xf>
    <xf numFmtId="0" fontId="10" fillId="10" borderId="0" xfId="0" applyFont="1" applyFill="1" applyAlignment="1">
      <alignment wrapText="1"/>
    </xf>
    <xf numFmtId="0" fontId="10" fillId="10" borderId="10" xfId="0" applyFont="1" applyFill="1" applyBorder="1" applyAlignment="1">
      <alignment horizontal="left"/>
    </xf>
    <xf numFmtId="0" fontId="10" fillId="10" borderId="15" xfId="0" applyFont="1" applyFill="1" applyBorder="1"/>
    <xf numFmtId="0" fontId="12" fillId="10" borderId="15" xfId="0" applyFont="1" applyFill="1" applyBorder="1" applyAlignment="1">
      <alignment horizontal="left"/>
    </xf>
    <xf numFmtId="165" fontId="10" fillId="10" borderId="0" xfId="0" applyNumberFormat="1" applyFont="1" applyFill="1"/>
    <xf numFmtId="1" fontId="10" fillId="10" borderId="6" xfId="0" applyNumberFormat="1" applyFont="1" applyFill="1" applyBorder="1"/>
    <xf numFmtId="0" fontId="16" fillId="10" borderId="0" xfId="3" applyFont="1" applyFill="1" applyBorder="1" applyAlignment="1">
      <alignment horizontal="left"/>
    </xf>
    <xf numFmtId="1" fontId="10" fillId="10" borderId="0" xfId="0" applyNumberFormat="1" applyFont="1" applyFill="1" applyAlignment="1">
      <alignment horizontal="left" wrapText="1"/>
    </xf>
    <xf numFmtId="0" fontId="4" fillId="12" borderId="10" xfId="0" applyFont="1" applyFill="1" applyBorder="1" applyAlignment="1">
      <alignment horizontal="left"/>
    </xf>
    <xf numFmtId="0" fontId="10" fillId="12" borderId="11" xfId="0" applyFont="1" applyFill="1" applyBorder="1"/>
    <xf numFmtId="0" fontId="16" fillId="12" borderId="11" xfId="3" applyFont="1" applyFill="1" applyBorder="1" applyAlignment="1">
      <alignment horizontal="left"/>
    </xf>
    <xf numFmtId="1" fontId="10" fillId="12" borderId="11" xfId="0" applyNumberFormat="1" applyFont="1" applyFill="1" applyBorder="1" applyAlignment="1">
      <alignment horizontal="left"/>
    </xf>
    <xf numFmtId="1" fontId="10" fillId="12" borderId="12" xfId="0" applyNumberFormat="1" applyFont="1" applyFill="1" applyBorder="1" applyAlignment="1">
      <alignment horizontal="left"/>
    </xf>
    <xf numFmtId="0" fontId="8" fillId="12" borderId="8" xfId="0" applyFont="1" applyFill="1" applyBorder="1" applyAlignment="1">
      <alignment horizontal="center"/>
    </xf>
    <xf numFmtId="49" fontId="10" fillId="10" borderId="5" xfId="0" applyNumberFormat="1" applyFont="1" applyFill="1" applyBorder="1" applyAlignment="1">
      <alignment horizontal="left"/>
    </xf>
    <xf numFmtId="0" fontId="10" fillId="10" borderId="10" xfId="0" applyFont="1" applyFill="1" applyBorder="1" applyAlignment="1">
      <alignment horizontal="left" wrapText="1"/>
    </xf>
    <xf numFmtId="0" fontId="10" fillId="10" borderId="11" xfId="0" applyFont="1" applyFill="1" applyBorder="1" applyAlignment="1">
      <alignment horizontal="left" wrapText="1"/>
    </xf>
    <xf numFmtId="0" fontId="10" fillId="10" borderId="13" xfId="0" applyFont="1" applyFill="1" applyBorder="1" applyAlignment="1">
      <alignment horizontal="left" wrapText="1"/>
    </xf>
    <xf numFmtId="0" fontId="10" fillId="10" borderId="0" xfId="0" applyFont="1" applyFill="1" applyAlignment="1">
      <alignment horizontal="left" wrapText="1"/>
    </xf>
    <xf numFmtId="0" fontId="10" fillId="10" borderId="5" xfId="0" applyFont="1" applyFill="1" applyBorder="1" applyAlignment="1">
      <alignment horizontal="left" wrapText="1"/>
    </xf>
    <xf numFmtId="0" fontId="10" fillId="10" borderId="6" xfId="0" applyFont="1" applyFill="1" applyBorder="1" applyAlignment="1">
      <alignment horizontal="left"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7" fillId="12" borderId="2" xfId="0" applyFont="1" applyFill="1" applyBorder="1" applyAlignment="1">
      <alignment horizontal="left"/>
    </xf>
    <xf numFmtId="0" fontId="7" fillId="12" borderId="3" xfId="0" applyFont="1" applyFill="1" applyBorder="1" applyAlignment="1">
      <alignment horizontal="left"/>
    </xf>
    <xf numFmtId="0" fontId="7" fillId="12" borderId="4" xfId="0" applyFont="1" applyFill="1" applyBorder="1" applyAlignment="1">
      <alignment horizontal="left"/>
    </xf>
    <xf numFmtId="0" fontId="10" fillId="10" borderId="13" xfId="0" applyFont="1" applyFill="1" applyBorder="1" applyAlignment="1">
      <alignment horizontal="left"/>
    </xf>
    <xf numFmtId="0" fontId="10" fillId="10" borderId="0" xfId="0" applyFont="1" applyFill="1" applyAlignment="1">
      <alignment horizontal="left"/>
    </xf>
    <xf numFmtId="0" fontId="10" fillId="10" borderId="11" xfId="0" applyFont="1" applyFill="1" applyBorder="1" applyAlignment="1">
      <alignment horizontal="center"/>
    </xf>
    <xf numFmtId="0" fontId="10" fillId="10" borderId="12" xfId="0" applyFont="1" applyFill="1" applyBorder="1" applyAlignment="1">
      <alignment horizontal="center"/>
    </xf>
    <xf numFmtId="0" fontId="8" fillId="10" borderId="13" xfId="0" applyFont="1" applyFill="1" applyBorder="1" applyAlignment="1">
      <alignment horizontal="left" wrapText="1"/>
    </xf>
    <xf numFmtId="0" fontId="8" fillId="10" borderId="0" xfId="0" applyFont="1" applyFill="1" applyAlignment="1">
      <alignment horizontal="left" wrapText="1"/>
    </xf>
    <xf numFmtId="0" fontId="12" fillId="10" borderId="13" xfId="0" applyFont="1" applyFill="1" applyBorder="1" applyAlignment="1">
      <alignment horizontal="left"/>
    </xf>
    <xf numFmtId="0" fontId="12" fillId="10" borderId="0" xfId="0" applyFont="1" applyFill="1" applyAlignment="1">
      <alignment horizontal="left"/>
    </xf>
    <xf numFmtId="0" fontId="7" fillId="12" borderId="10" xfId="0" applyFont="1" applyFill="1" applyBorder="1" applyAlignment="1">
      <alignment horizontal="left"/>
    </xf>
    <xf numFmtId="0" fontId="7" fillId="12" borderId="11" xfId="0" applyFont="1" applyFill="1" applyBorder="1" applyAlignment="1">
      <alignment horizontal="left"/>
    </xf>
    <xf numFmtId="0" fontId="7" fillId="12" borderId="12" xfId="0" applyFont="1" applyFill="1" applyBorder="1" applyAlignment="1">
      <alignment horizontal="left"/>
    </xf>
    <xf numFmtId="0" fontId="10" fillId="10" borderId="10" xfId="0" applyFont="1" applyFill="1" applyBorder="1" applyAlignment="1">
      <alignment horizontal="left"/>
    </xf>
    <xf numFmtId="0" fontId="10" fillId="10" borderId="11" xfId="0" applyFont="1" applyFill="1" applyBorder="1" applyAlignment="1">
      <alignment horizontal="left"/>
    </xf>
    <xf numFmtId="0" fontId="10" fillId="10" borderId="0" xfId="0" applyFont="1" applyFill="1"/>
    <xf numFmtId="0" fontId="10" fillId="10" borderId="5" xfId="0" applyFont="1" applyFill="1" applyBorder="1" applyAlignment="1">
      <alignment horizontal="left"/>
    </xf>
    <xf numFmtId="0" fontId="10" fillId="10" borderId="6" xfId="0" applyFont="1" applyFill="1" applyBorder="1" applyAlignment="1">
      <alignment horizontal="left"/>
    </xf>
    <xf numFmtId="0" fontId="7" fillId="12" borderId="13" xfId="0" applyFont="1" applyFill="1" applyBorder="1" applyAlignment="1">
      <alignment horizontal="left"/>
    </xf>
    <xf numFmtId="0" fontId="7" fillId="12" borderId="0" xfId="0" applyFont="1" applyFill="1" applyAlignment="1">
      <alignment horizontal="left"/>
    </xf>
    <xf numFmtId="0" fontId="7" fillId="12" borderId="15" xfId="0" applyFont="1" applyFill="1" applyBorder="1" applyAlignment="1">
      <alignment horizontal="left"/>
    </xf>
    <xf numFmtId="0" fontId="7" fillId="12" borderId="5" xfId="0" applyFont="1" applyFill="1" applyBorder="1" applyAlignment="1">
      <alignment horizontal="left"/>
    </xf>
    <xf numFmtId="0" fontId="7" fillId="12" borderId="6" xfId="0" applyFont="1" applyFill="1" applyBorder="1" applyAlignment="1">
      <alignment horizontal="left"/>
    </xf>
    <xf numFmtId="0" fontId="7" fillId="12" borderId="7" xfId="0" applyFont="1" applyFill="1" applyBorder="1" applyAlignment="1">
      <alignment horizontal="left"/>
    </xf>
    <xf numFmtId="0" fontId="8" fillId="12" borderId="10" xfId="0" applyFont="1" applyFill="1" applyBorder="1" applyAlignment="1">
      <alignment horizontal="center"/>
    </xf>
    <xf numFmtId="0" fontId="8" fillId="12" borderId="11" xfId="0" applyFont="1" applyFill="1" applyBorder="1" applyAlignment="1">
      <alignment horizontal="center"/>
    </xf>
    <xf numFmtId="0" fontId="8" fillId="12" borderId="12" xfId="0" applyFont="1" applyFill="1" applyBorder="1" applyAlignment="1">
      <alignment horizontal="center"/>
    </xf>
    <xf numFmtId="0" fontId="10" fillId="10" borderId="12" xfId="0" applyFont="1" applyFill="1" applyBorder="1" applyAlignment="1">
      <alignment horizontal="left"/>
    </xf>
    <xf numFmtId="0" fontId="10" fillId="10" borderId="15" xfId="0" applyFont="1" applyFill="1" applyBorder="1" applyAlignment="1">
      <alignment horizontal="left"/>
    </xf>
    <xf numFmtId="0" fontId="5" fillId="12" borderId="10" xfId="0" applyFont="1" applyFill="1" applyBorder="1" applyAlignment="1">
      <alignment horizontal="left" vertical="center" wrapText="1"/>
    </xf>
    <xf numFmtId="0" fontId="5" fillId="12" borderId="11" xfId="0" applyFont="1" applyFill="1" applyBorder="1" applyAlignment="1">
      <alignment horizontal="left" vertical="center" wrapText="1"/>
    </xf>
    <xf numFmtId="0" fontId="5" fillId="12" borderId="12" xfId="0" applyFont="1" applyFill="1" applyBorder="1" applyAlignment="1">
      <alignment horizontal="left" vertical="center" wrapText="1"/>
    </xf>
    <xf numFmtId="0" fontId="5" fillId="12" borderId="13" xfId="0" applyFont="1" applyFill="1" applyBorder="1" applyAlignment="1">
      <alignment horizontal="left" vertical="center" wrapText="1"/>
    </xf>
    <xf numFmtId="0" fontId="5" fillId="12" borderId="0" xfId="0" applyFont="1" applyFill="1" applyAlignment="1">
      <alignment horizontal="left" vertical="center" wrapText="1"/>
    </xf>
    <xf numFmtId="0" fontId="5" fillId="12" borderId="15" xfId="0" applyFont="1" applyFill="1" applyBorder="1" applyAlignment="1">
      <alignment horizontal="left" vertical="center" wrapText="1"/>
    </xf>
    <xf numFmtId="0" fontId="5" fillId="12" borderId="5" xfId="0" applyFont="1" applyFill="1" applyBorder="1" applyAlignment="1">
      <alignment horizontal="left" vertical="center" wrapText="1"/>
    </xf>
    <xf numFmtId="0" fontId="5" fillId="12" borderId="6" xfId="0" applyFont="1" applyFill="1" applyBorder="1" applyAlignment="1">
      <alignment horizontal="left" vertical="center" wrapText="1"/>
    </xf>
    <xf numFmtId="0" fontId="5" fillId="12" borderId="7" xfId="0" applyFont="1" applyFill="1" applyBorder="1" applyAlignment="1">
      <alignment horizontal="left" vertical="center" wrapText="1"/>
    </xf>
    <xf numFmtId="0" fontId="7" fillId="5" borderId="2" xfId="0" applyFont="1" applyFill="1" applyBorder="1" applyAlignment="1">
      <alignment horizontal="left"/>
    </xf>
    <xf numFmtId="0" fontId="7" fillId="5" borderId="3" xfId="0" applyFont="1" applyFill="1" applyBorder="1" applyAlignment="1">
      <alignment horizontal="left"/>
    </xf>
    <xf numFmtId="0" fontId="7" fillId="5" borderId="4" xfId="0" applyFont="1" applyFill="1" applyBorder="1" applyAlignment="1">
      <alignment horizontal="left"/>
    </xf>
    <xf numFmtId="0" fontId="7" fillId="4" borderId="2" xfId="0" applyFont="1" applyFill="1" applyBorder="1" applyAlignment="1">
      <alignment horizontal="left"/>
    </xf>
    <xf numFmtId="0" fontId="7" fillId="4" borderId="3" xfId="0" applyFont="1" applyFill="1" applyBorder="1" applyAlignment="1">
      <alignment horizontal="left"/>
    </xf>
    <xf numFmtId="0" fontId="7" fillId="4" borderId="4" xfId="0" applyFont="1" applyFill="1" applyBorder="1" applyAlignment="1">
      <alignment horizontal="left"/>
    </xf>
    <xf numFmtId="0" fontId="12" fillId="10" borderId="15" xfId="0" applyFont="1" applyFill="1" applyBorder="1" applyAlignment="1">
      <alignment horizontal="left"/>
    </xf>
    <xf numFmtId="0" fontId="10" fillId="10" borderId="15" xfId="0" applyFont="1" applyFill="1" applyBorder="1"/>
    <xf numFmtId="0" fontId="0" fillId="11" borderId="10" xfId="0" applyFill="1" applyBorder="1" applyAlignment="1">
      <alignment horizontal="left"/>
    </xf>
    <xf numFmtId="0" fontId="0" fillId="11" borderId="11" xfId="0" applyFill="1" applyBorder="1" applyAlignment="1">
      <alignment horizontal="left"/>
    </xf>
    <xf numFmtId="0" fontId="11" fillId="10" borderId="13" xfId="0" applyFont="1" applyFill="1" applyBorder="1" applyAlignment="1">
      <alignment horizontal="left" vertical="top" wrapText="1"/>
    </xf>
    <xf numFmtId="0" fontId="11" fillId="10" borderId="0" xfId="0" applyFont="1" applyFill="1" applyAlignment="1">
      <alignment horizontal="left" vertical="top" wrapText="1"/>
    </xf>
    <xf numFmtId="0" fontId="11" fillId="10" borderId="5" xfId="0" applyFont="1" applyFill="1" applyBorder="1" applyAlignment="1">
      <alignment horizontal="left" vertical="top" wrapText="1"/>
    </xf>
    <xf numFmtId="0" fontId="11" fillId="10" borderId="6" xfId="0" applyFont="1" applyFill="1" applyBorder="1" applyAlignment="1">
      <alignment horizontal="left" vertical="top" wrapText="1"/>
    </xf>
    <xf numFmtId="0" fontId="10" fillId="10" borderId="13" xfId="0" applyFont="1" applyFill="1" applyBorder="1" applyAlignment="1">
      <alignment horizontal="left" vertical="top" wrapText="1"/>
    </xf>
    <xf numFmtId="0" fontId="10" fillId="10" borderId="0" xfId="0" applyFont="1" applyFill="1" applyAlignment="1">
      <alignment horizontal="left" vertical="top" wrapText="1"/>
    </xf>
    <xf numFmtId="0" fontId="10" fillId="10" borderId="15" xfId="0" applyFont="1" applyFill="1" applyBorder="1" applyAlignment="1">
      <alignment horizontal="left" vertical="top" wrapText="1"/>
    </xf>
    <xf numFmtId="0" fontId="10" fillId="10" borderId="15" xfId="0" applyFont="1" applyFill="1" applyBorder="1" applyAlignment="1">
      <alignment horizontal="left" wrapText="1"/>
    </xf>
    <xf numFmtId="0" fontId="7" fillId="8" borderId="2" xfId="0" applyFont="1" applyFill="1" applyBorder="1" applyAlignment="1">
      <alignment horizontal="left"/>
    </xf>
    <xf numFmtId="0" fontId="7" fillId="8" borderId="3" xfId="0" applyFont="1" applyFill="1" applyBorder="1" applyAlignment="1">
      <alignment horizontal="left"/>
    </xf>
    <xf numFmtId="0" fontId="7" fillId="8" borderId="4" xfId="0" applyFont="1" applyFill="1" applyBorder="1" applyAlignment="1">
      <alignment horizontal="left"/>
    </xf>
    <xf numFmtId="0" fontId="8" fillId="10" borderId="5" xfId="0" applyFont="1" applyFill="1" applyBorder="1" applyAlignment="1">
      <alignment horizontal="left" wrapText="1"/>
    </xf>
    <xf numFmtId="0" fontId="8" fillId="10" borderId="6" xfId="0" applyFont="1" applyFill="1" applyBorder="1" applyAlignment="1">
      <alignment horizontal="left" wrapText="1"/>
    </xf>
    <xf numFmtId="0" fontId="7" fillId="5" borderId="13" xfId="0" applyFont="1" applyFill="1" applyBorder="1" applyAlignment="1">
      <alignment horizontal="left"/>
    </xf>
    <xf numFmtId="0" fontId="7" fillId="5" borderId="0" xfId="0" applyFont="1" applyFill="1" applyAlignment="1">
      <alignment horizontal="left"/>
    </xf>
    <xf numFmtId="0" fontId="7" fillId="5" borderId="15" xfId="0" applyFont="1" applyFill="1" applyBorder="1" applyAlignment="1">
      <alignment horizontal="left"/>
    </xf>
    <xf numFmtId="0" fontId="7" fillId="6" borderId="2" xfId="0" applyFont="1" applyFill="1" applyBorder="1" applyAlignment="1">
      <alignment horizontal="left"/>
    </xf>
    <xf numFmtId="0" fontId="7" fillId="6" borderId="3" xfId="0" applyFont="1" applyFill="1" applyBorder="1" applyAlignment="1">
      <alignment horizontal="left"/>
    </xf>
    <xf numFmtId="0" fontId="7" fillId="6" borderId="4" xfId="0" applyFont="1" applyFill="1" applyBorder="1" applyAlignment="1">
      <alignment horizontal="left"/>
    </xf>
    <xf numFmtId="0" fontId="11" fillId="10" borderId="13" xfId="0" applyFont="1" applyFill="1" applyBorder="1" applyAlignment="1">
      <alignment horizontal="left" wrapText="1"/>
    </xf>
    <xf numFmtId="0" fontId="11" fillId="10" borderId="0" xfId="0" applyFont="1" applyFill="1" applyAlignment="1">
      <alignment horizontal="left" wrapText="1"/>
    </xf>
    <xf numFmtId="0" fontId="10" fillId="10" borderId="5" xfId="0" applyFont="1" applyFill="1" applyBorder="1" applyAlignment="1">
      <alignment horizontal="left" vertical="top" wrapText="1"/>
    </xf>
    <xf numFmtId="0" fontId="10" fillId="10" borderId="6" xfId="0" applyFont="1" applyFill="1" applyBorder="1" applyAlignment="1">
      <alignment horizontal="left" vertical="top" wrapText="1"/>
    </xf>
    <xf numFmtId="0" fontId="14" fillId="10" borderId="13" xfId="0" applyFont="1" applyFill="1" applyBorder="1" applyAlignment="1">
      <alignment horizontal="left" vertical="top" wrapText="1"/>
    </xf>
    <xf numFmtId="0" fontId="14" fillId="10" borderId="0" xfId="0" applyFont="1" applyFill="1" applyAlignment="1">
      <alignment horizontal="left" vertical="top" wrapText="1"/>
    </xf>
    <xf numFmtId="0" fontId="14" fillId="10" borderId="5" xfId="0" applyFont="1" applyFill="1" applyBorder="1" applyAlignment="1">
      <alignment horizontal="left" vertical="top" wrapText="1"/>
    </xf>
    <xf numFmtId="0" fontId="14" fillId="10" borderId="6" xfId="0" applyFont="1" applyFill="1" applyBorder="1" applyAlignment="1">
      <alignment horizontal="left" vertical="top" wrapText="1"/>
    </xf>
    <xf numFmtId="0" fontId="7" fillId="8" borderId="5" xfId="0" applyFont="1" applyFill="1" applyBorder="1" applyAlignment="1">
      <alignment horizontal="left"/>
    </xf>
    <xf numFmtId="0" fontId="7" fillId="8" borderId="6" xfId="0" applyFont="1" applyFill="1" applyBorder="1" applyAlignment="1">
      <alignment horizontal="left"/>
    </xf>
    <xf numFmtId="0" fontId="7" fillId="8" borderId="7" xfId="0" applyFont="1" applyFill="1" applyBorder="1" applyAlignment="1">
      <alignment horizontal="left"/>
    </xf>
    <xf numFmtId="0" fontId="7" fillId="8" borderId="10" xfId="0" applyFont="1" applyFill="1" applyBorder="1" applyAlignment="1">
      <alignment horizontal="left"/>
    </xf>
    <xf numFmtId="0" fontId="7" fillId="8" borderId="11" xfId="0" applyFont="1" applyFill="1" applyBorder="1" applyAlignment="1">
      <alignment horizontal="left"/>
    </xf>
    <xf numFmtId="0" fontId="7" fillId="8" borderId="12" xfId="0" applyFont="1" applyFill="1" applyBorder="1" applyAlignment="1">
      <alignment horizontal="left"/>
    </xf>
    <xf numFmtId="0" fontId="10" fillId="10" borderId="12" xfId="0" applyFont="1" applyFill="1" applyBorder="1" applyAlignment="1">
      <alignment horizontal="left" wrapText="1"/>
    </xf>
    <xf numFmtId="0" fontId="10" fillId="10" borderId="7" xfId="0" applyFont="1" applyFill="1" applyBorder="1" applyAlignment="1">
      <alignment horizontal="left" wrapText="1"/>
    </xf>
    <xf numFmtId="0" fontId="10" fillId="10" borderId="13" xfId="0" applyFont="1" applyFill="1" applyBorder="1" applyAlignment="1">
      <alignment wrapText="1"/>
    </xf>
    <xf numFmtId="0" fontId="10" fillId="10" borderId="0" xfId="0" applyFont="1" applyFill="1" applyAlignment="1">
      <alignment wrapText="1"/>
    </xf>
    <xf numFmtId="0" fontId="7" fillId="9" borderId="2" xfId="0" applyFont="1" applyFill="1" applyBorder="1" applyAlignment="1">
      <alignment horizontal="left"/>
    </xf>
    <xf numFmtId="0" fontId="7" fillId="9" borderId="3" xfId="0" applyFont="1" applyFill="1" applyBorder="1" applyAlignment="1">
      <alignment horizontal="left"/>
    </xf>
    <xf numFmtId="0" fontId="7" fillId="9" borderId="4" xfId="0" applyFont="1" applyFill="1" applyBorder="1" applyAlignment="1">
      <alignment horizontal="left"/>
    </xf>
    <xf numFmtId="0" fontId="7" fillId="5" borderId="10" xfId="0" applyFont="1" applyFill="1" applyBorder="1" applyAlignment="1">
      <alignment horizontal="left"/>
    </xf>
    <xf numFmtId="0" fontId="7" fillId="5" borderId="11" xfId="0" applyFont="1" applyFill="1" applyBorder="1" applyAlignment="1">
      <alignment horizontal="left"/>
    </xf>
    <xf numFmtId="0" fontId="7" fillId="5" borderId="12" xfId="0" applyFont="1" applyFill="1" applyBorder="1" applyAlignment="1">
      <alignment horizontal="left"/>
    </xf>
    <xf numFmtId="0" fontId="10" fillId="10" borderId="2" xfId="0" applyFont="1" applyFill="1" applyBorder="1" applyAlignment="1">
      <alignment horizontal="left" wrapText="1"/>
    </xf>
    <xf numFmtId="0" fontId="10" fillId="10" borderId="3" xfId="0" applyFont="1" applyFill="1" applyBorder="1" applyAlignment="1">
      <alignment horizontal="left" wrapText="1"/>
    </xf>
    <xf numFmtId="0" fontId="7" fillId="9" borderId="10" xfId="0" applyFont="1" applyFill="1" applyBorder="1" applyAlignment="1">
      <alignment horizontal="left"/>
    </xf>
    <xf numFmtId="0" fontId="7" fillId="9" borderId="11" xfId="0" applyFont="1" applyFill="1" applyBorder="1" applyAlignment="1">
      <alignment horizontal="left"/>
    </xf>
    <xf numFmtId="0" fontId="7" fillId="9" borderId="12" xfId="0" applyFont="1" applyFill="1" applyBorder="1" applyAlignment="1">
      <alignment horizontal="left"/>
    </xf>
    <xf numFmtId="0" fontId="9" fillId="10" borderId="5" xfId="0" applyFont="1" applyFill="1" applyBorder="1" applyAlignment="1">
      <alignment horizontal="left" wrapText="1"/>
    </xf>
    <xf numFmtId="0" fontId="9" fillId="10" borderId="6" xfId="0" applyFont="1" applyFill="1" applyBorder="1" applyAlignment="1">
      <alignment horizontal="left" wrapText="1"/>
    </xf>
    <xf numFmtId="0" fontId="7" fillId="7" borderId="2" xfId="0" applyFont="1" applyFill="1" applyBorder="1" applyAlignment="1">
      <alignment horizontal="left"/>
    </xf>
    <xf numFmtId="0" fontId="7" fillId="7" borderId="3" xfId="0" applyFont="1" applyFill="1" applyBorder="1" applyAlignment="1">
      <alignment horizontal="left"/>
    </xf>
    <xf numFmtId="0" fontId="11" fillId="10" borderId="10" xfId="0" applyFont="1" applyFill="1" applyBorder="1" applyAlignment="1">
      <alignment horizontal="left" wrapText="1"/>
    </xf>
    <xf numFmtId="0" fontId="11" fillId="10" borderId="11" xfId="0" applyFont="1" applyFill="1" applyBorder="1" applyAlignment="1">
      <alignment horizontal="left" wrapText="1"/>
    </xf>
    <xf numFmtId="0" fontId="7" fillId="7" borderId="4" xfId="0" applyFont="1" applyFill="1" applyBorder="1" applyAlignment="1">
      <alignment horizontal="left"/>
    </xf>
    <xf numFmtId="0" fontId="7" fillId="7" borderId="10" xfId="0" applyFont="1" applyFill="1" applyBorder="1" applyAlignment="1">
      <alignment horizontal="left"/>
    </xf>
    <xf numFmtId="0" fontId="7" fillId="7" borderId="11" xfId="0" applyFont="1" applyFill="1" applyBorder="1" applyAlignment="1">
      <alignment horizontal="left"/>
    </xf>
    <xf numFmtId="0" fontId="8" fillId="4" borderId="9" xfId="0" applyFont="1" applyFill="1" applyBorder="1" applyAlignment="1">
      <alignment horizontal="center"/>
    </xf>
    <xf numFmtId="0" fontId="8" fillId="5" borderId="10" xfId="0" applyFont="1" applyFill="1" applyBorder="1" applyAlignment="1">
      <alignment horizontal="center"/>
    </xf>
    <xf numFmtId="0" fontId="8" fillId="5" borderId="11" xfId="0" applyFont="1" applyFill="1" applyBorder="1" applyAlignment="1">
      <alignment horizontal="center"/>
    </xf>
    <xf numFmtId="0" fontId="8" fillId="5" borderId="12" xfId="0" applyFont="1" applyFill="1" applyBorder="1" applyAlignment="1">
      <alignment horizontal="center"/>
    </xf>
    <xf numFmtId="0" fontId="8" fillId="6" borderId="9" xfId="0" applyFont="1" applyFill="1" applyBorder="1" applyAlignment="1">
      <alignment horizontal="center"/>
    </xf>
    <xf numFmtId="0" fontId="8" fillId="7" borderId="9" xfId="0" applyFont="1" applyFill="1" applyBorder="1" applyAlignment="1">
      <alignment horizontal="center"/>
    </xf>
    <xf numFmtId="0" fontId="8" fillId="8" borderId="9" xfId="0" applyFont="1" applyFill="1" applyBorder="1" applyAlignment="1">
      <alignment horizontal="center"/>
    </xf>
    <xf numFmtId="0" fontId="8" fillId="9" borderId="9" xfId="0" applyFont="1" applyFill="1" applyBorder="1" applyAlignment="1">
      <alignment horizontal="center"/>
    </xf>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5" fillId="4" borderId="4" xfId="0" applyFont="1" applyFill="1" applyBorder="1" applyAlignment="1">
      <alignment horizontal="left" vertical="center" wrapText="1"/>
    </xf>
    <xf numFmtId="0" fontId="5" fillId="5" borderId="2" xfId="0" applyFont="1" applyFill="1" applyBorder="1" applyAlignment="1">
      <alignment horizontal="left" vertical="center" wrapText="1"/>
    </xf>
    <xf numFmtId="0" fontId="5" fillId="5" borderId="3" xfId="0" applyFont="1" applyFill="1" applyBorder="1" applyAlignment="1">
      <alignment horizontal="left" vertical="center" wrapText="1"/>
    </xf>
    <xf numFmtId="0" fontId="5" fillId="5" borderId="4" xfId="0" applyFont="1" applyFill="1" applyBorder="1" applyAlignment="1">
      <alignment horizontal="left" vertical="center" wrapText="1"/>
    </xf>
    <xf numFmtId="0" fontId="5" fillId="6" borderId="2" xfId="0" applyFont="1" applyFill="1" applyBorder="1" applyAlignment="1">
      <alignment horizontal="left" vertical="center" wrapText="1"/>
    </xf>
    <xf numFmtId="0" fontId="5" fillId="6" borderId="3" xfId="0" applyFont="1" applyFill="1" applyBorder="1" applyAlignment="1">
      <alignment horizontal="left" vertical="center" wrapText="1"/>
    </xf>
    <xf numFmtId="0" fontId="5" fillId="6" borderId="4" xfId="0" applyFont="1" applyFill="1" applyBorder="1" applyAlignment="1">
      <alignment horizontal="left" vertical="center" wrapText="1"/>
    </xf>
    <xf numFmtId="0" fontId="6" fillId="7" borderId="2" xfId="0" applyFont="1" applyFill="1" applyBorder="1" applyAlignment="1">
      <alignment horizontal="left" vertical="center" wrapText="1"/>
    </xf>
    <xf numFmtId="0" fontId="7" fillId="7" borderId="3" xfId="0" applyFont="1" applyFill="1" applyBorder="1" applyAlignment="1">
      <alignment horizontal="left" vertical="center" wrapText="1"/>
    </xf>
    <xf numFmtId="0" fontId="7" fillId="7" borderId="4" xfId="0" applyFont="1" applyFill="1" applyBorder="1" applyAlignment="1">
      <alignment horizontal="left" vertical="center" wrapText="1"/>
    </xf>
    <xf numFmtId="0" fontId="5" fillId="8" borderId="2" xfId="0" applyFont="1" applyFill="1" applyBorder="1" applyAlignment="1">
      <alignment horizontal="left" vertical="center" wrapText="1"/>
    </xf>
    <xf numFmtId="0" fontId="5" fillId="8" borderId="3" xfId="0" applyFont="1" applyFill="1" applyBorder="1" applyAlignment="1">
      <alignment horizontal="left" vertical="center" wrapText="1"/>
    </xf>
    <xf numFmtId="0" fontId="5" fillId="8" borderId="4" xfId="0" applyFont="1" applyFill="1" applyBorder="1" applyAlignment="1">
      <alignment horizontal="left" vertical="center" wrapText="1"/>
    </xf>
    <xf numFmtId="0" fontId="5" fillId="9" borderId="2" xfId="0" applyFont="1" applyFill="1" applyBorder="1" applyAlignment="1">
      <alignment horizontal="left" vertical="center" wrapText="1"/>
    </xf>
    <xf numFmtId="0" fontId="5" fillId="9" borderId="3" xfId="0" applyFont="1" applyFill="1" applyBorder="1" applyAlignment="1">
      <alignment horizontal="left" vertical="center" wrapText="1"/>
    </xf>
    <xf numFmtId="0" fontId="5" fillId="9" borderId="4" xfId="0" applyFont="1" applyFill="1" applyBorder="1" applyAlignment="1">
      <alignment horizontal="left" vertical="center" wrapText="1"/>
    </xf>
  </cellXfs>
  <cellStyles count="5">
    <cellStyle name="Comma" xfId="1" builtinId="3"/>
    <cellStyle name="Hyperlink" xfId="4" builtinId="8"/>
    <cellStyle name="Normal" xfId="0" builtinId="0"/>
    <cellStyle name="Output" xfId="3" builtinId="21"/>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Ekevall_Achievement1Task6Amend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spitalisationRa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Profiles"/>
      <sheetName val="Month and Age"/>
      <sheetName val="Month and Age Data Checks"/>
      <sheetName val="Month and Age Profiling Checks"/>
      <sheetName val="Month and Age Cleaning Check"/>
      <sheetName val="Month and Age Cleaned"/>
      <sheetName val="Population Data"/>
      <sheetName val="Population Data Checks"/>
      <sheetName val="Population Data Profiling Check"/>
      <sheetName val="Population Data Cleaning Check"/>
      <sheetName val="Population Data Cleaned"/>
      <sheetName val="New Population Data"/>
      <sheetName val="New Population Data Checks"/>
      <sheetName val="New Population Data Cleaned"/>
      <sheetName val="Influenza Visits"/>
      <sheetName val="Influenza Visits Checks"/>
      <sheetName val="Influenza Visits ProfilingCheck"/>
      <sheetName val="Influenza Visits Cleaning Check"/>
      <sheetName val="Influenza Visits Cleaned"/>
      <sheetName val="HCP Vaccinated"/>
      <sheetName val="HCP Vaccinated Checks"/>
      <sheetName val="HCP Vaccinated Profiling Checks"/>
      <sheetName val="HCP Vaccinated Cleaning Checks"/>
      <sheetName val="HCP Vaccinated Cleaned"/>
      <sheetName val="All Vaccinated"/>
      <sheetName val="All Vaccinated Checks"/>
      <sheetName val="All Vaccinated Profiling Checks"/>
      <sheetName val="All Vaccinated Cleaning Checks"/>
      <sheetName val="All Vaccinated Cleaned"/>
      <sheetName val="Hospitalisation Rate"/>
      <sheetName val="Hospitalisation Rate Profiled"/>
      <sheetName val="Hospitalisation Rate Cleaning"/>
      <sheetName val="Hospitalisation Rate Cleaned"/>
    </sheetNames>
    <sheetDataSet>
      <sheetData sheetId="0"/>
      <sheetData sheetId="1"/>
      <sheetData sheetId="2"/>
      <sheetData sheetId="3">
        <row r="1">
          <cell r="V1">
            <v>2009</v>
          </cell>
          <cell r="Y1">
            <v>10</v>
          </cell>
          <cell r="AB1">
            <v>39814</v>
          </cell>
        </row>
        <row r="2">
          <cell r="V2">
            <v>2017</v>
          </cell>
          <cell r="Y2">
            <v>512</v>
          </cell>
          <cell r="AB2">
            <v>43070</v>
          </cell>
        </row>
        <row r="3">
          <cell r="V3">
            <v>2009</v>
          </cell>
          <cell r="Y3">
            <v>34.380451874534472</v>
          </cell>
          <cell r="AB3">
            <v>39904</v>
          </cell>
        </row>
        <row r="4">
          <cell r="Y4">
            <v>22</v>
          </cell>
        </row>
        <row r="5">
          <cell r="Y5">
            <v>10</v>
          </cell>
        </row>
      </sheetData>
      <sheetData sheetId="4">
        <row r="1">
          <cell r="Z1">
            <v>2009</v>
          </cell>
          <cell r="AC1">
            <v>5</v>
          </cell>
          <cell r="AF1">
            <v>39814</v>
          </cell>
        </row>
        <row r="2">
          <cell r="Z2">
            <v>2017</v>
          </cell>
          <cell r="AC2">
            <v>512</v>
          </cell>
          <cell r="AF2">
            <v>43070</v>
          </cell>
        </row>
        <row r="3">
          <cell r="Z3">
            <v>2009</v>
          </cell>
          <cell r="AC3">
            <v>10.85931207499835</v>
          </cell>
          <cell r="AF3">
            <v>39904</v>
          </cell>
        </row>
        <row r="4">
          <cell r="AC4">
            <v>5</v>
          </cell>
        </row>
        <row r="5">
          <cell r="AC5">
            <v>5</v>
          </cell>
        </row>
      </sheetData>
      <sheetData sheetId="5"/>
      <sheetData sheetId="6"/>
      <sheetData sheetId="7"/>
      <sheetData sheetId="8">
        <row r="2">
          <cell r="AJ2">
            <v>2009</v>
          </cell>
          <cell r="AM2">
            <v>41</v>
          </cell>
          <cell r="AP2">
            <v>23</v>
          </cell>
          <cell r="AS2">
            <v>15</v>
          </cell>
        </row>
        <row r="3">
          <cell r="AJ3">
            <v>2017</v>
          </cell>
          <cell r="AM3">
            <v>10105722</v>
          </cell>
          <cell r="AP3">
            <v>4979641</v>
          </cell>
          <cell r="AS3">
            <v>5126081</v>
          </cell>
        </row>
        <row r="4">
          <cell r="AJ4">
            <v>2012</v>
          </cell>
          <cell r="AM4">
            <v>99075.183087143974</v>
          </cell>
          <cell r="AP4">
            <v>48742.012580394374</v>
          </cell>
          <cell r="AS4">
            <v>50333.170506749593</v>
          </cell>
        </row>
        <row r="5">
          <cell r="AM5">
            <v>25741</v>
          </cell>
          <cell r="AP5">
            <v>12799</v>
          </cell>
          <cell r="AS5">
            <v>12890.5</v>
          </cell>
        </row>
        <row r="6">
          <cell r="AM6">
            <v>4523</v>
          </cell>
          <cell r="AP6">
            <v>1180</v>
          </cell>
          <cell r="AS6">
            <v>2389</v>
          </cell>
        </row>
      </sheetData>
      <sheetData sheetId="9">
        <row r="2">
          <cell r="BC2">
            <v>2009</v>
          </cell>
          <cell r="BF2">
            <v>41</v>
          </cell>
          <cell r="BI2">
            <v>23</v>
          </cell>
          <cell r="BL2">
            <v>15</v>
          </cell>
        </row>
        <row r="3">
          <cell r="BC3">
            <v>2017</v>
          </cell>
          <cell r="BF3">
            <v>10105722</v>
          </cell>
          <cell r="BI3">
            <v>4979641</v>
          </cell>
          <cell r="BL3">
            <v>5126081</v>
          </cell>
        </row>
        <row r="4">
          <cell r="BC4">
            <v>2009</v>
          </cell>
          <cell r="BF4">
            <v>109346.87063327484</v>
          </cell>
          <cell r="BI4">
            <v>53778.149944169723</v>
          </cell>
          <cell r="BL4">
            <v>55568.720689105117</v>
          </cell>
        </row>
        <row r="5">
          <cell r="BF5">
            <v>28950</v>
          </cell>
          <cell r="BI5">
            <v>14529</v>
          </cell>
          <cell r="BL5">
            <v>14561</v>
          </cell>
        </row>
        <row r="6">
          <cell r="BF6">
            <v>1939</v>
          </cell>
          <cell r="BI6">
            <v>1241</v>
          </cell>
          <cell r="BL6">
            <v>2389</v>
          </cell>
        </row>
        <row r="34">
          <cell r="BC34">
            <v>15</v>
          </cell>
        </row>
        <row r="36">
          <cell r="BI36">
            <v>4.8929999999999998</v>
          </cell>
          <cell r="BL36">
            <v>1</v>
          </cell>
        </row>
      </sheetData>
      <sheetData sheetId="10"/>
      <sheetData sheetId="11"/>
      <sheetData sheetId="12">
        <row r="2">
          <cell r="AD2">
            <v>2010</v>
          </cell>
          <cell r="AE2">
            <v>2017</v>
          </cell>
          <cell r="AF2" t="str">
            <v>-</v>
          </cell>
          <cell r="AG2" t="str">
            <v>-</v>
          </cell>
          <cell r="AH2">
            <v>2010</v>
          </cell>
        </row>
        <row r="3">
          <cell r="AD3">
            <v>545579</v>
          </cell>
          <cell r="AE3">
            <v>38982847</v>
          </cell>
          <cell r="AF3">
            <v>6130953.4877450978</v>
          </cell>
          <cell r="AG3">
            <v>4372302.5</v>
          </cell>
          <cell r="AH3" t="e">
            <v>#N/A</v>
          </cell>
        </row>
        <row r="4">
          <cell r="AD4">
            <v>276101</v>
          </cell>
          <cell r="AE4">
            <v>19366579</v>
          </cell>
          <cell r="AF4">
            <v>3015781.0416666665</v>
          </cell>
          <cell r="AG4">
            <v>2151118.5</v>
          </cell>
          <cell r="AH4">
            <v>1439862</v>
          </cell>
        </row>
        <row r="5">
          <cell r="AD5">
            <v>267729</v>
          </cell>
          <cell r="AE5">
            <v>19616268</v>
          </cell>
          <cell r="AF5">
            <v>3115172.4460784313</v>
          </cell>
          <cell r="AG5">
            <v>2221184</v>
          </cell>
          <cell r="AH5" t="e">
            <v>#N/A</v>
          </cell>
        </row>
        <row r="6">
          <cell r="AD6">
            <v>29829</v>
          </cell>
          <cell r="AE6">
            <v>2545224</v>
          </cell>
          <cell r="AF6">
            <v>392397.05147058825</v>
          </cell>
          <cell r="AG6">
            <v>278038.5</v>
          </cell>
          <cell r="AH6" t="e">
            <v>#N/A</v>
          </cell>
        </row>
        <row r="7">
          <cell r="AD7">
            <v>26098</v>
          </cell>
          <cell r="AE7">
            <v>2538872</v>
          </cell>
          <cell r="AF7">
            <v>399411.5</v>
          </cell>
          <cell r="AG7">
            <v>281487</v>
          </cell>
          <cell r="AH7" t="e">
            <v>#N/A</v>
          </cell>
        </row>
        <row r="8">
          <cell r="AD8">
            <v>24069</v>
          </cell>
          <cell r="AE8">
            <v>2609028</v>
          </cell>
          <cell r="AF8">
            <v>405273.30392156861</v>
          </cell>
          <cell r="AG8">
            <v>286518</v>
          </cell>
          <cell r="AH8" t="e">
            <v>#N/A</v>
          </cell>
        </row>
        <row r="9">
          <cell r="AD9">
            <v>36824</v>
          </cell>
          <cell r="AE9">
            <v>2803559</v>
          </cell>
          <cell r="AF9">
            <v>424516.22303921566</v>
          </cell>
          <cell r="AG9">
            <v>289842.5</v>
          </cell>
          <cell r="AH9" t="e">
            <v>#N/A</v>
          </cell>
        </row>
        <row r="10">
          <cell r="AD10">
            <v>40457</v>
          </cell>
          <cell r="AE10">
            <v>2906168</v>
          </cell>
          <cell r="AF10">
            <v>433036.55392156861</v>
          </cell>
          <cell r="AG10">
            <v>304171.5</v>
          </cell>
          <cell r="AH10">
            <v>215347</v>
          </cell>
        </row>
        <row r="11">
          <cell r="AD11">
            <v>68112</v>
          </cell>
          <cell r="AE11">
            <v>5822872</v>
          </cell>
          <cell r="AF11">
            <v>824483.60784313723</v>
          </cell>
          <cell r="AG11">
            <v>565109</v>
          </cell>
          <cell r="AH11" t="e">
            <v>#N/A</v>
          </cell>
        </row>
        <row r="12">
          <cell r="AD12">
            <v>66635</v>
          </cell>
          <cell r="AE12">
            <v>5288140</v>
          </cell>
          <cell r="AF12">
            <v>805320.60049019603</v>
          </cell>
          <cell r="AG12">
            <v>566391</v>
          </cell>
          <cell r="AH12" t="e">
            <v>#N/A</v>
          </cell>
        </row>
        <row r="13">
          <cell r="AD13">
            <v>70920</v>
          </cell>
          <cell r="AE13">
            <v>5248476</v>
          </cell>
          <cell r="AF13">
            <v>864537.41421568627</v>
          </cell>
          <cell r="AG13">
            <v>615769</v>
          </cell>
          <cell r="AH13" t="e">
            <v>#N/A</v>
          </cell>
        </row>
        <row r="14">
          <cell r="AD14">
            <v>33689</v>
          </cell>
          <cell r="AE14">
            <v>2453244</v>
          </cell>
          <cell r="AF14">
            <v>397841.90196078434</v>
          </cell>
          <cell r="AG14">
            <v>286476</v>
          </cell>
          <cell r="AH14" t="e">
            <v>#N/A</v>
          </cell>
        </row>
        <row r="15">
          <cell r="AD15">
            <v>28237</v>
          </cell>
          <cell r="AE15">
            <v>2143851</v>
          </cell>
          <cell r="AF15">
            <v>344460.8823529412</v>
          </cell>
          <cell r="AG15">
            <v>254379</v>
          </cell>
          <cell r="AH15" t="e">
            <v>#N/A</v>
          </cell>
        </row>
        <row r="16">
          <cell r="AD16">
            <v>32019</v>
          </cell>
          <cell r="AE16">
            <v>2946809</v>
          </cell>
          <cell r="AF16">
            <v>464713.57107843139</v>
          </cell>
          <cell r="AG16">
            <v>328386.5</v>
          </cell>
          <cell r="AH16" t="e">
            <v>#N/A</v>
          </cell>
        </row>
        <row r="17">
          <cell r="AD17">
            <v>14049</v>
          </cell>
          <cell r="AE17">
            <v>1509528</v>
          </cell>
          <cell r="AF17">
            <v>263061.7794117647</v>
          </cell>
          <cell r="AG17">
            <v>177672</v>
          </cell>
          <cell r="AH17" t="e">
            <v>#N/A</v>
          </cell>
        </row>
        <row r="18">
          <cell r="AD18">
            <v>4086</v>
          </cell>
          <cell r="AE18">
            <v>692111</v>
          </cell>
          <cell r="AF18">
            <v>111899.09803921569</v>
          </cell>
          <cell r="AG18">
            <v>75136.5</v>
          </cell>
          <cell r="AH18" t="e">
            <v>#N/A</v>
          </cell>
        </row>
      </sheetData>
      <sheetData sheetId="13"/>
      <sheetData sheetId="14"/>
      <sheetData sheetId="15"/>
      <sheetData sheetId="16">
        <row r="2">
          <cell r="AH2">
            <v>0</v>
          </cell>
          <cell r="AI2">
            <v>999491</v>
          </cell>
          <cell r="AJ2">
            <v>127636.80247937136</v>
          </cell>
          <cell r="AK2">
            <v>33706</v>
          </cell>
          <cell r="AL2">
            <v>0</v>
          </cell>
        </row>
        <row r="3">
          <cell r="AH3">
            <v>0</v>
          </cell>
          <cell r="AI3">
            <v>11452</v>
          </cell>
          <cell r="AJ3">
            <v>271.20623655913977</v>
          </cell>
          <cell r="AK3">
            <v>84</v>
          </cell>
          <cell r="AL3">
            <v>0</v>
          </cell>
        </row>
        <row r="4">
          <cell r="AH4">
            <v>0</v>
          </cell>
          <cell r="AI4">
            <v>214</v>
          </cell>
          <cell r="AJ4">
            <v>33.594623655913978</v>
          </cell>
          <cell r="AK4">
            <v>23</v>
          </cell>
          <cell r="AL4">
            <v>16</v>
          </cell>
        </row>
        <row r="5">
          <cell r="AH5">
            <v>0</v>
          </cell>
          <cell r="AI5">
            <v>121837</v>
          </cell>
          <cell r="AJ5">
            <v>13234.287612903227</v>
          </cell>
          <cell r="AK5">
            <v>6625.5</v>
          </cell>
          <cell r="AL5">
            <v>0</v>
          </cell>
        </row>
      </sheetData>
      <sheetData sheetId="17">
        <row r="2">
          <cell r="Q2">
            <v>2010</v>
          </cell>
          <cell r="R2">
            <v>2019</v>
          </cell>
          <cell r="U2">
            <v>2014</v>
          </cell>
          <cell r="Y2">
            <v>0</v>
          </cell>
          <cell r="Z2">
            <v>11452</v>
          </cell>
          <cell r="AA2">
            <v>271.20623655913977</v>
          </cell>
          <cell r="AB2">
            <v>84</v>
          </cell>
          <cell r="AC2">
            <v>0</v>
          </cell>
        </row>
        <row r="3">
          <cell r="Q3">
            <v>1</v>
          </cell>
          <cell r="R3">
            <v>53</v>
          </cell>
          <cell r="U3">
            <v>40</v>
          </cell>
          <cell r="Y3">
            <v>0</v>
          </cell>
          <cell r="Z3">
            <v>214</v>
          </cell>
          <cell r="AA3">
            <v>33.594623655913978</v>
          </cell>
          <cell r="AB3">
            <v>23</v>
          </cell>
          <cell r="AC3">
            <v>16</v>
          </cell>
        </row>
        <row r="4">
          <cell r="Y4">
            <v>0</v>
          </cell>
          <cell r="Z4">
            <v>121837</v>
          </cell>
          <cell r="AA4">
            <v>13234.287612903227</v>
          </cell>
          <cell r="AB4">
            <v>6625.5</v>
          </cell>
          <cell r="AC4">
            <v>0</v>
          </cell>
        </row>
      </sheetData>
      <sheetData sheetId="18"/>
      <sheetData sheetId="19"/>
      <sheetData sheetId="20"/>
      <sheetData sheetId="21">
        <row r="2">
          <cell r="R2">
            <v>0.28100000000000003</v>
          </cell>
          <cell r="S2">
            <v>0.99099999999999999</v>
          </cell>
          <cell r="T2">
            <v>0.84162324929972065</v>
          </cell>
          <cell r="U2">
            <v>0.878</v>
          </cell>
          <cell r="V2">
            <v>0.90700000000000003</v>
          </cell>
        </row>
        <row r="3">
          <cell r="R3">
            <v>471</v>
          </cell>
          <cell r="S3">
            <v>884990</v>
          </cell>
          <cell r="T3">
            <v>81875.89635854341</v>
          </cell>
          <cell r="U3">
            <v>33068</v>
          </cell>
          <cell r="V3">
            <v>25963</v>
          </cell>
        </row>
      </sheetData>
      <sheetData sheetId="22">
        <row r="2">
          <cell r="Q2">
            <v>0.28100000000000003</v>
          </cell>
          <cell r="R2">
            <v>0.99099999999999999</v>
          </cell>
          <cell r="S2">
            <v>0.84162324929972065</v>
          </cell>
          <cell r="T2">
            <v>0.878</v>
          </cell>
          <cell r="U2">
            <v>0.90700000000000003</v>
          </cell>
        </row>
        <row r="3">
          <cell r="Q3">
            <v>471</v>
          </cell>
          <cell r="R3">
            <v>884990</v>
          </cell>
          <cell r="S3">
            <v>81875.89635854341</v>
          </cell>
          <cell r="T3">
            <v>33068</v>
          </cell>
          <cell r="U3">
            <v>25963</v>
          </cell>
        </row>
      </sheetData>
      <sheetData sheetId="23"/>
      <sheetData sheetId="24"/>
      <sheetData sheetId="25"/>
      <sheetData sheetId="26">
        <row r="2">
          <cell r="AA2">
            <v>1</v>
          </cell>
          <cell r="AB2">
            <v>12</v>
          </cell>
          <cell r="AC2" t="str">
            <v>-</v>
          </cell>
          <cell r="AD2" t="str">
            <v>-</v>
          </cell>
          <cell r="AE2">
            <v>1</v>
          </cell>
        </row>
        <row r="3">
          <cell r="AA3">
            <v>0</v>
          </cell>
          <cell r="AB3">
            <v>97.8</v>
          </cell>
          <cell r="AC3">
            <v>36.179241909318293</v>
          </cell>
          <cell r="AD3">
            <v>37.6</v>
          </cell>
          <cell r="AE3">
            <v>1.1000000000000001</v>
          </cell>
        </row>
        <row r="4">
          <cell r="AA4">
            <v>31</v>
          </cell>
          <cell r="AB4">
            <v>29185</v>
          </cell>
          <cell r="AC4">
            <v>2792.8401807499154</v>
          </cell>
          <cell r="AD4">
            <v>1765</v>
          </cell>
          <cell r="AE4">
            <v>664</v>
          </cell>
        </row>
      </sheetData>
      <sheetData sheetId="27">
        <row r="2">
          <cell r="X2">
            <v>1</v>
          </cell>
          <cell r="Y2">
            <v>12</v>
          </cell>
          <cell r="Z2" t="str">
            <v>-</v>
          </cell>
          <cell r="AA2" t="str">
            <v>-</v>
          </cell>
          <cell r="AB2">
            <v>10</v>
          </cell>
        </row>
        <row r="3">
          <cell r="X3">
            <v>0</v>
          </cell>
          <cell r="Y3">
            <v>92.7</v>
          </cell>
          <cell r="Z3">
            <v>36.202525489629927</v>
          </cell>
          <cell r="AA3">
            <v>37.6</v>
          </cell>
          <cell r="AB3">
            <v>1.1000000000000001</v>
          </cell>
        </row>
        <row r="4">
          <cell r="X4">
            <v>38</v>
          </cell>
          <cell r="Y4">
            <v>29185</v>
          </cell>
          <cell r="Z4">
            <v>2802.1743482130105</v>
          </cell>
          <cell r="AA4">
            <v>1773</v>
          </cell>
          <cell r="AB4">
            <v>664</v>
          </cell>
        </row>
      </sheetData>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 val="Hospitalisation Rate"/>
      <sheetName val="Hospitalisation Rate Profiled"/>
      <sheetName val="Hospitalisation Rate Cleaning"/>
      <sheetName val="Hospitalisation Rate Cleaned"/>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14C67-3B16-964B-AFB3-6B67614BB1C2}">
  <dimension ref="A1:AP296"/>
  <sheetViews>
    <sheetView tabSelected="1" topLeftCell="V18" workbookViewId="0">
      <selection sqref="A1:XFD1048576"/>
    </sheetView>
  </sheetViews>
  <sheetFormatPr baseColWidth="10" defaultRowHeight="16" x14ac:dyDescent="0.2"/>
  <cols>
    <col min="1" max="1" width="29.5" customWidth="1"/>
    <col min="2" max="2" width="12.5" customWidth="1"/>
    <col min="3" max="3" width="18" customWidth="1"/>
    <col min="4" max="4" width="12.33203125" customWidth="1"/>
    <col min="5" max="5" width="20" customWidth="1"/>
    <col min="6" max="6" width="20.1640625" customWidth="1"/>
    <col min="7" max="7" width="2.83203125" customWidth="1"/>
    <col min="8" max="8" width="25.6640625" customWidth="1"/>
    <col min="9" max="9" width="12.33203125" customWidth="1"/>
    <col min="10" max="10" width="18.6640625" customWidth="1"/>
    <col min="11" max="11" width="15.5" customWidth="1"/>
    <col min="12" max="12" width="16.1640625" customWidth="1"/>
    <col min="13" max="13" width="20.6640625" customWidth="1"/>
    <col min="14" max="14" width="3.1640625" customWidth="1"/>
    <col min="15" max="15" width="22.33203125" customWidth="1"/>
    <col min="16" max="16" width="12.5" customWidth="1"/>
    <col min="17" max="17" width="18.5" customWidth="1"/>
    <col min="18" max="18" width="15" customWidth="1"/>
    <col min="19" max="19" width="19.83203125" customWidth="1"/>
    <col min="20" max="20" width="30" customWidth="1"/>
    <col min="21" max="21" width="3" customWidth="1"/>
    <col min="22" max="22" width="24.83203125" customWidth="1"/>
    <col min="24" max="24" width="17.6640625" customWidth="1"/>
    <col min="25" max="25" width="15.1640625" customWidth="1"/>
    <col min="26" max="26" width="16.5" customWidth="1"/>
    <col min="27" max="27" width="28" customWidth="1"/>
    <col min="28" max="28" width="3.83203125" customWidth="1"/>
    <col min="29" max="29" width="24.83203125" customWidth="1"/>
    <col min="30" max="30" width="11.83203125" customWidth="1"/>
    <col min="31" max="31" width="17.5" customWidth="1"/>
    <col min="32" max="32" width="15.5" customWidth="1"/>
    <col min="33" max="33" width="18" customWidth="1"/>
    <col min="34" max="34" width="27.83203125" customWidth="1"/>
    <col min="35" max="35" width="3.6640625" customWidth="1"/>
    <col min="36" max="36" width="27.1640625" customWidth="1"/>
    <col min="37" max="37" width="11.83203125" customWidth="1"/>
    <col min="38" max="38" width="17.5" customWidth="1"/>
    <col min="39" max="39" width="15.5" customWidth="1"/>
    <col min="40" max="40" width="18" customWidth="1"/>
    <col min="41" max="41" width="27.83203125" customWidth="1"/>
    <col min="42" max="42" width="4.6640625" customWidth="1"/>
  </cols>
  <sheetData>
    <row r="1" spans="1:42" ht="24" x14ac:dyDescent="0.3">
      <c r="A1" s="159" t="s">
        <v>0</v>
      </c>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0"/>
      <c r="AN1" s="160"/>
      <c r="AO1" s="160"/>
      <c r="AP1" s="161"/>
    </row>
    <row r="2" spans="1:42" ht="24" x14ac:dyDescent="0.3">
      <c r="A2" s="1" t="s">
        <v>1</v>
      </c>
      <c r="B2" s="2"/>
      <c r="C2" s="2"/>
      <c r="D2" s="2"/>
      <c r="E2" s="2"/>
      <c r="F2" s="2"/>
      <c r="G2" s="2"/>
      <c r="H2" s="3" t="s">
        <v>2</v>
      </c>
      <c r="I2" s="4"/>
      <c r="J2" s="4"/>
      <c r="K2" s="4"/>
      <c r="L2" s="4"/>
      <c r="M2" s="4"/>
      <c r="N2" s="5"/>
      <c r="O2" s="6" t="s">
        <v>3</v>
      </c>
      <c r="P2" s="7"/>
      <c r="Q2" s="7"/>
      <c r="R2" s="7"/>
      <c r="S2" s="7"/>
      <c r="T2" s="7"/>
      <c r="U2" s="8"/>
      <c r="V2" s="9" t="s">
        <v>4</v>
      </c>
      <c r="W2" s="10"/>
      <c r="X2" s="10"/>
      <c r="Y2" s="10"/>
      <c r="Z2" s="10"/>
      <c r="AA2" s="10"/>
      <c r="AB2" s="11"/>
      <c r="AC2" s="12" t="s">
        <v>5</v>
      </c>
      <c r="AD2" s="13"/>
      <c r="AE2" s="13"/>
      <c r="AF2" s="13"/>
      <c r="AG2" s="13"/>
      <c r="AH2" s="13"/>
      <c r="AI2" s="14"/>
      <c r="AJ2" s="15" t="s">
        <v>6</v>
      </c>
      <c r="AK2" s="16"/>
      <c r="AL2" s="16"/>
      <c r="AM2" s="16"/>
      <c r="AN2" s="16"/>
      <c r="AO2" s="16"/>
      <c r="AP2" s="17"/>
    </row>
    <row r="3" spans="1:42" s="18" customFormat="1" ht="39" customHeight="1" x14ac:dyDescent="0.25">
      <c r="A3" s="276" t="s">
        <v>7</v>
      </c>
      <c r="B3" s="277"/>
      <c r="C3" s="277"/>
      <c r="D3" s="277"/>
      <c r="E3" s="277"/>
      <c r="F3" s="277"/>
      <c r="G3" s="278"/>
      <c r="H3" s="279" t="s">
        <v>8</v>
      </c>
      <c r="I3" s="280"/>
      <c r="J3" s="280"/>
      <c r="K3" s="280"/>
      <c r="L3" s="280"/>
      <c r="M3" s="280"/>
      <c r="N3" s="281"/>
      <c r="O3" s="282" t="s">
        <v>9</v>
      </c>
      <c r="P3" s="283"/>
      <c r="Q3" s="283"/>
      <c r="R3" s="283"/>
      <c r="S3" s="283"/>
      <c r="T3" s="283"/>
      <c r="U3" s="284"/>
      <c r="V3" s="285" t="s">
        <v>10</v>
      </c>
      <c r="W3" s="286"/>
      <c r="X3" s="286"/>
      <c r="Y3" s="286"/>
      <c r="Z3" s="286"/>
      <c r="AA3" s="286"/>
      <c r="AB3" s="287"/>
      <c r="AC3" s="288" t="s">
        <v>11</v>
      </c>
      <c r="AD3" s="289"/>
      <c r="AE3" s="289"/>
      <c r="AF3" s="289"/>
      <c r="AG3" s="289"/>
      <c r="AH3" s="289"/>
      <c r="AI3" s="290"/>
      <c r="AJ3" s="291" t="s">
        <v>12</v>
      </c>
      <c r="AK3" s="292"/>
      <c r="AL3" s="292"/>
      <c r="AM3" s="292"/>
      <c r="AN3" s="292"/>
      <c r="AO3" s="292"/>
      <c r="AP3" s="293"/>
    </row>
    <row r="4" spans="1:42" s="18" customFormat="1" ht="19" customHeight="1" x14ac:dyDescent="0.25">
      <c r="A4" s="204" t="s">
        <v>13</v>
      </c>
      <c r="B4" s="205"/>
      <c r="C4" s="205"/>
      <c r="D4" s="205"/>
      <c r="E4" s="205"/>
      <c r="F4" s="205"/>
      <c r="G4" s="206"/>
      <c r="H4" s="201" t="s">
        <v>13</v>
      </c>
      <c r="I4" s="202"/>
      <c r="J4" s="202"/>
      <c r="K4" s="202"/>
      <c r="L4" s="202"/>
      <c r="M4" s="202"/>
      <c r="N4" s="203"/>
      <c r="O4" s="227" t="s">
        <v>13</v>
      </c>
      <c r="P4" s="228"/>
      <c r="Q4" s="228"/>
      <c r="R4" s="228"/>
      <c r="S4" s="228"/>
      <c r="T4" s="228"/>
      <c r="U4" s="229"/>
      <c r="V4" s="261" t="s">
        <v>13</v>
      </c>
      <c r="W4" s="262"/>
      <c r="X4" s="262"/>
      <c r="Y4" s="262"/>
      <c r="Z4" s="262"/>
      <c r="AA4" s="262"/>
      <c r="AB4" s="265"/>
      <c r="AC4" s="219" t="s">
        <v>13</v>
      </c>
      <c r="AD4" s="220"/>
      <c r="AE4" s="220"/>
      <c r="AF4" s="220"/>
      <c r="AG4" s="220"/>
      <c r="AH4" s="220"/>
      <c r="AI4" s="221"/>
      <c r="AJ4" s="248" t="s">
        <v>13</v>
      </c>
      <c r="AK4" s="249"/>
      <c r="AL4" s="249"/>
      <c r="AM4" s="249"/>
      <c r="AN4" s="249"/>
      <c r="AO4" s="249"/>
      <c r="AP4" s="250"/>
    </row>
    <row r="5" spans="1:42" ht="19" customHeight="1" x14ac:dyDescent="0.25">
      <c r="A5" s="19" t="s">
        <v>14</v>
      </c>
      <c r="B5" s="19" t="s">
        <v>15</v>
      </c>
      <c r="C5" s="268" t="s">
        <v>16</v>
      </c>
      <c r="D5" s="268"/>
      <c r="E5" s="268"/>
      <c r="F5" s="268"/>
      <c r="G5" s="268"/>
      <c r="H5" s="20" t="s">
        <v>14</v>
      </c>
      <c r="I5" s="20" t="s">
        <v>15</v>
      </c>
      <c r="J5" s="269" t="s">
        <v>16</v>
      </c>
      <c r="K5" s="270"/>
      <c r="L5" s="270"/>
      <c r="M5" s="270"/>
      <c r="N5" s="271"/>
      <c r="O5" s="21" t="s">
        <v>14</v>
      </c>
      <c r="P5" s="22" t="s">
        <v>15</v>
      </c>
      <c r="Q5" s="272" t="s">
        <v>16</v>
      </c>
      <c r="R5" s="272"/>
      <c r="S5" s="272"/>
      <c r="T5" s="272"/>
      <c r="U5" s="272"/>
      <c r="V5" s="23" t="s">
        <v>14</v>
      </c>
      <c r="W5" s="24" t="s">
        <v>15</v>
      </c>
      <c r="X5" s="273" t="s">
        <v>16</v>
      </c>
      <c r="Y5" s="273"/>
      <c r="Z5" s="273"/>
      <c r="AA5" s="273"/>
      <c r="AB5" s="273"/>
      <c r="AC5" s="25" t="s">
        <v>14</v>
      </c>
      <c r="AD5" s="26" t="s">
        <v>15</v>
      </c>
      <c r="AE5" s="274" t="s">
        <v>16</v>
      </c>
      <c r="AF5" s="274"/>
      <c r="AG5" s="274"/>
      <c r="AH5" s="274"/>
      <c r="AI5" s="274"/>
      <c r="AJ5" s="27" t="s">
        <v>14</v>
      </c>
      <c r="AK5" s="28" t="s">
        <v>15</v>
      </c>
      <c r="AL5" s="275" t="s">
        <v>16</v>
      </c>
      <c r="AM5" s="275"/>
      <c r="AN5" s="275"/>
      <c r="AO5" s="275"/>
      <c r="AP5" s="275"/>
    </row>
    <row r="6" spans="1:42" ht="19" customHeight="1" x14ac:dyDescent="0.25">
      <c r="A6" s="29" t="s">
        <v>17</v>
      </c>
      <c r="B6" s="30" t="s">
        <v>18</v>
      </c>
      <c r="C6" s="29" t="s">
        <v>19</v>
      </c>
      <c r="D6" s="31" t="s">
        <v>20</v>
      </c>
      <c r="E6" s="31" t="s">
        <v>21</v>
      </c>
      <c r="F6" s="31" t="s">
        <v>22</v>
      </c>
      <c r="G6" s="32"/>
      <c r="H6" s="31" t="s">
        <v>17</v>
      </c>
      <c r="I6" s="33" t="s">
        <v>18</v>
      </c>
      <c r="J6" s="29" t="s">
        <v>19</v>
      </c>
      <c r="K6" s="31" t="s">
        <v>20</v>
      </c>
      <c r="L6" s="31" t="s">
        <v>21</v>
      </c>
      <c r="M6" s="31" t="s">
        <v>22</v>
      </c>
      <c r="N6" s="34"/>
      <c r="O6" s="31" t="s">
        <v>23</v>
      </c>
      <c r="P6" s="30" t="s">
        <v>18</v>
      </c>
      <c r="Q6" s="31" t="s">
        <v>19</v>
      </c>
      <c r="R6" s="31" t="s">
        <v>20</v>
      </c>
      <c r="S6" s="31" t="s">
        <v>21</v>
      </c>
      <c r="T6" s="31" t="s">
        <v>22</v>
      </c>
      <c r="U6" s="32"/>
      <c r="V6" s="29" t="s">
        <v>17</v>
      </c>
      <c r="W6" s="30" t="s">
        <v>18</v>
      </c>
      <c r="X6" s="31" t="s">
        <v>19</v>
      </c>
      <c r="Y6" s="31" t="s">
        <v>20</v>
      </c>
      <c r="Z6" s="31" t="s">
        <v>21</v>
      </c>
      <c r="AA6" s="31" t="s">
        <v>22</v>
      </c>
      <c r="AB6" s="32"/>
      <c r="AC6" s="29" t="s">
        <v>17</v>
      </c>
      <c r="AD6" s="30" t="s">
        <v>18</v>
      </c>
      <c r="AE6" s="31" t="s">
        <v>19</v>
      </c>
      <c r="AF6" s="31" t="s">
        <v>20</v>
      </c>
      <c r="AG6" s="31" t="s">
        <v>21</v>
      </c>
      <c r="AH6" s="31" t="s">
        <v>22</v>
      </c>
      <c r="AI6" s="32"/>
      <c r="AJ6" s="29" t="s">
        <v>17</v>
      </c>
      <c r="AK6" s="30" t="s">
        <v>18</v>
      </c>
      <c r="AL6" s="31" t="s">
        <v>19</v>
      </c>
      <c r="AM6" s="31" t="s">
        <v>20</v>
      </c>
      <c r="AN6" s="31" t="s">
        <v>21</v>
      </c>
      <c r="AO6" s="31" t="s">
        <v>22</v>
      </c>
      <c r="AP6" s="32"/>
    </row>
    <row r="7" spans="1:42" ht="19" customHeight="1" x14ac:dyDescent="0.25">
      <c r="A7" s="35" t="s">
        <v>24</v>
      </c>
      <c r="B7" s="36" t="s">
        <v>25</v>
      </c>
      <c r="C7" s="35" t="s">
        <v>19</v>
      </c>
      <c r="D7" s="115" t="s">
        <v>20</v>
      </c>
      <c r="E7" s="115" t="s">
        <v>21</v>
      </c>
      <c r="F7" s="115" t="s">
        <v>26</v>
      </c>
      <c r="G7" s="37"/>
      <c r="H7" s="115" t="s">
        <v>27</v>
      </c>
      <c r="I7" s="38" t="s">
        <v>25</v>
      </c>
      <c r="J7" s="35" t="s">
        <v>28</v>
      </c>
      <c r="K7" s="115" t="s">
        <v>20</v>
      </c>
      <c r="L7" s="115" t="s">
        <v>21</v>
      </c>
      <c r="M7" s="115" t="s">
        <v>26</v>
      </c>
      <c r="N7" s="140"/>
      <c r="O7" s="115" t="s">
        <v>29</v>
      </c>
      <c r="P7" s="36" t="s">
        <v>25</v>
      </c>
      <c r="Q7" s="115" t="s">
        <v>19</v>
      </c>
      <c r="R7" s="115" t="s">
        <v>20</v>
      </c>
      <c r="S7" s="115" t="s">
        <v>21</v>
      </c>
      <c r="T7" s="115" t="s">
        <v>26</v>
      </c>
      <c r="U7" s="37"/>
      <c r="V7" s="35" t="s">
        <v>30</v>
      </c>
      <c r="W7" s="36" t="s">
        <v>25</v>
      </c>
      <c r="X7" s="115" t="s">
        <v>19</v>
      </c>
      <c r="Y7" s="115" t="s">
        <v>20</v>
      </c>
      <c r="Z7" s="115" t="s">
        <v>21</v>
      </c>
      <c r="AA7" s="115" t="s">
        <v>26</v>
      </c>
      <c r="AB7" s="37"/>
      <c r="AC7" s="35" t="s">
        <v>30</v>
      </c>
      <c r="AD7" s="36" t="s">
        <v>25</v>
      </c>
      <c r="AE7" s="115" t="s">
        <v>19</v>
      </c>
      <c r="AF7" s="115" t="s">
        <v>20</v>
      </c>
      <c r="AG7" s="115" t="s">
        <v>21</v>
      </c>
      <c r="AH7" s="115" t="s">
        <v>26</v>
      </c>
      <c r="AI7" s="37"/>
      <c r="AJ7" s="35" t="s">
        <v>31</v>
      </c>
      <c r="AK7" s="36" t="s">
        <v>25</v>
      </c>
      <c r="AL7" s="115" t="s">
        <v>19</v>
      </c>
      <c r="AM7" s="115" t="s">
        <v>20</v>
      </c>
      <c r="AN7" s="115" t="s">
        <v>21</v>
      </c>
      <c r="AO7" s="115" t="s">
        <v>26</v>
      </c>
      <c r="AP7" s="37"/>
    </row>
    <row r="8" spans="1:42" ht="19" customHeight="1" x14ac:dyDescent="0.25">
      <c r="A8" s="35" t="s">
        <v>32</v>
      </c>
      <c r="B8" s="36" t="s">
        <v>33</v>
      </c>
      <c r="C8" s="35" t="s">
        <v>19</v>
      </c>
      <c r="D8" s="115" t="s">
        <v>20</v>
      </c>
      <c r="E8" s="115" t="s">
        <v>21</v>
      </c>
      <c r="F8" s="115" t="s">
        <v>26</v>
      </c>
      <c r="G8" s="37"/>
      <c r="H8" s="115" t="s">
        <v>34</v>
      </c>
      <c r="I8" s="38" t="s">
        <v>35</v>
      </c>
      <c r="J8" s="35" t="s">
        <v>19</v>
      </c>
      <c r="K8" s="115" t="s">
        <v>20</v>
      </c>
      <c r="L8" s="115" t="s">
        <v>21</v>
      </c>
      <c r="M8" s="115" t="s">
        <v>26</v>
      </c>
      <c r="N8" s="140"/>
      <c r="O8" s="115" t="s">
        <v>36</v>
      </c>
      <c r="P8" s="36" t="s">
        <v>35</v>
      </c>
      <c r="Q8" s="115" t="s">
        <v>19</v>
      </c>
      <c r="R8" s="115" t="s">
        <v>20</v>
      </c>
      <c r="S8" s="115" t="s">
        <v>21</v>
      </c>
      <c r="T8" s="115" t="s">
        <v>26</v>
      </c>
      <c r="U8" s="37"/>
      <c r="V8" s="35" t="s">
        <v>37</v>
      </c>
      <c r="W8" s="36" t="s">
        <v>35</v>
      </c>
      <c r="X8" s="115" t="s">
        <v>19</v>
      </c>
      <c r="Y8" s="115" t="s">
        <v>20</v>
      </c>
      <c r="Z8" s="115" t="s">
        <v>21</v>
      </c>
      <c r="AA8" s="115" t="s">
        <v>26</v>
      </c>
      <c r="AB8" s="37"/>
      <c r="AC8" s="35" t="s">
        <v>37</v>
      </c>
      <c r="AD8" s="36" t="s">
        <v>35</v>
      </c>
      <c r="AE8" s="115" t="s">
        <v>19</v>
      </c>
      <c r="AF8" s="115" t="s">
        <v>20</v>
      </c>
      <c r="AG8" s="115" t="s">
        <v>21</v>
      </c>
      <c r="AH8" s="115" t="s">
        <v>26</v>
      </c>
      <c r="AI8" s="37"/>
      <c r="AJ8" s="35" t="s">
        <v>38</v>
      </c>
      <c r="AK8" s="36" t="s">
        <v>35</v>
      </c>
      <c r="AL8" s="115" t="s">
        <v>19</v>
      </c>
      <c r="AM8" s="115" t="s">
        <v>20</v>
      </c>
      <c r="AN8" s="115" t="s">
        <v>21</v>
      </c>
      <c r="AO8" s="115" t="s">
        <v>26</v>
      </c>
      <c r="AP8" s="37"/>
    </row>
    <row r="9" spans="1:42" ht="19" customHeight="1" x14ac:dyDescent="0.25">
      <c r="A9" s="35" t="s">
        <v>39</v>
      </c>
      <c r="B9" s="36" t="s">
        <v>40</v>
      </c>
      <c r="C9" s="35" t="s">
        <v>19</v>
      </c>
      <c r="D9" s="115" t="s">
        <v>20</v>
      </c>
      <c r="E9" s="115" t="s">
        <v>41</v>
      </c>
      <c r="F9" s="115" t="s">
        <v>42</v>
      </c>
      <c r="G9" s="37"/>
      <c r="H9" s="115" t="s">
        <v>39</v>
      </c>
      <c r="I9" s="38" t="s">
        <v>40</v>
      </c>
      <c r="J9" s="35" t="s">
        <v>19</v>
      </c>
      <c r="K9" s="115" t="s">
        <v>20</v>
      </c>
      <c r="L9" s="115" t="s">
        <v>41</v>
      </c>
      <c r="M9" s="115" t="s">
        <v>42</v>
      </c>
      <c r="N9" s="140"/>
      <c r="O9" s="115" t="s">
        <v>43</v>
      </c>
      <c r="P9" s="36" t="s">
        <v>40</v>
      </c>
      <c r="Q9" s="115" t="s">
        <v>19</v>
      </c>
      <c r="R9" s="115" t="s">
        <v>20</v>
      </c>
      <c r="S9" s="115" t="s">
        <v>41</v>
      </c>
      <c r="T9" s="115" t="s">
        <v>42</v>
      </c>
      <c r="U9" s="37"/>
      <c r="V9" s="35" t="s">
        <v>44</v>
      </c>
      <c r="W9" s="36" t="s">
        <v>40</v>
      </c>
      <c r="X9" s="115" t="s">
        <v>19</v>
      </c>
      <c r="Y9" s="115" t="s">
        <v>20</v>
      </c>
      <c r="Z9" s="115" t="s">
        <v>21</v>
      </c>
      <c r="AA9" s="115" t="s">
        <v>26</v>
      </c>
      <c r="AB9" s="37"/>
      <c r="AC9" s="35" t="s">
        <v>44</v>
      </c>
      <c r="AD9" s="36" t="s">
        <v>40</v>
      </c>
      <c r="AE9" s="115" t="s">
        <v>19</v>
      </c>
      <c r="AF9" s="115" t="s">
        <v>20</v>
      </c>
      <c r="AG9" s="115" t="s">
        <v>21</v>
      </c>
      <c r="AH9" s="115" t="s">
        <v>26</v>
      </c>
      <c r="AI9" s="37"/>
      <c r="AJ9" s="35" t="s">
        <v>43</v>
      </c>
      <c r="AK9" s="36" t="s">
        <v>40</v>
      </c>
      <c r="AL9" s="115" t="s">
        <v>19</v>
      </c>
      <c r="AM9" s="115" t="s">
        <v>20</v>
      </c>
      <c r="AN9" s="115" t="s">
        <v>21</v>
      </c>
      <c r="AO9" s="115" t="s">
        <v>22</v>
      </c>
      <c r="AP9" s="37"/>
    </row>
    <row r="10" spans="1:42" ht="19" customHeight="1" x14ac:dyDescent="0.25">
      <c r="A10" s="35" t="s">
        <v>45</v>
      </c>
      <c r="B10" s="36" t="s">
        <v>46</v>
      </c>
      <c r="C10" s="115" t="s">
        <v>19</v>
      </c>
      <c r="D10" s="115" t="s">
        <v>20</v>
      </c>
      <c r="E10" s="115" t="s">
        <v>21</v>
      </c>
      <c r="F10" s="115" t="s">
        <v>26</v>
      </c>
      <c r="G10" s="37"/>
      <c r="H10" s="115" t="s">
        <v>47</v>
      </c>
      <c r="I10" s="38" t="s">
        <v>46</v>
      </c>
      <c r="J10" s="35" t="s">
        <v>28</v>
      </c>
      <c r="K10" s="115" t="s">
        <v>20</v>
      </c>
      <c r="L10" s="115" t="s">
        <v>41</v>
      </c>
      <c r="M10" s="115" t="s">
        <v>48</v>
      </c>
      <c r="N10" s="140"/>
      <c r="O10" s="115" t="s">
        <v>49</v>
      </c>
      <c r="P10" s="36" t="s">
        <v>46</v>
      </c>
      <c r="Q10" s="115" t="s">
        <v>19</v>
      </c>
      <c r="R10" s="115" t="s">
        <v>20</v>
      </c>
      <c r="S10" s="115" t="s">
        <v>41</v>
      </c>
      <c r="T10" s="115" t="s">
        <v>42</v>
      </c>
      <c r="U10" s="37"/>
      <c r="V10" s="35" t="s">
        <v>50</v>
      </c>
      <c r="W10" s="36" t="s">
        <v>46</v>
      </c>
      <c r="X10" s="115" t="s">
        <v>19</v>
      </c>
      <c r="Y10" s="115" t="s">
        <v>20</v>
      </c>
      <c r="Z10" s="115" t="s">
        <v>21</v>
      </c>
      <c r="AA10" s="115" t="s">
        <v>22</v>
      </c>
      <c r="AB10" s="37"/>
      <c r="AC10" s="35" t="s">
        <v>51</v>
      </c>
      <c r="AD10" s="36" t="s">
        <v>46</v>
      </c>
      <c r="AE10" s="115" t="s">
        <v>19</v>
      </c>
      <c r="AF10" s="115" t="s">
        <v>20</v>
      </c>
      <c r="AG10" s="115" t="s">
        <v>21</v>
      </c>
      <c r="AH10" s="115" t="s">
        <v>26</v>
      </c>
      <c r="AI10" s="37"/>
      <c r="AJ10" s="35" t="s">
        <v>52</v>
      </c>
      <c r="AK10" s="36" t="s">
        <v>46</v>
      </c>
      <c r="AL10" s="115" t="s">
        <v>19</v>
      </c>
      <c r="AM10" s="115" t="s">
        <v>20</v>
      </c>
      <c r="AN10" s="115" t="s">
        <v>41</v>
      </c>
      <c r="AO10" s="115" t="s">
        <v>42</v>
      </c>
      <c r="AP10" s="37"/>
    </row>
    <row r="11" spans="1:42" ht="19" customHeight="1" x14ac:dyDescent="0.25">
      <c r="A11" s="35" t="s">
        <v>53</v>
      </c>
      <c r="B11" s="36" t="s">
        <v>54</v>
      </c>
      <c r="C11" s="35" t="s">
        <v>19</v>
      </c>
      <c r="D11" s="115" t="s">
        <v>20</v>
      </c>
      <c r="E11" s="115" t="s">
        <v>21</v>
      </c>
      <c r="F11" s="115" t="s">
        <v>26</v>
      </c>
      <c r="G11" s="37"/>
      <c r="H11" s="115" t="s">
        <v>55</v>
      </c>
      <c r="I11" s="38" t="s">
        <v>54</v>
      </c>
      <c r="J11" s="35" t="s">
        <v>28</v>
      </c>
      <c r="K11" s="115" t="s">
        <v>20</v>
      </c>
      <c r="L11" s="115" t="s">
        <v>41</v>
      </c>
      <c r="M11" s="115" t="s">
        <v>48</v>
      </c>
      <c r="N11" s="140"/>
      <c r="O11" s="115" t="s">
        <v>56</v>
      </c>
      <c r="P11" s="36" t="s">
        <v>54</v>
      </c>
      <c r="Q11" s="115" t="s">
        <v>28</v>
      </c>
      <c r="R11" s="115" t="s">
        <v>20</v>
      </c>
      <c r="S11" s="115" t="s">
        <v>41</v>
      </c>
      <c r="T11" s="115" t="s">
        <v>48</v>
      </c>
      <c r="U11" s="37"/>
      <c r="V11" s="35" t="s">
        <v>57</v>
      </c>
      <c r="W11" s="36" t="s">
        <v>54</v>
      </c>
      <c r="X11" s="115" t="s">
        <v>28</v>
      </c>
      <c r="Y11" s="115" t="s">
        <v>20</v>
      </c>
      <c r="Z11" s="115" t="s">
        <v>21</v>
      </c>
      <c r="AA11" s="115" t="s">
        <v>26</v>
      </c>
      <c r="AB11" s="37"/>
      <c r="AC11" s="35" t="s">
        <v>50</v>
      </c>
      <c r="AD11" s="36" t="s">
        <v>54</v>
      </c>
      <c r="AE11" s="115" t="s">
        <v>19</v>
      </c>
      <c r="AF11" s="115" t="s">
        <v>20</v>
      </c>
      <c r="AG11" s="115" t="s">
        <v>21</v>
      </c>
      <c r="AH11" s="115" t="s">
        <v>22</v>
      </c>
      <c r="AI11" s="37"/>
      <c r="AJ11" s="35" t="s">
        <v>58</v>
      </c>
      <c r="AK11" s="36" t="s">
        <v>54</v>
      </c>
      <c r="AL11" s="115" t="s">
        <v>19</v>
      </c>
      <c r="AM11" s="115" t="s">
        <v>20</v>
      </c>
      <c r="AN11" s="115" t="s">
        <v>41</v>
      </c>
      <c r="AO11" s="115" t="s">
        <v>42</v>
      </c>
      <c r="AP11" s="37"/>
    </row>
    <row r="12" spans="1:42" ht="19" customHeight="1" x14ac:dyDescent="0.25">
      <c r="A12" s="35" t="s">
        <v>59</v>
      </c>
      <c r="B12" s="36" t="s">
        <v>60</v>
      </c>
      <c r="C12" s="35" t="s">
        <v>19</v>
      </c>
      <c r="D12" s="115" t="s">
        <v>20</v>
      </c>
      <c r="E12" s="115" t="s">
        <v>21</v>
      </c>
      <c r="F12" s="115" t="s">
        <v>22</v>
      </c>
      <c r="G12" s="37"/>
      <c r="H12" s="115" t="s">
        <v>61</v>
      </c>
      <c r="I12" s="38" t="s">
        <v>60</v>
      </c>
      <c r="J12" s="35" t="s">
        <v>28</v>
      </c>
      <c r="K12" s="115" t="s">
        <v>20</v>
      </c>
      <c r="L12" s="115" t="s">
        <v>41</v>
      </c>
      <c r="M12" s="115" t="s">
        <v>48</v>
      </c>
      <c r="N12" s="140"/>
      <c r="O12" s="115" t="s">
        <v>62</v>
      </c>
      <c r="P12" s="36" t="s">
        <v>60</v>
      </c>
      <c r="Q12" s="115" t="s">
        <v>28</v>
      </c>
      <c r="R12" s="115" t="s">
        <v>20</v>
      </c>
      <c r="S12" s="115" t="s">
        <v>41</v>
      </c>
      <c r="T12" s="115" t="s">
        <v>48</v>
      </c>
      <c r="U12" s="37"/>
      <c r="V12" s="35" t="s">
        <v>63</v>
      </c>
      <c r="W12" s="36" t="s">
        <v>60</v>
      </c>
      <c r="X12" s="115" t="s">
        <v>28</v>
      </c>
      <c r="Y12" s="115" t="s">
        <v>20</v>
      </c>
      <c r="Z12" s="115" t="s">
        <v>41</v>
      </c>
      <c r="AA12" s="115" t="s">
        <v>48</v>
      </c>
      <c r="AB12" s="37"/>
      <c r="AC12" s="35" t="s">
        <v>45</v>
      </c>
      <c r="AD12" s="36" t="s">
        <v>60</v>
      </c>
      <c r="AE12" s="115" t="s">
        <v>19</v>
      </c>
      <c r="AF12" s="115" t="s">
        <v>20</v>
      </c>
      <c r="AG12" s="115" t="s">
        <v>41</v>
      </c>
      <c r="AH12" s="115" t="s">
        <v>42</v>
      </c>
      <c r="AI12" s="37"/>
      <c r="AJ12" s="35" t="s">
        <v>64</v>
      </c>
      <c r="AK12" s="36" t="s">
        <v>60</v>
      </c>
      <c r="AL12" s="115" t="s">
        <v>28</v>
      </c>
      <c r="AM12" s="115" t="s">
        <v>20</v>
      </c>
      <c r="AN12" s="115" t="s">
        <v>21</v>
      </c>
      <c r="AO12" s="115" t="s">
        <v>26</v>
      </c>
      <c r="AP12" s="37"/>
    </row>
    <row r="13" spans="1:42" ht="19" customHeight="1" x14ac:dyDescent="0.25">
      <c r="A13" s="39" t="s">
        <v>65</v>
      </c>
      <c r="B13" s="36" t="s">
        <v>66</v>
      </c>
      <c r="C13" s="35" t="s">
        <v>19</v>
      </c>
      <c r="D13" s="115" t="s">
        <v>20</v>
      </c>
      <c r="E13" s="115" t="s">
        <v>21</v>
      </c>
      <c r="F13" s="115" t="s">
        <v>26</v>
      </c>
      <c r="G13" s="37"/>
      <c r="H13" s="115" t="s">
        <v>67</v>
      </c>
      <c r="I13" s="38" t="s">
        <v>66</v>
      </c>
      <c r="J13" s="35" t="s">
        <v>28</v>
      </c>
      <c r="K13" s="115" t="s">
        <v>20</v>
      </c>
      <c r="L13" s="115" t="s">
        <v>41</v>
      </c>
      <c r="M13" s="115" t="s">
        <v>48</v>
      </c>
      <c r="N13" s="140"/>
      <c r="O13" s="115" t="s">
        <v>68</v>
      </c>
      <c r="P13" s="36" t="s">
        <v>66</v>
      </c>
      <c r="Q13" s="115" t="s">
        <v>28</v>
      </c>
      <c r="R13" s="115" t="s">
        <v>20</v>
      </c>
      <c r="S13" s="115" t="s">
        <v>41</v>
      </c>
      <c r="T13" s="115" t="s">
        <v>48</v>
      </c>
      <c r="U13" s="37"/>
      <c r="V13" s="35" t="s">
        <v>69</v>
      </c>
      <c r="W13" s="36" t="s">
        <v>66</v>
      </c>
      <c r="X13" s="115" t="s">
        <v>28</v>
      </c>
      <c r="Y13" s="115" t="s">
        <v>20</v>
      </c>
      <c r="Z13" s="115" t="s">
        <v>41</v>
      </c>
      <c r="AA13" s="115" t="s">
        <v>48</v>
      </c>
      <c r="AB13" s="37"/>
      <c r="AC13" s="35" t="s">
        <v>70</v>
      </c>
      <c r="AD13" s="36" t="s">
        <v>66</v>
      </c>
      <c r="AE13" s="115" t="s">
        <v>28</v>
      </c>
      <c r="AF13" s="115" t="s">
        <v>20</v>
      </c>
      <c r="AG13" s="115" t="s">
        <v>21</v>
      </c>
      <c r="AH13" s="115" t="s">
        <v>26</v>
      </c>
      <c r="AI13" s="37"/>
      <c r="AJ13" s="35" t="s">
        <v>71</v>
      </c>
      <c r="AK13" s="36" t="s">
        <v>66</v>
      </c>
      <c r="AL13" s="115" t="s">
        <v>28</v>
      </c>
      <c r="AM13" s="115" t="s">
        <v>20</v>
      </c>
      <c r="AN13" s="115" t="s">
        <v>21</v>
      </c>
      <c r="AO13" s="115" t="s">
        <v>26</v>
      </c>
      <c r="AP13" s="37"/>
    </row>
    <row r="14" spans="1:42" ht="19" customHeight="1" x14ac:dyDescent="0.25">
      <c r="A14" s="40" t="s">
        <v>72</v>
      </c>
      <c r="B14" s="41" t="s">
        <v>73</v>
      </c>
      <c r="C14" s="40" t="s">
        <v>19</v>
      </c>
      <c r="D14" s="42" t="s">
        <v>20</v>
      </c>
      <c r="E14" s="42" t="s">
        <v>21</v>
      </c>
      <c r="F14" s="42" t="s">
        <v>26</v>
      </c>
      <c r="G14" s="43"/>
      <c r="H14" s="115" t="s">
        <v>74</v>
      </c>
      <c r="I14" s="38" t="s">
        <v>73</v>
      </c>
      <c r="J14" s="35" t="s">
        <v>28</v>
      </c>
      <c r="K14" s="115" t="s">
        <v>20</v>
      </c>
      <c r="L14" s="115" t="s">
        <v>41</v>
      </c>
      <c r="M14" s="115" t="s">
        <v>48</v>
      </c>
      <c r="N14" s="140"/>
      <c r="O14" s="115" t="s">
        <v>75</v>
      </c>
      <c r="P14" s="36" t="s">
        <v>73</v>
      </c>
      <c r="Q14" s="115" t="s">
        <v>28</v>
      </c>
      <c r="R14" s="115" t="s">
        <v>20</v>
      </c>
      <c r="S14" s="115" t="s">
        <v>41</v>
      </c>
      <c r="T14" s="115" t="s">
        <v>48</v>
      </c>
      <c r="U14" s="37"/>
      <c r="V14" s="40" t="s">
        <v>76</v>
      </c>
      <c r="W14" s="41" t="s">
        <v>73</v>
      </c>
      <c r="X14" s="42" t="s">
        <v>28</v>
      </c>
      <c r="Y14" s="42" t="s">
        <v>20</v>
      </c>
      <c r="Z14" s="42" t="s">
        <v>41</v>
      </c>
      <c r="AA14" s="42" t="s">
        <v>48</v>
      </c>
      <c r="AB14" s="43"/>
      <c r="AC14" s="35" t="s">
        <v>77</v>
      </c>
      <c r="AD14" s="36" t="s">
        <v>73</v>
      </c>
      <c r="AE14" s="115" t="s">
        <v>28</v>
      </c>
      <c r="AF14" s="115" t="s">
        <v>20</v>
      </c>
      <c r="AG14" s="115" t="s">
        <v>21</v>
      </c>
      <c r="AH14" s="115" t="s">
        <v>26</v>
      </c>
      <c r="AI14" s="37"/>
      <c r="AJ14" s="35" t="s">
        <v>78</v>
      </c>
      <c r="AK14" s="36" t="s">
        <v>73</v>
      </c>
      <c r="AL14" s="115" t="s">
        <v>28</v>
      </c>
      <c r="AM14" s="115" t="s">
        <v>20</v>
      </c>
      <c r="AN14" s="115" t="s">
        <v>21</v>
      </c>
      <c r="AO14" s="115" t="s">
        <v>26</v>
      </c>
      <c r="AP14" s="37"/>
    </row>
    <row r="15" spans="1:42" ht="19" customHeight="1" x14ac:dyDescent="0.25">
      <c r="A15" s="176" t="s">
        <v>79</v>
      </c>
      <c r="B15" s="177"/>
      <c r="C15" s="166"/>
      <c r="D15" s="166"/>
      <c r="E15" s="166"/>
      <c r="F15" s="166"/>
      <c r="G15" s="191"/>
      <c r="H15" s="115" t="s">
        <v>80</v>
      </c>
      <c r="I15" s="38" t="s">
        <v>81</v>
      </c>
      <c r="J15" s="35" t="s">
        <v>28</v>
      </c>
      <c r="K15" s="115" t="s">
        <v>20</v>
      </c>
      <c r="L15" s="115" t="s">
        <v>41</v>
      </c>
      <c r="M15" s="115" t="s">
        <v>48</v>
      </c>
      <c r="N15" s="140"/>
      <c r="O15" s="115" t="s">
        <v>82</v>
      </c>
      <c r="P15" s="36" t="s">
        <v>81</v>
      </c>
      <c r="Q15" s="115" t="s">
        <v>28</v>
      </c>
      <c r="R15" s="115" t="s">
        <v>20</v>
      </c>
      <c r="S15" s="115" t="s">
        <v>41</v>
      </c>
      <c r="T15" s="115" t="s">
        <v>48</v>
      </c>
      <c r="U15" s="37"/>
      <c r="V15" s="166" t="s">
        <v>83</v>
      </c>
      <c r="W15" s="166"/>
      <c r="X15" s="166"/>
      <c r="Y15" s="166"/>
      <c r="Z15" s="166"/>
      <c r="AA15" s="166"/>
      <c r="AB15" s="191"/>
      <c r="AC15" s="35" t="s">
        <v>84</v>
      </c>
      <c r="AD15" s="36" t="s">
        <v>81</v>
      </c>
      <c r="AE15" s="115" t="s">
        <v>28</v>
      </c>
      <c r="AF15" s="115" t="s">
        <v>20</v>
      </c>
      <c r="AG15" s="115" t="s">
        <v>41</v>
      </c>
      <c r="AH15" s="115" t="s">
        <v>48</v>
      </c>
      <c r="AI15" s="37"/>
      <c r="AJ15" s="35" t="s">
        <v>85</v>
      </c>
      <c r="AK15" s="36" t="s">
        <v>81</v>
      </c>
      <c r="AL15" s="115" t="s">
        <v>28</v>
      </c>
      <c r="AM15" s="115" t="s">
        <v>20</v>
      </c>
      <c r="AN15" s="115" t="s">
        <v>41</v>
      </c>
      <c r="AO15" s="115" t="s">
        <v>48</v>
      </c>
      <c r="AP15" s="37"/>
    </row>
    <row r="16" spans="1:42" ht="19" customHeight="1" x14ac:dyDescent="0.25">
      <c r="A16" s="165" t="s">
        <v>86</v>
      </c>
      <c r="B16" s="166"/>
      <c r="C16" s="166"/>
      <c r="D16" s="166"/>
      <c r="E16" s="166"/>
      <c r="F16" s="166"/>
      <c r="G16" s="191"/>
      <c r="H16" s="115" t="s">
        <v>87</v>
      </c>
      <c r="I16" s="38" t="s">
        <v>88</v>
      </c>
      <c r="J16" s="35" t="s">
        <v>28</v>
      </c>
      <c r="K16" s="115" t="s">
        <v>20</v>
      </c>
      <c r="L16" s="115" t="s">
        <v>41</v>
      </c>
      <c r="M16" s="115" t="s">
        <v>48</v>
      </c>
      <c r="N16" s="140"/>
      <c r="O16" s="115" t="s">
        <v>89</v>
      </c>
      <c r="P16" s="36" t="s">
        <v>88</v>
      </c>
      <c r="Q16" s="115" t="s">
        <v>28</v>
      </c>
      <c r="R16" s="115" t="s">
        <v>20</v>
      </c>
      <c r="S16" s="115" t="s">
        <v>41</v>
      </c>
      <c r="T16" s="115" t="s">
        <v>48</v>
      </c>
      <c r="U16" s="37"/>
      <c r="V16" s="166" t="s">
        <v>90</v>
      </c>
      <c r="W16" s="166"/>
      <c r="X16" s="166"/>
      <c r="Y16" s="166"/>
      <c r="Z16" s="166"/>
      <c r="AA16" s="166"/>
      <c r="AB16" s="191"/>
      <c r="AC16" s="35" t="s">
        <v>69</v>
      </c>
      <c r="AD16" s="36" t="s">
        <v>88</v>
      </c>
      <c r="AE16" s="115" t="s">
        <v>28</v>
      </c>
      <c r="AF16" s="115" t="s">
        <v>20</v>
      </c>
      <c r="AG16" s="115" t="s">
        <v>21</v>
      </c>
      <c r="AH16" s="115" t="s">
        <v>22</v>
      </c>
      <c r="AI16" s="37"/>
      <c r="AJ16" s="35" t="s">
        <v>91</v>
      </c>
      <c r="AK16" s="36" t="s">
        <v>88</v>
      </c>
      <c r="AL16" s="115" t="s">
        <v>28</v>
      </c>
      <c r="AM16" s="115" t="s">
        <v>20</v>
      </c>
      <c r="AN16" s="115" t="s">
        <v>41</v>
      </c>
      <c r="AO16" s="115" t="s">
        <v>48</v>
      </c>
      <c r="AP16" s="37"/>
    </row>
    <row r="17" spans="1:42" ht="19" customHeight="1" x14ac:dyDescent="0.25">
      <c r="A17" s="204" t="s">
        <v>92</v>
      </c>
      <c r="B17" s="205"/>
      <c r="C17" s="205"/>
      <c r="D17" s="205"/>
      <c r="E17" s="205"/>
      <c r="F17" s="205"/>
      <c r="G17" s="206"/>
      <c r="H17" s="115" t="s">
        <v>93</v>
      </c>
      <c r="I17" s="38" t="s">
        <v>94</v>
      </c>
      <c r="J17" s="35" t="s">
        <v>28</v>
      </c>
      <c r="K17" s="115" t="s">
        <v>20</v>
      </c>
      <c r="L17" s="115" t="s">
        <v>41</v>
      </c>
      <c r="M17" s="115" t="s">
        <v>48</v>
      </c>
      <c r="N17" s="140"/>
      <c r="O17" s="115" t="s">
        <v>95</v>
      </c>
      <c r="P17" s="36" t="s">
        <v>94</v>
      </c>
      <c r="Q17" s="115" t="s">
        <v>28</v>
      </c>
      <c r="R17" s="115" t="s">
        <v>20</v>
      </c>
      <c r="S17" s="115" t="s">
        <v>41</v>
      </c>
      <c r="T17" s="115" t="s">
        <v>48</v>
      </c>
      <c r="U17" s="37"/>
      <c r="V17" s="262" t="s">
        <v>92</v>
      </c>
      <c r="W17" s="262"/>
      <c r="X17" s="262"/>
      <c r="Y17" s="262"/>
      <c r="Z17" s="262"/>
      <c r="AA17" s="262"/>
      <c r="AB17" s="265"/>
      <c r="AC17" s="40" t="s">
        <v>76</v>
      </c>
      <c r="AD17" s="41" t="s">
        <v>94</v>
      </c>
      <c r="AE17" s="42" t="s">
        <v>28</v>
      </c>
      <c r="AF17" s="42" t="s">
        <v>20</v>
      </c>
      <c r="AG17" s="42" t="s">
        <v>41</v>
      </c>
      <c r="AH17" s="42" t="s">
        <v>48</v>
      </c>
      <c r="AI17" s="43"/>
      <c r="AJ17" s="166" t="s">
        <v>83</v>
      </c>
      <c r="AK17" s="166"/>
      <c r="AL17" s="166"/>
      <c r="AM17" s="166"/>
      <c r="AN17" s="166"/>
      <c r="AO17" s="166"/>
      <c r="AP17" s="191"/>
    </row>
    <row r="18" spans="1:42" ht="19" customHeight="1" x14ac:dyDescent="0.25">
      <c r="A18" s="176" t="s">
        <v>96</v>
      </c>
      <c r="B18" s="177"/>
      <c r="C18" s="177"/>
      <c r="D18" s="177"/>
      <c r="E18" s="177"/>
      <c r="F18" s="177"/>
      <c r="G18" s="190"/>
      <c r="H18" s="115" t="s">
        <v>97</v>
      </c>
      <c r="I18" s="38" t="s">
        <v>98</v>
      </c>
      <c r="J18" s="35" t="s">
        <v>28</v>
      </c>
      <c r="K18" s="115" t="s">
        <v>20</v>
      </c>
      <c r="L18" s="115" t="s">
        <v>41</v>
      </c>
      <c r="M18" s="115" t="s">
        <v>48</v>
      </c>
      <c r="N18" s="140"/>
      <c r="O18" s="115" t="s">
        <v>99</v>
      </c>
      <c r="P18" s="36" t="s">
        <v>98</v>
      </c>
      <c r="Q18" s="115" t="s">
        <v>28</v>
      </c>
      <c r="R18" s="115" t="s">
        <v>20</v>
      </c>
      <c r="S18" s="115" t="s">
        <v>41</v>
      </c>
      <c r="T18" s="115" t="s">
        <v>48</v>
      </c>
      <c r="U18" s="37"/>
      <c r="V18" s="177" t="s">
        <v>100</v>
      </c>
      <c r="W18" s="177"/>
      <c r="X18" s="177"/>
      <c r="Y18" s="177"/>
      <c r="Z18" s="177"/>
      <c r="AA18" s="177"/>
      <c r="AB18" s="190"/>
      <c r="AC18" s="166" t="s">
        <v>83</v>
      </c>
      <c r="AD18" s="166"/>
      <c r="AE18" s="166"/>
      <c r="AF18" s="166"/>
      <c r="AG18" s="166"/>
      <c r="AH18" s="166"/>
      <c r="AI18" s="191"/>
      <c r="AJ18" s="166" t="s">
        <v>101</v>
      </c>
      <c r="AK18" s="166"/>
      <c r="AL18" s="166"/>
      <c r="AM18" s="166"/>
      <c r="AN18" s="166"/>
      <c r="AO18" s="166"/>
      <c r="AP18" s="191"/>
    </row>
    <row r="19" spans="1:42" ht="19" customHeight="1" x14ac:dyDescent="0.25">
      <c r="A19" s="165" t="s">
        <v>102</v>
      </c>
      <c r="B19" s="166"/>
      <c r="C19" s="166"/>
      <c r="D19" s="166"/>
      <c r="E19" s="166"/>
      <c r="F19" s="166"/>
      <c r="G19" s="191"/>
      <c r="H19" s="115" t="s">
        <v>103</v>
      </c>
      <c r="I19" s="38" t="s">
        <v>104</v>
      </c>
      <c r="J19" s="35" t="s">
        <v>28</v>
      </c>
      <c r="K19" s="115" t="s">
        <v>20</v>
      </c>
      <c r="L19" s="115" t="s">
        <v>41</v>
      </c>
      <c r="M19" s="115" t="s">
        <v>48</v>
      </c>
      <c r="N19" s="140"/>
      <c r="O19" s="115" t="s">
        <v>105</v>
      </c>
      <c r="P19" s="36" t="s">
        <v>104</v>
      </c>
      <c r="Q19" s="115" t="s">
        <v>28</v>
      </c>
      <c r="R19" s="115" t="s">
        <v>20</v>
      </c>
      <c r="S19" s="115" t="s">
        <v>41</v>
      </c>
      <c r="T19" s="115" t="s">
        <v>48</v>
      </c>
      <c r="U19" s="37"/>
      <c r="V19" s="166" t="s">
        <v>106</v>
      </c>
      <c r="W19" s="166"/>
      <c r="X19" s="166"/>
      <c r="Y19" s="166"/>
      <c r="Z19" s="166"/>
      <c r="AA19" s="166"/>
      <c r="AB19" s="191"/>
      <c r="AC19" s="166" t="s">
        <v>107</v>
      </c>
      <c r="AD19" s="166"/>
      <c r="AE19" s="166"/>
      <c r="AF19" s="166"/>
      <c r="AG19" s="166"/>
      <c r="AH19" s="166"/>
      <c r="AI19" s="191"/>
      <c r="AJ19" s="248" t="s">
        <v>92</v>
      </c>
      <c r="AK19" s="249"/>
      <c r="AL19" s="249"/>
      <c r="AM19" s="249"/>
      <c r="AN19" s="249"/>
      <c r="AO19" s="249"/>
      <c r="AP19" s="250"/>
    </row>
    <row r="20" spans="1:42" ht="19" customHeight="1" x14ac:dyDescent="0.25">
      <c r="A20" s="165" t="s">
        <v>108</v>
      </c>
      <c r="B20" s="166"/>
      <c r="C20" s="166"/>
      <c r="D20" s="166"/>
      <c r="E20" s="166"/>
      <c r="F20" s="166"/>
      <c r="G20" s="191"/>
      <c r="H20" s="115" t="s">
        <v>109</v>
      </c>
      <c r="I20" s="38" t="s">
        <v>110</v>
      </c>
      <c r="J20" s="35" t="s">
        <v>28</v>
      </c>
      <c r="K20" s="115" t="s">
        <v>20</v>
      </c>
      <c r="L20" s="115" t="s">
        <v>41</v>
      </c>
      <c r="M20" s="115" t="s">
        <v>48</v>
      </c>
      <c r="N20" s="140"/>
      <c r="O20" s="115" t="s">
        <v>111</v>
      </c>
      <c r="P20" s="36" t="s">
        <v>110</v>
      </c>
      <c r="Q20" s="115" t="s">
        <v>28</v>
      </c>
      <c r="R20" s="115" t="s">
        <v>20</v>
      </c>
      <c r="S20" s="115" t="s">
        <v>41</v>
      </c>
      <c r="T20" s="115" t="s">
        <v>48</v>
      </c>
      <c r="U20" s="37"/>
      <c r="V20" s="157" t="s">
        <v>112</v>
      </c>
      <c r="W20" s="158"/>
      <c r="X20" s="158"/>
      <c r="Y20" s="158"/>
      <c r="Z20" s="158"/>
      <c r="AA20" s="158"/>
      <c r="AB20" s="140"/>
      <c r="AC20" s="219" t="s">
        <v>92</v>
      </c>
      <c r="AD20" s="220"/>
      <c r="AE20" s="220"/>
      <c r="AF20" s="220"/>
      <c r="AG20" s="220"/>
      <c r="AH20" s="220"/>
      <c r="AI20" s="221"/>
      <c r="AJ20" s="165" t="s">
        <v>113</v>
      </c>
      <c r="AK20" s="166"/>
      <c r="AL20" s="166"/>
      <c r="AM20" s="166"/>
      <c r="AN20" s="166"/>
      <c r="AO20" s="166"/>
      <c r="AP20" s="191"/>
    </row>
    <row r="21" spans="1:42" ht="19" customHeight="1" x14ac:dyDescent="0.25">
      <c r="A21" s="204" t="s">
        <v>114</v>
      </c>
      <c r="B21" s="205"/>
      <c r="C21" s="205"/>
      <c r="D21" s="205"/>
      <c r="E21" s="205"/>
      <c r="F21" s="205"/>
      <c r="G21" s="206"/>
      <c r="H21" s="115" t="s">
        <v>115</v>
      </c>
      <c r="I21" s="38" t="s">
        <v>116</v>
      </c>
      <c r="J21" s="35" t="s">
        <v>28</v>
      </c>
      <c r="K21" s="115" t="s">
        <v>20</v>
      </c>
      <c r="L21" s="115" t="s">
        <v>41</v>
      </c>
      <c r="M21" s="115" t="s">
        <v>48</v>
      </c>
      <c r="N21" s="140"/>
      <c r="O21" s="115" t="s">
        <v>117</v>
      </c>
      <c r="P21" s="41" t="s">
        <v>116</v>
      </c>
      <c r="Q21" s="42" t="s">
        <v>28</v>
      </c>
      <c r="R21" s="42" t="s">
        <v>20</v>
      </c>
      <c r="S21" s="42" t="s">
        <v>41</v>
      </c>
      <c r="T21" s="42" t="s">
        <v>48</v>
      </c>
      <c r="U21" s="43"/>
      <c r="V21" s="262" t="s">
        <v>114</v>
      </c>
      <c r="W21" s="262"/>
      <c r="X21" s="262"/>
      <c r="Y21" s="262"/>
      <c r="Z21" s="262"/>
      <c r="AA21" s="262"/>
      <c r="AB21" s="262"/>
      <c r="AC21" s="165" t="s">
        <v>118</v>
      </c>
      <c r="AD21" s="166"/>
      <c r="AE21" s="166"/>
      <c r="AF21" s="166"/>
      <c r="AG21" s="166"/>
      <c r="AH21" s="166"/>
      <c r="AI21" s="191"/>
      <c r="AJ21" s="165" t="s">
        <v>119</v>
      </c>
      <c r="AK21" s="166"/>
      <c r="AL21" s="166"/>
      <c r="AM21" s="166"/>
      <c r="AN21" s="166"/>
      <c r="AO21" s="166"/>
      <c r="AP21" s="191"/>
    </row>
    <row r="22" spans="1:42" ht="19" customHeight="1" x14ac:dyDescent="0.25">
      <c r="A22" s="165" t="s">
        <v>120</v>
      </c>
      <c r="B22" s="166"/>
      <c r="C22" s="166"/>
      <c r="D22" s="166"/>
      <c r="E22" s="166"/>
      <c r="F22" s="166"/>
      <c r="G22" s="191"/>
      <c r="H22" s="115" t="s">
        <v>121</v>
      </c>
      <c r="I22" s="38" t="s">
        <v>122</v>
      </c>
      <c r="J22" s="35" t="s">
        <v>28</v>
      </c>
      <c r="K22" s="115" t="s">
        <v>20</v>
      </c>
      <c r="L22" s="115" t="s">
        <v>41</v>
      </c>
      <c r="M22" s="115" t="s">
        <v>48</v>
      </c>
      <c r="N22" s="140"/>
      <c r="O22" s="177" t="s">
        <v>83</v>
      </c>
      <c r="P22" s="166"/>
      <c r="Q22" s="166"/>
      <c r="R22" s="166"/>
      <c r="S22" s="166"/>
      <c r="T22" s="166"/>
      <c r="U22" s="191"/>
      <c r="V22" s="177" t="s">
        <v>120</v>
      </c>
      <c r="W22" s="177"/>
      <c r="X22" s="177"/>
      <c r="Y22" s="177"/>
      <c r="Z22" s="177"/>
      <c r="AA22" s="177"/>
      <c r="AB22" s="177"/>
      <c r="AC22" s="165" t="s">
        <v>123</v>
      </c>
      <c r="AD22" s="166"/>
      <c r="AE22" s="166"/>
      <c r="AF22" s="166"/>
      <c r="AG22" s="166"/>
      <c r="AH22" s="166"/>
      <c r="AI22" s="191"/>
      <c r="AJ22" s="249" t="s">
        <v>114</v>
      </c>
      <c r="AK22" s="249"/>
      <c r="AL22" s="249"/>
      <c r="AM22" s="249"/>
      <c r="AN22" s="249"/>
      <c r="AO22" s="249"/>
      <c r="AP22" s="250"/>
    </row>
    <row r="23" spans="1:42" ht="19" customHeight="1" x14ac:dyDescent="0.25">
      <c r="A23" s="165" t="s">
        <v>124</v>
      </c>
      <c r="B23" s="166"/>
      <c r="C23" s="166"/>
      <c r="D23" s="166"/>
      <c r="E23" s="166"/>
      <c r="F23" s="166"/>
      <c r="G23" s="191"/>
      <c r="H23" s="115" t="s">
        <v>125</v>
      </c>
      <c r="I23" s="38" t="s">
        <v>126</v>
      </c>
      <c r="J23" s="35" t="s">
        <v>28</v>
      </c>
      <c r="K23" s="115" t="s">
        <v>20</v>
      </c>
      <c r="L23" s="115" t="s">
        <v>41</v>
      </c>
      <c r="M23" s="115" t="s">
        <v>48</v>
      </c>
      <c r="N23" s="140"/>
      <c r="O23" s="166" t="s">
        <v>127</v>
      </c>
      <c r="P23" s="166"/>
      <c r="Q23" s="166"/>
      <c r="R23" s="166"/>
      <c r="S23" s="166"/>
      <c r="T23" s="166"/>
      <c r="U23" s="191"/>
      <c r="V23" s="166" t="s">
        <v>128</v>
      </c>
      <c r="W23" s="166"/>
      <c r="X23" s="166"/>
      <c r="Y23" s="166"/>
      <c r="Z23" s="166"/>
      <c r="AA23" s="166"/>
      <c r="AB23" s="166"/>
      <c r="AC23" s="157" t="s">
        <v>129</v>
      </c>
      <c r="AD23" s="158"/>
      <c r="AE23" s="158"/>
      <c r="AF23" s="158"/>
      <c r="AG23" s="158"/>
      <c r="AH23" s="158"/>
      <c r="AI23" s="44"/>
      <c r="AJ23" s="177" t="s">
        <v>120</v>
      </c>
      <c r="AK23" s="177"/>
      <c r="AL23" s="177"/>
      <c r="AM23" s="177"/>
      <c r="AN23" s="177"/>
      <c r="AO23" s="177"/>
      <c r="AP23" s="190"/>
    </row>
    <row r="24" spans="1:42" ht="19" customHeight="1" x14ac:dyDescent="0.25">
      <c r="A24" s="165" t="s">
        <v>130</v>
      </c>
      <c r="B24" s="166"/>
      <c r="C24" s="166"/>
      <c r="D24" s="166"/>
      <c r="E24" s="166"/>
      <c r="F24" s="166"/>
      <c r="G24" s="191"/>
      <c r="H24" s="115" t="s">
        <v>131</v>
      </c>
      <c r="I24" s="38" t="s">
        <v>132</v>
      </c>
      <c r="J24" s="35" t="s">
        <v>28</v>
      </c>
      <c r="K24" s="115" t="s">
        <v>20</v>
      </c>
      <c r="L24" s="115" t="s">
        <v>41</v>
      </c>
      <c r="M24" s="115" t="s">
        <v>48</v>
      </c>
      <c r="N24" s="140"/>
      <c r="O24" s="228" t="s">
        <v>92</v>
      </c>
      <c r="P24" s="228"/>
      <c r="Q24" s="228"/>
      <c r="R24" s="228"/>
      <c r="S24" s="228"/>
      <c r="T24" s="228"/>
      <c r="U24" s="229"/>
      <c r="V24" s="166" t="s">
        <v>133</v>
      </c>
      <c r="W24" s="166"/>
      <c r="X24" s="166"/>
      <c r="Y24" s="166"/>
      <c r="Z24" s="166"/>
      <c r="AA24" s="166"/>
      <c r="AB24" s="166"/>
      <c r="AC24" s="220" t="s">
        <v>114</v>
      </c>
      <c r="AD24" s="220"/>
      <c r="AE24" s="220"/>
      <c r="AF24" s="220"/>
      <c r="AG24" s="220"/>
      <c r="AH24" s="220"/>
      <c r="AI24" s="221"/>
      <c r="AJ24" s="166" t="s">
        <v>134</v>
      </c>
      <c r="AK24" s="166"/>
      <c r="AL24" s="166"/>
      <c r="AM24" s="166"/>
      <c r="AN24" s="166"/>
      <c r="AO24" s="166"/>
      <c r="AP24" s="191"/>
    </row>
    <row r="25" spans="1:42" ht="19" customHeight="1" x14ac:dyDescent="0.25">
      <c r="A25" s="165" t="s">
        <v>135</v>
      </c>
      <c r="B25" s="166"/>
      <c r="C25" s="166"/>
      <c r="D25" s="166"/>
      <c r="E25" s="166"/>
      <c r="F25" s="166"/>
      <c r="G25" s="191"/>
      <c r="H25" s="115" t="s">
        <v>136</v>
      </c>
      <c r="I25" s="38" t="s">
        <v>137</v>
      </c>
      <c r="J25" s="35" t="s">
        <v>28</v>
      </c>
      <c r="K25" s="115" t="s">
        <v>20</v>
      </c>
      <c r="L25" s="115" t="s">
        <v>41</v>
      </c>
      <c r="M25" s="115" t="s">
        <v>48</v>
      </c>
      <c r="N25" s="140"/>
      <c r="O25" s="177" t="s">
        <v>138</v>
      </c>
      <c r="P25" s="177"/>
      <c r="Q25" s="177"/>
      <c r="R25" s="177"/>
      <c r="S25" s="177"/>
      <c r="T25" s="177"/>
      <c r="U25" s="190"/>
      <c r="V25" s="155" t="s">
        <v>139</v>
      </c>
      <c r="W25" s="156"/>
      <c r="X25" s="156"/>
      <c r="Y25" s="156"/>
      <c r="Z25" s="156"/>
      <c r="AA25" s="156"/>
      <c r="AB25" s="218"/>
      <c r="AC25" s="177" t="s">
        <v>120</v>
      </c>
      <c r="AD25" s="177"/>
      <c r="AE25" s="177"/>
      <c r="AF25" s="177"/>
      <c r="AG25" s="177"/>
      <c r="AH25" s="177"/>
      <c r="AI25" s="190"/>
      <c r="AJ25" s="166" t="s">
        <v>140</v>
      </c>
      <c r="AK25" s="166"/>
      <c r="AL25" s="166"/>
      <c r="AM25" s="166"/>
      <c r="AN25" s="166"/>
      <c r="AO25" s="166"/>
      <c r="AP25" s="191"/>
    </row>
    <row r="26" spans="1:42" ht="19" customHeight="1" x14ac:dyDescent="0.25">
      <c r="A26" s="165" t="s">
        <v>141</v>
      </c>
      <c r="B26" s="166"/>
      <c r="C26" s="166"/>
      <c r="D26" s="166"/>
      <c r="E26" s="166"/>
      <c r="F26" s="166"/>
      <c r="G26" s="191"/>
      <c r="H26" s="115" t="s">
        <v>142</v>
      </c>
      <c r="I26" s="38" t="s">
        <v>143</v>
      </c>
      <c r="J26" s="35" t="s">
        <v>28</v>
      </c>
      <c r="K26" s="115" t="s">
        <v>20</v>
      </c>
      <c r="L26" s="115" t="s">
        <v>41</v>
      </c>
      <c r="M26" s="115" t="s">
        <v>48</v>
      </c>
      <c r="N26" s="140"/>
      <c r="O26" s="166" t="s">
        <v>144</v>
      </c>
      <c r="P26" s="166"/>
      <c r="Q26" s="166"/>
      <c r="R26" s="166"/>
      <c r="S26" s="166"/>
      <c r="T26" s="166"/>
      <c r="U26" s="191"/>
      <c r="V26" s="155" t="s">
        <v>145</v>
      </c>
      <c r="W26" s="156"/>
      <c r="X26" s="156"/>
      <c r="Y26" s="156"/>
      <c r="Z26" s="156"/>
      <c r="AA26" s="156"/>
      <c r="AB26" s="45"/>
      <c r="AC26" s="166" t="s">
        <v>620</v>
      </c>
      <c r="AD26" s="166"/>
      <c r="AE26" s="166"/>
      <c r="AF26" s="166"/>
      <c r="AG26" s="166"/>
      <c r="AH26" s="166"/>
      <c r="AI26" s="191"/>
      <c r="AJ26" s="155" t="s">
        <v>146</v>
      </c>
      <c r="AK26" s="156"/>
      <c r="AL26" s="156"/>
      <c r="AM26" s="156"/>
      <c r="AN26" s="156"/>
      <c r="AO26" s="156"/>
      <c r="AP26" s="45"/>
    </row>
    <row r="27" spans="1:42" ht="19" customHeight="1" x14ac:dyDescent="0.25">
      <c r="A27" s="165" t="s">
        <v>147</v>
      </c>
      <c r="B27" s="166"/>
      <c r="C27" s="166"/>
      <c r="D27" s="166"/>
      <c r="E27" s="166"/>
      <c r="F27" s="166"/>
      <c r="G27" s="191"/>
      <c r="H27" s="115" t="s">
        <v>148</v>
      </c>
      <c r="I27" s="38" t="s">
        <v>149</v>
      </c>
      <c r="J27" s="35" t="s">
        <v>28</v>
      </c>
      <c r="K27" s="115" t="s">
        <v>20</v>
      </c>
      <c r="L27" s="115" t="s">
        <v>41</v>
      </c>
      <c r="M27" s="115" t="s">
        <v>48</v>
      </c>
      <c r="N27" s="140"/>
      <c r="O27" s="157" t="s">
        <v>150</v>
      </c>
      <c r="P27" s="158"/>
      <c r="Q27" s="158"/>
      <c r="R27" s="158"/>
      <c r="S27" s="158"/>
      <c r="T27" s="158"/>
      <c r="U27" s="140"/>
      <c r="V27" s="46" t="s">
        <v>151</v>
      </c>
      <c r="W27" s="46"/>
      <c r="X27" s="46"/>
      <c r="Y27" s="46"/>
      <c r="Z27" s="46"/>
      <c r="AA27" s="46"/>
      <c r="AB27" s="47"/>
      <c r="AC27" s="166" t="s">
        <v>152</v>
      </c>
      <c r="AD27" s="166"/>
      <c r="AE27" s="166"/>
      <c r="AF27" s="166"/>
      <c r="AG27" s="166"/>
      <c r="AH27" s="166"/>
      <c r="AI27" s="191"/>
      <c r="AJ27" s="155"/>
      <c r="AK27" s="156"/>
      <c r="AL27" s="156"/>
      <c r="AM27" s="156"/>
      <c r="AN27" s="156"/>
      <c r="AO27" s="156"/>
      <c r="AP27" s="48"/>
    </row>
    <row r="28" spans="1:42" ht="19" customHeight="1" x14ac:dyDescent="0.25">
      <c r="A28" s="204" t="s">
        <v>151</v>
      </c>
      <c r="B28" s="205"/>
      <c r="C28" s="205"/>
      <c r="D28" s="205"/>
      <c r="E28" s="205"/>
      <c r="F28" s="205"/>
      <c r="G28" s="206"/>
      <c r="H28" s="115" t="s">
        <v>153</v>
      </c>
      <c r="I28" s="38" t="s">
        <v>154</v>
      </c>
      <c r="J28" s="35" t="s">
        <v>28</v>
      </c>
      <c r="K28" s="115" t="s">
        <v>20</v>
      </c>
      <c r="L28" s="115" t="s">
        <v>41</v>
      </c>
      <c r="M28" s="115" t="s">
        <v>48</v>
      </c>
      <c r="N28" s="140"/>
      <c r="O28" s="228" t="s">
        <v>114</v>
      </c>
      <c r="P28" s="228"/>
      <c r="Q28" s="228"/>
      <c r="R28" s="228"/>
      <c r="S28" s="228"/>
      <c r="T28" s="228"/>
      <c r="U28" s="229"/>
      <c r="V28" s="153" t="s">
        <v>155</v>
      </c>
      <c r="W28" s="154"/>
      <c r="X28" s="154"/>
      <c r="Y28" s="154"/>
      <c r="Z28" s="154"/>
      <c r="AA28" s="154"/>
      <c r="AB28" s="48"/>
      <c r="AC28" s="155" t="s">
        <v>156</v>
      </c>
      <c r="AD28" s="156"/>
      <c r="AE28" s="156"/>
      <c r="AF28" s="156"/>
      <c r="AG28" s="156"/>
      <c r="AH28" s="156"/>
      <c r="AI28" s="218"/>
      <c r="AJ28" s="155" t="s">
        <v>157</v>
      </c>
      <c r="AK28" s="156"/>
      <c r="AL28" s="156"/>
      <c r="AM28" s="156"/>
      <c r="AN28" s="156"/>
      <c r="AO28" s="156"/>
      <c r="AP28" s="48"/>
    </row>
    <row r="29" spans="1:42" ht="19" customHeight="1" x14ac:dyDescent="0.25">
      <c r="A29" s="165" t="s">
        <v>158</v>
      </c>
      <c r="B29" s="166"/>
      <c r="C29" s="166"/>
      <c r="D29" s="166"/>
      <c r="E29" s="166"/>
      <c r="F29" s="166"/>
      <c r="G29" s="191"/>
      <c r="H29" s="115" t="s">
        <v>159</v>
      </c>
      <c r="I29" s="38" t="s">
        <v>160</v>
      </c>
      <c r="J29" s="35" t="s">
        <v>28</v>
      </c>
      <c r="K29" s="115" t="s">
        <v>20</v>
      </c>
      <c r="L29" s="115" t="s">
        <v>41</v>
      </c>
      <c r="M29" s="115" t="s">
        <v>48</v>
      </c>
      <c r="N29" s="140"/>
      <c r="O29" s="177" t="s">
        <v>120</v>
      </c>
      <c r="P29" s="177"/>
      <c r="Q29" s="177"/>
      <c r="R29" s="177"/>
      <c r="S29" s="177"/>
      <c r="T29" s="177"/>
      <c r="U29" s="190"/>
      <c r="V29" s="155" t="s">
        <v>161</v>
      </c>
      <c r="W29" s="156"/>
      <c r="X29" s="156"/>
      <c r="Y29" s="156"/>
      <c r="Z29" s="156"/>
      <c r="AA29" s="156"/>
      <c r="AB29" s="48"/>
      <c r="AC29" s="155" t="s">
        <v>162</v>
      </c>
      <c r="AD29" s="156"/>
      <c r="AE29" s="156"/>
      <c r="AF29" s="156"/>
      <c r="AG29" s="156"/>
      <c r="AH29" s="156"/>
      <c r="AI29" s="218"/>
      <c r="AJ29" s="155" t="s">
        <v>163</v>
      </c>
      <c r="AK29" s="156"/>
      <c r="AL29" s="156"/>
      <c r="AM29" s="156"/>
      <c r="AN29" s="156"/>
      <c r="AO29" s="156"/>
      <c r="AP29" s="48"/>
    </row>
    <row r="30" spans="1:42" ht="19" customHeight="1" x14ac:dyDescent="0.25">
      <c r="A30" s="165" t="s">
        <v>164</v>
      </c>
      <c r="B30" s="166"/>
      <c r="C30" s="166"/>
      <c r="D30" s="166"/>
      <c r="E30" s="166"/>
      <c r="F30" s="166"/>
      <c r="G30" s="191"/>
      <c r="H30" s="49" t="s">
        <v>165</v>
      </c>
      <c r="I30" s="50" t="s">
        <v>166</v>
      </c>
      <c r="J30" s="40" t="s">
        <v>28</v>
      </c>
      <c r="K30" s="42" t="s">
        <v>20</v>
      </c>
      <c r="L30" s="42" t="s">
        <v>41</v>
      </c>
      <c r="M30" s="42" t="s">
        <v>48</v>
      </c>
      <c r="N30" s="44"/>
      <c r="O30" s="166" t="s">
        <v>124</v>
      </c>
      <c r="P30" s="166"/>
      <c r="Q30" s="166"/>
      <c r="R30" s="166"/>
      <c r="S30" s="166"/>
      <c r="T30" s="166"/>
      <c r="U30" s="191"/>
      <c r="V30" s="70" t="s">
        <v>167</v>
      </c>
      <c r="W30" s="70"/>
      <c r="X30" s="70"/>
      <c r="Y30" s="70"/>
      <c r="Z30" s="70"/>
      <c r="AA30" s="70"/>
      <c r="AB30" s="51"/>
      <c r="AC30" s="155" t="s">
        <v>168</v>
      </c>
      <c r="AD30" s="156"/>
      <c r="AE30" s="156"/>
      <c r="AF30" s="156"/>
      <c r="AG30" s="156"/>
      <c r="AH30" s="156"/>
      <c r="AI30" s="218"/>
      <c r="AJ30" s="155" t="s">
        <v>169</v>
      </c>
      <c r="AK30" s="156"/>
      <c r="AL30" s="156"/>
      <c r="AM30" s="156"/>
      <c r="AN30" s="156"/>
      <c r="AO30" s="156"/>
      <c r="AP30" s="48"/>
    </row>
    <row r="31" spans="1:42" ht="19" customHeight="1" x14ac:dyDescent="0.25">
      <c r="A31" s="165" t="s">
        <v>170</v>
      </c>
      <c r="B31" s="166"/>
      <c r="C31" s="166"/>
      <c r="D31" s="166"/>
      <c r="E31" s="166"/>
      <c r="F31" s="166"/>
      <c r="G31" s="191"/>
      <c r="H31" s="176" t="s">
        <v>83</v>
      </c>
      <c r="I31" s="177"/>
      <c r="J31" s="177"/>
      <c r="K31" s="177"/>
      <c r="L31" s="177"/>
      <c r="M31" s="177"/>
      <c r="N31" s="190"/>
      <c r="O31" s="166" t="s">
        <v>171</v>
      </c>
      <c r="P31" s="166"/>
      <c r="Q31" s="166"/>
      <c r="R31" s="166"/>
      <c r="S31" s="166"/>
      <c r="T31" s="166"/>
      <c r="U31" s="191"/>
      <c r="V31" s="52" t="s">
        <v>15</v>
      </c>
      <c r="W31" s="53" t="s">
        <v>172</v>
      </c>
      <c r="X31" s="53" t="s">
        <v>173</v>
      </c>
      <c r="Y31" s="53" t="s">
        <v>174</v>
      </c>
      <c r="Z31" s="53" t="s">
        <v>175</v>
      </c>
      <c r="AA31" s="53" t="s">
        <v>176</v>
      </c>
      <c r="AB31" s="32"/>
      <c r="AC31" s="156" t="s">
        <v>177</v>
      </c>
      <c r="AD31" s="156"/>
      <c r="AE31" s="156"/>
      <c r="AF31" s="156"/>
      <c r="AG31" s="156"/>
      <c r="AH31" s="156"/>
      <c r="AI31" s="218"/>
      <c r="AJ31" s="155" t="s">
        <v>178</v>
      </c>
      <c r="AK31" s="156"/>
      <c r="AL31" s="156"/>
      <c r="AM31" s="156"/>
      <c r="AN31" s="156"/>
      <c r="AO31" s="156"/>
      <c r="AP31" s="48"/>
    </row>
    <row r="32" spans="1:42" ht="19" customHeight="1" x14ac:dyDescent="0.25">
      <c r="A32" s="165" t="s">
        <v>179</v>
      </c>
      <c r="B32" s="166"/>
      <c r="C32" s="166"/>
      <c r="D32" s="166"/>
      <c r="E32" s="166"/>
      <c r="F32" s="166"/>
      <c r="G32" s="191"/>
      <c r="H32" s="165" t="s">
        <v>180</v>
      </c>
      <c r="I32" s="166"/>
      <c r="J32" s="166"/>
      <c r="K32" s="166"/>
      <c r="L32" s="166"/>
      <c r="M32" s="166"/>
      <c r="N32" s="191"/>
      <c r="O32" s="155" t="s">
        <v>181</v>
      </c>
      <c r="P32" s="156"/>
      <c r="Q32" s="156"/>
      <c r="R32" s="156"/>
      <c r="S32" s="156"/>
      <c r="T32" s="156"/>
      <c r="U32" s="218"/>
      <c r="V32" s="35" t="s">
        <v>182</v>
      </c>
      <c r="W32" s="54">
        <f>'[1]HCP Vaccinated Profiling Checks'!R2</f>
        <v>0.28100000000000003</v>
      </c>
      <c r="X32" s="54">
        <f>'[1]HCP Vaccinated Profiling Checks'!S2</f>
        <v>0.99099999999999999</v>
      </c>
      <c r="Y32" s="54">
        <f>'[1]HCP Vaccinated Profiling Checks'!T2</f>
        <v>0.84162324929972065</v>
      </c>
      <c r="Z32" s="54">
        <f>'[1]HCP Vaccinated Profiling Checks'!U2</f>
        <v>0.878</v>
      </c>
      <c r="AA32" s="54">
        <f>'[1]HCP Vaccinated Profiling Checks'!V2</f>
        <v>0.90700000000000003</v>
      </c>
      <c r="AB32" s="37"/>
      <c r="AC32" s="156" t="s">
        <v>183</v>
      </c>
      <c r="AD32" s="156"/>
      <c r="AE32" s="156"/>
      <c r="AF32" s="156"/>
      <c r="AG32" s="156"/>
      <c r="AH32" s="156"/>
      <c r="AI32" s="218"/>
      <c r="AJ32" s="155" t="s">
        <v>184</v>
      </c>
      <c r="AK32" s="156"/>
      <c r="AL32" s="156"/>
      <c r="AM32" s="156"/>
      <c r="AN32" s="156"/>
      <c r="AO32" s="156"/>
      <c r="AP32" s="48"/>
    </row>
    <row r="33" spans="1:42" ht="19" customHeight="1" x14ac:dyDescent="0.25">
      <c r="A33" s="165" t="s">
        <v>185</v>
      </c>
      <c r="B33" s="166"/>
      <c r="C33" s="166"/>
      <c r="D33" s="166"/>
      <c r="E33" s="166"/>
      <c r="F33" s="166"/>
      <c r="G33" s="191"/>
      <c r="H33" s="201" t="s">
        <v>92</v>
      </c>
      <c r="I33" s="202"/>
      <c r="J33" s="202"/>
      <c r="K33" s="202"/>
      <c r="L33" s="202"/>
      <c r="M33" s="202"/>
      <c r="N33" s="203"/>
      <c r="O33" s="155" t="s">
        <v>186</v>
      </c>
      <c r="P33" s="156"/>
      <c r="Q33" s="156"/>
      <c r="R33" s="156"/>
      <c r="S33" s="156"/>
      <c r="T33" s="156"/>
      <c r="U33" s="218"/>
      <c r="V33" s="119" t="s">
        <v>187</v>
      </c>
      <c r="W33" s="55">
        <f>'[1]HCP Vaccinated Profiling Checks'!R3</f>
        <v>471</v>
      </c>
      <c r="X33" s="55">
        <f>'[1]HCP Vaccinated Profiling Checks'!S3</f>
        <v>884990</v>
      </c>
      <c r="Y33" s="55">
        <f>'[1]HCP Vaccinated Profiling Checks'!T3</f>
        <v>81875.89635854341</v>
      </c>
      <c r="Z33" s="55">
        <f>'[1]HCP Vaccinated Profiling Checks'!U3</f>
        <v>33068</v>
      </c>
      <c r="AA33" s="55">
        <f>'[1]HCP Vaccinated Profiling Checks'!V3</f>
        <v>25963</v>
      </c>
      <c r="AB33" s="37"/>
      <c r="AC33" s="156" t="s">
        <v>188</v>
      </c>
      <c r="AD33" s="156"/>
      <c r="AE33" s="156"/>
      <c r="AF33" s="156"/>
      <c r="AG33" s="156"/>
      <c r="AH33" s="156"/>
      <c r="AI33" s="218"/>
      <c r="AJ33" s="155" t="s">
        <v>189</v>
      </c>
      <c r="AK33" s="156"/>
      <c r="AL33" s="156"/>
      <c r="AM33" s="156"/>
      <c r="AN33" s="156"/>
      <c r="AO33" s="156"/>
      <c r="AP33" s="48"/>
    </row>
    <row r="34" spans="1:42" ht="19" customHeight="1" x14ac:dyDescent="0.25">
      <c r="A34" s="165" t="s">
        <v>190</v>
      </c>
      <c r="B34" s="166"/>
      <c r="C34" s="166"/>
      <c r="D34" s="166"/>
      <c r="E34" s="166"/>
      <c r="F34" s="166"/>
      <c r="G34" s="166"/>
      <c r="H34" s="176" t="s">
        <v>138</v>
      </c>
      <c r="I34" s="177"/>
      <c r="J34" s="177"/>
      <c r="K34" s="177"/>
      <c r="L34" s="177"/>
      <c r="M34" s="177"/>
      <c r="N34" s="56"/>
      <c r="O34" s="155" t="s">
        <v>191</v>
      </c>
      <c r="P34" s="156"/>
      <c r="Q34" s="156"/>
      <c r="R34" s="156"/>
      <c r="S34" s="156"/>
      <c r="T34" s="156"/>
      <c r="U34" s="218"/>
      <c r="V34" s="155" t="s">
        <v>192</v>
      </c>
      <c r="W34" s="156"/>
      <c r="X34" s="156"/>
      <c r="Y34" s="156"/>
      <c r="Z34" s="156"/>
      <c r="AA34" s="156"/>
      <c r="AB34" s="120"/>
      <c r="AC34" s="156" t="s">
        <v>193</v>
      </c>
      <c r="AD34" s="156"/>
      <c r="AE34" s="156"/>
      <c r="AF34" s="156"/>
      <c r="AG34" s="156"/>
      <c r="AH34" s="156"/>
      <c r="AI34" s="218"/>
      <c r="AJ34" s="155" t="s">
        <v>194</v>
      </c>
      <c r="AK34" s="156"/>
      <c r="AL34" s="156"/>
      <c r="AM34" s="156"/>
      <c r="AN34" s="156"/>
      <c r="AO34" s="156"/>
      <c r="AP34" s="48"/>
    </row>
    <row r="35" spans="1:42" ht="19" customHeight="1" x14ac:dyDescent="0.25">
      <c r="A35" s="165" t="s">
        <v>158</v>
      </c>
      <c r="B35" s="166"/>
      <c r="C35" s="166"/>
      <c r="D35" s="166"/>
      <c r="E35" s="166"/>
      <c r="F35" s="166"/>
      <c r="G35" s="166"/>
      <c r="H35" s="179" t="s">
        <v>195</v>
      </c>
      <c r="I35" s="180"/>
      <c r="J35" s="180"/>
      <c r="K35" s="180"/>
      <c r="L35" s="180"/>
      <c r="M35" s="180"/>
      <c r="N35" s="57"/>
      <c r="O35" s="156" t="s">
        <v>196</v>
      </c>
      <c r="P35" s="156"/>
      <c r="Q35" s="156"/>
      <c r="R35" s="156"/>
      <c r="S35" s="156"/>
      <c r="T35" s="156"/>
      <c r="U35" s="218"/>
      <c r="V35" s="46" t="s">
        <v>197</v>
      </c>
      <c r="W35" s="46"/>
      <c r="X35" s="46"/>
      <c r="Y35" s="46"/>
      <c r="Z35" s="46"/>
      <c r="AA35" s="46"/>
      <c r="AB35" s="47"/>
      <c r="AC35" s="156" t="s">
        <v>198</v>
      </c>
      <c r="AD35" s="156"/>
      <c r="AE35" s="156"/>
      <c r="AF35" s="156"/>
      <c r="AG35" s="156"/>
      <c r="AH35" s="156"/>
      <c r="AI35" s="218"/>
      <c r="AJ35" s="155" t="s">
        <v>199</v>
      </c>
      <c r="AK35" s="156"/>
      <c r="AL35" s="156"/>
      <c r="AM35" s="156"/>
      <c r="AN35" s="156"/>
      <c r="AO35" s="156"/>
      <c r="AP35" s="218"/>
    </row>
    <row r="36" spans="1:42" ht="19" customHeight="1" x14ac:dyDescent="0.25">
      <c r="A36" s="165" t="s">
        <v>164</v>
      </c>
      <c r="B36" s="166"/>
      <c r="C36" s="166"/>
      <c r="D36" s="166"/>
      <c r="E36" s="166"/>
      <c r="F36" s="166"/>
      <c r="G36" s="191"/>
      <c r="H36" s="224" t="s">
        <v>114</v>
      </c>
      <c r="I36" s="225"/>
      <c r="J36" s="225"/>
      <c r="K36" s="225"/>
      <c r="L36" s="225"/>
      <c r="M36" s="225"/>
      <c r="N36" s="226"/>
      <c r="O36" s="155" t="s">
        <v>200</v>
      </c>
      <c r="P36" s="156"/>
      <c r="Q36" s="156"/>
      <c r="R36" s="156"/>
      <c r="S36" s="156"/>
      <c r="T36" s="156"/>
      <c r="U36" s="45"/>
      <c r="V36" s="176" t="s">
        <v>201</v>
      </c>
      <c r="W36" s="177"/>
      <c r="X36" s="177"/>
      <c r="Y36" s="177"/>
      <c r="Z36" s="177"/>
      <c r="AA36" s="58"/>
      <c r="AB36" s="56"/>
      <c r="AC36" s="156" t="s">
        <v>202</v>
      </c>
      <c r="AD36" s="156"/>
      <c r="AE36" s="156"/>
      <c r="AF36" s="156"/>
      <c r="AG36" s="156"/>
      <c r="AH36" s="156"/>
      <c r="AI36" s="218"/>
      <c r="AJ36" s="155" t="s">
        <v>203</v>
      </c>
      <c r="AK36" s="156"/>
      <c r="AL36" s="156"/>
      <c r="AM36" s="156"/>
      <c r="AN36" s="156"/>
      <c r="AO36" s="156"/>
      <c r="AP36" s="48"/>
    </row>
    <row r="37" spans="1:42" ht="19" customHeight="1" x14ac:dyDescent="0.25">
      <c r="A37" s="165" t="s">
        <v>170</v>
      </c>
      <c r="B37" s="166"/>
      <c r="C37" s="166"/>
      <c r="D37" s="166"/>
      <c r="E37" s="166"/>
      <c r="F37" s="166"/>
      <c r="G37" s="166"/>
      <c r="H37" s="176" t="s">
        <v>120</v>
      </c>
      <c r="I37" s="177"/>
      <c r="J37" s="177"/>
      <c r="K37" s="177"/>
      <c r="L37" s="177"/>
      <c r="M37" s="177"/>
      <c r="N37" s="56"/>
      <c r="O37" s="155"/>
      <c r="P37" s="156"/>
      <c r="Q37" s="156"/>
      <c r="R37" s="156"/>
      <c r="S37" s="156"/>
      <c r="T37" s="156"/>
      <c r="U37" s="45"/>
      <c r="V37" s="113" t="s">
        <v>204</v>
      </c>
      <c r="W37" s="114"/>
      <c r="X37" s="114"/>
      <c r="Y37" s="114"/>
      <c r="Z37" s="114"/>
      <c r="AA37" s="114"/>
      <c r="AB37" s="141"/>
      <c r="AC37" s="156" t="s">
        <v>205</v>
      </c>
      <c r="AD37" s="156"/>
      <c r="AE37" s="156"/>
      <c r="AF37" s="156"/>
      <c r="AG37" s="156"/>
      <c r="AH37" s="156"/>
      <c r="AI37" s="218"/>
      <c r="AJ37" s="155" t="s">
        <v>206</v>
      </c>
      <c r="AK37" s="156"/>
      <c r="AL37" s="156"/>
      <c r="AM37" s="156"/>
      <c r="AN37" s="156"/>
      <c r="AO37" s="156"/>
      <c r="AP37" s="48"/>
    </row>
    <row r="38" spans="1:42" ht="19" customHeight="1" x14ac:dyDescent="0.25">
      <c r="A38" s="165" t="s">
        <v>207</v>
      </c>
      <c r="B38" s="166"/>
      <c r="C38" s="166"/>
      <c r="D38" s="166"/>
      <c r="E38" s="166"/>
      <c r="F38" s="166"/>
      <c r="G38" s="166"/>
      <c r="H38" s="165" t="s">
        <v>124</v>
      </c>
      <c r="I38" s="166"/>
      <c r="J38" s="166"/>
      <c r="K38" s="166"/>
      <c r="L38" s="166"/>
      <c r="M38" s="166"/>
      <c r="N38" s="59"/>
      <c r="O38" s="155" t="s">
        <v>208</v>
      </c>
      <c r="P38" s="156"/>
      <c r="Q38" s="156"/>
      <c r="R38" s="156"/>
      <c r="S38" s="156"/>
      <c r="T38" s="156"/>
      <c r="U38" s="45"/>
      <c r="V38" s="165" t="s">
        <v>209</v>
      </c>
      <c r="W38" s="166"/>
      <c r="X38" s="115" t="s">
        <v>210</v>
      </c>
      <c r="Y38" s="60">
        <v>1</v>
      </c>
      <c r="Z38" s="61" t="s">
        <v>211</v>
      </c>
      <c r="AA38" s="115" t="s">
        <v>212</v>
      </c>
      <c r="AB38" s="140"/>
      <c r="AC38" s="156" t="s">
        <v>213</v>
      </c>
      <c r="AD38" s="156"/>
      <c r="AE38" s="156"/>
      <c r="AF38" s="156"/>
      <c r="AG38" s="156"/>
      <c r="AH38" s="156"/>
      <c r="AI38" s="218"/>
      <c r="AJ38" s="257" t="s">
        <v>151</v>
      </c>
      <c r="AK38" s="257"/>
      <c r="AL38" s="257"/>
      <c r="AM38" s="257"/>
      <c r="AN38" s="257"/>
      <c r="AO38" s="257"/>
      <c r="AP38" s="258"/>
    </row>
    <row r="39" spans="1:42" ht="19" customHeight="1" x14ac:dyDescent="0.25">
      <c r="A39" s="165" t="s">
        <v>214</v>
      </c>
      <c r="B39" s="166"/>
      <c r="C39" s="166"/>
      <c r="D39" s="166"/>
      <c r="E39" s="166"/>
      <c r="F39" s="166"/>
      <c r="G39" s="166"/>
      <c r="H39" s="62" t="s">
        <v>215</v>
      </c>
      <c r="I39" s="60"/>
      <c r="J39" s="60"/>
      <c r="K39" s="60"/>
      <c r="L39" s="60"/>
      <c r="M39" s="60"/>
      <c r="N39" s="59"/>
      <c r="O39" s="155"/>
      <c r="P39" s="156"/>
      <c r="Q39" s="156"/>
      <c r="R39" s="156"/>
      <c r="S39" s="156"/>
      <c r="T39" s="156"/>
      <c r="U39" s="45"/>
      <c r="V39" s="165" t="s">
        <v>216</v>
      </c>
      <c r="W39" s="166"/>
      <c r="X39" s="115" t="s">
        <v>217</v>
      </c>
      <c r="Y39" s="60">
        <v>1</v>
      </c>
      <c r="Z39" s="61" t="s">
        <v>211</v>
      </c>
      <c r="AA39" s="115" t="s">
        <v>212</v>
      </c>
      <c r="AB39" s="140"/>
      <c r="AC39" s="156" t="s">
        <v>218</v>
      </c>
      <c r="AD39" s="156"/>
      <c r="AE39" s="156"/>
      <c r="AF39" s="156"/>
      <c r="AG39" s="156"/>
      <c r="AH39" s="156"/>
      <c r="AI39" s="218"/>
      <c r="AJ39" s="254"/>
      <c r="AK39" s="255"/>
      <c r="AL39" s="255"/>
      <c r="AM39" s="255"/>
      <c r="AN39" s="255"/>
      <c r="AO39" s="255"/>
      <c r="AP39" s="63"/>
    </row>
    <row r="40" spans="1:42" ht="19" customHeight="1" x14ac:dyDescent="0.25">
      <c r="A40" s="165" t="s">
        <v>219</v>
      </c>
      <c r="B40" s="166"/>
      <c r="C40" s="166"/>
      <c r="D40" s="166"/>
      <c r="E40" s="166"/>
      <c r="F40" s="166"/>
      <c r="G40" s="166"/>
      <c r="H40" s="155" t="s">
        <v>191</v>
      </c>
      <c r="I40" s="156"/>
      <c r="J40" s="156"/>
      <c r="K40" s="156"/>
      <c r="L40" s="156"/>
      <c r="M40" s="156"/>
      <c r="N40" s="48"/>
      <c r="O40" s="156" t="s">
        <v>220</v>
      </c>
      <c r="P40" s="156"/>
      <c r="Q40" s="156"/>
      <c r="R40" s="156"/>
      <c r="S40" s="156"/>
      <c r="T40" s="156"/>
      <c r="U40" s="218"/>
      <c r="V40" s="165" t="s">
        <v>221</v>
      </c>
      <c r="W40" s="166"/>
      <c r="X40" s="115" t="s">
        <v>217</v>
      </c>
      <c r="Y40" s="60">
        <v>51</v>
      </c>
      <c r="Z40" s="61" t="s">
        <v>211</v>
      </c>
      <c r="AA40" s="115" t="s">
        <v>212</v>
      </c>
      <c r="AB40" s="37"/>
      <c r="AC40" s="156" t="s">
        <v>222</v>
      </c>
      <c r="AD40" s="156"/>
      <c r="AE40" s="156"/>
      <c r="AF40" s="156"/>
      <c r="AG40" s="156"/>
      <c r="AH40" s="156"/>
      <c r="AI40" s="218"/>
      <c r="AJ40" s="64" t="s">
        <v>167</v>
      </c>
      <c r="AK40" s="65"/>
      <c r="AL40" s="65"/>
      <c r="AM40" s="65"/>
      <c r="AN40" s="65"/>
      <c r="AO40" s="65"/>
      <c r="AP40" s="66"/>
    </row>
    <row r="41" spans="1:42" ht="19" customHeight="1" x14ac:dyDescent="0.25">
      <c r="A41" s="165" t="s">
        <v>223</v>
      </c>
      <c r="B41" s="166"/>
      <c r="C41" s="166"/>
      <c r="D41" s="166"/>
      <c r="E41" s="166"/>
      <c r="F41" s="166"/>
      <c r="G41" s="166"/>
      <c r="H41" s="215" t="s">
        <v>224</v>
      </c>
      <c r="I41" s="216"/>
      <c r="J41" s="216"/>
      <c r="K41" s="216"/>
      <c r="L41" s="216"/>
      <c r="M41" s="216"/>
      <c r="N41" s="48"/>
      <c r="O41" s="155" t="s">
        <v>225</v>
      </c>
      <c r="P41" s="156"/>
      <c r="Q41" s="156"/>
      <c r="R41" s="156"/>
      <c r="S41" s="156"/>
      <c r="T41" s="156"/>
      <c r="U41" s="48"/>
      <c r="V41" s="155" t="s">
        <v>226</v>
      </c>
      <c r="W41" s="156"/>
      <c r="X41" s="115" t="s">
        <v>217</v>
      </c>
      <c r="Y41" s="60">
        <v>7</v>
      </c>
      <c r="Z41" s="61" t="s">
        <v>211</v>
      </c>
      <c r="AA41" s="115" t="s">
        <v>212</v>
      </c>
      <c r="AB41" s="37"/>
      <c r="AC41" s="156" t="s">
        <v>227</v>
      </c>
      <c r="AD41" s="156"/>
      <c r="AE41" s="156"/>
      <c r="AF41" s="156"/>
      <c r="AG41" s="156"/>
      <c r="AH41" s="156"/>
      <c r="AI41" s="218"/>
      <c r="AJ41" s="52" t="s">
        <v>15</v>
      </c>
      <c r="AK41" s="53" t="s">
        <v>172</v>
      </c>
      <c r="AL41" s="53" t="s">
        <v>173</v>
      </c>
      <c r="AM41" s="53" t="s">
        <v>174</v>
      </c>
      <c r="AN41" s="53" t="s">
        <v>175</v>
      </c>
      <c r="AO41" s="53" t="s">
        <v>176</v>
      </c>
      <c r="AP41" s="32"/>
    </row>
    <row r="42" spans="1:42" ht="19" customHeight="1" x14ac:dyDescent="0.25">
      <c r="A42" s="165" t="s">
        <v>228</v>
      </c>
      <c r="B42" s="166"/>
      <c r="C42" s="166"/>
      <c r="D42" s="166"/>
      <c r="E42" s="166"/>
      <c r="F42" s="166"/>
      <c r="G42" s="166"/>
      <c r="H42" s="215"/>
      <c r="I42" s="216"/>
      <c r="J42" s="216"/>
      <c r="K42" s="216"/>
      <c r="L42" s="216"/>
      <c r="M42" s="216"/>
      <c r="N42" s="48"/>
      <c r="O42" s="155"/>
      <c r="P42" s="156"/>
      <c r="Q42" s="156"/>
      <c r="R42" s="156"/>
      <c r="S42" s="156"/>
      <c r="T42" s="156"/>
      <c r="U42" s="48"/>
      <c r="V42" s="165" t="s">
        <v>229</v>
      </c>
      <c r="W42" s="166"/>
      <c r="X42" s="115" t="s">
        <v>217</v>
      </c>
      <c r="Y42" s="60">
        <v>4</v>
      </c>
      <c r="Z42" s="61" t="s">
        <v>211</v>
      </c>
      <c r="AA42" s="115" t="s">
        <v>212</v>
      </c>
      <c r="AB42" s="37"/>
      <c r="AC42" s="155" t="s">
        <v>230</v>
      </c>
      <c r="AD42" s="156"/>
      <c r="AE42" s="156"/>
      <c r="AF42" s="156"/>
      <c r="AG42" s="156"/>
      <c r="AH42" s="156"/>
      <c r="AI42" s="218"/>
      <c r="AJ42" s="35" t="s">
        <v>231</v>
      </c>
      <c r="AK42" s="55">
        <f>'[2]Hospitalisation Rate Profiled'!BF2</f>
        <v>0</v>
      </c>
      <c r="AL42" s="55">
        <f>'[2]Hospitalisation Rate Profiled'!BG2</f>
        <v>0</v>
      </c>
      <c r="AM42" s="55">
        <f>'[2]Hospitalisation Rate Profiled'!BH2</f>
        <v>0</v>
      </c>
      <c r="AN42" s="55">
        <f>'[2]Hospitalisation Rate Profiled'!BI2</f>
        <v>0</v>
      </c>
      <c r="AO42" s="55">
        <f>'[2]Hospitalisation Rate Profiled'!BJ2</f>
        <v>0</v>
      </c>
      <c r="AP42" s="37"/>
    </row>
    <row r="43" spans="1:42" ht="19" customHeight="1" x14ac:dyDescent="0.25">
      <c r="A43" s="165" t="s">
        <v>232</v>
      </c>
      <c r="B43" s="166"/>
      <c r="C43" s="166"/>
      <c r="D43" s="166"/>
      <c r="E43" s="166"/>
      <c r="F43" s="166"/>
      <c r="G43" s="166"/>
      <c r="H43" s="155" t="s">
        <v>233</v>
      </c>
      <c r="I43" s="156"/>
      <c r="J43" s="156"/>
      <c r="K43" s="156"/>
      <c r="L43" s="156"/>
      <c r="M43" s="156"/>
      <c r="N43" s="48"/>
      <c r="O43" s="155" t="s">
        <v>234</v>
      </c>
      <c r="P43" s="156"/>
      <c r="Q43" s="156"/>
      <c r="R43" s="156"/>
      <c r="S43" s="156"/>
      <c r="T43" s="156"/>
      <c r="U43" s="48"/>
      <c r="V43" s="113" t="s">
        <v>235</v>
      </c>
      <c r="W43" s="114"/>
      <c r="X43" s="114"/>
      <c r="Y43" s="114"/>
      <c r="Z43" s="114"/>
      <c r="AA43" s="114"/>
      <c r="AB43" s="141"/>
      <c r="AC43" s="155" t="s">
        <v>236</v>
      </c>
      <c r="AD43" s="156"/>
      <c r="AE43" s="156"/>
      <c r="AF43" s="156"/>
      <c r="AG43" s="156"/>
      <c r="AH43" s="156"/>
      <c r="AI43" s="48"/>
      <c r="AJ43" s="119" t="s">
        <v>237</v>
      </c>
      <c r="AK43" s="55">
        <f>'[2]Hospitalisation Rate Profiled'!BF3</f>
        <v>0</v>
      </c>
      <c r="AL43" s="55">
        <f>'[2]Hospitalisation Rate Profiled'!BG3</f>
        <v>0</v>
      </c>
      <c r="AM43" s="55">
        <f>'[2]Hospitalisation Rate Profiled'!BH3</f>
        <v>0</v>
      </c>
      <c r="AN43" s="55">
        <f>'[2]Hospitalisation Rate Profiled'!BI3</f>
        <v>0</v>
      </c>
      <c r="AO43" s="55">
        <f>'[2]Hospitalisation Rate Profiled'!BJ3</f>
        <v>0</v>
      </c>
      <c r="AP43" s="37"/>
    </row>
    <row r="44" spans="1:42" ht="19" customHeight="1" x14ac:dyDescent="0.25">
      <c r="A44" s="165" t="s">
        <v>238</v>
      </c>
      <c r="B44" s="166"/>
      <c r="C44" s="166"/>
      <c r="D44" s="166"/>
      <c r="E44" s="166"/>
      <c r="F44" s="166"/>
      <c r="G44" s="166"/>
      <c r="H44" s="155"/>
      <c r="I44" s="156"/>
      <c r="J44" s="156"/>
      <c r="K44" s="156"/>
      <c r="L44" s="156"/>
      <c r="M44" s="156"/>
      <c r="N44" s="48"/>
      <c r="O44" s="155" t="s">
        <v>239</v>
      </c>
      <c r="P44" s="156"/>
      <c r="Q44" s="156"/>
      <c r="R44" s="156"/>
      <c r="S44" s="156"/>
      <c r="T44" s="156"/>
      <c r="U44" s="48"/>
      <c r="V44" s="62" t="s">
        <v>240</v>
      </c>
      <c r="W44" s="114"/>
      <c r="X44" s="115" t="s">
        <v>217</v>
      </c>
      <c r="Y44" s="67">
        <v>400</v>
      </c>
      <c r="Z44" s="61" t="s">
        <v>211</v>
      </c>
      <c r="AA44" s="68">
        <f>AA32</f>
        <v>0.90700000000000003</v>
      </c>
      <c r="AB44" s="37"/>
      <c r="AC44" s="155" t="s">
        <v>241</v>
      </c>
      <c r="AD44" s="156"/>
      <c r="AE44" s="156"/>
      <c r="AF44" s="156"/>
      <c r="AG44" s="156"/>
      <c r="AH44" s="156"/>
      <c r="AI44" s="48"/>
      <c r="AJ44" s="62" t="s">
        <v>242</v>
      </c>
      <c r="AK44" s="55">
        <f>'[2]Hospitalisation Rate Profiled'!BF4</f>
        <v>0</v>
      </c>
      <c r="AL44" s="55">
        <f>'[2]Hospitalisation Rate Profiled'!BG4</f>
        <v>0</v>
      </c>
      <c r="AM44" s="55">
        <f>'[2]Hospitalisation Rate Profiled'!BH4</f>
        <v>0</v>
      </c>
      <c r="AN44" s="55">
        <f>'[2]Hospitalisation Rate Profiled'!BI4</f>
        <v>0</v>
      </c>
      <c r="AO44" s="55">
        <f>'[2]Hospitalisation Rate Profiled'!BJ4</f>
        <v>0</v>
      </c>
      <c r="AP44" s="37"/>
    </row>
    <row r="45" spans="1:42" ht="19" customHeight="1" x14ac:dyDescent="0.25">
      <c r="A45" s="165" t="s">
        <v>243</v>
      </c>
      <c r="B45" s="166"/>
      <c r="C45" s="166"/>
      <c r="D45" s="166"/>
      <c r="E45" s="166"/>
      <c r="F45" s="166"/>
      <c r="G45" s="166"/>
      <c r="H45" s="155" t="s">
        <v>244</v>
      </c>
      <c r="I45" s="156"/>
      <c r="J45" s="156"/>
      <c r="K45" s="156"/>
      <c r="L45" s="156"/>
      <c r="M45" s="156"/>
      <c r="N45" s="48"/>
      <c r="O45" s="155"/>
      <c r="P45" s="156"/>
      <c r="Q45" s="156"/>
      <c r="R45" s="156"/>
      <c r="S45" s="156"/>
      <c r="T45" s="156"/>
      <c r="U45" s="48"/>
      <c r="V45" s="62" t="s">
        <v>245</v>
      </c>
      <c r="W45" s="114"/>
      <c r="X45" s="115" t="s">
        <v>217</v>
      </c>
      <c r="Y45" s="60">
        <v>1417</v>
      </c>
      <c r="Z45" s="61" t="s">
        <v>246</v>
      </c>
      <c r="AA45" s="69">
        <f>AA33</f>
        <v>25963</v>
      </c>
      <c r="AB45" s="37"/>
      <c r="AC45" s="122" t="s">
        <v>151</v>
      </c>
      <c r="AD45" s="122"/>
      <c r="AE45" s="122"/>
      <c r="AF45" s="122"/>
      <c r="AG45" s="122"/>
      <c r="AH45" s="122"/>
      <c r="AI45" s="123"/>
      <c r="AJ45" s="62" t="s">
        <v>247</v>
      </c>
      <c r="AK45" s="55">
        <f>'[2]Hospitalisation Rate Profiled'!BF5</f>
        <v>0</v>
      </c>
      <c r="AL45" s="55">
        <f>'[2]Hospitalisation Rate Profiled'!BG5</f>
        <v>0</v>
      </c>
      <c r="AM45" s="55">
        <f>'[2]Hospitalisation Rate Profiled'!BH5</f>
        <v>0</v>
      </c>
      <c r="AN45" s="55">
        <f>'[2]Hospitalisation Rate Profiled'!BI5</f>
        <v>0</v>
      </c>
      <c r="AO45" s="55">
        <f>'[2]Hospitalisation Rate Profiled'!BJ5</f>
        <v>0</v>
      </c>
      <c r="AP45" s="37"/>
    </row>
    <row r="46" spans="1:42" ht="19" customHeight="1" x14ac:dyDescent="0.25">
      <c r="A46" s="165" t="s">
        <v>248</v>
      </c>
      <c r="B46" s="166"/>
      <c r="C46" s="166"/>
      <c r="D46" s="166"/>
      <c r="E46" s="166"/>
      <c r="F46" s="166"/>
      <c r="G46" s="166"/>
      <c r="H46" s="155" t="s">
        <v>249</v>
      </c>
      <c r="I46" s="156"/>
      <c r="J46" s="156"/>
      <c r="K46" s="156"/>
      <c r="L46" s="156"/>
      <c r="M46" s="156"/>
      <c r="N46" s="48"/>
      <c r="O46" s="155" t="s">
        <v>250</v>
      </c>
      <c r="P46" s="156"/>
      <c r="Q46" s="156"/>
      <c r="R46" s="156"/>
      <c r="S46" s="156"/>
      <c r="T46" s="156"/>
      <c r="U46" s="48"/>
      <c r="V46" s="266" t="s">
        <v>251</v>
      </c>
      <c r="W46" s="267"/>
      <c r="X46" s="267"/>
      <c r="Y46" s="267"/>
      <c r="Z46" s="267"/>
      <c r="AA46" s="267"/>
      <c r="AB46" s="267"/>
      <c r="AC46" s="153" t="s">
        <v>252</v>
      </c>
      <c r="AD46" s="154"/>
      <c r="AE46" s="154"/>
      <c r="AF46" s="154"/>
      <c r="AG46" s="154"/>
      <c r="AH46" s="154"/>
      <c r="AI46" s="71"/>
      <c r="AJ46" s="155" t="s">
        <v>192</v>
      </c>
      <c r="AK46" s="156"/>
      <c r="AL46" s="156"/>
      <c r="AM46" s="156"/>
      <c r="AN46" s="156"/>
      <c r="AO46" s="156"/>
      <c r="AP46" s="37"/>
    </row>
    <row r="47" spans="1:42" ht="19" customHeight="1" x14ac:dyDescent="0.25">
      <c r="A47" s="165" t="s">
        <v>253</v>
      </c>
      <c r="B47" s="166"/>
      <c r="C47" s="166"/>
      <c r="D47" s="166"/>
      <c r="E47" s="166"/>
      <c r="F47" s="166"/>
      <c r="G47" s="166"/>
      <c r="H47" s="155"/>
      <c r="I47" s="156"/>
      <c r="J47" s="156"/>
      <c r="K47" s="156"/>
      <c r="L47" s="156"/>
      <c r="M47" s="156"/>
      <c r="N47" s="48"/>
      <c r="O47" s="155" t="s">
        <v>254</v>
      </c>
      <c r="P47" s="156"/>
      <c r="Q47" s="156"/>
      <c r="R47" s="156"/>
      <c r="S47" s="156"/>
      <c r="T47" s="156"/>
      <c r="U47" s="48"/>
      <c r="V47" s="153" t="s">
        <v>255</v>
      </c>
      <c r="W47" s="154"/>
      <c r="X47" s="154"/>
      <c r="Y47" s="154"/>
      <c r="Z47" s="154"/>
      <c r="AA47" s="154"/>
      <c r="AB47" s="72"/>
      <c r="AC47" s="155"/>
      <c r="AD47" s="156"/>
      <c r="AE47" s="156"/>
      <c r="AF47" s="156"/>
      <c r="AG47" s="156"/>
      <c r="AH47" s="156"/>
      <c r="AI47" s="73"/>
      <c r="AJ47" s="74" t="s">
        <v>197</v>
      </c>
      <c r="AK47" s="74"/>
      <c r="AL47" s="74"/>
      <c r="AM47" s="74"/>
      <c r="AN47" s="74"/>
      <c r="AO47" s="74"/>
      <c r="AP47" s="75"/>
    </row>
    <row r="48" spans="1:42" ht="19" customHeight="1" x14ac:dyDescent="0.25">
      <c r="A48" s="165" t="s">
        <v>256</v>
      </c>
      <c r="B48" s="166"/>
      <c r="C48" s="166"/>
      <c r="D48" s="166"/>
      <c r="E48" s="166"/>
      <c r="F48" s="166"/>
      <c r="G48" s="166"/>
      <c r="H48" s="155" t="s">
        <v>257</v>
      </c>
      <c r="I48" s="156"/>
      <c r="J48" s="156"/>
      <c r="K48" s="156"/>
      <c r="L48" s="156"/>
      <c r="M48" s="156"/>
      <c r="N48" s="48"/>
      <c r="O48" s="155"/>
      <c r="P48" s="156"/>
      <c r="Q48" s="156"/>
      <c r="R48" s="156"/>
      <c r="S48" s="156"/>
      <c r="T48" s="156"/>
      <c r="U48" s="48"/>
      <c r="V48" s="76" t="s">
        <v>258</v>
      </c>
      <c r="W48" s="46"/>
      <c r="X48" s="46"/>
      <c r="Y48" s="46"/>
      <c r="Z48" s="46"/>
      <c r="AA48" s="46"/>
      <c r="AB48" s="47"/>
      <c r="AC48" s="155"/>
      <c r="AD48" s="156"/>
      <c r="AE48" s="156"/>
      <c r="AF48" s="156"/>
      <c r="AG48" s="156"/>
      <c r="AH48" s="156"/>
      <c r="AI48" s="73"/>
      <c r="AJ48" s="176" t="s">
        <v>259</v>
      </c>
      <c r="AK48" s="177"/>
      <c r="AL48" s="177"/>
      <c r="AM48" s="177"/>
      <c r="AN48" s="177"/>
      <c r="AO48" s="58"/>
      <c r="AP48" s="56"/>
    </row>
    <row r="49" spans="1:42" ht="19" customHeight="1" x14ac:dyDescent="0.25">
      <c r="A49" s="165" t="s">
        <v>260</v>
      </c>
      <c r="B49" s="166"/>
      <c r="C49" s="166"/>
      <c r="D49" s="166"/>
      <c r="E49" s="166"/>
      <c r="F49" s="166"/>
      <c r="G49" s="191"/>
      <c r="H49" s="155" t="s">
        <v>261</v>
      </c>
      <c r="I49" s="156"/>
      <c r="J49" s="156"/>
      <c r="K49" s="156"/>
      <c r="L49" s="156"/>
      <c r="M49" s="156"/>
      <c r="N49" s="48"/>
      <c r="O49" s="155"/>
      <c r="P49" s="156"/>
      <c r="Q49" s="156"/>
      <c r="R49" s="156"/>
      <c r="S49" s="156"/>
      <c r="T49" s="156"/>
      <c r="U49" s="48"/>
      <c r="V49" s="157" t="s">
        <v>262</v>
      </c>
      <c r="W49" s="158"/>
      <c r="X49" s="158"/>
      <c r="Y49" s="158"/>
      <c r="Z49" s="158"/>
      <c r="AA49" s="158"/>
      <c r="AB49" s="77"/>
      <c r="AC49" s="155" t="s">
        <v>263</v>
      </c>
      <c r="AD49" s="156"/>
      <c r="AE49" s="156"/>
      <c r="AF49" s="156"/>
      <c r="AG49" s="156"/>
      <c r="AH49" s="156"/>
      <c r="AI49" s="218"/>
      <c r="AJ49" s="113" t="s">
        <v>204</v>
      </c>
      <c r="AK49" s="114"/>
      <c r="AL49" s="114"/>
      <c r="AM49" s="114"/>
      <c r="AN49" s="114"/>
      <c r="AO49" s="114"/>
      <c r="AP49" s="141"/>
    </row>
    <row r="50" spans="1:42" ht="19" customHeight="1" x14ac:dyDescent="0.25">
      <c r="A50" s="165" t="s">
        <v>264</v>
      </c>
      <c r="B50" s="166"/>
      <c r="C50" s="166"/>
      <c r="D50" s="166"/>
      <c r="E50" s="166"/>
      <c r="F50" s="166"/>
      <c r="G50" s="166"/>
      <c r="H50" s="157"/>
      <c r="I50" s="158"/>
      <c r="J50" s="158"/>
      <c r="K50" s="158"/>
      <c r="L50" s="158"/>
      <c r="M50" s="158"/>
      <c r="N50" s="57"/>
      <c r="O50" s="78" t="s">
        <v>151</v>
      </c>
      <c r="P50" s="78"/>
      <c r="Q50" s="78"/>
      <c r="R50" s="78"/>
      <c r="S50" s="78"/>
      <c r="T50" s="78"/>
      <c r="U50" s="79"/>
      <c r="V50" s="261" t="s">
        <v>265</v>
      </c>
      <c r="W50" s="262"/>
      <c r="X50" s="262"/>
      <c r="Y50" s="262"/>
      <c r="Z50" s="262"/>
      <c r="AA50" s="262"/>
      <c r="AB50" s="265"/>
      <c r="AC50" s="155" t="s">
        <v>266</v>
      </c>
      <c r="AD50" s="156"/>
      <c r="AE50" s="156"/>
      <c r="AF50" s="156"/>
      <c r="AG50" s="156"/>
      <c r="AH50" s="156"/>
      <c r="AI50" s="218"/>
      <c r="AJ50" s="165" t="s">
        <v>267</v>
      </c>
      <c r="AK50" s="166"/>
      <c r="AL50" s="115" t="s">
        <v>210</v>
      </c>
      <c r="AM50" s="60">
        <v>18</v>
      </c>
      <c r="AN50" s="61" t="s">
        <v>246</v>
      </c>
      <c r="AO50" s="115" t="s">
        <v>268</v>
      </c>
      <c r="AP50" s="140"/>
    </row>
    <row r="51" spans="1:42" ht="19" customHeight="1" x14ac:dyDescent="0.25">
      <c r="A51" s="165" t="s">
        <v>269</v>
      </c>
      <c r="B51" s="166"/>
      <c r="C51" s="166"/>
      <c r="D51" s="166"/>
      <c r="E51" s="166"/>
      <c r="F51" s="166"/>
      <c r="G51" s="166"/>
      <c r="H51" s="251" t="s">
        <v>151</v>
      </c>
      <c r="I51" s="252"/>
      <c r="J51" s="252"/>
      <c r="K51" s="252"/>
      <c r="L51" s="252"/>
      <c r="M51" s="252"/>
      <c r="N51" s="253"/>
      <c r="O51" s="153" t="s">
        <v>270</v>
      </c>
      <c r="P51" s="154"/>
      <c r="Q51" s="154"/>
      <c r="R51" s="154"/>
      <c r="S51" s="154"/>
      <c r="T51" s="154"/>
      <c r="U51" s="48"/>
      <c r="V51" s="263" t="s">
        <v>271</v>
      </c>
      <c r="W51" s="264"/>
      <c r="X51" s="264"/>
      <c r="Y51" s="264"/>
      <c r="Z51" s="264"/>
      <c r="AA51" s="264"/>
      <c r="AB51" s="80"/>
      <c r="AC51" s="155" t="s">
        <v>272</v>
      </c>
      <c r="AD51" s="156"/>
      <c r="AE51" s="156"/>
      <c r="AF51" s="156"/>
      <c r="AG51" s="156"/>
      <c r="AH51" s="156"/>
      <c r="AI51" s="218"/>
      <c r="AJ51" s="165" t="s">
        <v>273</v>
      </c>
      <c r="AK51" s="166"/>
      <c r="AL51" s="115" t="s">
        <v>217</v>
      </c>
      <c r="AM51" s="60">
        <v>2</v>
      </c>
      <c r="AN51" s="61" t="s">
        <v>211</v>
      </c>
      <c r="AO51" s="115" t="s">
        <v>268</v>
      </c>
      <c r="AP51" s="140"/>
    </row>
    <row r="52" spans="1:42" ht="19" customHeight="1" x14ac:dyDescent="0.25">
      <c r="A52" s="165" t="s">
        <v>274</v>
      </c>
      <c r="B52" s="166"/>
      <c r="C52" s="166"/>
      <c r="D52" s="166"/>
      <c r="E52" s="166"/>
      <c r="F52" s="166"/>
      <c r="G52" s="166"/>
      <c r="H52" s="176" t="s">
        <v>275</v>
      </c>
      <c r="I52" s="177"/>
      <c r="J52" s="177"/>
      <c r="K52" s="177"/>
      <c r="L52" s="177"/>
      <c r="M52" s="177"/>
      <c r="N52" s="56"/>
      <c r="O52" s="155" t="s">
        <v>276</v>
      </c>
      <c r="P52" s="156"/>
      <c r="Q52" s="156"/>
      <c r="R52" s="156"/>
      <c r="S52" s="156"/>
      <c r="T52" s="156"/>
      <c r="U52" s="48"/>
      <c r="V52" s="155" t="s">
        <v>277</v>
      </c>
      <c r="W52" s="156"/>
      <c r="X52" s="156"/>
      <c r="Y52" s="156"/>
      <c r="Z52" s="156"/>
      <c r="AA52" s="156"/>
      <c r="AB52" s="80"/>
      <c r="AC52" s="155" t="s">
        <v>278</v>
      </c>
      <c r="AD52" s="156"/>
      <c r="AE52" s="156"/>
      <c r="AF52" s="156"/>
      <c r="AG52" s="156"/>
      <c r="AH52" s="156"/>
      <c r="AI52" s="218"/>
      <c r="AJ52" s="62" t="s">
        <v>279</v>
      </c>
      <c r="AK52" s="114"/>
      <c r="AL52" s="115" t="s">
        <v>217</v>
      </c>
      <c r="AM52" s="60">
        <v>9</v>
      </c>
      <c r="AN52" s="61" t="s">
        <v>246</v>
      </c>
      <c r="AO52" s="115" t="s">
        <v>268</v>
      </c>
      <c r="AP52" s="37"/>
    </row>
    <row r="53" spans="1:42" ht="19" customHeight="1" x14ac:dyDescent="0.25">
      <c r="A53" s="165" t="s">
        <v>280</v>
      </c>
      <c r="B53" s="166"/>
      <c r="C53" s="166"/>
      <c r="D53" s="166"/>
      <c r="E53" s="166"/>
      <c r="F53" s="166"/>
      <c r="G53" s="166"/>
      <c r="H53" s="165" t="s">
        <v>281</v>
      </c>
      <c r="I53" s="166"/>
      <c r="J53" s="166"/>
      <c r="K53" s="166"/>
      <c r="L53" s="166"/>
      <c r="M53" s="166"/>
      <c r="N53" s="59"/>
      <c r="O53" s="155" t="s">
        <v>282</v>
      </c>
      <c r="P53" s="156"/>
      <c r="Q53" s="156"/>
      <c r="R53" s="156"/>
      <c r="S53" s="156"/>
      <c r="T53" s="156"/>
      <c r="U53" s="48"/>
      <c r="V53" s="261" t="s">
        <v>283</v>
      </c>
      <c r="W53" s="262"/>
      <c r="X53" s="262"/>
      <c r="Y53" s="262"/>
      <c r="Z53" s="262"/>
      <c r="AA53" s="262"/>
      <c r="AB53" s="262"/>
      <c r="AC53" s="155" t="s">
        <v>284</v>
      </c>
      <c r="AD53" s="156"/>
      <c r="AE53" s="156"/>
      <c r="AF53" s="156"/>
      <c r="AG53" s="156"/>
      <c r="AH53" s="156"/>
      <c r="AI53" s="218"/>
      <c r="AJ53" s="155" t="s">
        <v>285</v>
      </c>
      <c r="AK53" s="156"/>
      <c r="AL53" s="115" t="s">
        <v>217</v>
      </c>
      <c r="AM53" s="60">
        <v>16</v>
      </c>
      <c r="AN53" s="61" t="s">
        <v>246</v>
      </c>
      <c r="AO53" s="69" t="s">
        <v>268</v>
      </c>
      <c r="AP53" s="37"/>
    </row>
    <row r="54" spans="1:42" ht="19" customHeight="1" x14ac:dyDescent="0.25">
      <c r="A54" s="165" t="s">
        <v>286</v>
      </c>
      <c r="B54" s="166"/>
      <c r="C54" s="166"/>
      <c r="D54" s="166"/>
      <c r="E54" s="166"/>
      <c r="F54" s="166"/>
      <c r="G54" s="166"/>
      <c r="H54" s="155" t="s">
        <v>287</v>
      </c>
      <c r="I54" s="156"/>
      <c r="J54" s="156"/>
      <c r="K54" s="156"/>
      <c r="L54" s="156"/>
      <c r="M54" s="156"/>
      <c r="N54" s="48"/>
      <c r="O54" s="155" t="s">
        <v>288</v>
      </c>
      <c r="P54" s="156"/>
      <c r="Q54" s="156"/>
      <c r="R54" s="156"/>
      <c r="S54" s="156"/>
      <c r="T54" s="156"/>
      <c r="U54" s="48"/>
      <c r="V54" s="81" t="s">
        <v>289</v>
      </c>
      <c r="W54" s="167" t="s">
        <v>290</v>
      </c>
      <c r="X54" s="167"/>
      <c r="Y54" s="167"/>
      <c r="Z54" s="168"/>
      <c r="AA54" s="82" t="s">
        <v>291</v>
      </c>
      <c r="AB54" s="56"/>
      <c r="AC54" s="155" t="s">
        <v>292</v>
      </c>
      <c r="AD54" s="156"/>
      <c r="AE54" s="156"/>
      <c r="AF54" s="156"/>
      <c r="AG54" s="156"/>
      <c r="AH54" s="156"/>
      <c r="AI54" s="218"/>
      <c r="AJ54" s="62" t="s">
        <v>293</v>
      </c>
      <c r="AK54" s="60"/>
      <c r="AL54" s="115" t="s">
        <v>217</v>
      </c>
      <c r="AM54" s="60">
        <v>3</v>
      </c>
      <c r="AN54" s="61" t="s">
        <v>246</v>
      </c>
      <c r="AO54" s="69" t="s">
        <v>268</v>
      </c>
      <c r="AP54" s="37"/>
    </row>
    <row r="55" spans="1:42" ht="19" customHeight="1" x14ac:dyDescent="0.25">
      <c r="A55" s="165" t="s">
        <v>294</v>
      </c>
      <c r="B55" s="166"/>
      <c r="C55" s="166"/>
      <c r="D55" s="166"/>
      <c r="E55" s="166"/>
      <c r="F55" s="166"/>
      <c r="G55" s="166"/>
      <c r="H55" s="155" t="s">
        <v>295</v>
      </c>
      <c r="I55" s="156"/>
      <c r="J55" s="156"/>
      <c r="K55" s="156"/>
      <c r="L55" s="156"/>
      <c r="M55" s="156"/>
      <c r="N55" s="48"/>
      <c r="O55" s="155" t="s">
        <v>296</v>
      </c>
      <c r="P55" s="156"/>
      <c r="Q55" s="156"/>
      <c r="R55" s="156"/>
      <c r="S55" s="156"/>
      <c r="T55" s="156"/>
      <c r="U55" s="37"/>
      <c r="V55" s="169" t="s">
        <v>297</v>
      </c>
      <c r="W55" s="170"/>
      <c r="X55" s="170"/>
      <c r="Y55" s="170"/>
      <c r="Z55" s="170"/>
      <c r="AA55" s="170"/>
      <c r="AB55" s="59"/>
      <c r="AC55" s="155" t="s">
        <v>298</v>
      </c>
      <c r="AD55" s="156"/>
      <c r="AE55" s="156"/>
      <c r="AF55" s="156"/>
      <c r="AG55" s="156"/>
      <c r="AH55" s="156"/>
      <c r="AI55" s="218"/>
      <c r="AJ55" s="62" t="s">
        <v>299</v>
      </c>
      <c r="AK55" s="114"/>
      <c r="AL55" s="115" t="s">
        <v>217</v>
      </c>
      <c r="AM55" s="60">
        <v>6</v>
      </c>
      <c r="AN55" s="61" t="s">
        <v>246</v>
      </c>
      <c r="AO55" s="69" t="s">
        <v>268</v>
      </c>
      <c r="AP55" s="37"/>
    </row>
    <row r="56" spans="1:42" ht="19" customHeight="1" x14ac:dyDescent="0.25">
      <c r="A56" s="165" t="s">
        <v>300</v>
      </c>
      <c r="B56" s="166"/>
      <c r="C56" s="166"/>
      <c r="D56" s="166"/>
      <c r="E56" s="166"/>
      <c r="F56" s="166"/>
      <c r="G56" s="166"/>
      <c r="H56" s="155" t="s">
        <v>301</v>
      </c>
      <c r="I56" s="156"/>
      <c r="J56" s="156"/>
      <c r="K56" s="156"/>
      <c r="L56" s="156"/>
      <c r="M56" s="156"/>
      <c r="N56" s="48"/>
      <c r="O56" s="155" t="s">
        <v>302</v>
      </c>
      <c r="P56" s="156"/>
      <c r="Q56" s="156"/>
      <c r="R56" s="156"/>
      <c r="S56" s="156"/>
      <c r="T56" s="156"/>
      <c r="U56" s="37"/>
      <c r="V56" s="261" t="s">
        <v>303</v>
      </c>
      <c r="W56" s="262"/>
      <c r="X56" s="262"/>
      <c r="Y56" s="262"/>
      <c r="Z56" s="262"/>
      <c r="AA56" s="262"/>
      <c r="AB56" s="262"/>
      <c r="AC56" s="155" t="s">
        <v>304</v>
      </c>
      <c r="AD56" s="156"/>
      <c r="AE56" s="156"/>
      <c r="AF56" s="156"/>
      <c r="AG56" s="156"/>
      <c r="AH56" s="156"/>
      <c r="AI56" s="218"/>
      <c r="AJ56" s="113" t="s">
        <v>235</v>
      </c>
      <c r="AK56" s="114"/>
      <c r="AL56" s="114"/>
      <c r="AM56" s="114"/>
      <c r="AN56" s="114"/>
      <c r="AO56" s="114"/>
      <c r="AP56" s="141"/>
    </row>
    <row r="57" spans="1:42" ht="19" customHeight="1" x14ac:dyDescent="0.25">
      <c r="A57" s="165" t="s">
        <v>305</v>
      </c>
      <c r="B57" s="166"/>
      <c r="C57" s="166"/>
      <c r="D57" s="166"/>
      <c r="E57" s="166"/>
      <c r="F57" s="166"/>
      <c r="G57" s="166"/>
      <c r="H57" s="155" t="s">
        <v>306</v>
      </c>
      <c r="I57" s="156"/>
      <c r="J57" s="156"/>
      <c r="K57" s="156"/>
      <c r="L57" s="156"/>
      <c r="M57" s="156"/>
      <c r="N57" s="48"/>
      <c r="O57" s="165" t="s">
        <v>307</v>
      </c>
      <c r="P57" s="166"/>
      <c r="Q57" s="166"/>
      <c r="R57" s="166"/>
      <c r="S57" s="166"/>
      <c r="T57" s="166"/>
      <c r="U57" s="140"/>
      <c r="V57" s="153" t="s">
        <v>308</v>
      </c>
      <c r="W57" s="154"/>
      <c r="X57" s="154"/>
      <c r="Y57" s="154"/>
      <c r="Z57" s="154"/>
      <c r="AA57" s="154"/>
      <c r="AB57" s="56"/>
      <c r="AC57" s="155" t="s">
        <v>309</v>
      </c>
      <c r="AD57" s="156"/>
      <c r="AE57" s="156"/>
      <c r="AF57" s="156"/>
      <c r="AG57" s="156"/>
      <c r="AH57" s="156"/>
      <c r="AI57" s="218"/>
      <c r="AJ57" s="155" t="s">
        <v>310</v>
      </c>
      <c r="AK57" s="156"/>
      <c r="AL57" s="115" t="s">
        <v>217</v>
      </c>
      <c r="AM57" s="60">
        <v>10</v>
      </c>
      <c r="AN57" s="61" t="s">
        <v>246</v>
      </c>
      <c r="AO57" s="69">
        <f>AO42</f>
        <v>0</v>
      </c>
      <c r="AP57" s="37"/>
    </row>
    <row r="58" spans="1:42" ht="19" customHeight="1" x14ac:dyDescent="0.25">
      <c r="A58" s="165" t="s">
        <v>311</v>
      </c>
      <c r="B58" s="166"/>
      <c r="C58" s="166"/>
      <c r="D58" s="166"/>
      <c r="E58" s="166"/>
      <c r="F58" s="166"/>
      <c r="G58" s="166"/>
      <c r="H58" s="155" t="s">
        <v>312</v>
      </c>
      <c r="I58" s="156"/>
      <c r="J58" s="156"/>
      <c r="K58" s="156"/>
      <c r="L58" s="156"/>
      <c r="M58" s="156"/>
      <c r="N58" s="48"/>
      <c r="O58" s="155" t="s">
        <v>313</v>
      </c>
      <c r="P58" s="156"/>
      <c r="Q58" s="156"/>
      <c r="R58" s="156"/>
      <c r="S58" s="156"/>
      <c r="T58" s="156"/>
      <c r="U58" s="59"/>
      <c r="V58" s="155"/>
      <c r="W58" s="156"/>
      <c r="X58" s="156"/>
      <c r="Y58" s="156"/>
      <c r="Z58" s="156"/>
      <c r="AA58" s="156"/>
      <c r="AB58" s="59"/>
      <c r="AC58" s="155" t="s">
        <v>314</v>
      </c>
      <c r="AD58" s="156"/>
      <c r="AE58" s="156"/>
      <c r="AF58" s="156"/>
      <c r="AG58" s="156"/>
      <c r="AH58" s="156"/>
      <c r="AI58" s="218"/>
      <c r="AJ58" s="62" t="s">
        <v>315</v>
      </c>
      <c r="AK58" s="60"/>
      <c r="AL58" s="115" t="s">
        <v>217</v>
      </c>
      <c r="AM58" s="60">
        <v>36</v>
      </c>
      <c r="AN58" s="61" t="s">
        <v>246</v>
      </c>
      <c r="AO58" s="69">
        <f t="shared" ref="AO58:AO60" si="0">AO43</f>
        <v>0</v>
      </c>
      <c r="AP58" s="37"/>
    </row>
    <row r="59" spans="1:42" ht="19" customHeight="1" x14ac:dyDescent="0.25">
      <c r="A59" s="165" t="s">
        <v>316</v>
      </c>
      <c r="B59" s="166"/>
      <c r="C59" s="166"/>
      <c r="D59" s="166"/>
      <c r="E59" s="166"/>
      <c r="F59" s="166"/>
      <c r="G59" s="191"/>
      <c r="H59" s="155" t="s">
        <v>317</v>
      </c>
      <c r="I59" s="156"/>
      <c r="J59" s="156"/>
      <c r="K59" s="156"/>
      <c r="L59" s="156"/>
      <c r="M59" s="156"/>
      <c r="N59" s="48"/>
      <c r="O59" s="155" t="s">
        <v>318</v>
      </c>
      <c r="P59" s="156"/>
      <c r="Q59" s="156"/>
      <c r="R59" s="156"/>
      <c r="S59" s="156"/>
      <c r="T59" s="156"/>
      <c r="U59" s="48"/>
      <c r="V59" s="155" t="s">
        <v>319</v>
      </c>
      <c r="W59" s="156"/>
      <c r="X59" s="156"/>
      <c r="Y59" s="156"/>
      <c r="Z59" s="156"/>
      <c r="AA59" s="156"/>
      <c r="AB59" s="59"/>
      <c r="AC59" s="155" t="s">
        <v>320</v>
      </c>
      <c r="AD59" s="156"/>
      <c r="AE59" s="156"/>
      <c r="AF59" s="156"/>
      <c r="AG59" s="156"/>
      <c r="AH59" s="156"/>
      <c r="AI59" s="218"/>
      <c r="AJ59" s="155" t="s">
        <v>321</v>
      </c>
      <c r="AK59" s="156"/>
      <c r="AL59" s="115" t="s">
        <v>217</v>
      </c>
      <c r="AM59" s="60">
        <v>3574</v>
      </c>
      <c r="AN59" s="61" t="s">
        <v>246</v>
      </c>
      <c r="AO59" s="83">
        <f t="shared" si="0"/>
        <v>0</v>
      </c>
      <c r="AP59" s="37"/>
    </row>
    <row r="60" spans="1:42" ht="19" customHeight="1" x14ac:dyDescent="0.25">
      <c r="A60" s="165" t="s">
        <v>322</v>
      </c>
      <c r="B60" s="166"/>
      <c r="C60" s="166"/>
      <c r="D60" s="166"/>
      <c r="E60" s="166"/>
      <c r="F60" s="166"/>
      <c r="G60" s="166"/>
      <c r="H60" s="259" t="s">
        <v>323</v>
      </c>
      <c r="I60" s="260"/>
      <c r="J60" s="260"/>
      <c r="K60" s="260"/>
      <c r="L60" s="260"/>
      <c r="M60" s="260"/>
      <c r="N60" s="84"/>
      <c r="O60" s="155" t="s">
        <v>324</v>
      </c>
      <c r="P60" s="156"/>
      <c r="Q60" s="156"/>
      <c r="R60" s="156"/>
      <c r="S60" s="156"/>
      <c r="T60" s="156"/>
      <c r="U60" s="48"/>
      <c r="V60" s="155"/>
      <c r="W60" s="156"/>
      <c r="X60" s="156"/>
      <c r="Y60" s="156"/>
      <c r="Z60" s="156"/>
      <c r="AA60" s="156"/>
      <c r="AB60" s="59"/>
      <c r="AC60" s="155" t="s">
        <v>325</v>
      </c>
      <c r="AD60" s="156"/>
      <c r="AE60" s="156"/>
      <c r="AF60" s="156"/>
      <c r="AG60" s="156"/>
      <c r="AH60" s="156"/>
      <c r="AI60" s="218"/>
      <c r="AJ60" s="62" t="s">
        <v>326</v>
      </c>
      <c r="AK60" s="60"/>
      <c r="AL60" s="115" t="s">
        <v>217</v>
      </c>
      <c r="AM60" s="60">
        <v>784</v>
      </c>
      <c r="AN60" s="61" t="s">
        <v>246</v>
      </c>
      <c r="AO60" s="83">
        <f t="shared" si="0"/>
        <v>0</v>
      </c>
      <c r="AP60" s="37"/>
    </row>
    <row r="61" spans="1:42" ht="19" customHeight="1" x14ac:dyDescent="0.25">
      <c r="A61" s="165" t="s">
        <v>327</v>
      </c>
      <c r="B61" s="166"/>
      <c r="C61" s="166"/>
      <c r="D61" s="166"/>
      <c r="E61" s="166"/>
      <c r="F61" s="166"/>
      <c r="G61" s="166"/>
      <c r="H61" s="251" t="s">
        <v>328</v>
      </c>
      <c r="I61" s="252"/>
      <c r="J61" s="252"/>
      <c r="K61" s="252"/>
      <c r="L61" s="252"/>
      <c r="M61" s="252"/>
      <c r="N61" s="253"/>
      <c r="O61" s="155" t="s">
        <v>329</v>
      </c>
      <c r="P61" s="156"/>
      <c r="Q61" s="156"/>
      <c r="R61" s="156"/>
      <c r="S61" s="156"/>
      <c r="T61" s="156"/>
      <c r="U61" s="48"/>
      <c r="V61" s="155" t="s">
        <v>330</v>
      </c>
      <c r="W61" s="156"/>
      <c r="X61" s="156"/>
      <c r="Y61" s="156"/>
      <c r="Z61" s="156"/>
      <c r="AA61" s="156"/>
      <c r="AB61" s="85"/>
      <c r="AC61" s="155" t="s">
        <v>331</v>
      </c>
      <c r="AD61" s="156"/>
      <c r="AE61" s="156"/>
      <c r="AF61" s="156"/>
      <c r="AG61" s="156"/>
      <c r="AH61" s="156"/>
      <c r="AI61" s="218"/>
      <c r="AJ61" s="94" t="s">
        <v>251</v>
      </c>
      <c r="AK61" s="86"/>
      <c r="AL61" s="86"/>
      <c r="AM61" s="86"/>
      <c r="AN61" s="86"/>
      <c r="AO61" s="86"/>
      <c r="AP61" s="87"/>
    </row>
    <row r="62" spans="1:42" ht="19" customHeight="1" x14ac:dyDescent="0.25">
      <c r="A62" s="165" t="s">
        <v>332</v>
      </c>
      <c r="B62" s="166"/>
      <c r="C62" s="166"/>
      <c r="D62" s="166"/>
      <c r="E62" s="166"/>
      <c r="F62" s="166"/>
      <c r="G62" s="166"/>
      <c r="H62" s="52" t="s">
        <v>15</v>
      </c>
      <c r="I62" s="53" t="s">
        <v>172</v>
      </c>
      <c r="J62" s="53" t="s">
        <v>173</v>
      </c>
      <c r="K62" s="53" t="s">
        <v>174</v>
      </c>
      <c r="L62" s="53" t="s">
        <v>175</v>
      </c>
      <c r="M62" s="53" t="s">
        <v>176</v>
      </c>
      <c r="N62" s="88"/>
      <c r="O62" s="155" t="s">
        <v>333</v>
      </c>
      <c r="P62" s="156"/>
      <c r="Q62" s="156"/>
      <c r="R62" s="156"/>
      <c r="S62" s="156"/>
      <c r="T62" s="156"/>
      <c r="U62" s="48"/>
      <c r="V62" s="157" t="s">
        <v>334</v>
      </c>
      <c r="W62" s="158"/>
      <c r="X62" s="158"/>
      <c r="Y62" s="158"/>
      <c r="Z62" s="158"/>
      <c r="AA62" s="158"/>
      <c r="AB62" s="89"/>
      <c r="AC62" s="155" t="s">
        <v>621</v>
      </c>
      <c r="AD62" s="156"/>
      <c r="AE62" s="156"/>
      <c r="AF62" s="156"/>
      <c r="AG62" s="156"/>
      <c r="AH62" s="156"/>
      <c r="AI62" s="45"/>
      <c r="AJ62" s="254" t="s">
        <v>335</v>
      </c>
      <c r="AK62" s="255"/>
      <c r="AL62" s="255"/>
      <c r="AM62" s="255"/>
      <c r="AN62" s="255"/>
      <c r="AO62" s="255"/>
      <c r="AP62" s="124"/>
    </row>
    <row r="63" spans="1:42" ht="19" customHeight="1" x14ac:dyDescent="0.25">
      <c r="A63" s="165" t="s">
        <v>336</v>
      </c>
      <c r="B63" s="166"/>
      <c r="C63" s="166"/>
      <c r="D63" s="166"/>
      <c r="E63" s="166"/>
      <c r="F63" s="166"/>
      <c r="G63" s="166"/>
      <c r="H63" s="35" t="s">
        <v>337</v>
      </c>
      <c r="I63" s="90">
        <f>'[1]Population Data Profiling Check'!AJ2</f>
        <v>2009</v>
      </c>
      <c r="J63" s="90">
        <f>'[1]Population Data Profiling Check'!AJ3</f>
        <v>2017</v>
      </c>
      <c r="K63" s="90" t="s">
        <v>268</v>
      </c>
      <c r="L63" s="90" t="s">
        <v>268</v>
      </c>
      <c r="M63" s="90">
        <f>'[1]Population Data Profiling Check'!AJ4</f>
        <v>2012</v>
      </c>
      <c r="N63" s="91"/>
      <c r="O63" s="92" t="s">
        <v>167</v>
      </c>
      <c r="P63" s="92"/>
      <c r="Q63" s="92"/>
      <c r="R63" s="92"/>
      <c r="S63" s="92"/>
      <c r="T63" s="92"/>
      <c r="U63" s="93"/>
      <c r="V63" s="70" t="s">
        <v>167</v>
      </c>
      <c r="W63" s="70"/>
      <c r="X63" s="70"/>
      <c r="Y63" s="70"/>
      <c r="Z63" s="70"/>
      <c r="AA63" s="70"/>
      <c r="AB63" s="51"/>
      <c r="AC63" s="155" t="s">
        <v>622</v>
      </c>
      <c r="AD63" s="156"/>
      <c r="AE63" s="156"/>
      <c r="AF63" s="156"/>
      <c r="AG63" s="156"/>
      <c r="AH63" s="156"/>
      <c r="AI63" s="48"/>
      <c r="AJ63" s="256" t="s">
        <v>265</v>
      </c>
      <c r="AK63" s="257"/>
      <c r="AL63" s="257"/>
      <c r="AM63" s="257"/>
      <c r="AN63" s="257"/>
      <c r="AO63" s="257"/>
      <c r="AP63" s="258"/>
    </row>
    <row r="64" spans="1:42" ht="19" customHeight="1" x14ac:dyDescent="0.25">
      <c r="A64" s="165" t="s">
        <v>338</v>
      </c>
      <c r="B64" s="166"/>
      <c r="C64" s="166"/>
      <c r="D64" s="166"/>
      <c r="E64" s="166"/>
      <c r="F64" s="166"/>
      <c r="G64" s="166"/>
      <c r="H64" s="119" t="s">
        <v>339</v>
      </c>
      <c r="I64" s="55">
        <f>'[1]Population Data Profiling Check'!AM2</f>
        <v>41</v>
      </c>
      <c r="J64" s="55">
        <f>'[1]Population Data Profiling Check'!AM3</f>
        <v>10105722</v>
      </c>
      <c r="K64" s="55">
        <f>'[1]Population Data Profiling Check'!AM4</f>
        <v>99075.183087143974</v>
      </c>
      <c r="L64" s="55">
        <f>'[1]Population Data Profiling Check'!AM5</f>
        <v>25741</v>
      </c>
      <c r="M64" s="55">
        <f>'[1]Population Data Profiling Check'!AM6</f>
        <v>4523</v>
      </c>
      <c r="N64" s="95"/>
      <c r="O64" s="52" t="s">
        <v>15</v>
      </c>
      <c r="P64" s="53" t="s">
        <v>172</v>
      </c>
      <c r="Q64" s="53" t="s">
        <v>173</v>
      </c>
      <c r="R64" s="53" t="s">
        <v>174</v>
      </c>
      <c r="S64" s="53" t="s">
        <v>175</v>
      </c>
      <c r="T64" s="53" t="s">
        <v>176</v>
      </c>
      <c r="U64" s="32"/>
      <c r="V64" s="52" t="s">
        <v>15</v>
      </c>
      <c r="W64" s="53" t="s">
        <v>172</v>
      </c>
      <c r="X64" s="53" t="s">
        <v>173</v>
      </c>
      <c r="Y64" s="53" t="s">
        <v>174</v>
      </c>
      <c r="Z64" s="53" t="s">
        <v>175</v>
      </c>
      <c r="AA64" s="53" t="s">
        <v>176</v>
      </c>
      <c r="AB64" s="32"/>
      <c r="AC64" s="155" t="s">
        <v>623</v>
      </c>
      <c r="AD64" s="156"/>
      <c r="AE64" s="156"/>
      <c r="AF64" s="156"/>
      <c r="AG64" s="156"/>
      <c r="AH64" s="156"/>
      <c r="AI64" s="48"/>
      <c r="AJ64" s="153" t="s">
        <v>340</v>
      </c>
      <c r="AK64" s="154"/>
      <c r="AL64" s="154"/>
      <c r="AM64" s="154"/>
      <c r="AN64" s="154"/>
      <c r="AO64" s="154"/>
      <c r="AP64" s="71"/>
    </row>
    <row r="65" spans="1:42" ht="19" customHeight="1" x14ac:dyDescent="0.25">
      <c r="A65" s="165" t="s">
        <v>341</v>
      </c>
      <c r="B65" s="166"/>
      <c r="C65" s="166"/>
      <c r="D65" s="166"/>
      <c r="E65" s="166"/>
      <c r="F65" s="166"/>
      <c r="G65" s="166"/>
      <c r="H65" s="35" t="s">
        <v>342</v>
      </c>
      <c r="I65" s="55">
        <f>'[1]Population Data Profiling Check'!AP2</f>
        <v>23</v>
      </c>
      <c r="J65" s="55">
        <f>'[1]Population Data Profiling Check'!AP3</f>
        <v>4979641</v>
      </c>
      <c r="K65" s="55">
        <f>'[1]Population Data Profiling Check'!AP4</f>
        <v>48742.012580394374</v>
      </c>
      <c r="L65" s="55">
        <f>'[1]Population Data Profiling Check'!AP5</f>
        <v>12799</v>
      </c>
      <c r="M65" s="55">
        <f>'[1]Population Data Profiling Check'!AP6</f>
        <v>1180</v>
      </c>
      <c r="N65" s="95"/>
      <c r="O65" s="35" t="s">
        <v>343</v>
      </c>
      <c r="P65" s="55">
        <f>MIN([1]!Table31[YEAR])</f>
        <v>2010</v>
      </c>
      <c r="Q65" s="55">
        <f>MAX([1]!Table31[YEAR])</f>
        <v>2019</v>
      </c>
      <c r="R65" s="55" t="s">
        <v>268</v>
      </c>
      <c r="S65" s="55" t="s">
        <v>268</v>
      </c>
      <c r="T65" s="55">
        <f>MODE([1]!Table31[YEAR])</f>
        <v>2014</v>
      </c>
      <c r="U65" s="37"/>
      <c r="V65" s="35" t="s">
        <v>182</v>
      </c>
      <c r="W65" s="54">
        <f>'[1]HCP Vaccinated Cleaning Checks'!Q2</f>
        <v>0.28100000000000003</v>
      </c>
      <c r="X65" s="54">
        <f>'[1]HCP Vaccinated Cleaning Checks'!R2</f>
        <v>0.99099999999999999</v>
      </c>
      <c r="Y65" s="54">
        <f>'[1]HCP Vaccinated Cleaning Checks'!S2</f>
        <v>0.84162324929972065</v>
      </c>
      <c r="Z65" s="54">
        <f>'[1]HCP Vaccinated Cleaning Checks'!T2</f>
        <v>0.878</v>
      </c>
      <c r="AA65" s="54">
        <f>'[1]HCP Vaccinated Cleaning Checks'!U2</f>
        <v>0.90700000000000003</v>
      </c>
      <c r="AB65" s="37"/>
      <c r="AC65" s="155" t="s">
        <v>344</v>
      </c>
      <c r="AD65" s="156"/>
      <c r="AE65" s="156"/>
      <c r="AF65" s="156"/>
      <c r="AG65" s="156"/>
      <c r="AH65" s="156"/>
      <c r="AI65" s="48"/>
      <c r="AJ65" s="155" t="s">
        <v>345</v>
      </c>
      <c r="AK65" s="156"/>
      <c r="AL65" s="156"/>
      <c r="AM65" s="156"/>
      <c r="AN65" s="156"/>
      <c r="AO65" s="156"/>
      <c r="AP65" s="73"/>
    </row>
    <row r="66" spans="1:42" ht="19" customHeight="1" x14ac:dyDescent="0.25">
      <c r="A66" s="165" t="s">
        <v>346</v>
      </c>
      <c r="B66" s="166"/>
      <c r="C66" s="166"/>
      <c r="D66" s="166"/>
      <c r="E66" s="166"/>
      <c r="F66" s="166"/>
      <c r="G66" s="166"/>
      <c r="H66" s="62" t="s">
        <v>347</v>
      </c>
      <c r="I66" s="90">
        <f>'[1]Population Data Profiling Check'!AS2</f>
        <v>15</v>
      </c>
      <c r="J66" s="90">
        <f>'[1]Population Data Profiling Check'!AS3</f>
        <v>5126081</v>
      </c>
      <c r="K66" s="90">
        <f>'[1]Population Data Profiling Check'!AS4</f>
        <v>50333.170506749593</v>
      </c>
      <c r="L66" s="90">
        <f>'[1]Population Data Profiling Check'!AS5</f>
        <v>12890.5</v>
      </c>
      <c r="M66" s="90">
        <f>'[1]Population Data Profiling Check'!AS6</f>
        <v>2389</v>
      </c>
      <c r="N66" s="91"/>
      <c r="O66" s="119" t="s">
        <v>348</v>
      </c>
      <c r="P66" s="55">
        <f>MIN([1]!Table31[WEEK])</f>
        <v>1</v>
      </c>
      <c r="Q66" s="55">
        <f>MAX([1]!Table31[WEEK])</f>
        <v>53</v>
      </c>
      <c r="R66" s="55" t="s">
        <v>268</v>
      </c>
      <c r="S66" s="55" t="s">
        <v>268</v>
      </c>
      <c r="T66" s="55">
        <f>MODE([1]!Table31[WEEK])</f>
        <v>40</v>
      </c>
      <c r="U66" s="37"/>
      <c r="V66" s="119" t="s">
        <v>187</v>
      </c>
      <c r="W66" s="55">
        <f>'[1]HCP Vaccinated Cleaning Checks'!Q3</f>
        <v>471</v>
      </c>
      <c r="X66" s="55">
        <f>'[1]HCP Vaccinated Cleaning Checks'!R3</f>
        <v>884990</v>
      </c>
      <c r="Y66" s="55">
        <f>'[1]HCP Vaccinated Cleaning Checks'!S3</f>
        <v>81875.89635854341</v>
      </c>
      <c r="Z66" s="55">
        <f>'[1]HCP Vaccinated Cleaning Checks'!T3</f>
        <v>33068</v>
      </c>
      <c r="AA66" s="55">
        <f>'[1]HCP Vaccinated Cleaning Checks'!U3</f>
        <v>25963</v>
      </c>
      <c r="AB66" s="37"/>
      <c r="AC66" s="155" t="s">
        <v>349</v>
      </c>
      <c r="AD66" s="156"/>
      <c r="AE66" s="156"/>
      <c r="AF66" s="156"/>
      <c r="AG66" s="156"/>
      <c r="AH66" s="156"/>
      <c r="AI66" s="120"/>
      <c r="AJ66" s="155"/>
      <c r="AK66" s="156"/>
      <c r="AL66" s="156"/>
      <c r="AM66" s="156"/>
      <c r="AN66" s="156"/>
      <c r="AO66" s="156"/>
      <c r="AP66" s="73"/>
    </row>
    <row r="67" spans="1:42" ht="19" customHeight="1" x14ac:dyDescent="0.25">
      <c r="A67" s="165" t="s">
        <v>350</v>
      </c>
      <c r="B67" s="166"/>
      <c r="C67" s="166"/>
      <c r="D67" s="166"/>
      <c r="E67" s="166"/>
      <c r="F67" s="166"/>
      <c r="G67" s="166"/>
      <c r="H67" s="62" t="s">
        <v>351</v>
      </c>
      <c r="I67" s="90">
        <f>MIN([1]!Table412[Under 5 years])</f>
        <v>0</v>
      </c>
      <c r="J67" s="96">
        <f>MAX([1]!Table412[Under 5 years])</f>
        <v>733897.125</v>
      </c>
      <c r="K67" s="90">
        <f>AVERAGE([1]!Table412[Under 5 years])</f>
        <v>6396.4632313591064</v>
      </c>
      <c r="L67" s="90">
        <f>MEDIAN([1]!Table412[Under 5 years])</f>
        <v>1574.143</v>
      </c>
      <c r="M67" s="90">
        <f>MODE([1]!Table412[Under 5 years])</f>
        <v>0</v>
      </c>
      <c r="N67" s="97"/>
      <c r="O67" s="62" t="s">
        <v>352</v>
      </c>
      <c r="P67" s="98">
        <f>'[1]Influenza Visits ProfilingCheck'!AH2</f>
        <v>0</v>
      </c>
      <c r="Q67" s="98">
        <f>'[1]Influenza Visits ProfilingCheck'!AI2</f>
        <v>999491</v>
      </c>
      <c r="R67" s="98">
        <f>'[1]Influenza Visits ProfilingCheck'!AJ2</f>
        <v>127636.80247937136</v>
      </c>
      <c r="S67" s="98">
        <f>'[1]Influenza Visits ProfilingCheck'!AK2</f>
        <v>33706</v>
      </c>
      <c r="T67" s="98">
        <f>'[1]Influenza Visits ProfilingCheck'!AL2</f>
        <v>0</v>
      </c>
      <c r="U67" s="37"/>
      <c r="V67" s="155" t="s">
        <v>192</v>
      </c>
      <c r="W67" s="156"/>
      <c r="X67" s="156"/>
      <c r="Y67" s="156"/>
      <c r="Z67" s="156"/>
      <c r="AA67" s="156"/>
      <c r="AB67" s="120"/>
      <c r="AC67" s="99" t="s">
        <v>167</v>
      </c>
      <c r="AD67" s="100"/>
      <c r="AE67" s="100"/>
      <c r="AF67" s="100"/>
      <c r="AG67" s="100"/>
      <c r="AH67" s="100"/>
      <c r="AI67" s="101"/>
      <c r="AJ67" s="248" t="s">
        <v>283</v>
      </c>
      <c r="AK67" s="249"/>
      <c r="AL67" s="249"/>
      <c r="AM67" s="249"/>
      <c r="AN67" s="249"/>
      <c r="AO67" s="249"/>
      <c r="AP67" s="250"/>
    </row>
    <row r="68" spans="1:42" ht="19" customHeight="1" x14ac:dyDescent="0.25">
      <c r="A68" s="165" t="s">
        <v>353</v>
      </c>
      <c r="B68" s="166"/>
      <c r="C68" s="166"/>
      <c r="D68" s="166"/>
      <c r="E68" s="166"/>
      <c r="F68" s="166"/>
      <c r="G68" s="166"/>
      <c r="H68" s="62" t="s">
        <v>354</v>
      </c>
      <c r="I68" s="90">
        <f>MIN([1]!Table412[5 to 9 years])</f>
        <v>0</v>
      </c>
      <c r="J68" s="96">
        <f>MAX([1]!Table412[5 to 9 years])</f>
        <v>665400.06000000006</v>
      </c>
      <c r="K68" s="90">
        <f>AVERAGE([1]!Table412[5 to 9 years])</f>
        <v>6461.2029034914158</v>
      </c>
      <c r="L68" s="90">
        <f>MEDIAN([1]!Table412[5 to 9 years])</f>
        <v>1634.7315000000001</v>
      </c>
      <c r="M68" s="90">
        <f>MODE([1]!Table412[5 to 9 years])</f>
        <v>0</v>
      </c>
      <c r="N68" s="97"/>
      <c r="O68" s="62" t="s">
        <v>355</v>
      </c>
      <c r="P68" s="102">
        <f>('[1]Influenza Visits ProfilingCheck'!AH3)*0.00001</f>
        <v>0</v>
      </c>
      <c r="Q68" s="102">
        <f>('[1]Influenza Visits ProfilingCheck'!AI3)*0.00001</f>
        <v>0.11452000000000001</v>
      </c>
      <c r="R68" s="102">
        <f>('[1]Influenza Visits ProfilingCheck'!AJ3)*0.00001</f>
        <v>2.7120623655913978E-3</v>
      </c>
      <c r="S68" s="102">
        <f>('[1]Influenza Visits ProfilingCheck'!AK3)*0.00001</f>
        <v>8.4000000000000003E-4</v>
      </c>
      <c r="T68" s="102">
        <f>('[1]Influenza Visits ProfilingCheck'!AL3)*0.00001</f>
        <v>0</v>
      </c>
      <c r="U68" s="37"/>
      <c r="V68" s="46" t="s">
        <v>197</v>
      </c>
      <c r="W68" s="46"/>
      <c r="X68" s="46"/>
      <c r="Y68" s="46"/>
      <c r="Z68" s="46"/>
      <c r="AA68" s="46"/>
      <c r="AB68" s="47"/>
      <c r="AC68" s="52" t="s">
        <v>15</v>
      </c>
      <c r="AD68" s="53" t="s">
        <v>172</v>
      </c>
      <c r="AE68" s="53" t="s">
        <v>173</v>
      </c>
      <c r="AF68" s="53" t="s">
        <v>174</v>
      </c>
      <c r="AG68" s="53" t="s">
        <v>175</v>
      </c>
      <c r="AH68" s="53" t="s">
        <v>176</v>
      </c>
      <c r="AI68" s="32"/>
      <c r="AJ68" s="81" t="s">
        <v>289</v>
      </c>
      <c r="AK68" s="167" t="s">
        <v>356</v>
      </c>
      <c r="AL68" s="167"/>
      <c r="AM68" s="167"/>
      <c r="AN68" s="168"/>
      <c r="AO68" s="82" t="s">
        <v>357</v>
      </c>
      <c r="AP68" s="56"/>
    </row>
    <row r="69" spans="1:42" ht="19" customHeight="1" x14ac:dyDescent="0.25">
      <c r="A69" s="165" t="s">
        <v>358</v>
      </c>
      <c r="B69" s="166"/>
      <c r="C69" s="166"/>
      <c r="D69" s="166"/>
      <c r="E69" s="166"/>
      <c r="F69" s="166"/>
      <c r="G69" s="166"/>
      <c r="H69" s="62" t="s">
        <v>359</v>
      </c>
      <c r="I69" s="90">
        <f>MIN([1]!Table412[10 to 14 years])</f>
        <v>0</v>
      </c>
      <c r="J69" s="96">
        <f>MAX([1]!Table412[10 to 14 years])</f>
        <v>724111.83</v>
      </c>
      <c r="K69" s="90">
        <f>AVERAGE([1]!Table412[10 to 14 years])</f>
        <v>6573.2712965227365</v>
      </c>
      <c r="L69" s="90">
        <f>MEDIAN([1]!Table412[10 to 14 years])</f>
        <v>1700.8744999999999</v>
      </c>
      <c r="M69" s="90">
        <f>MODE([1]!Table412[10 to 14 years])</f>
        <v>0</v>
      </c>
      <c r="N69" s="97"/>
      <c r="O69" s="62" t="s">
        <v>360</v>
      </c>
      <c r="P69" s="90">
        <f>'[1]Influenza Visits ProfilingCheck'!AH4</f>
        <v>0</v>
      </c>
      <c r="Q69" s="90">
        <f>'[1]Influenza Visits ProfilingCheck'!AI4</f>
        <v>214</v>
      </c>
      <c r="R69" s="90">
        <f>'[1]Influenza Visits ProfilingCheck'!AJ4</f>
        <v>33.594623655913978</v>
      </c>
      <c r="S69" s="90">
        <f>'[1]Influenza Visits ProfilingCheck'!AK4</f>
        <v>23</v>
      </c>
      <c r="T69" s="90">
        <f>'[1]Influenza Visits ProfilingCheck'!AL4</f>
        <v>16</v>
      </c>
      <c r="U69" s="37"/>
      <c r="V69" s="176" t="s">
        <v>361</v>
      </c>
      <c r="W69" s="177"/>
      <c r="X69" s="177"/>
      <c r="Y69" s="177"/>
      <c r="Z69" s="177"/>
      <c r="AA69" s="58"/>
      <c r="AB69" s="56"/>
      <c r="AC69" s="35" t="s">
        <v>362</v>
      </c>
      <c r="AD69" s="55">
        <f>'[1]All Vaccinated Profiling Checks'!AA2</f>
        <v>1</v>
      </c>
      <c r="AE69" s="55">
        <f>'[1]All Vaccinated Profiling Checks'!AB2</f>
        <v>12</v>
      </c>
      <c r="AF69" s="55" t="str">
        <f>'[1]All Vaccinated Profiling Checks'!AC2</f>
        <v>-</v>
      </c>
      <c r="AG69" s="55" t="str">
        <f>'[1]All Vaccinated Profiling Checks'!AD2</f>
        <v>-</v>
      </c>
      <c r="AH69" s="55">
        <f>'[1]All Vaccinated Profiling Checks'!AE2</f>
        <v>1</v>
      </c>
      <c r="AI69" s="37"/>
      <c r="AJ69" s="169" t="s">
        <v>297</v>
      </c>
      <c r="AK69" s="170"/>
      <c r="AL69" s="170"/>
      <c r="AM69" s="170"/>
      <c r="AN69" s="170"/>
      <c r="AO69" s="170"/>
      <c r="AP69" s="59"/>
    </row>
    <row r="70" spans="1:42" ht="19" customHeight="1" x14ac:dyDescent="0.25">
      <c r="A70" s="165" t="s">
        <v>363</v>
      </c>
      <c r="B70" s="166"/>
      <c r="C70" s="166"/>
      <c r="D70" s="166"/>
      <c r="E70" s="166"/>
      <c r="F70" s="166"/>
      <c r="G70" s="166"/>
      <c r="H70" s="62" t="s">
        <v>364</v>
      </c>
      <c r="I70" s="90">
        <f>MIN([1]!Table412[15 to 19 years])</f>
        <v>0</v>
      </c>
      <c r="J70" s="96">
        <f>MAX([1]!Table412[15 to 19 years])</f>
        <v>753656.51899999997</v>
      </c>
      <c r="K70" s="90">
        <f>AVERAGE([1]!Table412[15 to 19 years])</f>
        <v>6884.9911141070124</v>
      </c>
      <c r="L70" s="90">
        <f>MEDIAN([1]!Table412[15 to 19 years])</f>
        <v>1751.4704999999999</v>
      </c>
      <c r="M70" s="90">
        <f>MODE([1]!Table412[15 to 19 years])</f>
        <v>0</v>
      </c>
      <c r="N70" s="97"/>
      <c r="O70" s="62" t="s">
        <v>365</v>
      </c>
      <c r="P70" s="90">
        <f>'[1]Influenza Visits ProfilingCheck'!AH5</f>
        <v>0</v>
      </c>
      <c r="Q70" s="90">
        <f>'[1]Influenza Visits ProfilingCheck'!AI5</f>
        <v>121837</v>
      </c>
      <c r="R70" s="90">
        <f>'[1]Influenza Visits ProfilingCheck'!AJ5</f>
        <v>13234.287612903227</v>
      </c>
      <c r="S70" s="90">
        <f>'[1]Influenza Visits ProfilingCheck'!AK5</f>
        <v>6625.5</v>
      </c>
      <c r="T70" s="90">
        <f>'[1]Influenza Visits ProfilingCheck'!AL5</f>
        <v>0</v>
      </c>
      <c r="U70" s="37"/>
      <c r="V70" s="113" t="s">
        <v>204</v>
      </c>
      <c r="W70" s="114"/>
      <c r="X70" s="114"/>
      <c r="Y70" s="114"/>
      <c r="Z70" s="114"/>
      <c r="AA70" s="114"/>
      <c r="AB70" s="141"/>
      <c r="AC70" s="119" t="s">
        <v>366</v>
      </c>
      <c r="AD70" s="54">
        <f>'[1]All Vaccinated Profiling Checks'!AA3</f>
        <v>0</v>
      </c>
      <c r="AE70" s="54">
        <f>'[1]All Vaccinated Profiling Checks'!AB3</f>
        <v>97.8</v>
      </c>
      <c r="AF70" s="54">
        <f>'[1]All Vaccinated Profiling Checks'!AC3</f>
        <v>36.179241909318293</v>
      </c>
      <c r="AG70" s="54">
        <f>'[1]All Vaccinated Profiling Checks'!AD3</f>
        <v>37.6</v>
      </c>
      <c r="AH70" s="54">
        <f>'[1]All Vaccinated Profiling Checks'!AE3</f>
        <v>1.1000000000000001</v>
      </c>
      <c r="AI70" s="37"/>
      <c r="AJ70" s="248" t="s">
        <v>303</v>
      </c>
      <c r="AK70" s="249"/>
      <c r="AL70" s="249"/>
      <c r="AM70" s="249"/>
      <c r="AN70" s="249"/>
      <c r="AO70" s="249"/>
      <c r="AP70" s="250"/>
    </row>
    <row r="71" spans="1:42" ht="19" customHeight="1" x14ac:dyDescent="0.25">
      <c r="A71" s="165" t="s">
        <v>367</v>
      </c>
      <c r="B71" s="166"/>
      <c r="C71" s="166"/>
      <c r="D71" s="166"/>
      <c r="E71" s="166"/>
      <c r="F71" s="166"/>
      <c r="G71" s="166"/>
      <c r="H71" s="62" t="s">
        <v>368</v>
      </c>
      <c r="I71" s="90">
        <f>MIN([1]!Table412[20 to 24 years])</f>
        <v>0</v>
      </c>
      <c r="J71" s="96">
        <f>MAX([1]!Table412[20 to 24 years])</f>
        <v>777987.83400000003</v>
      </c>
      <c r="K71" s="90">
        <f>AVERAGE([1]!Table412[20 to 24 years])</f>
        <v>6994.8912789243223</v>
      </c>
      <c r="L71" s="90">
        <f>MEDIAN([1]!Table412[20 to 24 years])</f>
        <v>1563.01</v>
      </c>
      <c r="M71" s="90">
        <f>MODE([1]!Table412[20 to 24 years])</f>
        <v>0</v>
      </c>
      <c r="N71" s="97"/>
      <c r="O71" s="155" t="s">
        <v>192</v>
      </c>
      <c r="P71" s="156"/>
      <c r="Q71" s="156"/>
      <c r="R71" s="156"/>
      <c r="S71" s="156"/>
      <c r="T71" s="156"/>
      <c r="U71" s="37"/>
      <c r="V71" s="165" t="s">
        <v>209</v>
      </c>
      <c r="W71" s="166"/>
      <c r="X71" s="115" t="s">
        <v>210</v>
      </c>
      <c r="Y71" s="60">
        <v>1</v>
      </c>
      <c r="Z71" s="61" t="s">
        <v>211</v>
      </c>
      <c r="AA71" s="115" t="s">
        <v>212</v>
      </c>
      <c r="AB71" s="140"/>
      <c r="AC71" s="62" t="s">
        <v>369</v>
      </c>
      <c r="AD71" s="55">
        <f>'[1]All Vaccinated Profiling Checks'!AA4</f>
        <v>31</v>
      </c>
      <c r="AE71" s="55">
        <f>'[1]All Vaccinated Profiling Checks'!AB4</f>
        <v>29185</v>
      </c>
      <c r="AF71" s="55">
        <f>'[1]All Vaccinated Profiling Checks'!AC4</f>
        <v>2792.8401807499154</v>
      </c>
      <c r="AG71" s="55">
        <f>'[1]All Vaccinated Profiling Checks'!AD4</f>
        <v>1765</v>
      </c>
      <c r="AH71" s="55">
        <f>'[1]All Vaccinated Profiling Checks'!AE4</f>
        <v>664</v>
      </c>
      <c r="AI71" s="37"/>
      <c r="AJ71" s="153" t="s">
        <v>308</v>
      </c>
      <c r="AK71" s="154"/>
      <c r="AL71" s="154"/>
      <c r="AM71" s="154"/>
      <c r="AN71" s="154"/>
      <c r="AO71" s="154"/>
      <c r="AP71" s="56"/>
    </row>
    <row r="72" spans="1:42" ht="19" customHeight="1" x14ac:dyDescent="0.25">
      <c r="A72" s="165" t="s">
        <v>370</v>
      </c>
      <c r="B72" s="166"/>
      <c r="C72" s="166"/>
      <c r="D72" s="166"/>
      <c r="E72" s="166"/>
      <c r="F72" s="166"/>
      <c r="G72" s="166"/>
      <c r="H72" s="62" t="s">
        <v>371</v>
      </c>
      <c r="I72" s="90">
        <f>MIN([1]!Table412[25 to 29 years])</f>
        <v>0</v>
      </c>
      <c r="J72" s="96">
        <f>MAX([1]!Table412[25 to 29 years])</f>
        <v>831276</v>
      </c>
      <c r="K72" s="90">
        <f>AVERAGE([1]!Table412[25 to 29 years])</f>
        <v>6802.219182062343</v>
      </c>
      <c r="L72" s="90">
        <f>MEDIAN([1]!Table412[25 to 29 years])</f>
        <v>1476.3020000000001</v>
      </c>
      <c r="M72" s="90">
        <f>MODE([1]!Table412[25 to 29 years])</f>
        <v>87</v>
      </c>
      <c r="N72" s="97"/>
      <c r="O72" s="157" t="s">
        <v>372</v>
      </c>
      <c r="P72" s="158"/>
      <c r="Q72" s="158"/>
      <c r="R72" s="158"/>
      <c r="S72" s="158"/>
      <c r="T72" s="158"/>
      <c r="U72" s="120"/>
      <c r="V72" s="165" t="s">
        <v>373</v>
      </c>
      <c r="W72" s="166"/>
      <c r="X72" s="115" t="s">
        <v>217</v>
      </c>
      <c r="Y72" s="60">
        <v>51</v>
      </c>
      <c r="Z72" s="61" t="s">
        <v>211</v>
      </c>
      <c r="AA72" s="115" t="s">
        <v>212</v>
      </c>
      <c r="AB72" s="37"/>
      <c r="AC72" s="155" t="s">
        <v>192</v>
      </c>
      <c r="AD72" s="156"/>
      <c r="AE72" s="156"/>
      <c r="AF72" s="156"/>
      <c r="AG72" s="156"/>
      <c r="AH72" s="156"/>
      <c r="AI72" s="37"/>
      <c r="AJ72" s="155"/>
      <c r="AK72" s="156"/>
      <c r="AL72" s="156"/>
      <c r="AM72" s="156"/>
      <c r="AN72" s="156"/>
      <c r="AO72" s="156"/>
      <c r="AP72" s="59"/>
    </row>
    <row r="73" spans="1:42" ht="19" customHeight="1" x14ac:dyDescent="0.25">
      <c r="A73" s="165" t="s">
        <v>374</v>
      </c>
      <c r="B73" s="166"/>
      <c r="C73" s="166"/>
      <c r="D73" s="166"/>
      <c r="E73" s="166"/>
      <c r="F73" s="166"/>
      <c r="G73" s="166"/>
      <c r="H73" s="62" t="s">
        <v>375</v>
      </c>
      <c r="I73" s="90">
        <f>MIN([1]!Table412[30 to 34 years])</f>
        <v>0</v>
      </c>
      <c r="J73" s="96">
        <f>MAX([1]!Table412[30 to 34 years])</f>
        <v>762619</v>
      </c>
      <c r="K73" s="90">
        <f>AVERAGE([1]!Table412[30 to 34 years])</f>
        <v>6519.0550899003438</v>
      </c>
      <c r="L73" s="90">
        <f>MEDIAN([1]!Table412[30 to 34 years])</f>
        <v>1485.981</v>
      </c>
      <c r="M73" s="90">
        <f>MODE([1]!Table412[30 to 34 years])</f>
        <v>418</v>
      </c>
      <c r="N73" s="97"/>
      <c r="O73" s="78" t="s">
        <v>197</v>
      </c>
      <c r="P73" s="78"/>
      <c r="Q73" s="78"/>
      <c r="R73" s="78"/>
      <c r="S73" s="78"/>
      <c r="T73" s="78"/>
      <c r="U73" s="79"/>
      <c r="V73" s="155" t="s">
        <v>376</v>
      </c>
      <c r="W73" s="156"/>
      <c r="X73" s="115" t="s">
        <v>217</v>
      </c>
      <c r="Y73" s="60">
        <v>7</v>
      </c>
      <c r="Z73" s="61" t="s">
        <v>211</v>
      </c>
      <c r="AA73" s="115" t="s">
        <v>212</v>
      </c>
      <c r="AB73" s="37"/>
      <c r="AC73" s="100" t="s">
        <v>197</v>
      </c>
      <c r="AD73" s="100"/>
      <c r="AE73" s="100"/>
      <c r="AF73" s="100"/>
      <c r="AG73" s="100"/>
      <c r="AH73" s="100"/>
      <c r="AI73" s="101"/>
      <c r="AJ73" s="155" t="s">
        <v>319</v>
      </c>
      <c r="AK73" s="156"/>
      <c r="AL73" s="156"/>
      <c r="AM73" s="156"/>
      <c r="AN73" s="156"/>
      <c r="AO73" s="156"/>
      <c r="AP73" s="59"/>
    </row>
    <row r="74" spans="1:42" ht="19" customHeight="1" x14ac:dyDescent="0.25">
      <c r="A74" s="165" t="s">
        <v>377</v>
      </c>
      <c r="B74" s="166"/>
      <c r="C74" s="166"/>
      <c r="D74" s="166"/>
      <c r="E74" s="166"/>
      <c r="F74" s="166"/>
      <c r="G74" s="166"/>
      <c r="H74" s="62" t="s">
        <v>378</v>
      </c>
      <c r="I74" s="90">
        <f>MIN([1]!Table412[35 to 39 years])</f>
        <v>0</v>
      </c>
      <c r="J74" s="96">
        <f>MAX([1]!Table412[35 to 39 years])</f>
        <v>753467.71499999997</v>
      </c>
      <c r="K74" s="90">
        <f>AVERAGE([1]!Table412[35 to 39 years])</f>
        <v>6426.9494943105583</v>
      </c>
      <c r="L74" s="90">
        <f>MEDIAN([1]!Table412[35 to 39 years])</f>
        <v>1526.2375</v>
      </c>
      <c r="M74" s="90">
        <f>MODE([1]!Table412[35 to 39 years])</f>
        <v>0</v>
      </c>
      <c r="N74" s="97"/>
      <c r="O74" s="176" t="s">
        <v>379</v>
      </c>
      <c r="P74" s="177"/>
      <c r="Q74" s="177"/>
      <c r="R74" s="177"/>
      <c r="S74" s="177"/>
      <c r="T74" s="58"/>
      <c r="U74" s="56"/>
      <c r="V74" s="165" t="s">
        <v>380</v>
      </c>
      <c r="W74" s="166"/>
      <c r="X74" s="115" t="s">
        <v>217</v>
      </c>
      <c r="Y74" s="60">
        <v>4</v>
      </c>
      <c r="Z74" s="61" t="s">
        <v>211</v>
      </c>
      <c r="AA74" s="115" t="s">
        <v>212</v>
      </c>
      <c r="AB74" s="37"/>
      <c r="AC74" s="176" t="s">
        <v>381</v>
      </c>
      <c r="AD74" s="177"/>
      <c r="AE74" s="177"/>
      <c r="AF74" s="177"/>
      <c r="AG74" s="177"/>
      <c r="AH74" s="58"/>
      <c r="AI74" s="56"/>
      <c r="AJ74" s="155" t="s">
        <v>382</v>
      </c>
      <c r="AK74" s="156"/>
      <c r="AL74" s="156"/>
      <c r="AM74" s="156"/>
      <c r="AN74" s="156"/>
      <c r="AO74" s="156"/>
      <c r="AP74" s="85"/>
    </row>
    <row r="75" spans="1:42" ht="19" customHeight="1" x14ac:dyDescent="0.25">
      <c r="A75" s="165" t="s">
        <v>383</v>
      </c>
      <c r="B75" s="166"/>
      <c r="C75" s="166"/>
      <c r="D75" s="166"/>
      <c r="E75" s="166"/>
      <c r="F75" s="166"/>
      <c r="G75" s="166"/>
      <c r="H75" s="62" t="s">
        <v>384</v>
      </c>
      <c r="I75" s="90">
        <f>MIN([1]!Table412[35 to 39 years])</f>
        <v>0</v>
      </c>
      <c r="J75" s="96">
        <f>MAX([1]!Table412[40 to 44 years])</f>
        <v>733897.125</v>
      </c>
      <c r="K75" s="90">
        <f>AVERAGE([1]!Table412[40 to 44 years])</f>
        <v>6699.2110828680416</v>
      </c>
      <c r="L75" s="90">
        <f>MEDIAN([1]!Table412[40 to 44 years])</f>
        <v>1654.8454999999999</v>
      </c>
      <c r="M75" s="90">
        <f>MODE([1]!Table412[40 to 44 years])</f>
        <v>617</v>
      </c>
      <c r="N75" s="97"/>
      <c r="O75" s="113" t="s">
        <v>204</v>
      </c>
      <c r="P75" s="114"/>
      <c r="Q75" s="114"/>
      <c r="R75" s="114"/>
      <c r="S75" s="114"/>
      <c r="T75" s="114"/>
      <c r="U75" s="141"/>
      <c r="V75" s="113" t="s">
        <v>235</v>
      </c>
      <c r="W75" s="114"/>
      <c r="X75" s="114"/>
      <c r="Y75" s="114"/>
      <c r="Z75" s="114"/>
      <c r="AA75" s="114"/>
      <c r="AB75" s="141"/>
      <c r="AC75" s="113" t="s">
        <v>204</v>
      </c>
      <c r="AD75" s="114"/>
      <c r="AE75" s="114"/>
      <c r="AF75" s="114"/>
      <c r="AG75" s="114"/>
      <c r="AH75" s="114"/>
      <c r="AI75" s="141"/>
      <c r="AJ75" s="157" t="s">
        <v>334</v>
      </c>
      <c r="AK75" s="158"/>
      <c r="AL75" s="158"/>
      <c r="AM75" s="158"/>
      <c r="AN75" s="158"/>
      <c r="AO75" s="158"/>
      <c r="AP75" s="89"/>
    </row>
    <row r="76" spans="1:42" ht="19" customHeight="1" x14ac:dyDescent="0.25">
      <c r="A76" s="165" t="s">
        <v>385</v>
      </c>
      <c r="B76" s="166"/>
      <c r="C76" s="166"/>
      <c r="D76" s="166"/>
      <c r="E76" s="166"/>
      <c r="F76" s="166"/>
      <c r="G76" s="166"/>
      <c r="H76" s="62" t="s">
        <v>386</v>
      </c>
      <c r="I76" s="90">
        <f>MIN([1]!Table412[45 to 49 years])</f>
        <v>0</v>
      </c>
      <c r="J76" s="96">
        <f>MAX([1]!Table412[45 to 49 years])</f>
        <v>704717.78399999999</v>
      </c>
      <c r="K76" s="90">
        <f>AVERAGE([1]!Table412[45 to 49 years])</f>
        <v>6993.3518791787374</v>
      </c>
      <c r="L76" s="90">
        <f>MEDIAN([1]!Table412[45 to 49 years])</f>
        <v>1790.152</v>
      </c>
      <c r="M76" s="90">
        <f>MODE([1]!Table412[45 to 49 years])</f>
        <v>532</v>
      </c>
      <c r="N76" s="97"/>
      <c r="O76" s="165" t="s">
        <v>387</v>
      </c>
      <c r="P76" s="166"/>
      <c r="Q76" s="115" t="s">
        <v>210</v>
      </c>
      <c r="R76" s="60">
        <v>1</v>
      </c>
      <c r="S76" s="61" t="s">
        <v>246</v>
      </c>
      <c r="T76" s="115" t="s">
        <v>212</v>
      </c>
      <c r="U76" s="140"/>
      <c r="V76" s="62" t="s">
        <v>388</v>
      </c>
      <c r="W76" s="114"/>
      <c r="X76" s="115" t="s">
        <v>217</v>
      </c>
      <c r="Y76" s="67">
        <v>400</v>
      </c>
      <c r="Z76" s="61" t="s">
        <v>211</v>
      </c>
      <c r="AA76" s="68">
        <f>AA65</f>
        <v>0.90700000000000003</v>
      </c>
      <c r="AB76" s="37"/>
      <c r="AC76" s="165" t="s">
        <v>209</v>
      </c>
      <c r="AD76" s="166"/>
      <c r="AE76" s="115" t="s">
        <v>210</v>
      </c>
      <c r="AF76" s="60">
        <v>3</v>
      </c>
      <c r="AG76" s="61" t="s">
        <v>246</v>
      </c>
      <c r="AH76" s="115" t="s">
        <v>268</v>
      </c>
      <c r="AI76" s="140"/>
      <c r="AJ76" s="103" t="s">
        <v>167</v>
      </c>
      <c r="AK76" s="74"/>
      <c r="AL76" s="74"/>
      <c r="AM76" s="74"/>
      <c r="AN76" s="74"/>
      <c r="AO76" s="74"/>
      <c r="AP76" s="75"/>
    </row>
    <row r="77" spans="1:42" ht="19" customHeight="1" x14ac:dyDescent="0.25">
      <c r="A77" s="165" t="s">
        <v>389</v>
      </c>
      <c r="B77" s="166"/>
      <c r="C77" s="166"/>
      <c r="D77" s="166"/>
      <c r="E77" s="166"/>
      <c r="F77" s="166"/>
      <c r="G77" s="166"/>
      <c r="H77" s="62" t="s">
        <v>390</v>
      </c>
      <c r="I77" s="90">
        <f>MIN([1]!Table412[50 to 54 years])</f>
        <v>0</v>
      </c>
      <c r="J77" s="96">
        <f>MAX([1]!Table412[50 to 54 years])</f>
        <v>683886.54</v>
      </c>
      <c r="K77" s="90">
        <f>AVERAGE([1]!Table412[50 to 54 years])</f>
        <v>7016.0015851650187</v>
      </c>
      <c r="L77" s="90">
        <f>MEDIAN([1]!Table412[50 to 54 years])</f>
        <v>1893.6370000000002</v>
      </c>
      <c r="M77" s="90">
        <f>MODE([1]!Table412[50 to 54 years])</f>
        <v>561</v>
      </c>
      <c r="N77" s="97"/>
      <c r="O77" s="165" t="s">
        <v>391</v>
      </c>
      <c r="P77" s="166"/>
      <c r="Q77" s="115" t="s">
        <v>217</v>
      </c>
      <c r="R77" s="60">
        <v>51</v>
      </c>
      <c r="S77" s="61" t="s">
        <v>211</v>
      </c>
      <c r="T77" s="115" t="s">
        <v>212</v>
      </c>
      <c r="U77" s="140"/>
      <c r="V77" s="104" t="s">
        <v>392</v>
      </c>
      <c r="W77" s="105"/>
      <c r="X77" s="42" t="s">
        <v>217</v>
      </c>
      <c r="Y77" s="106">
        <v>1417</v>
      </c>
      <c r="Z77" s="107" t="s">
        <v>246</v>
      </c>
      <c r="AA77" s="108">
        <f>AA66</f>
        <v>25963</v>
      </c>
      <c r="AB77" s="43"/>
      <c r="AC77" s="165" t="s">
        <v>216</v>
      </c>
      <c r="AD77" s="166"/>
      <c r="AE77" s="115" t="s">
        <v>217</v>
      </c>
      <c r="AF77" s="60">
        <v>1</v>
      </c>
      <c r="AG77" s="61" t="s">
        <v>211</v>
      </c>
      <c r="AH77" s="115" t="s">
        <v>212</v>
      </c>
      <c r="AI77" s="140"/>
      <c r="AJ77" s="52" t="s">
        <v>15</v>
      </c>
      <c r="AK77" s="53" t="s">
        <v>172</v>
      </c>
      <c r="AL77" s="53" t="s">
        <v>173</v>
      </c>
      <c r="AM77" s="53" t="s">
        <v>174</v>
      </c>
      <c r="AN77" s="53" t="s">
        <v>175</v>
      </c>
      <c r="AO77" s="53" t="s">
        <v>176</v>
      </c>
      <c r="AP77" s="32"/>
    </row>
    <row r="78" spans="1:42" ht="19" customHeight="1" x14ac:dyDescent="0.25">
      <c r="A78" s="165" t="s">
        <v>393</v>
      </c>
      <c r="B78" s="166"/>
      <c r="C78" s="166"/>
      <c r="D78" s="166"/>
      <c r="E78" s="166"/>
      <c r="F78" s="166"/>
      <c r="G78" s="166"/>
      <c r="H78" s="62" t="s">
        <v>394</v>
      </c>
      <c r="I78" s="90">
        <f>MIN([1]!Table412[55 to 59 years])</f>
        <v>2.976</v>
      </c>
      <c r="J78" s="96">
        <f>MAX([1]!Table412[55 to 59 years])</f>
        <v>628513</v>
      </c>
      <c r="K78" s="90">
        <f>AVERAGE([1]!Table412[55 to 59 years])</f>
        <v>6376.5257731642023</v>
      </c>
      <c r="L78" s="90">
        <f>MEDIAN([1]!Table412[55 to 59 years])</f>
        <v>1794.08</v>
      </c>
      <c r="M78" s="90">
        <f>MODE([1]!Table412[55 to 59 years])</f>
        <v>367</v>
      </c>
      <c r="N78" s="97"/>
      <c r="O78" s="113" t="s">
        <v>235</v>
      </c>
      <c r="P78" s="114"/>
      <c r="Q78" s="114"/>
      <c r="R78" s="114"/>
      <c r="S78" s="114"/>
      <c r="T78" s="114"/>
      <c r="U78" s="141"/>
      <c r="AC78" s="62" t="s">
        <v>221</v>
      </c>
      <c r="AD78" s="114"/>
      <c r="AE78" s="115" t="s">
        <v>217</v>
      </c>
      <c r="AF78" s="60">
        <v>51</v>
      </c>
      <c r="AG78" s="61" t="s">
        <v>246</v>
      </c>
      <c r="AH78" s="115" t="s">
        <v>268</v>
      </c>
      <c r="AI78" s="37"/>
      <c r="AJ78" s="119" t="s">
        <v>310</v>
      </c>
      <c r="AK78" s="55">
        <f>'[2]Hospitalisation Rate Cleaning'!BB2</f>
        <v>0</v>
      </c>
      <c r="AL78" s="55">
        <f>'[2]Hospitalisation Rate Cleaning'!BC2</f>
        <v>0</v>
      </c>
      <c r="AM78" s="55">
        <f>'[2]Hospitalisation Rate Cleaning'!BD2</f>
        <v>0</v>
      </c>
      <c r="AN78" s="55">
        <f>'[2]Hospitalisation Rate Cleaning'!BE2</f>
        <v>0</v>
      </c>
      <c r="AO78" s="55">
        <f>'[2]Hospitalisation Rate Cleaning'!BF2</f>
        <v>0</v>
      </c>
      <c r="AP78" s="37"/>
    </row>
    <row r="79" spans="1:42" ht="19" customHeight="1" x14ac:dyDescent="0.25">
      <c r="A79" s="165" t="s">
        <v>395</v>
      </c>
      <c r="B79" s="166"/>
      <c r="C79" s="166"/>
      <c r="D79" s="166"/>
      <c r="E79" s="166"/>
      <c r="F79" s="166"/>
      <c r="G79" s="166"/>
      <c r="H79" s="62" t="s">
        <v>396</v>
      </c>
      <c r="I79" s="90">
        <f>MIN([1]!Table412[60 to 64 years])</f>
        <v>0</v>
      </c>
      <c r="J79" s="96">
        <f>MAX([1]!Table412[60 to 64 years])</f>
        <v>535357</v>
      </c>
      <c r="K79" s="90">
        <f>AVERAGE([1]!Table412[60 to 64 years])</f>
        <v>5480.4802130185781</v>
      </c>
      <c r="L79" s="90">
        <f>MEDIAN([1]!Table412[60 to 64 years])</f>
        <v>1618</v>
      </c>
      <c r="M79" s="90">
        <f>MODE([1]!Table412[60 to 64 years])</f>
        <v>646</v>
      </c>
      <c r="N79" s="97"/>
      <c r="O79" s="165" t="s">
        <v>279</v>
      </c>
      <c r="P79" s="166"/>
      <c r="Q79" s="115" t="s">
        <v>217</v>
      </c>
      <c r="R79" s="60">
        <v>10</v>
      </c>
      <c r="S79" s="61" t="s">
        <v>246</v>
      </c>
      <c r="T79" s="69">
        <f>T65</f>
        <v>2014</v>
      </c>
      <c r="U79" s="37"/>
      <c r="AC79" s="109" t="s">
        <v>397</v>
      </c>
      <c r="AD79" s="110"/>
      <c r="AE79" s="115" t="s">
        <v>217</v>
      </c>
      <c r="AF79" s="60">
        <v>51</v>
      </c>
      <c r="AG79" s="61" t="s">
        <v>246</v>
      </c>
      <c r="AH79" s="69" t="s">
        <v>268</v>
      </c>
      <c r="AI79" s="37"/>
      <c r="AJ79" s="62" t="s">
        <v>315</v>
      </c>
      <c r="AK79" s="55">
        <f>'[2]Hospitalisation Rate Cleaning'!BB3</f>
        <v>0</v>
      </c>
      <c r="AL79" s="55">
        <f>'[2]Hospitalisation Rate Cleaning'!BC3</f>
        <v>0</v>
      </c>
      <c r="AM79" s="55">
        <f>'[2]Hospitalisation Rate Cleaning'!BD3</f>
        <v>0</v>
      </c>
      <c r="AN79" s="55">
        <f>'[2]Hospitalisation Rate Cleaning'!BE3</f>
        <v>0</v>
      </c>
      <c r="AO79" s="55">
        <f>'[2]Hospitalisation Rate Cleaning'!BF3</f>
        <v>0</v>
      </c>
      <c r="AP79" s="37"/>
    </row>
    <row r="80" spans="1:42" ht="19" customHeight="1" x14ac:dyDescent="0.25">
      <c r="A80" s="179" t="s">
        <v>398</v>
      </c>
      <c r="B80" s="180"/>
      <c r="C80" s="180"/>
      <c r="D80" s="180"/>
      <c r="E80" s="180"/>
      <c r="F80" s="180"/>
      <c r="G80" s="180"/>
      <c r="H80" s="62" t="s">
        <v>399</v>
      </c>
      <c r="I80" s="90">
        <f>MIN([1]!Table412[65 to 69 years])</f>
        <v>0</v>
      </c>
      <c r="J80" s="96">
        <f>MAX([1]!Table412[65 to 69 years])</f>
        <v>415243</v>
      </c>
      <c r="K80" s="90">
        <f>AVERAGE([1]!Table412[65 to 69 years])</f>
        <v>4234.1354485829443</v>
      </c>
      <c r="L80" s="90">
        <f>MEDIAN([1]!Table412[65 to 69 years])</f>
        <v>1311.9969999999998</v>
      </c>
      <c r="M80" s="90">
        <f>MODE([1]!Table412[65 to 69 years])</f>
        <v>0</v>
      </c>
      <c r="N80" s="97"/>
      <c r="O80" s="155" t="s">
        <v>400</v>
      </c>
      <c r="P80" s="156"/>
      <c r="Q80" s="115" t="s">
        <v>217</v>
      </c>
      <c r="R80" s="60">
        <v>53</v>
      </c>
      <c r="S80" s="61" t="s">
        <v>246</v>
      </c>
      <c r="T80" s="69">
        <f>T66</f>
        <v>40</v>
      </c>
      <c r="U80" s="37"/>
      <c r="AC80" s="62" t="s">
        <v>401</v>
      </c>
      <c r="AD80" s="60"/>
      <c r="AE80" s="115" t="s">
        <v>217</v>
      </c>
      <c r="AF80" s="60">
        <v>12</v>
      </c>
      <c r="AG80" s="61" t="s">
        <v>246</v>
      </c>
      <c r="AH80" s="69" t="s">
        <v>268</v>
      </c>
      <c r="AI80" s="37"/>
      <c r="AJ80" s="119" t="s">
        <v>321</v>
      </c>
      <c r="AK80" s="55">
        <f>'[2]Hospitalisation Rate Cleaning'!BB4</f>
        <v>0</v>
      </c>
      <c r="AL80" s="55">
        <f>'[2]Hospitalisation Rate Cleaning'!BC4</f>
        <v>0</v>
      </c>
      <c r="AM80" s="55">
        <f>'[2]Hospitalisation Rate Cleaning'!BD4</f>
        <v>0</v>
      </c>
      <c r="AN80" s="55">
        <f>'[2]Hospitalisation Rate Cleaning'!BE4</f>
        <v>0</v>
      </c>
      <c r="AO80" s="111">
        <f>'[2]Hospitalisation Rate Cleaning'!BF4</f>
        <v>0</v>
      </c>
      <c r="AP80" s="37"/>
    </row>
    <row r="81" spans="1:42" ht="19" customHeight="1" x14ac:dyDescent="0.25">
      <c r="A81" s="204" t="s">
        <v>328</v>
      </c>
      <c r="B81" s="205"/>
      <c r="C81" s="205"/>
      <c r="D81" s="205"/>
      <c r="E81" s="205"/>
      <c r="F81" s="205"/>
      <c r="G81" s="205"/>
      <c r="H81" s="62" t="s">
        <v>402</v>
      </c>
      <c r="I81" s="90">
        <f>MIN([1]!Table412[70 to 74 years])</f>
        <v>0</v>
      </c>
      <c r="J81" s="96">
        <f>MAX([1]!Table412[70 to 74 years])</f>
        <v>295420</v>
      </c>
      <c r="K81" s="90">
        <f>AVERAGE([1]!Table412[70 to 74 years])</f>
        <v>3160.4164773128896</v>
      </c>
      <c r="L81" s="90">
        <f>MEDIAN([1]!Table412[70 to 74 years])</f>
        <v>1007.0345</v>
      </c>
      <c r="M81" s="90">
        <f>MODE([1]!Table412[70 to 74 years])</f>
        <v>104</v>
      </c>
      <c r="N81" s="97"/>
      <c r="O81" s="165" t="s">
        <v>403</v>
      </c>
      <c r="P81" s="166"/>
      <c r="Q81" s="115" t="s">
        <v>217</v>
      </c>
      <c r="R81" s="60">
        <v>2</v>
      </c>
      <c r="S81" s="61" t="s">
        <v>246</v>
      </c>
      <c r="T81" s="69" t="s">
        <v>268</v>
      </c>
      <c r="U81" s="37"/>
      <c r="AC81" s="62" t="s">
        <v>404</v>
      </c>
      <c r="AD81" s="114"/>
      <c r="AE81" s="115" t="s">
        <v>217</v>
      </c>
      <c r="AF81" s="60">
        <v>7</v>
      </c>
      <c r="AG81" s="61" t="s">
        <v>246</v>
      </c>
      <c r="AH81" s="69" t="s">
        <v>268</v>
      </c>
      <c r="AI81" s="37"/>
      <c r="AJ81" s="62" t="s">
        <v>326</v>
      </c>
      <c r="AK81" s="55">
        <f>'[2]Hospitalisation Rate Cleaning'!BB5</f>
        <v>0</v>
      </c>
      <c r="AL81" s="55">
        <f>'[2]Hospitalisation Rate Cleaning'!BC5</f>
        <v>0</v>
      </c>
      <c r="AM81" s="55">
        <f>'[2]Hospitalisation Rate Cleaning'!BD5</f>
        <v>0</v>
      </c>
      <c r="AN81" s="55">
        <f>'[2]Hospitalisation Rate Cleaning'!BE5</f>
        <v>0</v>
      </c>
      <c r="AO81" s="111">
        <f>'[2]Hospitalisation Rate Cleaning'!BF5</f>
        <v>0</v>
      </c>
      <c r="AP81" s="37"/>
    </row>
    <row r="82" spans="1:42" ht="19" customHeight="1" x14ac:dyDescent="0.25">
      <c r="A82" s="52" t="s">
        <v>15</v>
      </c>
      <c r="B82" s="53" t="s">
        <v>172</v>
      </c>
      <c r="C82" s="53" t="s">
        <v>173</v>
      </c>
      <c r="D82" s="53" t="s">
        <v>174</v>
      </c>
      <c r="E82" s="53" t="s">
        <v>175</v>
      </c>
      <c r="F82" s="53" t="s">
        <v>176</v>
      </c>
      <c r="G82" s="115"/>
      <c r="H82" s="62" t="s">
        <v>405</v>
      </c>
      <c r="I82" s="90">
        <f>MIN([1]!Table412[75 to 79 years])</f>
        <v>0</v>
      </c>
      <c r="J82" s="96">
        <f>MAX([1]!Table412[75 to 79 years])</f>
        <v>215181</v>
      </c>
      <c r="K82" s="90">
        <f>AVERAGE([1]!Table412[75 to 79 years])</f>
        <v>2419.7105991589488</v>
      </c>
      <c r="L82" s="90">
        <f>MEDIAN([1]!Table412[75 to 79 years])</f>
        <v>754.01549999999997</v>
      </c>
      <c r="M82" s="90">
        <f>MODE([1]!Table412[75 to 79 years])</f>
        <v>0</v>
      </c>
      <c r="N82" s="97"/>
      <c r="O82" s="62" t="s">
        <v>406</v>
      </c>
      <c r="P82" s="114"/>
      <c r="Q82" s="115" t="s">
        <v>217</v>
      </c>
      <c r="R82" s="67">
        <v>21321</v>
      </c>
      <c r="S82" s="61" t="s">
        <v>246</v>
      </c>
      <c r="T82" s="68">
        <f>T68</f>
        <v>0</v>
      </c>
      <c r="U82" s="37"/>
      <c r="AC82" s="62" t="s">
        <v>407</v>
      </c>
      <c r="AD82" s="114"/>
      <c r="AE82" s="115" t="s">
        <v>217</v>
      </c>
      <c r="AF82" s="67">
        <v>22</v>
      </c>
      <c r="AG82" s="61" t="s">
        <v>246</v>
      </c>
      <c r="AH82" s="68" t="s">
        <v>268</v>
      </c>
      <c r="AI82" s="37"/>
      <c r="AJ82" s="155" t="s">
        <v>192</v>
      </c>
      <c r="AK82" s="156"/>
      <c r="AL82" s="156"/>
      <c r="AM82" s="156"/>
      <c r="AN82" s="156"/>
      <c r="AO82" s="156"/>
      <c r="AP82" s="120"/>
    </row>
    <row r="83" spans="1:42" ht="19" customHeight="1" x14ac:dyDescent="0.25">
      <c r="A83" s="35" t="s">
        <v>408</v>
      </c>
      <c r="B83" s="61">
        <f>'[1]Month and Age Profiling Checks'!V1</f>
        <v>2009</v>
      </c>
      <c r="C83" s="61">
        <f>'[1]Month and Age Profiling Checks'!V2</f>
        <v>2017</v>
      </c>
      <c r="D83" s="61" t="s">
        <v>268</v>
      </c>
      <c r="E83" s="61" t="s">
        <v>268</v>
      </c>
      <c r="F83" s="61">
        <f>'[1]Month and Age Profiling Checks'!V3</f>
        <v>2009</v>
      </c>
      <c r="G83" s="115"/>
      <c r="H83" s="62" t="s">
        <v>409</v>
      </c>
      <c r="I83" s="90">
        <f>MIN([1]!Table412[80 to 84 years])</f>
        <v>0</v>
      </c>
      <c r="J83" s="96">
        <f>MAX([1]!Table412[80 to 84 years])</f>
        <v>161647</v>
      </c>
      <c r="K83" s="90">
        <f>AVERAGE([1]!Table412[80 to 84 years])</f>
        <v>1843.0973107993484</v>
      </c>
      <c r="L83" s="90">
        <f>MEDIAN([1]!Table412[80 to 84 years])</f>
        <v>548.55600000000004</v>
      </c>
      <c r="M83" s="90">
        <f>MODE([1]!Table412[80 to 84 years])</f>
        <v>0</v>
      </c>
      <c r="N83" s="97"/>
      <c r="O83" s="62" t="s">
        <v>410</v>
      </c>
      <c r="P83" s="114"/>
      <c r="Q83" s="115" t="s">
        <v>217</v>
      </c>
      <c r="R83" s="60">
        <v>1</v>
      </c>
      <c r="S83" s="61" t="s">
        <v>246</v>
      </c>
      <c r="T83" s="115" t="s">
        <v>212</v>
      </c>
      <c r="U83" s="37"/>
      <c r="AC83" s="62" t="s">
        <v>411</v>
      </c>
      <c r="AD83" s="114"/>
      <c r="AE83" s="115" t="s">
        <v>217</v>
      </c>
      <c r="AF83" s="60">
        <v>30396</v>
      </c>
      <c r="AG83" s="61" t="s">
        <v>246</v>
      </c>
      <c r="AH83" s="115" t="s">
        <v>268</v>
      </c>
      <c r="AI83" s="37"/>
      <c r="AJ83" s="248" t="s">
        <v>197</v>
      </c>
      <c r="AK83" s="249"/>
      <c r="AL83" s="249"/>
      <c r="AM83" s="249"/>
      <c r="AN83" s="249"/>
      <c r="AO83" s="249"/>
      <c r="AP83" s="250"/>
    </row>
    <row r="84" spans="1:42" ht="19" customHeight="1" x14ac:dyDescent="0.25">
      <c r="A84" s="35" t="s">
        <v>412</v>
      </c>
      <c r="B84" s="112">
        <f>'[1]Month and Age Profiling Checks'!AB1</f>
        <v>39814</v>
      </c>
      <c r="C84" s="112">
        <f>'[1]Month and Age Profiling Checks'!AB2</f>
        <v>43070</v>
      </c>
      <c r="D84" s="112" t="s">
        <v>268</v>
      </c>
      <c r="E84" s="112" t="s">
        <v>268</v>
      </c>
      <c r="F84" s="112">
        <f>'[1]Month and Age Profiling Checks'!AB3</f>
        <v>39904</v>
      </c>
      <c r="G84" s="115"/>
      <c r="H84" s="62" t="s">
        <v>413</v>
      </c>
      <c r="I84" s="90">
        <f>MIN([1]!Table412[85 years and over])</f>
        <v>0</v>
      </c>
      <c r="J84" s="96">
        <f>MAX([1]!Table412[85 years and over])</f>
        <v>177493</v>
      </c>
      <c r="K84" s="90">
        <f>AVERAGE([1]!Table412[85 years and over])</f>
        <v>1796.182247437984</v>
      </c>
      <c r="L84" s="90">
        <f>MEDIAN([1]!Table412[85 years and over])</f>
        <v>516.35149999999999</v>
      </c>
      <c r="M84" s="90">
        <f>MODE([1]!Table412[85 years and over])</f>
        <v>0</v>
      </c>
      <c r="N84" s="97"/>
      <c r="O84" s="62" t="s">
        <v>414</v>
      </c>
      <c r="P84" s="114"/>
      <c r="Q84" s="115" t="s">
        <v>217</v>
      </c>
      <c r="R84" s="60">
        <v>1</v>
      </c>
      <c r="S84" s="61" t="s">
        <v>246</v>
      </c>
      <c r="T84" s="115" t="s">
        <v>212</v>
      </c>
      <c r="U84" s="37"/>
      <c r="AC84" s="113" t="s">
        <v>235</v>
      </c>
      <c r="AD84" s="114"/>
      <c r="AE84" s="114"/>
      <c r="AF84" s="114"/>
      <c r="AG84" s="114"/>
      <c r="AH84" s="114"/>
      <c r="AI84" s="141"/>
      <c r="AJ84" s="176" t="s">
        <v>415</v>
      </c>
      <c r="AK84" s="177"/>
      <c r="AL84" s="177"/>
      <c r="AM84" s="177"/>
      <c r="AN84" s="177"/>
      <c r="AO84" s="58"/>
      <c r="AP84" s="56"/>
    </row>
    <row r="85" spans="1:42" ht="19" customHeight="1" x14ac:dyDescent="0.25">
      <c r="A85" s="35" t="s">
        <v>416</v>
      </c>
      <c r="B85" s="61">
        <f>'[1]Month and Age Profiling Checks'!Y1</f>
        <v>10</v>
      </c>
      <c r="C85" s="90">
        <f>'[1]Month and Age Profiling Checks'!Y2</f>
        <v>512</v>
      </c>
      <c r="D85" s="90">
        <f>'[1]Month and Age Profiling Checks'!Y3</f>
        <v>34.380451874534472</v>
      </c>
      <c r="E85" s="90">
        <f>'[1]Month and Age Profiling Checks'!Y4</f>
        <v>22</v>
      </c>
      <c r="F85" s="90">
        <f>'[1]Month and Age Profiling Checks'!Y5</f>
        <v>10</v>
      </c>
      <c r="G85" s="115"/>
      <c r="H85" s="155" t="s">
        <v>417</v>
      </c>
      <c r="I85" s="156"/>
      <c r="J85" s="156"/>
      <c r="K85" s="156"/>
      <c r="L85" s="156"/>
      <c r="M85" s="156"/>
      <c r="N85" s="48"/>
      <c r="O85" s="62" t="s">
        <v>418</v>
      </c>
      <c r="P85" s="114"/>
      <c r="Q85" s="115" t="s">
        <v>217</v>
      </c>
      <c r="R85" s="60">
        <v>1</v>
      </c>
      <c r="S85" s="61" t="s">
        <v>246</v>
      </c>
      <c r="T85" s="115" t="s">
        <v>212</v>
      </c>
      <c r="U85" s="37"/>
      <c r="AC85" s="62" t="s">
        <v>419</v>
      </c>
      <c r="AD85" s="114"/>
      <c r="AE85" s="115" t="s">
        <v>217</v>
      </c>
      <c r="AF85" s="60">
        <v>11</v>
      </c>
      <c r="AG85" s="61" t="s">
        <v>246</v>
      </c>
      <c r="AH85" s="69">
        <f>AH69</f>
        <v>1</v>
      </c>
      <c r="AI85" s="37"/>
      <c r="AJ85" s="113" t="s">
        <v>204</v>
      </c>
      <c r="AK85" s="114"/>
      <c r="AL85" s="114"/>
      <c r="AM85" s="114"/>
      <c r="AN85" s="114"/>
      <c r="AO85" s="114"/>
      <c r="AP85" s="141"/>
    </row>
    <row r="86" spans="1:42" ht="19" customHeight="1" x14ac:dyDescent="0.25">
      <c r="A86" s="62" t="s">
        <v>420</v>
      </c>
      <c r="B86" s="60"/>
      <c r="C86" s="60"/>
      <c r="D86" s="60"/>
      <c r="E86" s="60"/>
      <c r="F86" s="60"/>
      <c r="G86" s="60"/>
      <c r="H86" s="157"/>
      <c r="I86" s="158"/>
      <c r="J86" s="158"/>
      <c r="K86" s="158"/>
      <c r="L86" s="158"/>
      <c r="M86" s="158"/>
      <c r="N86" s="120"/>
      <c r="O86" s="62" t="s">
        <v>421</v>
      </c>
      <c r="P86" s="114"/>
      <c r="Q86" s="115" t="s">
        <v>217</v>
      </c>
      <c r="R86" s="60">
        <v>1</v>
      </c>
      <c r="S86" s="61" t="s">
        <v>246</v>
      </c>
      <c r="T86" s="115" t="s">
        <v>212</v>
      </c>
      <c r="U86" s="37"/>
      <c r="AC86" s="62" t="s">
        <v>422</v>
      </c>
      <c r="AD86" s="114"/>
      <c r="AE86" s="115" t="s">
        <v>217</v>
      </c>
      <c r="AF86" s="60">
        <v>902</v>
      </c>
      <c r="AG86" s="61" t="s">
        <v>246</v>
      </c>
      <c r="AH86" s="68">
        <f>AH70</f>
        <v>1.1000000000000001</v>
      </c>
      <c r="AI86" s="37"/>
      <c r="AJ86" s="165" t="s">
        <v>267</v>
      </c>
      <c r="AK86" s="166"/>
      <c r="AL86" s="115" t="s">
        <v>210</v>
      </c>
      <c r="AM86" s="60">
        <v>18</v>
      </c>
      <c r="AN86" s="61" t="s">
        <v>211</v>
      </c>
      <c r="AO86" s="115" t="s">
        <v>268</v>
      </c>
      <c r="AP86" s="140"/>
    </row>
    <row r="87" spans="1:42" ht="19" customHeight="1" x14ac:dyDescent="0.25">
      <c r="A87" s="204" t="s">
        <v>423</v>
      </c>
      <c r="B87" s="205"/>
      <c r="C87" s="205"/>
      <c r="D87" s="205"/>
      <c r="E87" s="205"/>
      <c r="F87" s="205"/>
      <c r="G87" s="205"/>
      <c r="H87" s="251" t="s">
        <v>423</v>
      </c>
      <c r="I87" s="252"/>
      <c r="J87" s="252"/>
      <c r="K87" s="252"/>
      <c r="L87" s="252"/>
      <c r="M87" s="252"/>
      <c r="N87" s="253"/>
      <c r="O87" s="62" t="s">
        <v>424</v>
      </c>
      <c r="P87" s="114"/>
      <c r="Q87" s="115" t="s">
        <v>217</v>
      </c>
      <c r="R87" s="60">
        <v>1</v>
      </c>
      <c r="S87" s="61" t="s">
        <v>246</v>
      </c>
      <c r="T87" s="115" t="s">
        <v>212</v>
      </c>
      <c r="U87" s="37"/>
      <c r="AC87" s="62" t="s">
        <v>425</v>
      </c>
      <c r="AD87" s="114"/>
      <c r="AE87" s="115" t="s">
        <v>217</v>
      </c>
      <c r="AF87" s="60">
        <v>4644</v>
      </c>
      <c r="AG87" s="61" t="s">
        <v>246</v>
      </c>
      <c r="AH87" s="69">
        <f>AH71</f>
        <v>664</v>
      </c>
      <c r="AI87" s="37"/>
      <c r="AJ87" s="155" t="s">
        <v>285</v>
      </c>
      <c r="AK87" s="156"/>
      <c r="AL87" s="115" t="s">
        <v>217</v>
      </c>
      <c r="AM87" s="60">
        <v>10</v>
      </c>
      <c r="AN87" s="61" t="s">
        <v>211</v>
      </c>
      <c r="AO87" s="115" t="s">
        <v>268</v>
      </c>
      <c r="AP87" s="37"/>
    </row>
    <row r="88" spans="1:42" ht="19" customHeight="1" x14ac:dyDescent="0.25">
      <c r="A88" s="62" t="s">
        <v>426</v>
      </c>
      <c r="B88" s="60"/>
      <c r="C88" s="60"/>
      <c r="D88" s="60"/>
      <c r="E88" s="60"/>
      <c r="F88" s="60"/>
      <c r="G88" s="59"/>
      <c r="H88" s="176" t="s">
        <v>427</v>
      </c>
      <c r="I88" s="177"/>
      <c r="J88" s="177"/>
      <c r="K88" s="177"/>
      <c r="L88" s="177"/>
      <c r="M88" s="58"/>
      <c r="N88" s="56"/>
      <c r="O88" s="62" t="s">
        <v>428</v>
      </c>
      <c r="P88" s="114"/>
      <c r="Q88" s="115" t="s">
        <v>217</v>
      </c>
      <c r="R88" s="60">
        <v>1</v>
      </c>
      <c r="S88" s="61" t="s">
        <v>246</v>
      </c>
      <c r="T88" s="115" t="s">
        <v>212</v>
      </c>
      <c r="U88" s="37"/>
      <c r="AC88" s="121" t="s">
        <v>251</v>
      </c>
      <c r="AD88" s="122"/>
      <c r="AE88" s="122"/>
      <c r="AF88" s="122"/>
      <c r="AG88" s="122"/>
      <c r="AH88" s="122"/>
      <c r="AI88" s="123"/>
      <c r="AJ88" s="113" t="s">
        <v>235</v>
      </c>
      <c r="AK88" s="114"/>
      <c r="AL88" s="80"/>
      <c r="AM88" s="80"/>
      <c r="AN88" s="80"/>
      <c r="AO88" s="80"/>
      <c r="AP88" s="37"/>
    </row>
    <row r="89" spans="1:42" ht="19" customHeight="1" x14ac:dyDescent="0.25">
      <c r="A89" s="171" t="s">
        <v>204</v>
      </c>
      <c r="B89" s="172"/>
      <c r="C89" s="172"/>
      <c r="D89" s="172"/>
      <c r="E89" s="172"/>
      <c r="F89" s="172"/>
      <c r="G89" s="172"/>
      <c r="H89" s="171" t="s">
        <v>204</v>
      </c>
      <c r="I89" s="172"/>
      <c r="J89" s="172"/>
      <c r="K89" s="172"/>
      <c r="L89" s="172"/>
      <c r="M89" s="172"/>
      <c r="N89" s="141"/>
      <c r="O89" s="62" t="s">
        <v>429</v>
      </c>
      <c r="P89" s="114"/>
      <c r="Q89" s="115" t="s">
        <v>217</v>
      </c>
      <c r="R89" s="60">
        <v>1965</v>
      </c>
      <c r="S89" s="61" t="s">
        <v>246</v>
      </c>
      <c r="T89" s="69">
        <f>T68</f>
        <v>0</v>
      </c>
      <c r="U89" s="37"/>
      <c r="AC89" s="153" t="s">
        <v>430</v>
      </c>
      <c r="AD89" s="154"/>
      <c r="AE89" s="154"/>
      <c r="AF89" s="154"/>
      <c r="AG89" s="154"/>
      <c r="AH89" s="154"/>
      <c r="AI89" s="124"/>
      <c r="AJ89" s="155" t="s">
        <v>310</v>
      </c>
      <c r="AK89" s="156"/>
      <c r="AL89" s="115" t="s">
        <v>217</v>
      </c>
      <c r="AM89" s="60">
        <v>10</v>
      </c>
      <c r="AN89" s="61" t="s">
        <v>211</v>
      </c>
      <c r="AO89" s="69">
        <f>AO78</f>
        <v>0</v>
      </c>
      <c r="AP89" s="37"/>
    </row>
    <row r="90" spans="1:42" ht="19" customHeight="1" x14ac:dyDescent="0.25">
      <c r="A90" s="165" t="s">
        <v>431</v>
      </c>
      <c r="B90" s="166"/>
      <c r="C90" s="166" t="s">
        <v>432</v>
      </c>
      <c r="D90" s="166"/>
      <c r="E90" s="178" t="s">
        <v>433</v>
      </c>
      <c r="F90" s="178"/>
      <c r="G90" s="178"/>
      <c r="H90" s="165" t="s">
        <v>434</v>
      </c>
      <c r="I90" s="166"/>
      <c r="J90" s="115" t="s">
        <v>210</v>
      </c>
      <c r="K90" s="60">
        <v>3143</v>
      </c>
      <c r="L90" s="178" t="s">
        <v>433</v>
      </c>
      <c r="M90" s="178"/>
      <c r="N90" s="140"/>
      <c r="O90" s="62" t="s">
        <v>435</v>
      </c>
      <c r="P90" s="114"/>
      <c r="Q90" s="115" t="s">
        <v>217</v>
      </c>
      <c r="R90" s="60">
        <v>193</v>
      </c>
      <c r="S90" s="61" t="s">
        <v>246</v>
      </c>
      <c r="T90" s="69">
        <f>T69</f>
        <v>16</v>
      </c>
      <c r="U90" s="37"/>
      <c r="AC90" s="99" t="s">
        <v>258</v>
      </c>
      <c r="AD90" s="100"/>
      <c r="AE90" s="100"/>
      <c r="AF90" s="100"/>
      <c r="AG90" s="100"/>
      <c r="AH90" s="100"/>
      <c r="AI90" s="101"/>
      <c r="AJ90" s="62" t="s">
        <v>315</v>
      </c>
      <c r="AK90" s="60"/>
      <c r="AL90" s="115" t="s">
        <v>217</v>
      </c>
      <c r="AM90" s="60">
        <v>36</v>
      </c>
      <c r="AN90" s="61" t="s">
        <v>211</v>
      </c>
      <c r="AO90" s="69">
        <f>AO79</f>
        <v>0</v>
      </c>
      <c r="AP90" s="141"/>
    </row>
    <row r="91" spans="1:42" ht="19" customHeight="1" x14ac:dyDescent="0.25">
      <c r="A91" s="165" t="s">
        <v>436</v>
      </c>
      <c r="B91" s="166"/>
      <c r="C91" s="166" t="s">
        <v>432</v>
      </c>
      <c r="D91" s="166"/>
      <c r="E91" s="178" t="s">
        <v>433</v>
      </c>
      <c r="F91" s="178"/>
      <c r="G91" s="178"/>
      <c r="H91" s="165" t="s">
        <v>437</v>
      </c>
      <c r="I91" s="166"/>
      <c r="J91" s="115" t="s">
        <v>217</v>
      </c>
      <c r="K91" s="60">
        <v>51</v>
      </c>
      <c r="L91" s="178" t="s">
        <v>433</v>
      </c>
      <c r="M91" s="178"/>
      <c r="N91" s="140"/>
      <c r="O91" s="62" t="s">
        <v>438</v>
      </c>
      <c r="P91" s="114"/>
      <c r="Q91" s="115" t="s">
        <v>217</v>
      </c>
      <c r="R91" s="60">
        <v>14881</v>
      </c>
      <c r="S91" s="61" t="s">
        <v>246</v>
      </c>
      <c r="T91" s="69">
        <f>T70</f>
        <v>0</v>
      </c>
      <c r="U91" s="37"/>
      <c r="AC91" s="153" t="s">
        <v>439</v>
      </c>
      <c r="AD91" s="154"/>
      <c r="AE91" s="154"/>
      <c r="AF91" s="154"/>
      <c r="AG91" s="154"/>
      <c r="AH91" s="154"/>
      <c r="AI91" s="73"/>
      <c r="AJ91" s="155" t="s">
        <v>321</v>
      </c>
      <c r="AK91" s="156"/>
      <c r="AL91" s="115" t="s">
        <v>217</v>
      </c>
      <c r="AM91" s="60">
        <v>3492</v>
      </c>
      <c r="AN91" s="61" t="s">
        <v>211</v>
      </c>
      <c r="AO91" s="83">
        <f>AO80</f>
        <v>0</v>
      </c>
      <c r="AP91" s="141"/>
    </row>
    <row r="92" spans="1:42" ht="19" customHeight="1" x14ac:dyDescent="0.25">
      <c r="A92" s="165" t="s">
        <v>440</v>
      </c>
      <c r="B92" s="166"/>
      <c r="C92" s="166" t="s">
        <v>441</v>
      </c>
      <c r="D92" s="166"/>
      <c r="E92" s="178" t="s">
        <v>433</v>
      </c>
      <c r="F92" s="178"/>
      <c r="G92" s="178"/>
      <c r="H92" s="171" t="s">
        <v>235</v>
      </c>
      <c r="I92" s="172"/>
      <c r="J92" s="172"/>
      <c r="K92" s="172"/>
      <c r="L92" s="172"/>
      <c r="M92" s="172"/>
      <c r="N92" s="114"/>
      <c r="O92" s="116" t="s">
        <v>258</v>
      </c>
      <c r="P92" s="78"/>
      <c r="Q92" s="78"/>
      <c r="R92" s="78"/>
      <c r="S92" s="78"/>
      <c r="T92" s="78"/>
      <c r="U92" s="79"/>
      <c r="AC92" s="155"/>
      <c r="AD92" s="156"/>
      <c r="AE92" s="156"/>
      <c r="AF92" s="156"/>
      <c r="AG92" s="156"/>
      <c r="AH92" s="156"/>
      <c r="AI92" s="73"/>
      <c r="AJ92" s="104" t="s">
        <v>326</v>
      </c>
      <c r="AK92" s="106"/>
      <c r="AL92" s="42" t="s">
        <v>217</v>
      </c>
      <c r="AM92" s="117">
        <v>781</v>
      </c>
      <c r="AN92" s="107" t="s">
        <v>211</v>
      </c>
      <c r="AO92" s="118">
        <f>AO81</f>
        <v>0</v>
      </c>
      <c r="AP92" s="43"/>
    </row>
    <row r="93" spans="1:42" ht="19" customHeight="1" x14ac:dyDescent="0.25">
      <c r="A93" s="165" t="s">
        <v>442</v>
      </c>
      <c r="B93" s="166"/>
      <c r="C93" s="166" t="s">
        <v>443</v>
      </c>
      <c r="D93" s="166"/>
      <c r="E93" s="178" t="s">
        <v>433</v>
      </c>
      <c r="F93" s="178"/>
      <c r="G93" s="178"/>
      <c r="H93" s="165" t="s">
        <v>444</v>
      </c>
      <c r="I93" s="166"/>
      <c r="J93" s="115" t="s">
        <v>217</v>
      </c>
      <c r="K93" s="60">
        <v>9</v>
      </c>
      <c r="L93" s="115" t="s">
        <v>246</v>
      </c>
      <c r="M93" s="69">
        <f t="shared" ref="M93:M106" si="1">M63</f>
        <v>2012</v>
      </c>
      <c r="N93" s="69"/>
      <c r="O93" s="246" t="s">
        <v>445</v>
      </c>
      <c r="P93" s="247"/>
      <c r="Q93" s="247"/>
      <c r="R93" s="247"/>
      <c r="S93" s="247"/>
      <c r="T93" s="247"/>
      <c r="U93" s="48"/>
      <c r="AC93" s="155" t="s">
        <v>446</v>
      </c>
      <c r="AD93" s="156"/>
      <c r="AE93" s="156"/>
      <c r="AF93" s="156"/>
      <c r="AG93" s="156"/>
      <c r="AH93" s="156"/>
      <c r="AI93" s="218"/>
    </row>
    <row r="94" spans="1:42" ht="19" customHeight="1" x14ac:dyDescent="0.25">
      <c r="A94" s="165" t="s">
        <v>447</v>
      </c>
      <c r="B94" s="166"/>
      <c r="C94" s="166" t="s">
        <v>443</v>
      </c>
      <c r="D94" s="166"/>
      <c r="E94" s="178" t="s">
        <v>433</v>
      </c>
      <c r="F94" s="178"/>
      <c r="G94" s="178"/>
      <c r="H94" s="155" t="s">
        <v>448</v>
      </c>
      <c r="I94" s="156"/>
      <c r="J94" s="115" t="s">
        <v>217</v>
      </c>
      <c r="K94" s="60">
        <v>23969</v>
      </c>
      <c r="L94" s="115" t="s">
        <v>246</v>
      </c>
      <c r="M94" s="69">
        <f t="shared" si="1"/>
        <v>4523</v>
      </c>
      <c r="N94" s="69"/>
      <c r="O94" s="157" t="s">
        <v>449</v>
      </c>
      <c r="P94" s="158"/>
      <c r="Q94" s="158"/>
      <c r="R94" s="158"/>
      <c r="S94" s="158"/>
      <c r="T94" s="158"/>
      <c r="U94" s="120"/>
      <c r="AC94" s="157"/>
      <c r="AD94" s="158"/>
      <c r="AE94" s="158"/>
      <c r="AF94" s="158"/>
      <c r="AG94" s="158"/>
      <c r="AH94" s="158"/>
      <c r="AI94" s="245"/>
    </row>
    <row r="95" spans="1:42" ht="19" customHeight="1" x14ac:dyDescent="0.25">
      <c r="A95" s="171" t="s">
        <v>235</v>
      </c>
      <c r="B95" s="172"/>
      <c r="C95" s="172"/>
      <c r="D95" s="172"/>
      <c r="E95" s="172"/>
      <c r="F95" s="172"/>
      <c r="G95" s="172"/>
      <c r="H95" s="165" t="s">
        <v>450</v>
      </c>
      <c r="I95" s="166"/>
      <c r="J95" s="115" t="s">
        <v>217</v>
      </c>
      <c r="K95" s="60">
        <v>21109</v>
      </c>
      <c r="L95" s="115" t="s">
        <v>246</v>
      </c>
      <c r="M95" s="69">
        <f t="shared" si="1"/>
        <v>1180</v>
      </c>
      <c r="N95" s="69"/>
      <c r="O95" s="227" t="s">
        <v>265</v>
      </c>
      <c r="P95" s="228"/>
      <c r="Q95" s="228"/>
      <c r="R95" s="228"/>
      <c r="S95" s="228"/>
      <c r="T95" s="228"/>
      <c r="U95" s="229"/>
      <c r="AC95" s="241" t="s">
        <v>265</v>
      </c>
      <c r="AD95" s="242"/>
      <c r="AE95" s="242"/>
      <c r="AF95" s="242"/>
      <c r="AG95" s="242"/>
      <c r="AH95" s="242"/>
      <c r="AI95" s="243"/>
    </row>
    <row r="96" spans="1:42" ht="19" customHeight="1" x14ac:dyDescent="0.25">
      <c r="A96" s="165" t="s">
        <v>444</v>
      </c>
      <c r="B96" s="166"/>
      <c r="C96" s="166" t="s">
        <v>451</v>
      </c>
      <c r="D96" s="166"/>
      <c r="E96" s="178" t="s">
        <v>452</v>
      </c>
      <c r="F96" s="178"/>
      <c r="G96" s="178"/>
      <c r="H96" s="62" t="s">
        <v>453</v>
      </c>
      <c r="I96" s="114"/>
      <c r="J96" s="115" t="s">
        <v>217</v>
      </c>
      <c r="K96" s="60">
        <v>21109</v>
      </c>
      <c r="L96" s="115" t="s">
        <v>246</v>
      </c>
      <c r="M96" s="69">
        <f t="shared" si="1"/>
        <v>2389</v>
      </c>
      <c r="N96" s="69"/>
      <c r="O96" s="153" t="s">
        <v>454</v>
      </c>
      <c r="P96" s="154"/>
      <c r="Q96" s="154"/>
      <c r="R96" s="154"/>
      <c r="S96" s="244"/>
      <c r="T96" s="82" t="s">
        <v>455</v>
      </c>
      <c r="U96" s="125"/>
      <c r="AC96" s="153" t="s">
        <v>456</v>
      </c>
      <c r="AD96" s="154"/>
      <c r="AE96" s="154"/>
      <c r="AF96" s="154"/>
      <c r="AG96" s="154"/>
      <c r="AH96" s="154"/>
      <c r="AI96" s="71"/>
    </row>
    <row r="97" spans="1:35" ht="19" customHeight="1" x14ac:dyDescent="0.25">
      <c r="A97" s="165" t="s">
        <v>457</v>
      </c>
      <c r="B97" s="166"/>
      <c r="C97" s="166" t="s">
        <v>441</v>
      </c>
      <c r="D97" s="166"/>
      <c r="E97" s="178" t="s">
        <v>458</v>
      </c>
      <c r="F97" s="178"/>
      <c r="G97" s="178"/>
      <c r="H97" s="62" t="s">
        <v>459</v>
      </c>
      <c r="I97" s="114"/>
      <c r="J97" s="115" t="s">
        <v>217</v>
      </c>
      <c r="K97" s="60">
        <v>27202</v>
      </c>
      <c r="L97" s="115" t="s">
        <v>246</v>
      </c>
      <c r="M97" s="69">
        <f t="shared" si="1"/>
        <v>0</v>
      </c>
      <c r="N97" s="69"/>
      <c r="O97" s="155"/>
      <c r="P97" s="156"/>
      <c r="Q97" s="156"/>
      <c r="R97" s="156"/>
      <c r="S97" s="218"/>
      <c r="T97" s="115"/>
      <c r="U97" s="140"/>
      <c r="AC97" s="155" t="s">
        <v>277</v>
      </c>
      <c r="AD97" s="156"/>
      <c r="AE97" s="156"/>
      <c r="AF97" s="156"/>
      <c r="AG97" s="156"/>
      <c r="AH97" s="156"/>
      <c r="AI97" s="73"/>
    </row>
    <row r="98" spans="1:35" ht="19" customHeight="1" x14ac:dyDescent="0.25">
      <c r="A98" s="165" t="s">
        <v>460</v>
      </c>
      <c r="B98" s="166"/>
      <c r="C98" s="166" t="s">
        <v>461</v>
      </c>
      <c r="D98" s="166"/>
      <c r="E98" s="178" t="s">
        <v>462</v>
      </c>
      <c r="F98" s="178"/>
      <c r="G98" s="178"/>
      <c r="H98" s="62" t="s">
        <v>463</v>
      </c>
      <c r="I98" s="114"/>
      <c r="J98" s="115" t="s">
        <v>217</v>
      </c>
      <c r="K98" s="60">
        <v>27259</v>
      </c>
      <c r="L98" s="115" t="s">
        <v>246</v>
      </c>
      <c r="M98" s="69">
        <f t="shared" si="1"/>
        <v>0</v>
      </c>
      <c r="N98" s="126"/>
      <c r="O98" s="155" t="s">
        <v>464</v>
      </c>
      <c r="P98" s="156"/>
      <c r="Q98" s="156"/>
      <c r="R98" s="156"/>
      <c r="S98" s="218"/>
      <c r="T98" s="127" t="s">
        <v>465</v>
      </c>
      <c r="U98" s="140"/>
      <c r="AC98" s="155" t="s">
        <v>466</v>
      </c>
      <c r="AD98" s="156"/>
      <c r="AE98" s="156"/>
      <c r="AF98" s="156"/>
      <c r="AG98" s="156"/>
      <c r="AH98" s="156"/>
      <c r="AI98" s="73"/>
    </row>
    <row r="99" spans="1:35" ht="19" customHeight="1" x14ac:dyDescent="0.25">
      <c r="A99" s="204" t="s">
        <v>265</v>
      </c>
      <c r="B99" s="205"/>
      <c r="C99" s="205"/>
      <c r="D99" s="205"/>
      <c r="E99" s="205"/>
      <c r="F99" s="205"/>
      <c r="G99" s="205"/>
      <c r="H99" s="62" t="s">
        <v>467</v>
      </c>
      <c r="I99" s="114"/>
      <c r="J99" s="115" t="s">
        <v>217</v>
      </c>
      <c r="K99" s="60">
        <v>27247</v>
      </c>
      <c r="L99" s="115" t="s">
        <v>246</v>
      </c>
      <c r="M99" s="69">
        <f t="shared" si="1"/>
        <v>0</v>
      </c>
      <c r="N99" s="126"/>
      <c r="O99" s="155" t="s">
        <v>468</v>
      </c>
      <c r="P99" s="156"/>
      <c r="Q99" s="156"/>
      <c r="R99" s="156"/>
      <c r="S99" s="156"/>
      <c r="T99" s="156"/>
      <c r="U99" s="140"/>
      <c r="AC99" s="215" t="s">
        <v>469</v>
      </c>
      <c r="AD99" s="216"/>
      <c r="AE99" s="216"/>
      <c r="AF99" s="216"/>
      <c r="AG99" s="216"/>
      <c r="AH99" s="216"/>
      <c r="AI99" s="73"/>
    </row>
    <row r="100" spans="1:35" ht="19" customHeight="1" x14ac:dyDescent="0.25">
      <c r="A100" s="155" t="s">
        <v>470</v>
      </c>
      <c r="B100" s="156"/>
      <c r="C100" s="156"/>
      <c r="D100" s="156"/>
      <c r="E100" s="218"/>
      <c r="F100" s="128" t="s">
        <v>471</v>
      </c>
      <c r="G100" s="115"/>
      <c r="H100" s="62" t="s">
        <v>472</v>
      </c>
      <c r="I100" s="114"/>
      <c r="J100" s="115" t="s">
        <v>217</v>
      </c>
      <c r="K100" s="60">
        <v>27292</v>
      </c>
      <c r="L100" s="115" t="s">
        <v>246</v>
      </c>
      <c r="M100" s="69">
        <f t="shared" si="1"/>
        <v>0</v>
      </c>
      <c r="N100" s="126"/>
      <c r="O100" s="155"/>
      <c r="P100" s="156"/>
      <c r="Q100" s="156"/>
      <c r="R100" s="156"/>
      <c r="S100" s="156"/>
      <c r="T100" s="156"/>
      <c r="U100" s="140"/>
      <c r="AC100" s="215"/>
      <c r="AD100" s="216"/>
      <c r="AE100" s="216"/>
      <c r="AF100" s="216"/>
      <c r="AG100" s="216"/>
      <c r="AH100" s="216"/>
      <c r="AI100" s="37"/>
    </row>
    <row r="101" spans="1:35" ht="19" customHeight="1" x14ac:dyDescent="0.25">
      <c r="A101" s="155"/>
      <c r="B101" s="156"/>
      <c r="C101" s="156"/>
      <c r="D101" s="156"/>
      <c r="E101" s="218"/>
      <c r="F101" s="115"/>
      <c r="G101" s="115"/>
      <c r="H101" s="62" t="s">
        <v>473</v>
      </c>
      <c r="I101" s="114"/>
      <c r="J101" s="115" t="s">
        <v>217</v>
      </c>
      <c r="K101" s="60">
        <v>27263</v>
      </c>
      <c r="L101" s="115" t="s">
        <v>246</v>
      </c>
      <c r="M101" s="69">
        <f t="shared" si="1"/>
        <v>0</v>
      </c>
      <c r="N101" s="126"/>
      <c r="O101" s="155" t="s">
        <v>474</v>
      </c>
      <c r="P101" s="156"/>
      <c r="Q101" s="156"/>
      <c r="R101" s="156"/>
      <c r="S101" s="218"/>
      <c r="T101" s="127" t="s">
        <v>475</v>
      </c>
      <c r="U101" s="140"/>
      <c r="AC101" s="215"/>
      <c r="AD101" s="216"/>
      <c r="AE101" s="216"/>
      <c r="AF101" s="216"/>
      <c r="AG101" s="216"/>
      <c r="AH101" s="216"/>
      <c r="AI101" s="37"/>
    </row>
    <row r="102" spans="1:35" ht="19" customHeight="1" x14ac:dyDescent="0.25">
      <c r="A102" s="155" t="s">
        <v>476</v>
      </c>
      <c r="B102" s="156"/>
      <c r="C102" s="156"/>
      <c r="D102" s="156"/>
      <c r="E102" s="218"/>
      <c r="F102" s="127" t="s">
        <v>477</v>
      </c>
      <c r="G102" s="115"/>
      <c r="H102" s="62" t="s">
        <v>478</v>
      </c>
      <c r="I102" s="114"/>
      <c r="J102" s="115" t="s">
        <v>217</v>
      </c>
      <c r="K102" s="60">
        <v>27188</v>
      </c>
      <c r="L102" s="115" t="s">
        <v>246</v>
      </c>
      <c r="M102" s="69">
        <f t="shared" si="1"/>
        <v>87</v>
      </c>
      <c r="N102" s="126"/>
      <c r="O102" s="155"/>
      <c r="P102" s="156"/>
      <c r="Q102" s="156"/>
      <c r="R102" s="156"/>
      <c r="S102" s="218"/>
      <c r="T102" s="115"/>
      <c r="U102" s="140"/>
      <c r="AC102" s="234" t="s">
        <v>479</v>
      </c>
      <c r="AD102" s="235"/>
      <c r="AE102" s="235"/>
      <c r="AF102" s="235"/>
      <c r="AG102" s="235"/>
      <c r="AH102" s="235"/>
      <c r="AI102" s="73"/>
    </row>
    <row r="103" spans="1:35" ht="19" customHeight="1" x14ac:dyDescent="0.25">
      <c r="A103" s="155"/>
      <c r="B103" s="156"/>
      <c r="C103" s="156"/>
      <c r="D103" s="156"/>
      <c r="E103" s="218"/>
      <c r="F103" s="115"/>
      <c r="G103" s="115"/>
      <c r="H103" s="62" t="s">
        <v>480</v>
      </c>
      <c r="I103" s="114"/>
      <c r="J103" s="115" t="s">
        <v>217</v>
      </c>
      <c r="K103" s="60">
        <v>27179</v>
      </c>
      <c r="L103" s="115" t="s">
        <v>246</v>
      </c>
      <c r="M103" s="69">
        <f t="shared" si="1"/>
        <v>418</v>
      </c>
      <c r="N103" s="126"/>
      <c r="O103" s="155"/>
      <c r="P103" s="156"/>
      <c r="Q103" s="156"/>
      <c r="R103" s="156"/>
      <c r="S103" s="218"/>
      <c r="T103" s="115"/>
      <c r="U103" s="140"/>
      <c r="AC103" s="234"/>
      <c r="AD103" s="235"/>
      <c r="AE103" s="235"/>
      <c r="AF103" s="235"/>
      <c r="AG103" s="235"/>
      <c r="AH103" s="235"/>
      <c r="AI103" s="37"/>
    </row>
    <row r="104" spans="1:35" ht="19" customHeight="1" x14ac:dyDescent="0.25">
      <c r="A104" s="155" t="s">
        <v>481</v>
      </c>
      <c r="B104" s="156"/>
      <c r="C104" s="156"/>
      <c r="D104" s="156"/>
      <c r="E104" s="156"/>
      <c r="F104" s="156"/>
      <c r="G104" s="115"/>
      <c r="H104" s="62" t="s">
        <v>482</v>
      </c>
      <c r="I104" s="114"/>
      <c r="J104" s="115" t="s">
        <v>217</v>
      </c>
      <c r="K104" s="60">
        <v>27183</v>
      </c>
      <c r="L104" s="115" t="s">
        <v>246</v>
      </c>
      <c r="M104" s="69">
        <f t="shared" si="1"/>
        <v>0</v>
      </c>
      <c r="N104" s="126"/>
      <c r="O104" s="155" t="s">
        <v>483</v>
      </c>
      <c r="P104" s="156"/>
      <c r="Q104" s="156"/>
      <c r="R104" s="156"/>
      <c r="S104" s="156"/>
      <c r="T104" s="156"/>
      <c r="U104" s="129"/>
      <c r="AC104" s="236"/>
      <c r="AD104" s="237"/>
      <c r="AE104" s="237"/>
      <c r="AF104" s="237"/>
      <c r="AG104" s="237"/>
      <c r="AH104" s="237"/>
      <c r="AI104" s="43"/>
    </row>
    <row r="105" spans="1:35" ht="19" customHeight="1" x14ac:dyDescent="0.25">
      <c r="A105" s="155"/>
      <c r="B105" s="156"/>
      <c r="C105" s="156"/>
      <c r="D105" s="156"/>
      <c r="E105" s="156"/>
      <c r="F105" s="156"/>
      <c r="G105" s="115"/>
      <c r="H105" s="62" t="s">
        <v>484</v>
      </c>
      <c r="I105" s="114"/>
      <c r="J105" s="115" t="s">
        <v>217</v>
      </c>
      <c r="K105" s="60">
        <v>27230</v>
      </c>
      <c r="L105" s="115" t="s">
        <v>246</v>
      </c>
      <c r="M105" s="69">
        <f t="shared" si="1"/>
        <v>617</v>
      </c>
      <c r="N105" s="126"/>
      <c r="O105" s="155"/>
      <c r="P105" s="156"/>
      <c r="Q105" s="156"/>
      <c r="R105" s="156"/>
      <c r="S105" s="156"/>
      <c r="T105" s="156"/>
      <c r="U105" s="140"/>
      <c r="AC105" s="238" t="s">
        <v>283</v>
      </c>
      <c r="AD105" s="239"/>
      <c r="AE105" s="239"/>
      <c r="AF105" s="239"/>
      <c r="AG105" s="239"/>
      <c r="AH105" s="239"/>
      <c r="AI105" s="240"/>
    </row>
    <row r="106" spans="1:35" ht="19" customHeight="1" x14ac:dyDescent="0.25">
      <c r="A106" s="155"/>
      <c r="B106" s="156"/>
      <c r="C106" s="156"/>
      <c r="D106" s="156"/>
      <c r="E106" s="156"/>
      <c r="F106" s="156"/>
      <c r="G106" s="115"/>
      <c r="H106" s="62" t="s">
        <v>485</v>
      </c>
      <c r="I106" s="114"/>
      <c r="J106" s="115" t="s">
        <v>217</v>
      </c>
      <c r="K106" s="60">
        <v>27232</v>
      </c>
      <c r="L106" s="115" t="s">
        <v>246</v>
      </c>
      <c r="M106" s="69">
        <f t="shared" si="1"/>
        <v>532</v>
      </c>
      <c r="N106" s="126"/>
      <c r="O106" s="215" t="s">
        <v>486</v>
      </c>
      <c r="P106" s="216"/>
      <c r="Q106" s="216"/>
      <c r="R106" s="216"/>
      <c r="S106" s="217"/>
      <c r="T106" s="127" t="s">
        <v>487</v>
      </c>
      <c r="U106" s="140"/>
      <c r="AC106" s="81" t="s">
        <v>289</v>
      </c>
      <c r="AD106" s="167" t="s">
        <v>488</v>
      </c>
      <c r="AE106" s="167"/>
      <c r="AF106" s="167"/>
      <c r="AG106" s="168"/>
      <c r="AH106" s="82" t="s">
        <v>291</v>
      </c>
      <c r="AI106" s="56"/>
    </row>
    <row r="107" spans="1:35" ht="19" customHeight="1" x14ac:dyDescent="0.25">
      <c r="A107" s="230" t="s">
        <v>489</v>
      </c>
      <c r="B107" s="231"/>
      <c r="C107" s="231"/>
      <c r="D107" s="231"/>
      <c r="E107" s="231"/>
      <c r="F107" s="231"/>
      <c r="G107" s="45"/>
      <c r="H107" s="62" t="s">
        <v>490</v>
      </c>
      <c r="I107" s="114"/>
      <c r="J107" s="115" t="s">
        <v>217</v>
      </c>
      <c r="K107" s="60">
        <v>27373</v>
      </c>
      <c r="L107" s="115" t="s">
        <v>246</v>
      </c>
      <c r="M107" s="69">
        <f t="shared" ref="M107:M113" si="2">M78</f>
        <v>367</v>
      </c>
      <c r="N107" s="126"/>
      <c r="O107" s="215" t="s">
        <v>491</v>
      </c>
      <c r="P107" s="216"/>
      <c r="Q107" s="216"/>
      <c r="R107" s="216"/>
      <c r="S107" s="217"/>
      <c r="T107" s="130" t="s">
        <v>492</v>
      </c>
      <c r="U107" s="140"/>
      <c r="AC107" s="169" t="s">
        <v>297</v>
      </c>
      <c r="AD107" s="170"/>
      <c r="AE107" s="170"/>
      <c r="AF107" s="170"/>
      <c r="AG107" s="170"/>
      <c r="AH107" s="170"/>
      <c r="AI107" s="59"/>
    </row>
    <row r="108" spans="1:35" ht="19" customHeight="1" x14ac:dyDescent="0.25">
      <c r="A108" s="155" t="s">
        <v>493</v>
      </c>
      <c r="B108" s="156"/>
      <c r="C108" s="156"/>
      <c r="D108" s="156"/>
      <c r="E108" s="218"/>
      <c r="F108" s="115"/>
      <c r="G108" s="115"/>
      <c r="H108" s="62" t="s">
        <v>494</v>
      </c>
      <c r="I108" s="114"/>
      <c r="J108" s="115" t="s">
        <v>217</v>
      </c>
      <c r="K108" s="60">
        <v>27294</v>
      </c>
      <c r="L108" s="115" t="s">
        <v>246</v>
      </c>
      <c r="M108" s="69">
        <f t="shared" si="2"/>
        <v>646</v>
      </c>
      <c r="N108" s="126"/>
      <c r="O108" s="215"/>
      <c r="P108" s="216"/>
      <c r="Q108" s="216"/>
      <c r="R108" s="216"/>
      <c r="S108" s="217"/>
      <c r="T108" s="131"/>
      <c r="U108" s="140"/>
      <c r="AC108" s="219" t="s">
        <v>303</v>
      </c>
      <c r="AD108" s="220"/>
      <c r="AE108" s="220"/>
      <c r="AF108" s="220"/>
      <c r="AG108" s="220"/>
      <c r="AH108" s="220"/>
      <c r="AI108" s="221"/>
    </row>
    <row r="109" spans="1:35" ht="19" customHeight="1" x14ac:dyDescent="0.25">
      <c r="A109" s="155"/>
      <c r="B109" s="156"/>
      <c r="C109" s="156"/>
      <c r="D109" s="156"/>
      <c r="E109" s="218"/>
      <c r="F109" s="127" t="s">
        <v>495</v>
      </c>
      <c r="G109" s="132"/>
      <c r="H109" s="62" t="s">
        <v>496</v>
      </c>
      <c r="I109" s="114"/>
      <c r="J109" s="115" t="s">
        <v>217</v>
      </c>
      <c r="K109" s="60">
        <v>27176</v>
      </c>
      <c r="L109" s="115" t="s">
        <v>246</v>
      </c>
      <c r="M109" s="69">
        <f t="shared" si="2"/>
        <v>0</v>
      </c>
      <c r="N109" s="126"/>
      <c r="O109" s="215" t="s">
        <v>497</v>
      </c>
      <c r="P109" s="216"/>
      <c r="Q109" s="216"/>
      <c r="R109" s="216"/>
      <c r="S109" s="216"/>
      <c r="T109" s="216"/>
      <c r="U109" s="140"/>
      <c r="AC109" s="153" t="s">
        <v>308</v>
      </c>
      <c r="AD109" s="154"/>
      <c r="AE109" s="154"/>
      <c r="AF109" s="154"/>
      <c r="AG109" s="154"/>
      <c r="AH109" s="154"/>
      <c r="AI109" s="56"/>
    </row>
    <row r="110" spans="1:35" ht="19" customHeight="1" x14ac:dyDescent="0.25">
      <c r="A110" s="155"/>
      <c r="B110" s="156"/>
      <c r="C110" s="156"/>
      <c r="D110" s="156"/>
      <c r="E110" s="218"/>
      <c r="F110" s="127" t="s">
        <v>498</v>
      </c>
      <c r="G110" s="115"/>
      <c r="H110" s="62" t="s">
        <v>499</v>
      </c>
      <c r="I110" s="114"/>
      <c r="J110" s="115" t="s">
        <v>217</v>
      </c>
      <c r="K110" s="60">
        <v>26934</v>
      </c>
      <c r="L110" s="115" t="s">
        <v>246</v>
      </c>
      <c r="M110" s="69">
        <f t="shared" si="2"/>
        <v>104</v>
      </c>
      <c r="N110" s="126"/>
      <c r="O110" s="232"/>
      <c r="P110" s="233"/>
      <c r="Q110" s="233"/>
      <c r="R110" s="233"/>
      <c r="S110" s="233"/>
      <c r="T110" s="233"/>
      <c r="U110" s="44"/>
      <c r="AC110" s="155"/>
      <c r="AD110" s="156"/>
      <c r="AE110" s="156"/>
      <c r="AF110" s="156"/>
      <c r="AG110" s="156"/>
      <c r="AH110" s="156"/>
      <c r="AI110" s="59"/>
    </row>
    <row r="111" spans="1:35" ht="19" customHeight="1" x14ac:dyDescent="0.25">
      <c r="A111" s="155" t="s">
        <v>500</v>
      </c>
      <c r="B111" s="156"/>
      <c r="C111" s="156"/>
      <c r="D111" s="156"/>
      <c r="E111" s="156"/>
      <c r="F111" s="156"/>
      <c r="G111" s="115"/>
      <c r="H111" s="62" t="s">
        <v>501</v>
      </c>
      <c r="I111" s="114"/>
      <c r="J111" s="115" t="s">
        <v>217</v>
      </c>
      <c r="K111" s="60">
        <v>26594</v>
      </c>
      <c r="L111" s="115" t="s">
        <v>246</v>
      </c>
      <c r="M111" s="69">
        <f t="shared" si="2"/>
        <v>0</v>
      </c>
      <c r="N111" s="126"/>
      <c r="O111" s="227" t="s">
        <v>283</v>
      </c>
      <c r="P111" s="228"/>
      <c r="Q111" s="228"/>
      <c r="R111" s="228"/>
      <c r="S111" s="228"/>
      <c r="T111" s="228"/>
      <c r="U111" s="229"/>
      <c r="AC111" s="155" t="s">
        <v>319</v>
      </c>
      <c r="AD111" s="156"/>
      <c r="AE111" s="156"/>
      <c r="AF111" s="156"/>
      <c r="AG111" s="156"/>
      <c r="AH111" s="156"/>
      <c r="AI111" s="59"/>
    </row>
    <row r="112" spans="1:35" ht="19" customHeight="1" x14ac:dyDescent="0.25">
      <c r="A112" s="155"/>
      <c r="B112" s="156"/>
      <c r="C112" s="156"/>
      <c r="D112" s="156"/>
      <c r="E112" s="156"/>
      <c r="F112" s="156"/>
      <c r="G112" s="115"/>
      <c r="H112" s="62" t="s">
        <v>502</v>
      </c>
      <c r="I112" s="115"/>
      <c r="J112" s="115" t="s">
        <v>217</v>
      </c>
      <c r="K112" s="60">
        <v>26212</v>
      </c>
      <c r="L112" s="115" t="s">
        <v>246</v>
      </c>
      <c r="M112" s="69">
        <f t="shared" si="2"/>
        <v>0</v>
      </c>
      <c r="N112" s="126"/>
      <c r="O112" s="81" t="s">
        <v>289</v>
      </c>
      <c r="P112" s="167" t="s">
        <v>503</v>
      </c>
      <c r="Q112" s="167"/>
      <c r="R112" s="167"/>
      <c r="S112" s="168"/>
      <c r="T112" s="82" t="s">
        <v>504</v>
      </c>
      <c r="U112" s="56"/>
      <c r="AC112" s="155" t="s">
        <v>505</v>
      </c>
      <c r="AD112" s="156"/>
      <c r="AE112" s="156"/>
      <c r="AF112" s="156"/>
      <c r="AG112" s="156"/>
      <c r="AH112" s="156"/>
      <c r="AI112" s="85"/>
    </row>
    <row r="113" spans="1:42" ht="19" customHeight="1" x14ac:dyDescent="0.25">
      <c r="A113" s="155"/>
      <c r="B113" s="156"/>
      <c r="C113" s="156"/>
      <c r="D113" s="156"/>
      <c r="E113" s="156"/>
      <c r="F113" s="156"/>
      <c r="G113" s="115"/>
      <c r="H113" s="104" t="s">
        <v>506</v>
      </c>
      <c r="I113" s="42"/>
      <c r="J113" s="42" t="s">
        <v>217</v>
      </c>
      <c r="K113" s="106">
        <v>26171</v>
      </c>
      <c r="L113" s="42" t="s">
        <v>246</v>
      </c>
      <c r="M113" s="108">
        <f t="shared" si="2"/>
        <v>0</v>
      </c>
      <c r="N113" s="133"/>
      <c r="O113" s="169" t="s">
        <v>297</v>
      </c>
      <c r="P113" s="170"/>
      <c r="Q113" s="170"/>
      <c r="R113" s="170"/>
      <c r="S113" s="170"/>
      <c r="T113" s="170"/>
      <c r="U113" s="59"/>
      <c r="AC113" s="157" t="s">
        <v>334</v>
      </c>
      <c r="AD113" s="158"/>
      <c r="AE113" s="158"/>
      <c r="AF113" s="158"/>
      <c r="AG113" s="158"/>
      <c r="AH113" s="158"/>
      <c r="AI113" s="89"/>
    </row>
    <row r="114" spans="1:42" ht="19" customHeight="1" x14ac:dyDescent="0.25">
      <c r="A114" s="155"/>
      <c r="B114" s="156"/>
      <c r="C114" s="156"/>
      <c r="D114" s="156"/>
      <c r="E114" s="156"/>
      <c r="F114" s="156"/>
      <c r="G114" s="115"/>
      <c r="H114" s="201" t="s">
        <v>507</v>
      </c>
      <c r="I114" s="202"/>
      <c r="J114" s="202"/>
      <c r="K114" s="202"/>
      <c r="L114" s="202"/>
      <c r="M114" s="202"/>
      <c r="N114" s="203"/>
      <c r="O114" s="227" t="s">
        <v>303</v>
      </c>
      <c r="P114" s="228"/>
      <c r="Q114" s="228"/>
      <c r="R114" s="228"/>
      <c r="S114" s="228"/>
      <c r="T114" s="228"/>
      <c r="U114" s="229"/>
      <c r="AC114" s="99" t="s">
        <v>167</v>
      </c>
      <c r="AD114" s="100"/>
      <c r="AE114" s="100"/>
      <c r="AF114" s="100"/>
      <c r="AG114" s="100"/>
      <c r="AH114" s="100"/>
      <c r="AI114" s="101"/>
    </row>
    <row r="115" spans="1:42" ht="19" customHeight="1" x14ac:dyDescent="0.25">
      <c r="A115" s="157"/>
      <c r="B115" s="158"/>
      <c r="C115" s="158"/>
      <c r="D115" s="158"/>
      <c r="E115" s="158"/>
      <c r="F115" s="158"/>
      <c r="G115" s="115"/>
      <c r="H115" s="153" t="s">
        <v>508</v>
      </c>
      <c r="I115" s="154"/>
      <c r="J115" s="154"/>
      <c r="K115" s="154"/>
      <c r="L115" s="154"/>
      <c r="M115" s="154"/>
      <c r="N115" s="124"/>
      <c r="O115" s="154" t="s">
        <v>308</v>
      </c>
      <c r="P115" s="154"/>
      <c r="Q115" s="154"/>
      <c r="R115" s="154"/>
      <c r="S115" s="154"/>
      <c r="T115" s="154"/>
      <c r="U115" s="56"/>
      <c r="AC115" s="52" t="s">
        <v>15</v>
      </c>
      <c r="AD115" s="53" t="s">
        <v>172</v>
      </c>
      <c r="AE115" s="53" t="s">
        <v>173</v>
      </c>
      <c r="AF115" s="53" t="s">
        <v>174</v>
      </c>
      <c r="AG115" s="53" t="s">
        <v>175</v>
      </c>
      <c r="AH115" s="53" t="s">
        <v>176</v>
      </c>
      <c r="AI115" s="32"/>
    </row>
    <row r="116" spans="1:42" ht="19" customHeight="1" x14ac:dyDescent="0.25">
      <c r="A116" s="204" t="s">
        <v>283</v>
      </c>
      <c r="B116" s="205"/>
      <c r="C116" s="205"/>
      <c r="D116" s="205"/>
      <c r="E116" s="205"/>
      <c r="F116" s="205"/>
      <c r="G116" s="205"/>
      <c r="H116" s="156"/>
      <c r="I116" s="156"/>
      <c r="J116" s="156"/>
      <c r="K116" s="156"/>
      <c r="L116" s="156"/>
      <c r="M116" s="156"/>
      <c r="N116" s="48"/>
      <c r="O116" s="156"/>
      <c r="P116" s="156"/>
      <c r="Q116" s="156"/>
      <c r="R116" s="156"/>
      <c r="S116" s="156"/>
      <c r="T116" s="156"/>
      <c r="U116" s="59"/>
      <c r="AC116" s="35" t="s">
        <v>509</v>
      </c>
      <c r="AD116" s="134">
        <f>'[1]All Vaccinated Cleaning Checks'!X2</f>
        <v>1</v>
      </c>
      <c r="AE116" s="134">
        <f>'[1]All Vaccinated Cleaning Checks'!Y2</f>
        <v>12</v>
      </c>
      <c r="AF116" s="134" t="str">
        <f>'[1]All Vaccinated Cleaning Checks'!Z2</f>
        <v>-</v>
      </c>
      <c r="AG116" s="134" t="str">
        <f>'[1]All Vaccinated Cleaning Checks'!AA2</f>
        <v>-</v>
      </c>
      <c r="AH116" s="134">
        <f>'[1]All Vaccinated Cleaning Checks'!AB2</f>
        <v>10</v>
      </c>
      <c r="AI116" s="37"/>
    </row>
    <row r="117" spans="1:42" ht="19" customHeight="1" x14ac:dyDescent="0.25">
      <c r="A117" s="81" t="s">
        <v>289</v>
      </c>
      <c r="B117" s="167" t="s">
        <v>510</v>
      </c>
      <c r="C117" s="167"/>
      <c r="D117" s="167"/>
      <c r="E117" s="168"/>
      <c r="F117" s="82" t="s">
        <v>475</v>
      </c>
      <c r="G117" s="56"/>
      <c r="H117" s="156" t="s">
        <v>511</v>
      </c>
      <c r="I117" s="156"/>
      <c r="J117" s="156"/>
      <c r="K117" s="156"/>
      <c r="L117" s="156"/>
      <c r="M117" s="156"/>
      <c r="N117" s="48"/>
      <c r="O117" s="155" t="s">
        <v>319</v>
      </c>
      <c r="P117" s="156"/>
      <c r="Q117" s="156"/>
      <c r="R117" s="156"/>
      <c r="S117" s="156"/>
      <c r="T117" s="156"/>
      <c r="U117" s="59"/>
      <c r="AC117" s="119" t="s">
        <v>512</v>
      </c>
      <c r="AD117" s="54">
        <f>'[1]All Vaccinated Cleaning Checks'!X3</f>
        <v>0</v>
      </c>
      <c r="AE117" s="54">
        <f>'[1]All Vaccinated Cleaning Checks'!Y3</f>
        <v>92.7</v>
      </c>
      <c r="AF117" s="54">
        <f>'[1]All Vaccinated Cleaning Checks'!Z3</f>
        <v>36.202525489629927</v>
      </c>
      <c r="AG117" s="54">
        <f>'[1]All Vaccinated Cleaning Checks'!AA3</f>
        <v>37.6</v>
      </c>
      <c r="AH117" s="54">
        <f>'[1]All Vaccinated Cleaning Checks'!AB3</f>
        <v>1.1000000000000001</v>
      </c>
      <c r="AI117" s="37"/>
    </row>
    <row r="118" spans="1:42" ht="19" customHeight="1" x14ac:dyDescent="0.25">
      <c r="A118" s="169" t="s">
        <v>513</v>
      </c>
      <c r="B118" s="170"/>
      <c r="C118" s="170"/>
      <c r="D118" s="170"/>
      <c r="E118" s="170"/>
      <c r="F118" s="170"/>
      <c r="G118" s="59"/>
      <c r="H118" s="158"/>
      <c r="I118" s="158"/>
      <c r="J118" s="158"/>
      <c r="K118" s="158"/>
      <c r="L118" s="158"/>
      <c r="M118" s="158"/>
      <c r="N118" s="120"/>
      <c r="O118" s="155" t="s">
        <v>514</v>
      </c>
      <c r="P118" s="156"/>
      <c r="Q118" s="156"/>
      <c r="R118" s="156"/>
      <c r="S118" s="156"/>
      <c r="T118" s="156"/>
      <c r="U118" s="85"/>
      <c r="AC118" s="62" t="s">
        <v>515</v>
      </c>
      <c r="AD118" s="55">
        <f>'[1]All Vaccinated Cleaning Checks'!X4</f>
        <v>38</v>
      </c>
      <c r="AE118" s="55">
        <f>'[1]All Vaccinated Cleaning Checks'!Y4</f>
        <v>29185</v>
      </c>
      <c r="AF118" s="55">
        <f>'[1]All Vaccinated Cleaning Checks'!Z4</f>
        <v>2802.1743482130105</v>
      </c>
      <c r="AG118" s="55">
        <f>'[1]All Vaccinated Cleaning Checks'!AA4</f>
        <v>1773</v>
      </c>
      <c r="AH118" s="55">
        <f>'[1]All Vaccinated Cleaning Checks'!AB4</f>
        <v>664</v>
      </c>
      <c r="AI118" s="37"/>
    </row>
    <row r="119" spans="1:42" s="135" customFormat="1" ht="19" customHeight="1" x14ac:dyDescent="0.25">
      <c r="A119" s="222"/>
      <c r="B119" s="223"/>
      <c r="C119" s="223"/>
      <c r="D119" s="223"/>
      <c r="E119" s="223"/>
      <c r="F119" s="223"/>
      <c r="G119" s="89"/>
      <c r="H119" s="224" t="s">
        <v>265</v>
      </c>
      <c r="I119" s="225"/>
      <c r="J119" s="225"/>
      <c r="K119" s="225"/>
      <c r="L119" s="225"/>
      <c r="M119" s="225"/>
      <c r="N119" s="226"/>
      <c r="O119" s="157" t="s">
        <v>334</v>
      </c>
      <c r="P119" s="158"/>
      <c r="Q119" s="158"/>
      <c r="R119" s="158"/>
      <c r="S119" s="158"/>
      <c r="T119" s="158"/>
      <c r="U119" s="89"/>
      <c r="V119"/>
      <c r="W119"/>
      <c r="X119"/>
      <c r="Y119"/>
      <c r="Z119"/>
      <c r="AA119"/>
      <c r="AB119"/>
      <c r="AC119" s="155" t="s">
        <v>192</v>
      </c>
      <c r="AD119" s="156"/>
      <c r="AE119" s="156"/>
      <c r="AF119" s="156"/>
      <c r="AG119" s="156"/>
      <c r="AH119" s="156"/>
      <c r="AI119" s="120"/>
      <c r="AJ119"/>
      <c r="AK119"/>
      <c r="AL119"/>
      <c r="AM119"/>
      <c r="AN119"/>
      <c r="AO119"/>
      <c r="AP119"/>
    </row>
    <row r="120" spans="1:42" ht="19" customHeight="1" x14ac:dyDescent="0.25">
      <c r="A120" s="204" t="s">
        <v>303</v>
      </c>
      <c r="B120" s="205"/>
      <c r="C120" s="205"/>
      <c r="D120" s="205"/>
      <c r="E120" s="205"/>
      <c r="F120" s="205"/>
      <c r="G120" s="205"/>
      <c r="H120" s="165" t="s">
        <v>516</v>
      </c>
      <c r="I120" s="166"/>
      <c r="J120" s="166"/>
      <c r="K120" s="166"/>
      <c r="L120" s="166"/>
      <c r="M120" s="166"/>
      <c r="N120" s="59"/>
      <c r="O120" s="116" t="s">
        <v>517</v>
      </c>
      <c r="P120" s="78"/>
      <c r="Q120" s="78"/>
      <c r="R120" s="78"/>
      <c r="S120" s="78"/>
      <c r="T120" s="78"/>
      <c r="U120" s="79"/>
      <c r="AC120" s="219" t="s">
        <v>197</v>
      </c>
      <c r="AD120" s="220"/>
      <c r="AE120" s="220"/>
      <c r="AF120" s="220"/>
      <c r="AG120" s="220"/>
      <c r="AH120" s="220"/>
      <c r="AI120" s="221"/>
    </row>
    <row r="121" spans="1:42" ht="19" customHeight="1" x14ac:dyDescent="0.25">
      <c r="A121" s="153" t="s">
        <v>308</v>
      </c>
      <c r="B121" s="154"/>
      <c r="C121" s="154"/>
      <c r="D121" s="154"/>
      <c r="E121" s="154"/>
      <c r="F121" s="154"/>
      <c r="G121" s="56"/>
      <c r="H121" s="155" t="s">
        <v>518</v>
      </c>
      <c r="I121" s="156"/>
      <c r="J121" s="156"/>
      <c r="K121" s="156"/>
      <c r="L121" s="218"/>
      <c r="M121" s="127" t="s">
        <v>519</v>
      </c>
      <c r="N121" s="48"/>
      <c r="O121" s="52" t="s">
        <v>15</v>
      </c>
      <c r="P121" s="53" t="s">
        <v>172</v>
      </c>
      <c r="Q121" s="53" t="s">
        <v>173</v>
      </c>
      <c r="R121" s="53" t="s">
        <v>174</v>
      </c>
      <c r="S121" s="53" t="s">
        <v>175</v>
      </c>
      <c r="T121" s="53" t="s">
        <v>176</v>
      </c>
      <c r="U121" s="125"/>
      <c r="AC121" s="176" t="s">
        <v>520</v>
      </c>
      <c r="AD121" s="177"/>
      <c r="AE121" s="177"/>
      <c r="AF121" s="177"/>
      <c r="AG121" s="177"/>
      <c r="AH121" s="58"/>
      <c r="AI121" s="56"/>
    </row>
    <row r="122" spans="1:42" ht="19" customHeight="1" x14ac:dyDescent="0.25">
      <c r="A122" s="155"/>
      <c r="B122" s="156"/>
      <c r="C122" s="156"/>
      <c r="D122" s="156"/>
      <c r="E122" s="156"/>
      <c r="F122" s="156"/>
      <c r="G122" s="59"/>
      <c r="H122" s="155"/>
      <c r="I122" s="156"/>
      <c r="J122" s="156"/>
      <c r="K122" s="156"/>
      <c r="L122" s="218"/>
      <c r="M122" s="110"/>
      <c r="N122" s="48"/>
      <c r="O122" s="35" t="s">
        <v>521</v>
      </c>
      <c r="P122" s="90">
        <f>'[1]Influenza Visits Cleaning Check'!Q2</f>
        <v>2010</v>
      </c>
      <c r="Q122" s="90">
        <f>'[1]Influenza Visits Cleaning Check'!R2</f>
        <v>2019</v>
      </c>
      <c r="R122" s="90">
        <f>'[1]Influenza Visits Cleaning Check'!S2</f>
        <v>0</v>
      </c>
      <c r="S122" s="90">
        <f>'[1]Influenza Visits Cleaning Check'!T2</f>
        <v>0</v>
      </c>
      <c r="T122" s="90">
        <f>'[1]Influenza Visits Cleaning Check'!U2</f>
        <v>2014</v>
      </c>
      <c r="U122" s="140"/>
      <c r="AC122" s="113" t="s">
        <v>204</v>
      </c>
      <c r="AD122" s="114"/>
      <c r="AE122" s="114"/>
      <c r="AF122" s="114"/>
      <c r="AG122" s="114"/>
      <c r="AH122" s="114"/>
      <c r="AI122" s="141"/>
    </row>
    <row r="123" spans="1:42" ht="19" customHeight="1" x14ac:dyDescent="0.25">
      <c r="A123" s="155" t="s">
        <v>319</v>
      </c>
      <c r="B123" s="156"/>
      <c r="C123" s="156"/>
      <c r="D123" s="156"/>
      <c r="E123" s="156"/>
      <c r="F123" s="156"/>
      <c r="G123" s="59"/>
      <c r="H123" s="155" t="s">
        <v>522</v>
      </c>
      <c r="I123" s="156"/>
      <c r="J123" s="156"/>
      <c r="K123" s="156"/>
      <c r="L123" s="156"/>
      <c r="M123" s="156"/>
      <c r="N123" s="48"/>
      <c r="O123" s="35" t="s">
        <v>523</v>
      </c>
      <c r="P123" s="90">
        <f>'[1]Influenza Visits Cleaning Check'!Q3</f>
        <v>1</v>
      </c>
      <c r="Q123" s="90">
        <f>'[1]Influenza Visits Cleaning Check'!R3</f>
        <v>53</v>
      </c>
      <c r="R123" s="90">
        <f>'[1]Influenza Visits Cleaning Check'!S3</f>
        <v>0</v>
      </c>
      <c r="S123" s="90">
        <f>'[1]Influenza Visits Cleaning Check'!T3</f>
        <v>0</v>
      </c>
      <c r="T123" s="90">
        <f>'[1]Influenza Visits Cleaning Check'!U3</f>
        <v>40</v>
      </c>
      <c r="U123" s="140"/>
      <c r="AC123" s="165" t="s">
        <v>209</v>
      </c>
      <c r="AD123" s="166"/>
      <c r="AE123" s="115" t="s">
        <v>210</v>
      </c>
      <c r="AF123" s="60">
        <v>3</v>
      </c>
      <c r="AG123" s="61" t="s">
        <v>211</v>
      </c>
      <c r="AH123" s="115" t="s">
        <v>268</v>
      </c>
      <c r="AI123" s="140"/>
    </row>
    <row r="124" spans="1:42" ht="19" customHeight="1" x14ac:dyDescent="0.25">
      <c r="A124" s="155"/>
      <c r="B124" s="156"/>
      <c r="C124" s="156"/>
      <c r="D124" s="156"/>
      <c r="E124" s="156"/>
      <c r="F124" s="156"/>
      <c r="G124" s="59"/>
      <c r="H124" s="155" t="s">
        <v>524</v>
      </c>
      <c r="I124" s="156"/>
      <c r="J124" s="156"/>
      <c r="K124" s="156"/>
      <c r="L124" s="218"/>
      <c r="M124" s="136" t="s">
        <v>525</v>
      </c>
      <c r="N124" s="48"/>
      <c r="O124" s="137" t="s">
        <v>526</v>
      </c>
      <c r="P124" s="102">
        <f>(('[1]Influenza Visits Cleaning Check'!Y2)*0.0001)*0.1</f>
        <v>0</v>
      </c>
      <c r="Q124" s="102">
        <f>(('[1]Influenza Visits Cleaning Check'!Z2)*0.0001)*0.1</f>
        <v>0.11452000000000001</v>
      </c>
      <c r="R124" s="102">
        <f>(('[1]Influenza Visits Cleaning Check'!AA2)*0.0001)*0.1</f>
        <v>2.7120623655913982E-3</v>
      </c>
      <c r="S124" s="102">
        <f>(('[1]Influenza Visits Cleaning Check'!AB2)*0.0001)*0.1</f>
        <v>8.4000000000000014E-4</v>
      </c>
      <c r="T124" s="102">
        <f>(('[1]Influenza Visits Cleaning Check'!AC2)*0.0001)*0.1</f>
        <v>0</v>
      </c>
      <c r="U124" s="140"/>
      <c r="AC124" s="165" t="s">
        <v>373</v>
      </c>
      <c r="AD124" s="166"/>
      <c r="AE124" s="115" t="s">
        <v>217</v>
      </c>
      <c r="AF124" s="60">
        <v>51</v>
      </c>
      <c r="AG124" s="61" t="s">
        <v>211</v>
      </c>
      <c r="AH124" s="115" t="s">
        <v>268</v>
      </c>
      <c r="AI124" s="37"/>
    </row>
    <row r="125" spans="1:42" ht="19" customHeight="1" x14ac:dyDescent="0.25">
      <c r="A125" s="155" t="s">
        <v>527</v>
      </c>
      <c r="B125" s="156"/>
      <c r="C125" s="156"/>
      <c r="D125" s="156"/>
      <c r="E125" s="156"/>
      <c r="F125" s="156"/>
      <c r="G125" s="85"/>
      <c r="H125" s="155"/>
      <c r="I125" s="156"/>
      <c r="J125" s="156"/>
      <c r="K125" s="156"/>
      <c r="L125" s="218"/>
      <c r="M125" s="138"/>
      <c r="N125" s="48"/>
      <c r="O125" s="35" t="s">
        <v>528</v>
      </c>
      <c r="P125" s="90">
        <f>'[1]Influenza Visits Cleaning Check'!Y3</f>
        <v>0</v>
      </c>
      <c r="Q125" s="90">
        <f>'[1]Influenza Visits Cleaning Check'!Z3</f>
        <v>214</v>
      </c>
      <c r="R125" s="90">
        <f>'[1]Influenza Visits Cleaning Check'!AA3</f>
        <v>33.594623655913978</v>
      </c>
      <c r="S125" s="90">
        <f>'[1]Influenza Visits Cleaning Check'!AB3</f>
        <v>23</v>
      </c>
      <c r="T125" s="90">
        <f>'[1]Influenza Visits Cleaning Check'!AC3</f>
        <v>16</v>
      </c>
      <c r="U125" s="140"/>
      <c r="AC125" s="155" t="s">
        <v>529</v>
      </c>
      <c r="AD125" s="156"/>
      <c r="AE125" s="115" t="s">
        <v>217</v>
      </c>
      <c r="AF125" s="60">
        <v>51</v>
      </c>
      <c r="AG125" s="61" t="s">
        <v>211</v>
      </c>
      <c r="AH125" s="115" t="s">
        <v>268</v>
      </c>
      <c r="AI125" s="37"/>
    </row>
    <row r="126" spans="1:42" ht="19" customHeight="1" x14ac:dyDescent="0.25">
      <c r="A126" s="157" t="s">
        <v>334</v>
      </c>
      <c r="B126" s="158"/>
      <c r="C126" s="158"/>
      <c r="D126" s="158"/>
      <c r="E126" s="158"/>
      <c r="F126" s="158"/>
      <c r="G126" s="89"/>
      <c r="H126" s="155" t="s">
        <v>530</v>
      </c>
      <c r="I126" s="156"/>
      <c r="J126" s="156"/>
      <c r="K126" s="156"/>
      <c r="L126" s="156"/>
      <c r="M126" s="156"/>
      <c r="N126" s="48"/>
      <c r="O126" s="35" t="s">
        <v>531</v>
      </c>
      <c r="P126" s="90">
        <f>'[1]Influenza Visits Cleaning Check'!Y4</f>
        <v>0</v>
      </c>
      <c r="Q126" s="90">
        <f>'[1]Influenza Visits Cleaning Check'!Z4</f>
        <v>121837</v>
      </c>
      <c r="R126" s="90">
        <f>'[1]Influenza Visits Cleaning Check'!AA4</f>
        <v>13234.287612903227</v>
      </c>
      <c r="S126" s="90">
        <f>'[1]Influenza Visits Cleaning Check'!AB4</f>
        <v>6625.5</v>
      </c>
      <c r="T126" s="90">
        <f>'[1]Influenza Visits Cleaning Check'!AC4</f>
        <v>0</v>
      </c>
      <c r="U126" s="140"/>
      <c r="AC126" s="155" t="s">
        <v>226</v>
      </c>
      <c r="AD126" s="156"/>
      <c r="AE126" s="115" t="s">
        <v>217</v>
      </c>
      <c r="AF126" s="60">
        <v>12</v>
      </c>
      <c r="AG126" s="61" t="s">
        <v>211</v>
      </c>
      <c r="AH126" s="115" t="s">
        <v>268</v>
      </c>
      <c r="AI126" s="37"/>
    </row>
    <row r="127" spans="1:42" ht="19" customHeight="1" x14ac:dyDescent="0.25">
      <c r="A127" s="204" t="s">
        <v>517</v>
      </c>
      <c r="B127" s="205"/>
      <c r="C127" s="205"/>
      <c r="D127" s="205"/>
      <c r="E127" s="205"/>
      <c r="F127" s="205"/>
      <c r="G127" s="206"/>
      <c r="H127" s="155"/>
      <c r="I127" s="156"/>
      <c r="J127" s="156"/>
      <c r="K127" s="156"/>
      <c r="L127" s="156"/>
      <c r="M127" s="156"/>
      <c r="N127" s="48"/>
      <c r="O127" s="104" t="s">
        <v>420</v>
      </c>
      <c r="P127" s="106"/>
      <c r="Q127" s="106"/>
      <c r="R127" s="106"/>
      <c r="S127" s="106"/>
      <c r="T127" s="106"/>
      <c r="U127" s="57"/>
      <c r="AC127" s="165" t="s">
        <v>532</v>
      </c>
      <c r="AD127" s="166"/>
      <c r="AE127" s="115" t="s">
        <v>217</v>
      </c>
      <c r="AF127" s="60">
        <v>17</v>
      </c>
      <c r="AG127" s="61" t="s">
        <v>211</v>
      </c>
      <c r="AH127" s="115" t="s">
        <v>268</v>
      </c>
      <c r="AI127" s="37"/>
    </row>
    <row r="128" spans="1:42" ht="19" customHeight="1" x14ac:dyDescent="0.25">
      <c r="A128" s="52" t="s">
        <v>15</v>
      </c>
      <c r="B128" s="53" t="s">
        <v>172</v>
      </c>
      <c r="C128" s="53" t="s">
        <v>173</v>
      </c>
      <c r="D128" s="53" t="s">
        <v>174</v>
      </c>
      <c r="E128" s="53" t="s">
        <v>175</v>
      </c>
      <c r="F128" s="53" t="s">
        <v>176</v>
      </c>
      <c r="G128" s="125"/>
      <c r="H128" s="215" t="s">
        <v>533</v>
      </c>
      <c r="I128" s="216"/>
      <c r="J128" s="216"/>
      <c r="K128" s="216"/>
      <c r="L128" s="217"/>
      <c r="M128" s="136" t="s">
        <v>534</v>
      </c>
      <c r="N128" s="48"/>
      <c r="O128" s="116" t="s">
        <v>535</v>
      </c>
      <c r="P128" s="78"/>
      <c r="Q128" s="78"/>
      <c r="R128" s="78"/>
      <c r="S128" s="78"/>
      <c r="T128" s="78"/>
      <c r="U128" s="79"/>
      <c r="AC128" s="113" t="s">
        <v>235</v>
      </c>
      <c r="AD128" s="114"/>
      <c r="AE128" s="114"/>
      <c r="AF128" s="114"/>
      <c r="AG128" s="114"/>
      <c r="AH128" s="114"/>
      <c r="AI128" s="141"/>
    </row>
    <row r="129" spans="1:35" ht="19" customHeight="1" x14ac:dyDescent="0.25">
      <c r="A129" s="35" t="s">
        <v>408</v>
      </c>
      <c r="B129" s="61">
        <f>'[1]Month and Age Cleaning Check'!Z1</f>
        <v>2009</v>
      </c>
      <c r="C129" s="61">
        <f>'[1]Month and Age Cleaning Check'!Z2</f>
        <v>2017</v>
      </c>
      <c r="D129" s="61" t="s">
        <v>268</v>
      </c>
      <c r="E129" s="61" t="s">
        <v>268</v>
      </c>
      <c r="F129" s="61">
        <f>'[1]Month and Age Cleaning Check'!Z3</f>
        <v>2009</v>
      </c>
      <c r="G129" s="115"/>
      <c r="H129" s="215"/>
      <c r="I129" s="216"/>
      <c r="J129" s="216"/>
      <c r="K129" s="216"/>
      <c r="L129" s="217"/>
      <c r="M129" s="80"/>
      <c r="N129" s="48"/>
      <c r="O129" s="139" t="s">
        <v>536</v>
      </c>
      <c r="P129" s="58"/>
      <c r="Q129" s="58"/>
      <c r="R129" s="58"/>
      <c r="S129" s="58"/>
      <c r="T129" s="58"/>
      <c r="U129" s="56"/>
      <c r="AC129" s="62" t="s">
        <v>537</v>
      </c>
      <c r="AD129" s="114"/>
      <c r="AE129" s="115" t="s">
        <v>217</v>
      </c>
      <c r="AF129" s="60">
        <v>11</v>
      </c>
      <c r="AG129" s="61" t="s">
        <v>211</v>
      </c>
      <c r="AH129" s="69">
        <f>AH116</f>
        <v>10</v>
      </c>
      <c r="AI129" s="141"/>
    </row>
    <row r="130" spans="1:35" ht="19" customHeight="1" x14ac:dyDescent="0.25">
      <c r="A130" s="35" t="s">
        <v>412</v>
      </c>
      <c r="B130" s="112">
        <f>'[1]Month and Age Cleaning Check'!AF1</f>
        <v>39814</v>
      </c>
      <c r="C130" s="112">
        <f>'[1]Month and Age Cleaning Check'!AF2</f>
        <v>43070</v>
      </c>
      <c r="D130" s="112" t="s">
        <v>268</v>
      </c>
      <c r="E130" s="112" t="s">
        <v>268</v>
      </c>
      <c r="F130" s="112">
        <f>'[1]Month and Age Cleaning Check'!AF3</f>
        <v>39904</v>
      </c>
      <c r="G130" s="115"/>
      <c r="H130" s="215"/>
      <c r="I130" s="216"/>
      <c r="J130" s="216"/>
      <c r="K130" s="216"/>
      <c r="L130" s="217"/>
      <c r="M130" s="136" t="s">
        <v>538</v>
      </c>
      <c r="N130" s="48"/>
      <c r="O130" s="113" t="s">
        <v>204</v>
      </c>
      <c r="P130" s="114"/>
      <c r="Q130" s="114"/>
      <c r="R130" s="114"/>
      <c r="S130" s="114"/>
      <c r="T130" s="114"/>
      <c r="U130" s="141"/>
      <c r="AC130" s="62" t="s">
        <v>539</v>
      </c>
      <c r="AD130" s="114"/>
      <c r="AE130" s="115" t="s">
        <v>217</v>
      </c>
      <c r="AF130" s="67">
        <v>875</v>
      </c>
      <c r="AG130" s="61" t="s">
        <v>211</v>
      </c>
      <c r="AH130" s="68">
        <f>AH117</f>
        <v>1.1000000000000001</v>
      </c>
      <c r="AI130" s="37"/>
    </row>
    <row r="131" spans="1:35" ht="19" customHeight="1" x14ac:dyDescent="0.25">
      <c r="A131" s="35" t="s">
        <v>416</v>
      </c>
      <c r="B131" s="61">
        <f>'[1]Month and Age Cleaning Check'!AC1</f>
        <v>5</v>
      </c>
      <c r="C131" s="61">
        <f>'[1]Month and Age Cleaning Check'!AC2</f>
        <v>512</v>
      </c>
      <c r="D131" s="90">
        <f>'[1]Month and Age Cleaning Check'!AC3</f>
        <v>10.85931207499835</v>
      </c>
      <c r="E131" s="90">
        <f>'[1]Month and Age Cleaning Check'!AC4</f>
        <v>5</v>
      </c>
      <c r="F131" s="90">
        <f>'[1]Month and Age Cleaning Check'!AC5</f>
        <v>5</v>
      </c>
      <c r="G131" s="140"/>
      <c r="H131" s="215"/>
      <c r="I131" s="216"/>
      <c r="J131" s="216"/>
      <c r="K131" s="216"/>
      <c r="L131" s="217"/>
      <c r="M131" s="136"/>
      <c r="N131" s="48"/>
      <c r="O131" s="165" t="s">
        <v>540</v>
      </c>
      <c r="P131" s="166"/>
      <c r="Q131" s="166" t="s">
        <v>541</v>
      </c>
      <c r="R131" s="166"/>
      <c r="S131" s="115" t="s">
        <v>433</v>
      </c>
      <c r="T131" s="115"/>
      <c r="U131" s="140"/>
      <c r="AC131" s="104" t="s">
        <v>542</v>
      </c>
      <c r="AD131" s="105"/>
      <c r="AE131" s="42" t="s">
        <v>217</v>
      </c>
      <c r="AF131" s="106">
        <v>4559</v>
      </c>
      <c r="AG131" s="107" t="s">
        <v>246</v>
      </c>
      <c r="AH131" s="108">
        <f>AH118</f>
        <v>664</v>
      </c>
      <c r="AI131" s="43"/>
    </row>
    <row r="132" spans="1:35" ht="19" customHeight="1" x14ac:dyDescent="0.25">
      <c r="A132" s="104" t="s">
        <v>420</v>
      </c>
      <c r="B132" s="106"/>
      <c r="C132" s="106"/>
      <c r="D132" s="106"/>
      <c r="E132" s="106"/>
      <c r="F132" s="106"/>
      <c r="G132" s="57"/>
      <c r="H132" s="215" t="s">
        <v>543</v>
      </c>
      <c r="I132" s="216"/>
      <c r="J132" s="216"/>
      <c r="K132" s="216"/>
      <c r="L132" s="216"/>
      <c r="M132" s="216"/>
      <c r="N132" s="48"/>
      <c r="O132" s="113" t="s">
        <v>235</v>
      </c>
      <c r="P132" s="114"/>
      <c r="Q132" s="114"/>
      <c r="R132" s="114"/>
      <c r="S132" s="114"/>
      <c r="T132" s="114"/>
      <c r="U132" s="141"/>
    </row>
    <row r="133" spans="1:35" ht="19" customHeight="1" x14ac:dyDescent="0.25">
      <c r="A133" s="204" t="s">
        <v>535</v>
      </c>
      <c r="B133" s="205"/>
      <c r="C133" s="205"/>
      <c r="D133" s="205"/>
      <c r="E133" s="205"/>
      <c r="F133" s="205"/>
      <c r="G133" s="206"/>
      <c r="H133" s="215"/>
      <c r="I133" s="216"/>
      <c r="J133" s="216"/>
      <c r="K133" s="216"/>
      <c r="L133" s="216"/>
      <c r="M133" s="216"/>
      <c r="N133" s="48"/>
      <c r="O133" s="165" t="s">
        <v>544</v>
      </c>
      <c r="P133" s="166"/>
      <c r="Q133" s="166" t="s">
        <v>545</v>
      </c>
      <c r="R133" s="166"/>
      <c r="S133" s="115" t="s">
        <v>211</v>
      </c>
      <c r="T133" s="69">
        <f>T122</f>
        <v>2014</v>
      </c>
      <c r="U133" s="140"/>
    </row>
    <row r="134" spans="1:35" ht="19" customHeight="1" x14ac:dyDescent="0.25">
      <c r="A134" s="139" t="s">
        <v>426</v>
      </c>
      <c r="B134" s="58"/>
      <c r="C134" s="58"/>
      <c r="D134" s="58"/>
      <c r="E134" s="58"/>
      <c r="F134" s="58"/>
      <c r="G134" s="58"/>
      <c r="H134" s="215" t="s">
        <v>546</v>
      </c>
      <c r="I134" s="216"/>
      <c r="J134" s="216"/>
      <c r="K134" s="216"/>
      <c r="L134" s="216"/>
      <c r="M134" s="216"/>
      <c r="N134" s="48"/>
      <c r="O134" s="165" t="s">
        <v>547</v>
      </c>
      <c r="P134" s="166"/>
      <c r="Q134" s="166" t="s">
        <v>548</v>
      </c>
      <c r="R134" s="166"/>
      <c r="S134" s="115" t="s">
        <v>211</v>
      </c>
      <c r="T134" s="69">
        <f>T123</f>
        <v>40</v>
      </c>
      <c r="U134" s="140"/>
    </row>
    <row r="135" spans="1:35" ht="19" customHeight="1" x14ac:dyDescent="0.25">
      <c r="A135" s="171" t="s">
        <v>204</v>
      </c>
      <c r="B135" s="172"/>
      <c r="C135" s="172"/>
      <c r="D135" s="172"/>
      <c r="E135" s="172"/>
      <c r="F135" s="172"/>
      <c r="G135" s="172"/>
      <c r="H135" s="215"/>
      <c r="I135" s="216"/>
      <c r="J135" s="216"/>
      <c r="K135" s="216"/>
      <c r="L135" s="216"/>
      <c r="M135" s="216"/>
      <c r="N135" s="48"/>
      <c r="O135" s="165" t="s">
        <v>549</v>
      </c>
      <c r="P135" s="166"/>
      <c r="Q135" s="166" t="s">
        <v>550</v>
      </c>
      <c r="R135" s="166"/>
      <c r="S135" s="115" t="s">
        <v>246</v>
      </c>
      <c r="T135" s="68">
        <f>T124</f>
        <v>0</v>
      </c>
      <c r="U135" s="140"/>
    </row>
    <row r="136" spans="1:35" ht="19" customHeight="1" x14ac:dyDescent="0.25">
      <c r="A136" s="165" t="s">
        <v>431</v>
      </c>
      <c r="B136" s="166"/>
      <c r="C136" s="166" t="s">
        <v>432</v>
      </c>
      <c r="D136" s="166"/>
      <c r="E136" s="178" t="s">
        <v>433</v>
      </c>
      <c r="F136" s="178"/>
      <c r="G136" s="178"/>
      <c r="H136" s="211" t="s">
        <v>551</v>
      </c>
      <c r="I136" s="212"/>
      <c r="J136" s="212"/>
      <c r="K136" s="212"/>
      <c r="L136" s="212"/>
      <c r="M136" s="212"/>
      <c r="N136" s="48"/>
      <c r="O136" s="165" t="s">
        <v>552</v>
      </c>
      <c r="P136" s="166"/>
      <c r="Q136" s="166" t="s">
        <v>553</v>
      </c>
      <c r="R136" s="166"/>
      <c r="S136" s="115" t="s">
        <v>211</v>
      </c>
      <c r="T136" s="69">
        <f>T125</f>
        <v>16</v>
      </c>
      <c r="U136" s="140"/>
    </row>
    <row r="137" spans="1:35" ht="19" customHeight="1" x14ac:dyDescent="0.25">
      <c r="A137" s="165" t="s">
        <v>436</v>
      </c>
      <c r="B137" s="166"/>
      <c r="C137" s="166" t="s">
        <v>432</v>
      </c>
      <c r="D137" s="166"/>
      <c r="E137" s="178" t="s">
        <v>433</v>
      </c>
      <c r="F137" s="178"/>
      <c r="G137" s="208"/>
      <c r="H137" s="213"/>
      <c r="I137" s="214"/>
      <c r="J137" s="214"/>
      <c r="K137" s="214"/>
      <c r="L137" s="214"/>
      <c r="M137" s="214"/>
      <c r="N137" s="48"/>
      <c r="O137" s="179" t="s">
        <v>554</v>
      </c>
      <c r="P137" s="180"/>
      <c r="Q137" s="180" t="s">
        <v>553</v>
      </c>
      <c r="R137" s="180"/>
      <c r="S137" s="42" t="s">
        <v>211</v>
      </c>
      <c r="T137" s="108">
        <f>T126</f>
        <v>0</v>
      </c>
      <c r="U137" s="44"/>
    </row>
    <row r="138" spans="1:35" ht="19" customHeight="1" x14ac:dyDescent="0.25">
      <c r="A138" s="165" t="s">
        <v>555</v>
      </c>
      <c r="B138" s="166"/>
      <c r="C138" s="166" t="s">
        <v>556</v>
      </c>
      <c r="D138" s="166"/>
      <c r="E138" s="178" t="s">
        <v>433</v>
      </c>
      <c r="F138" s="178"/>
      <c r="G138" s="208"/>
      <c r="H138" s="201" t="s">
        <v>283</v>
      </c>
      <c r="I138" s="202"/>
      <c r="J138" s="202"/>
      <c r="K138" s="202"/>
      <c r="L138" s="202"/>
      <c r="M138" s="202"/>
      <c r="N138" s="203"/>
      <c r="O138" s="209" t="s">
        <v>557</v>
      </c>
      <c r="P138" s="210"/>
      <c r="Q138" s="210"/>
    </row>
    <row r="139" spans="1:35" ht="19" customHeight="1" x14ac:dyDescent="0.25">
      <c r="A139" s="171" t="s">
        <v>235</v>
      </c>
      <c r="B139" s="172"/>
      <c r="C139" s="172"/>
      <c r="D139" s="172"/>
      <c r="E139" s="172"/>
      <c r="F139" s="172"/>
      <c r="G139" s="207"/>
      <c r="H139" s="81" t="s">
        <v>289</v>
      </c>
      <c r="I139" s="167" t="s">
        <v>558</v>
      </c>
      <c r="J139" s="167"/>
      <c r="K139" s="167"/>
      <c r="L139" s="168"/>
      <c r="M139" s="82" t="s">
        <v>519</v>
      </c>
      <c r="N139" s="56"/>
    </row>
    <row r="140" spans="1:35" ht="19" x14ac:dyDescent="0.25">
      <c r="A140" s="165" t="s">
        <v>444</v>
      </c>
      <c r="B140" s="166"/>
      <c r="C140" s="166" t="s">
        <v>451</v>
      </c>
      <c r="D140" s="166"/>
      <c r="E140" s="115" t="s">
        <v>211</v>
      </c>
      <c r="F140" s="115">
        <f>F129</f>
        <v>2009</v>
      </c>
      <c r="G140" s="140"/>
      <c r="H140" s="169" t="s">
        <v>559</v>
      </c>
      <c r="I140" s="170"/>
      <c r="J140" s="170"/>
      <c r="K140" s="170"/>
      <c r="L140" s="170"/>
      <c r="M140" s="170"/>
      <c r="N140" s="59"/>
    </row>
    <row r="141" spans="1:35" ht="19" customHeight="1" x14ac:dyDescent="0.25">
      <c r="A141" s="165" t="s">
        <v>457</v>
      </c>
      <c r="B141" s="166"/>
      <c r="C141" s="166" t="s">
        <v>441</v>
      </c>
      <c r="D141" s="166"/>
      <c r="E141" s="115" t="s">
        <v>211</v>
      </c>
      <c r="F141" s="142">
        <f>F130</f>
        <v>39904</v>
      </c>
      <c r="G141" s="140"/>
      <c r="H141" s="169"/>
      <c r="I141" s="170"/>
      <c r="J141" s="170"/>
      <c r="K141" s="170"/>
      <c r="L141" s="170"/>
      <c r="M141" s="170"/>
      <c r="N141" s="48"/>
    </row>
    <row r="142" spans="1:35" ht="21" x14ac:dyDescent="0.25">
      <c r="A142" s="179" t="s">
        <v>560</v>
      </c>
      <c r="B142" s="180"/>
      <c r="C142" s="180" t="s">
        <v>461</v>
      </c>
      <c r="D142" s="180"/>
      <c r="E142" s="42" t="s">
        <v>211</v>
      </c>
      <c r="F142" s="143">
        <f>F131</f>
        <v>5</v>
      </c>
      <c r="G142" s="44"/>
      <c r="H142" s="201" t="s">
        <v>561</v>
      </c>
      <c r="I142" s="202"/>
      <c r="J142" s="202"/>
      <c r="K142" s="202"/>
      <c r="L142" s="202"/>
      <c r="M142" s="202"/>
      <c r="N142" s="203"/>
    </row>
    <row r="143" spans="1:35" ht="21" x14ac:dyDescent="0.25">
      <c r="A143" s="204" t="s">
        <v>562</v>
      </c>
      <c r="B143" s="205"/>
      <c r="C143" s="205"/>
      <c r="D143" s="205"/>
      <c r="E143" s="205"/>
      <c r="F143" s="205"/>
      <c r="G143" s="206"/>
      <c r="H143" s="153" t="s">
        <v>308</v>
      </c>
      <c r="I143" s="154"/>
      <c r="J143" s="154"/>
      <c r="K143" s="154"/>
      <c r="L143" s="154"/>
      <c r="M143" s="154"/>
      <c r="N143" s="56"/>
    </row>
    <row r="144" spans="1:35" ht="19" x14ac:dyDescent="0.25">
      <c r="A144" s="179" t="s">
        <v>563</v>
      </c>
      <c r="B144" s="180"/>
      <c r="C144" s="180"/>
      <c r="D144" s="180"/>
      <c r="E144" s="180"/>
      <c r="F144" s="180"/>
      <c r="G144" s="180"/>
      <c r="H144" s="155"/>
      <c r="I144" s="156"/>
      <c r="J144" s="156"/>
      <c r="K144" s="156"/>
      <c r="L144" s="156"/>
      <c r="M144" s="156"/>
      <c r="N144" s="59"/>
    </row>
    <row r="145" spans="8:14" ht="19" x14ac:dyDescent="0.25">
      <c r="H145" s="155" t="s">
        <v>319</v>
      </c>
      <c r="I145" s="156"/>
      <c r="J145" s="156"/>
      <c r="K145" s="156"/>
      <c r="L145" s="156"/>
      <c r="M145" s="156"/>
      <c r="N145" s="59"/>
    </row>
    <row r="146" spans="8:14" ht="19" x14ac:dyDescent="0.25">
      <c r="H146" s="155"/>
      <c r="I146" s="156"/>
      <c r="J146" s="156"/>
      <c r="K146" s="156"/>
      <c r="L146" s="156"/>
      <c r="M146" s="156"/>
      <c r="N146" s="59"/>
    </row>
    <row r="147" spans="8:14" ht="19" x14ac:dyDescent="0.25">
      <c r="H147" s="155" t="s">
        <v>564</v>
      </c>
      <c r="I147" s="156"/>
      <c r="J147" s="156"/>
      <c r="K147" s="156"/>
      <c r="L147" s="156"/>
      <c r="M147" s="156"/>
      <c r="N147" s="59"/>
    </row>
    <row r="148" spans="8:14" ht="19" x14ac:dyDescent="0.25">
      <c r="H148" s="157" t="s">
        <v>334</v>
      </c>
      <c r="I148" s="158"/>
      <c r="J148" s="158"/>
      <c r="K148" s="158"/>
      <c r="L148" s="158"/>
      <c r="M148" s="158"/>
      <c r="N148" s="120"/>
    </row>
    <row r="149" spans="8:14" ht="21" x14ac:dyDescent="0.25">
      <c r="H149" s="201" t="s">
        <v>517</v>
      </c>
      <c r="I149" s="202"/>
      <c r="J149" s="202"/>
      <c r="K149" s="202"/>
      <c r="L149" s="202"/>
      <c r="M149" s="202"/>
      <c r="N149" s="203"/>
    </row>
    <row r="150" spans="8:14" ht="19" x14ac:dyDescent="0.25">
      <c r="H150" s="52" t="s">
        <v>15</v>
      </c>
      <c r="I150" s="53" t="s">
        <v>172</v>
      </c>
      <c r="J150" s="53" t="s">
        <v>173</v>
      </c>
      <c r="K150" s="53" t="s">
        <v>174</v>
      </c>
      <c r="L150" s="53" t="s">
        <v>175</v>
      </c>
      <c r="M150" s="53" t="s">
        <v>176</v>
      </c>
      <c r="N150" s="88"/>
    </row>
    <row r="151" spans="8:14" ht="19" x14ac:dyDescent="0.25">
      <c r="H151" s="35" t="s">
        <v>337</v>
      </c>
      <c r="I151" s="90">
        <f>'[1]Population Data Cleaning Check'!BC2</f>
        <v>2009</v>
      </c>
      <c r="J151" s="90">
        <f>'[1]Population Data Cleaning Check'!BC3</f>
        <v>2017</v>
      </c>
      <c r="K151" s="90" t="s">
        <v>268</v>
      </c>
      <c r="L151" s="90" t="s">
        <v>268</v>
      </c>
      <c r="M151" s="90">
        <f>'[1]Population Data Cleaning Check'!BC4</f>
        <v>2009</v>
      </c>
      <c r="N151" s="91"/>
    </row>
    <row r="152" spans="8:14" ht="20" x14ac:dyDescent="0.25">
      <c r="H152" s="119" t="s">
        <v>339</v>
      </c>
      <c r="I152" s="55">
        <f>'[1]Population Data Cleaning Check'!BF2</f>
        <v>41</v>
      </c>
      <c r="J152" s="55">
        <f>'[1]Population Data Cleaning Check'!BF3</f>
        <v>10105722</v>
      </c>
      <c r="K152" s="55">
        <f>'[1]Population Data Cleaning Check'!BF4</f>
        <v>109346.87063327484</v>
      </c>
      <c r="L152" s="55">
        <f>'[1]Population Data Cleaning Check'!BF5</f>
        <v>28950</v>
      </c>
      <c r="M152" s="55">
        <f>'[1]Population Data Cleaning Check'!BF6</f>
        <v>1939</v>
      </c>
      <c r="N152" s="95"/>
    </row>
    <row r="153" spans="8:14" ht="19" x14ac:dyDescent="0.25">
      <c r="H153" s="35" t="s">
        <v>342</v>
      </c>
      <c r="I153" s="55">
        <f>'[1]Population Data Cleaning Check'!BI2</f>
        <v>23</v>
      </c>
      <c r="J153" s="55">
        <f>'[1]Population Data Cleaning Check'!BI3</f>
        <v>4979641</v>
      </c>
      <c r="K153" s="55">
        <f>'[1]Population Data Cleaning Check'!BI4</f>
        <v>53778.149944169723</v>
      </c>
      <c r="L153" s="55">
        <f>'[1]Population Data Cleaning Check'!BI5</f>
        <v>14529</v>
      </c>
      <c r="M153" s="55">
        <f>'[1]Population Data Cleaning Check'!BI6</f>
        <v>1241</v>
      </c>
      <c r="N153" s="95"/>
    </row>
    <row r="154" spans="8:14" ht="19" x14ac:dyDescent="0.25">
      <c r="H154" s="62" t="s">
        <v>347</v>
      </c>
      <c r="I154" s="55">
        <f>'[1]Population Data Cleaning Check'!BL2</f>
        <v>15</v>
      </c>
      <c r="J154" s="55">
        <f>'[1]Population Data Cleaning Check'!BL3</f>
        <v>5126081</v>
      </c>
      <c r="K154" s="55">
        <f>'[1]Population Data Cleaning Check'!BL4</f>
        <v>55568.720689105117</v>
      </c>
      <c r="L154" s="55">
        <f>'[1]Population Data Cleaning Check'!BL5</f>
        <v>14561</v>
      </c>
      <c r="M154" s="55">
        <f>'[1]Population Data Cleaning Check'!BL6</f>
        <v>2389</v>
      </c>
      <c r="N154" s="91"/>
    </row>
    <row r="155" spans="8:14" ht="19" x14ac:dyDescent="0.25">
      <c r="H155" s="62" t="s">
        <v>351</v>
      </c>
      <c r="I155" s="90">
        <f>MIN([1]!Table41234[Under 5 years])</f>
        <v>0</v>
      </c>
      <c r="J155" s="96">
        <f>MAX([1]!Table41234[Under 5 years])</f>
        <v>733897.125</v>
      </c>
      <c r="K155" s="90">
        <f>AVERAGE([1]!Table41234[Under 5 years])</f>
        <v>7078.2632023049318</v>
      </c>
      <c r="L155" s="90">
        <f>MEDIAN([1]!Table41234[Under 5 years])</f>
        <v>1803</v>
      </c>
      <c r="M155" s="90">
        <f>MODE([1]!Table41234[Under 5 years])</f>
        <v>0</v>
      </c>
      <c r="N155" s="97"/>
    </row>
    <row r="156" spans="8:14" ht="19" x14ac:dyDescent="0.25">
      <c r="H156" s="62" t="s">
        <v>354</v>
      </c>
      <c r="I156" s="90">
        <f>MIN([1]!Table41234[5 to 9 years])</f>
        <v>0</v>
      </c>
      <c r="J156" s="96">
        <f>MAX([1]!Table41234[5 to 9 years])</f>
        <v>665400.06000000006</v>
      </c>
      <c r="K156" s="90">
        <f>AVERAGE([1]!Table41234[5 to 9 years])</f>
        <v>7140.8972912346453</v>
      </c>
      <c r="L156" s="90">
        <f>MEDIAN([1]!Table41234[5 to 9 years])</f>
        <v>1850.135</v>
      </c>
      <c r="M156" s="90">
        <f>MODE([1]!Table41234[5 to 9 years])</f>
        <v>0</v>
      </c>
      <c r="N156" s="97"/>
    </row>
    <row r="157" spans="8:14" ht="19" x14ac:dyDescent="0.25">
      <c r="H157" s="62" t="s">
        <v>359</v>
      </c>
      <c r="I157" s="90">
        <f>MIN([1]!Table41234[10 to 14 years])</f>
        <v>0</v>
      </c>
      <c r="J157" s="96">
        <f>MAX([1]!Table41234[10 to 14 years])</f>
        <v>724111.83</v>
      </c>
      <c r="K157" s="90">
        <f>AVERAGE([1]!Table41234[10 to 14 years])</f>
        <v>7260.4226169245449</v>
      </c>
      <c r="L157" s="90">
        <f>MEDIAN([1]!Table41234[10 to 14 years])</f>
        <v>1915.086</v>
      </c>
      <c r="M157" s="90">
        <f>MODE([1]!Table41234[10 to 14 years])</f>
        <v>0</v>
      </c>
      <c r="N157" s="97"/>
    </row>
    <row r="158" spans="8:14" ht="19" x14ac:dyDescent="0.25">
      <c r="H158" s="62" t="s">
        <v>364</v>
      </c>
      <c r="I158" s="90">
        <f>MIN([1]!Table41234[15 to 19 years])</f>
        <v>0</v>
      </c>
      <c r="J158" s="96">
        <f>MAX([1]!Table41234[15 to 19 years])</f>
        <v>753656.51899999997</v>
      </c>
      <c r="K158" s="90">
        <f>AVERAGE([1]!Table41234[15 to 19 years])</f>
        <v>7611.0205607353682</v>
      </c>
      <c r="L158" s="90">
        <f>MEDIAN([1]!Table41234[15 to 19 years])</f>
        <v>2000.0374999999999</v>
      </c>
      <c r="M158" s="90">
        <f>MODE([1]!Table41234[15 to 19 years])</f>
        <v>0</v>
      </c>
      <c r="N158" s="97"/>
    </row>
    <row r="159" spans="8:14" ht="19" x14ac:dyDescent="0.25">
      <c r="H159" s="62" t="s">
        <v>368</v>
      </c>
      <c r="I159" s="90">
        <f>MIN([1]!Table41234[20 to 24 years])</f>
        <v>0</v>
      </c>
      <c r="J159" s="96">
        <f>MAX([1]!Table41234[20 to 24 years])</f>
        <v>777987.83400000003</v>
      </c>
      <c r="K159" s="90">
        <f>AVERAGE([1]!Table41234[20 to 24 years])</f>
        <v>7751.8123110543684</v>
      </c>
      <c r="L159" s="90">
        <f>MEDIAN([1]!Table41234[20 to 24 years])</f>
        <v>1794.7255</v>
      </c>
      <c r="M159" s="90">
        <f>MODE([1]!Table41234[20 to 24 years])</f>
        <v>0</v>
      </c>
      <c r="N159" s="97"/>
    </row>
    <row r="160" spans="8:14" ht="19" x14ac:dyDescent="0.25">
      <c r="H160" s="62" t="s">
        <v>371</v>
      </c>
      <c r="I160" s="90">
        <f>MIN([1]!Table41234[25 to 29 years])</f>
        <v>0</v>
      </c>
      <c r="J160" s="96">
        <f>MAX([1]!Table41234[25 to 29 years])</f>
        <v>831276</v>
      </c>
      <c r="K160" s="90">
        <f>AVERAGE([1]!Table41234[25 to 29 years])</f>
        <v>7542.4583356994954</v>
      </c>
      <c r="L160" s="90">
        <f>MEDIAN([1]!Table41234[25 to 29 years])</f>
        <v>1693.9360000000001</v>
      </c>
      <c r="M160" s="90">
        <f>MODE([1]!Table41234[25 to 29 years])</f>
        <v>87</v>
      </c>
      <c r="N160" s="97"/>
    </row>
    <row r="161" spans="8:14" ht="19" x14ac:dyDescent="0.25">
      <c r="H161" s="62" t="s">
        <v>375</v>
      </c>
      <c r="I161" s="90">
        <f>MIN([1]!Table41234[30 to 34 years])</f>
        <v>0</v>
      </c>
      <c r="J161" s="96">
        <f>MAX([1]!Table41234[30 to 34 years])</f>
        <v>762619</v>
      </c>
      <c r="K161" s="90">
        <f>AVERAGE([1]!Table41234[30 to 34 years])</f>
        <v>7218.8131865129408</v>
      </c>
      <c r="L161" s="90">
        <f>MEDIAN([1]!Table41234[30 to 34 years])</f>
        <v>1691.076</v>
      </c>
      <c r="M161" s="90">
        <f>MODE([1]!Table41234[30 to 34 years])</f>
        <v>0</v>
      </c>
      <c r="N161" s="97"/>
    </row>
    <row r="162" spans="8:14" ht="19" x14ac:dyDescent="0.25">
      <c r="H162" s="62" t="s">
        <v>378</v>
      </c>
      <c r="I162" s="90">
        <f>MIN([1]!Table41234[35 to 39 years])</f>
        <v>0</v>
      </c>
      <c r="J162" s="96">
        <f>MAX([1]!Table41234[35 to 39 years])</f>
        <v>753467.71499999997</v>
      </c>
      <c r="K162" s="90">
        <f>AVERAGE([1]!Table41234[35 to 39 years])</f>
        <v>7112.4000867363402</v>
      </c>
      <c r="L162" s="90">
        <f>MEDIAN([1]!Table41234[35 to 39 years])</f>
        <v>1728.0165</v>
      </c>
      <c r="M162" s="90">
        <f>MODE([1]!Table41234[35 to 39 years])</f>
        <v>0</v>
      </c>
      <c r="N162" s="97"/>
    </row>
    <row r="163" spans="8:14" ht="19" x14ac:dyDescent="0.25">
      <c r="H163" s="62" t="s">
        <v>384</v>
      </c>
      <c r="I163" s="90">
        <f>MIN([1]!Table41234[35 to 39 years])</f>
        <v>0</v>
      </c>
      <c r="J163" s="96">
        <f>MAX([1]!Table41234[40 to 44 years])</f>
        <v>733897.125</v>
      </c>
      <c r="K163" s="90">
        <f>AVERAGE([1]!Table41234[40 to 44 years])</f>
        <v>7407.0605685914516</v>
      </c>
      <c r="L163" s="90">
        <f>MEDIAN([1]!Table41234[40 to 44 years])</f>
        <v>1871</v>
      </c>
      <c r="M163" s="90">
        <f>MODE([1]!Table41234[40 to 44 years])</f>
        <v>1040</v>
      </c>
      <c r="N163" s="97"/>
    </row>
    <row r="164" spans="8:14" ht="19" x14ac:dyDescent="0.25">
      <c r="H164" s="62" t="s">
        <v>386</v>
      </c>
      <c r="I164" s="90">
        <f>MIN([1]!Table41234[45 to 49 years])</f>
        <v>0</v>
      </c>
      <c r="J164" s="96">
        <f>MAX([1]!Table41234[45 to 49 years])</f>
        <v>704717.78399999999</v>
      </c>
      <c r="K164" s="90">
        <f>AVERAGE([1]!Table41234[45 to 49 years])</f>
        <v>7723.4751393364377</v>
      </c>
      <c r="L164" s="90">
        <f>MEDIAN([1]!Table41234[45 to 49 years])</f>
        <v>2038.1525000000001</v>
      </c>
      <c r="M164" s="90">
        <f>MODE([1]!Table41234[45 to 49 years])</f>
        <v>145</v>
      </c>
      <c r="N164" s="97"/>
    </row>
    <row r="165" spans="8:14" ht="19" x14ac:dyDescent="0.25">
      <c r="H165" s="62" t="s">
        <v>390</v>
      </c>
      <c r="I165" s="90">
        <f>MIN([1]!Table41234[50 to 54 years])</f>
        <v>0</v>
      </c>
      <c r="J165" s="96">
        <f>MAX([1]!Table41234[50 to 54 years])</f>
        <v>683886.54</v>
      </c>
      <c r="K165" s="90">
        <f>AVERAGE([1]!Table41234[50 to 54 years])</f>
        <v>7731.2157827404299</v>
      </c>
      <c r="L165" s="90">
        <f>MEDIAN([1]!Table41234[50 to 54 years])</f>
        <v>2123.1970000000001</v>
      </c>
      <c r="M165" s="90">
        <f>MODE([1]!Table41234[50 to 54 years])</f>
        <v>625</v>
      </c>
      <c r="N165" s="97"/>
    </row>
    <row r="166" spans="8:14" ht="19" x14ac:dyDescent="0.25">
      <c r="H166" s="62" t="s">
        <v>394</v>
      </c>
      <c r="I166" s="90">
        <f>MIN([1]!Table41234[55 to 59 years])</f>
        <v>2.976</v>
      </c>
      <c r="J166" s="96">
        <f>MAX([1]!Table41234[55 to 59 years])</f>
        <v>628513</v>
      </c>
      <c r="K166" s="90">
        <f>AVERAGE([1]!Table41234[55 to 59 years])</f>
        <v>7007.8550734965511</v>
      </c>
      <c r="L166" s="90">
        <f>MEDIAN([1]!Table41234[55 to 59 years])</f>
        <v>2009.4850000000001</v>
      </c>
      <c r="M166" s="90">
        <f>MODE([1]!Table41234[55 to 59 years])</f>
        <v>367</v>
      </c>
      <c r="N166" s="97"/>
    </row>
    <row r="167" spans="8:14" ht="19" x14ac:dyDescent="0.25">
      <c r="H167" s="62" t="s">
        <v>396</v>
      </c>
      <c r="I167" s="90">
        <f>MIN([1]!Table41234[60 to 64 years])</f>
        <v>0</v>
      </c>
      <c r="J167" s="96">
        <f>MAX([1]!Table41234[60 to 64 years])</f>
        <v>535357</v>
      </c>
      <c r="K167" s="90">
        <f>AVERAGE([1]!Table41234[60 to 64 years])</f>
        <v>6018.8446625857478</v>
      </c>
      <c r="L167" s="90">
        <f>MEDIAN([1]!Table41234[60 to 64 years])</f>
        <v>1800</v>
      </c>
      <c r="M167" s="90">
        <f>MODE([1]!Table41234[60 to 64 years])</f>
        <v>1260</v>
      </c>
      <c r="N167" s="97"/>
    </row>
    <row r="168" spans="8:14" ht="19" x14ac:dyDescent="0.25">
      <c r="H168" s="62" t="s">
        <v>399</v>
      </c>
      <c r="I168" s="90">
        <f>MIN([1]!Table41234[65 to 69 years])</f>
        <v>0</v>
      </c>
      <c r="J168" s="96">
        <f>MAX([1]!Table41234[65 to 69 years])</f>
        <v>415243</v>
      </c>
      <c r="K168" s="90">
        <f>AVERAGE([1]!Table41234[65 to 69 years])</f>
        <v>4638.0054404610046</v>
      </c>
      <c r="L168" s="90">
        <f>MEDIAN([1]!Table41234[65 to 69 years])</f>
        <v>1447.9949999999999</v>
      </c>
      <c r="M168" s="90">
        <f>MODE([1]!Table41234[65 to 69 years])</f>
        <v>0</v>
      </c>
      <c r="N168" s="97"/>
    </row>
    <row r="169" spans="8:14" ht="19" x14ac:dyDescent="0.25">
      <c r="H169" s="62" t="s">
        <v>402</v>
      </c>
      <c r="I169" s="90">
        <f>MIN([1]!Table41234[70 to 74 years])</f>
        <v>0</v>
      </c>
      <c r="J169" s="96">
        <f>MAX([1]!Table41234[70 to 74 years])</f>
        <v>295420</v>
      </c>
      <c r="K169" s="90">
        <f>AVERAGE([1]!Table41234[70 to 74 years])</f>
        <v>3459.7243061094205</v>
      </c>
      <c r="L169" s="90">
        <f>MEDIAN([1]!Table41234[70 to 74 years])</f>
        <v>1115.2655</v>
      </c>
      <c r="M169" s="90">
        <f>MODE([1]!Table41234[70 to 74 years])</f>
        <v>0</v>
      </c>
      <c r="N169" s="97"/>
    </row>
    <row r="170" spans="8:14" ht="19" x14ac:dyDescent="0.25">
      <c r="H170" s="62" t="s">
        <v>405</v>
      </c>
      <c r="I170" s="90">
        <f>MIN([1]!Table41234[75 to 79 years])</f>
        <v>0</v>
      </c>
      <c r="J170" s="96">
        <f>MAX([1]!Table41234[75 to 79 years])</f>
        <v>215181</v>
      </c>
      <c r="K170" s="90">
        <f>AVERAGE([1]!Table41234[75 to 79 years])</f>
        <v>2651.9408000079757</v>
      </c>
      <c r="L170" s="90">
        <f>MEDIAN([1]!Table41234[75 to 79 years])</f>
        <v>839.08950000000004</v>
      </c>
      <c r="M170" s="90">
        <f>MODE([1]!Table41234[75 to 79 years])</f>
        <v>0</v>
      </c>
      <c r="N170" s="97"/>
    </row>
    <row r="171" spans="8:14" ht="19" x14ac:dyDescent="0.25">
      <c r="H171" s="62" t="s">
        <v>409</v>
      </c>
      <c r="I171" s="90">
        <f>MIN([1]!Table41234[80 to 84 years])</f>
        <v>0</v>
      </c>
      <c r="J171" s="96">
        <f>MAX([1]!Table41234[80 to 84 years])</f>
        <v>161647</v>
      </c>
      <c r="K171" s="90">
        <f>AVERAGE([1]!Table41234[80 to 84 years])</f>
        <v>2022.9804074014953</v>
      </c>
      <c r="L171" s="90">
        <f>MEDIAN([1]!Table41234[80 to 84 years])</f>
        <v>603.95249999999999</v>
      </c>
      <c r="M171" s="90">
        <f>MODE([1]!Table41234[80 to 84 years])</f>
        <v>0</v>
      </c>
      <c r="N171" s="97"/>
    </row>
    <row r="172" spans="8:14" ht="19" x14ac:dyDescent="0.25">
      <c r="H172" s="62" t="s">
        <v>413</v>
      </c>
      <c r="I172" s="90">
        <f>MIN([1]!Table41234[85 years and over])</f>
        <v>0</v>
      </c>
      <c r="J172" s="96">
        <f>MAX([1]!Table41234[85 years and over])</f>
        <v>177493</v>
      </c>
      <c r="K172" s="90">
        <f>AVERAGE([1]!Table41234[85 years and over])</f>
        <v>1972.9148446721886</v>
      </c>
      <c r="L172" s="90">
        <f>MEDIAN([1]!Table41234[85 years and over])</f>
        <v>565.98399999999992</v>
      </c>
      <c r="M172" s="90">
        <f>MODE([1]!Table41234[85 years and over])</f>
        <v>0</v>
      </c>
      <c r="N172" s="97"/>
    </row>
    <row r="173" spans="8:14" ht="19" x14ac:dyDescent="0.25">
      <c r="H173" s="155" t="s">
        <v>417</v>
      </c>
      <c r="I173" s="156"/>
      <c r="J173" s="156"/>
      <c r="K173" s="156"/>
      <c r="L173" s="156"/>
      <c r="M173" s="156"/>
      <c r="N173" s="48"/>
    </row>
    <row r="174" spans="8:14" ht="19" x14ac:dyDescent="0.25">
      <c r="H174" s="157"/>
      <c r="I174" s="158"/>
      <c r="J174" s="158"/>
      <c r="K174" s="158"/>
      <c r="L174" s="158"/>
      <c r="M174" s="158"/>
      <c r="N174" s="120"/>
    </row>
    <row r="175" spans="8:14" ht="21" x14ac:dyDescent="0.25">
      <c r="H175" s="201" t="s">
        <v>535</v>
      </c>
      <c r="I175" s="202"/>
      <c r="J175" s="202"/>
      <c r="K175" s="202"/>
      <c r="L175" s="202"/>
      <c r="M175" s="202"/>
      <c r="N175" s="203"/>
    </row>
    <row r="176" spans="8:14" ht="19" x14ac:dyDescent="0.25">
      <c r="H176" s="176" t="s">
        <v>565</v>
      </c>
      <c r="I176" s="177"/>
      <c r="J176" s="177"/>
      <c r="K176" s="177"/>
      <c r="L176" s="177"/>
      <c r="M176" s="58"/>
      <c r="N176" s="56"/>
    </row>
    <row r="177" spans="8:14" ht="19" x14ac:dyDescent="0.25">
      <c r="H177" s="171" t="s">
        <v>204</v>
      </c>
      <c r="I177" s="172"/>
      <c r="J177" s="172"/>
      <c r="K177" s="172"/>
      <c r="L177" s="172"/>
      <c r="M177" s="172"/>
      <c r="N177" s="141"/>
    </row>
    <row r="178" spans="8:14" ht="19" x14ac:dyDescent="0.25">
      <c r="H178" s="165" t="s">
        <v>434</v>
      </c>
      <c r="I178" s="166"/>
      <c r="J178" s="115" t="s">
        <v>210</v>
      </c>
      <c r="K178" s="60">
        <v>3143</v>
      </c>
      <c r="L178" s="178" t="s">
        <v>433</v>
      </c>
      <c r="M178" s="178"/>
      <c r="N178" s="140"/>
    </row>
    <row r="179" spans="8:14" ht="19" x14ac:dyDescent="0.25">
      <c r="H179" s="165" t="s">
        <v>437</v>
      </c>
      <c r="I179" s="166"/>
      <c r="J179" s="115" t="s">
        <v>217</v>
      </c>
      <c r="K179" s="60">
        <v>51</v>
      </c>
      <c r="L179" s="178" t="s">
        <v>433</v>
      </c>
      <c r="M179" s="178"/>
      <c r="N179" s="140"/>
    </row>
    <row r="180" spans="8:14" ht="19" x14ac:dyDescent="0.25">
      <c r="H180" s="171" t="s">
        <v>235</v>
      </c>
      <c r="I180" s="172"/>
      <c r="J180" s="172"/>
      <c r="K180" s="172"/>
      <c r="L180" s="172"/>
      <c r="M180" s="172"/>
      <c r="N180" s="141"/>
    </row>
    <row r="181" spans="8:14" ht="19" x14ac:dyDescent="0.25">
      <c r="H181" s="165" t="s">
        <v>444</v>
      </c>
      <c r="I181" s="166"/>
      <c r="J181" s="115" t="s">
        <v>217</v>
      </c>
      <c r="K181" s="60">
        <v>9</v>
      </c>
      <c r="L181" s="115" t="s">
        <v>246</v>
      </c>
      <c r="M181" s="69">
        <f>'[1]Population Data Cleaning Check'!BC34</f>
        <v>15</v>
      </c>
      <c r="N181" s="126"/>
    </row>
    <row r="182" spans="8:14" ht="19" x14ac:dyDescent="0.25">
      <c r="H182" s="155" t="s">
        <v>448</v>
      </c>
      <c r="I182" s="156"/>
      <c r="J182" s="115" t="s">
        <v>217</v>
      </c>
      <c r="K182" s="144">
        <v>22849.999999999909</v>
      </c>
      <c r="L182" s="115" t="s">
        <v>246</v>
      </c>
      <c r="M182" s="145">
        <f>'[1]Population Data Cleaning Check'!BF36</f>
        <v>0</v>
      </c>
      <c r="N182" s="126"/>
    </row>
    <row r="183" spans="8:14" ht="19" x14ac:dyDescent="0.25">
      <c r="H183" s="165" t="s">
        <v>450</v>
      </c>
      <c r="I183" s="166"/>
      <c r="J183" s="115" t="s">
        <v>217</v>
      </c>
      <c r="K183" s="144">
        <v>19821.000000000022</v>
      </c>
      <c r="L183" s="115" t="s">
        <v>246</v>
      </c>
      <c r="M183" s="145">
        <f>'[1]Population Data Cleaning Check'!BI36</f>
        <v>4.8929999999999998</v>
      </c>
      <c r="N183" s="126"/>
    </row>
    <row r="184" spans="8:14" ht="19" x14ac:dyDescent="0.25">
      <c r="H184" s="62" t="s">
        <v>453</v>
      </c>
      <c r="I184" s="114"/>
      <c r="J184" s="115" t="s">
        <v>217</v>
      </c>
      <c r="K184" s="144">
        <v>19782.000000000076</v>
      </c>
      <c r="L184" s="115" t="s">
        <v>246</v>
      </c>
      <c r="M184" s="145">
        <f>'[1]Population Data Cleaning Check'!BL36</f>
        <v>1</v>
      </c>
      <c r="N184" s="126"/>
    </row>
    <row r="185" spans="8:14" ht="19" x14ac:dyDescent="0.25">
      <c r="H185" s="62" t="s">
        <v>459</v>
      </c>
      <c r="I185" s="114"/>
      <c r="J185" s="115" t="s">
        <v>217</v>
      </c>
      <c r="K185" s="144">
        <v>24401.999999999978</v>
      </c>
      <c r="L185" s="115" t="s">
        <v>246</v>
      </c>
      <c r="M185" s="69">
        <f>MODE([1]!Table41234[Under 5 years])</f>
        <v>0</v>
      </c>
      <c r="N185" s="126"/>
    </row>
    <row r="186" spans="8:14" ht="19" x14ac:dyDescent="0.25">
      <c r="H186" s="62" t="s">
        <v>463</v>
      </c>
      <c r="I186" s="114"/>
      <c r="J186" s="115" t="s">
        <v>217</v>
      </c>
      <c r="K186" s="144">
        <v>24425.999999999964</v>
      </c>
      <c r="L186" s="115" t="s">
        <v>246</v>
      </c>
      <c r="M186" s="69">
        <f>MODE([1]!Table41234[5 to 9 years])</f>
        <v>0</v>
      </c>
      <c r="N186" s="126"/>
    </row>
    <row r="187" spans="8:14" ht="19" x14ac:dyDescent="0.25">
      <c r="H187" s="62" t="s">
        <v>467</v>
      </c>
      <c r="I187" s="114"/>
      <c r="J187" s="115" t="s">
        <v>217</v>
      </c>
      <c r="K187" s="144">
        <v>24438.99999999996</v>
      </c>
      <c r="L187" s="115" t="s">
        <v>246</v>
      </c>
      <c r="M187" s="69">
        <f>MODE([1]!Table41234[10 to 14 years])</f>
        <v>0</v>
      </c>
      <c r="N187" s="126"/>
    </row>
    <row r="188" spans="8:14" ht="19" x14ac:dyDescent="0.25">
      <c r="H188" s="62" t="s">
        <v>472</v>
      </c>
      <c r="I188" s="114"/>
      <c r="J188" s="115" t="s">
        <v>217</v>
      </c>
      <c r="K188" s="144">
        <v>24479.999999999975</v>
      </c>
      <c r="L188" s="115" t="s">
        <v>246</v>
      </c>
      <c r="M188" s="69">
        <f>MODE([1]!Table41234[15 to 19 years])</f>
        <v>0</v>
      </c>
      <c r="N188" s="126"/>
    </row>
    <row r="189" spans="8:14" ht="19" x14ac:dyDescent="0.25">
      <c r="H189" s="62" t="s">
        <v>473</v>
      </c>
      <c r="I189" s="114"/>
      <c r="J189" s="115" t="s">
        <v>217</v>
      </c>
      <c r="K189" s="144">
        <v>24456.999999999964</v>
      </c>
      <c r="L189" s="115" t="s">
        <v>246</v>
      </c>
      <c r="M189" s="69">
        <f>MODE([1]!Table41234[20 to 24 years])</f>
        <v>0</v>
      </c>
      <c r="N189" s="126"/>
    </row>
    <row r="190" spans="8:14" ht="19" x14ac:dyDescent="0.25">
      <c r="H190" s="62" t="s">
        <v>478</v>
      </c>
      <c r="I190" s="114"/>
      <c r="J190" s="115" t="s">
        <v>217</v>
      </c>
      <c r="K190" s="144">
        <v>24412.999999999971</v>
      </c>
      <c r="L190" s="115" t="s">
        <v>246</v>
      </c>
      <c r="M190" s="69">
        <f>MODE([1]!Table41234[25 to 29 years])</f>
        <v>87</v>
      </c>
      <c r="N190" s="126"/>
    </row>
    <row r="191" spans="8:14" ht="19" x14ac:dyDescent="0.25">
      <c r="H191" s="62" t="s">
        <v>480</v>
      </c>
      <c r="I191" s="114"/>
      <c r="J191" s="115" t="s">
        <v>217</v>
      </c>
      <c r="K191" s="144">
        <v>24376.999999999916</v>
      </c>
      <c r="L191" s="115" t="s">
        <v>246</v>
      </c>
      <c r="M191" s="69">
        <f>MODE([1]!Table41234[30 to 34 years])</f>
        <v>0</v>
      </c>
      <c r="N191" s="126"/>
    </row>
    <row r="192" spans="8:14" ht="19" x14ac:dyDescent="0.25">
      <c r="H192" s="62" t="s">
        <v>482</v>
      </c>
      <c r="I192" s="114"/>
      <c r="J192" s="115" t="s">
        <v>217</v>
      </c>
      <c r="K192" s="144">
        <v>24380.999999999953</v>
      </c>
      <c r="L192" s="115" t="s">
        <v>246</v>
      </c>
      <c r="M192" s="69">
        <f>MODE([1]!Table41234[35 to 39 years])</f>
        <v>0</v>
      </c>
      <c r="N192" s="126"/>
    </row>
    <row r="193" spans="8:14" ht="19" x14ac:dyDescent="0.25">
      <c r="H193" s="62" t="s">
        <v>484</v>
      </c>
      <c r="I193" s="114"/>
      <c r="J193" s="115" t="s">
        <v>217</v>
      </c>
      <c r="K193" s="144">
        <v>24426.999999999964</v>
      </c>
      <c r="L193" s="115" t="s">
        <v>246</v>
      </c>
      <c r="M193" s="69">
        <f>MODE([1]!Table41234[40 to 44 years])</f>
        <v>1040</v>
      </c>
      <c r="N193" s="126"/>
    </row>
    <row r="194" spans="8:14" ht="19" x14ac:dyDescent="0.25">
      <c r="H194" s="62" t="s">
        <v>485</v>
      </c>
      <c r="I194" s="114"/>
      <c r="J194" s="115" t="s">
        <v>217</v>
      </c>
      <c r="K194" s="144">
        <v>24439.999999999978</v>
      </c>
      <c r="L194" s="115" t="s">
        <v>246</v>
      </c>
      <c r="M194" s="69">
        <f>MODE([1]!Table41234[45 to 49 years])</f>
        <v>145</v>
      </c>
      <c r="N194" s="126"/>
    </row>
    <row r="195" spans="8:14" ht="19" x14ac:dyDescent="0.25">
      <c r="H195" s="62" t="s">
        <v>566</v>
      </c>
      <c r="I195" s="114"/>
      <c r="J195" s="115" t="s">
        <v>217</v>
      </c>
      <c r="K195" s="144">
        <v>24502.999999999967</v>
      </c>
      <c r="L195" s="115" t="s">
        <v>246</v>
      </c>
      <c r="M195" s="69">
        <f>MODE([1]!Table41234[50 to 54 years])</f>
        <v>625</v>
      </c>
      <c r="N195" s="126"/>
    </row>
    <row r="196" spans="8:14" ht="19" x14ac:dyDescent="0.25">
      <c r="H196" s="62" t="s">
        <v>490</v>
      </c>
      <c r="I196" s="114"/>
      <c r="J196" s="115" t="s">
        <v>217</v>
      </c>
      <c r="K196" s="144">
        <v>24501.999999999956</v>
      </c>
      <c r="L196" s="115" t="s">
        <v>246</v>
      </c>
      <c r="M196" s="69">
        <f>MODE([1]!Table41234[55 to 59 years])</f>
        <v>367</v>
      </c>
      <c r="N196" s="126"/>
    </row>
    <row r="197" spans="8:14" ht="19" x14ac:dyDescent="0.25">
      <c r="H197" s="62" t="s">
        <v>494</v>
      </c>
      <c r="I197" s="114"/>
      <c r="J197" s="115" t="s">
        <v>217</v>
      </c>
      <c r="K197" s="144">
        <v>24470.999999999978</v>
      </c>
      <c r="L197" s="115" t="s">
        <v>246</v>
      </c>
      <c r="M197" s="69">
        <f>MODE([1]!Table41234[60 to 64 years])</f>
        <v>1260</v>
      </c>
      <c r="N197" s="126"/>
    </row>
    <row r="198" spans="8:14" ht="19" x14ac:dyDescent="0.25">
      <c r="H198" s="62" t="s">
        <v>496</v>
      </c>
      <c r="I198" s="114"/>
      <c r="J198" s="115" t="s">
        <v>217</v>
      </c>
      <c r="K198" s="144">
        <v>24359.999999999949</v>
      </c>
      <c r="L198" s="115" t="s">
        <v>246</v>
      </c>
      <c r="M198" s="69">
        <f>MODE([1]!Table41234[65 to 69 years])</f>
        <v>0</v>
      </c>
      <c r="N198" s="126"/>
    </row>
    <row r="199" spans="8:14" ht="19" x14ac:dyDescent="0.25">
      <c r="H199" s="62" t="s">
        <v>499</v>
      </c>
      <c r="I199" s="114"/>
      <c r="J199" s="115" t="s">
        <v>217</v>
      </c>
      <c r="K199" s="144">
        <v>24219.999999999942</v>
      </c>
      <c r="L199" s="115" t="s">
        <v>246</v>
      </c>
      <c r="M199" s="69">
        <f>MODE([1]!Table41234[70 to 74 years])</f>
        <v>0</v>
      </c>
      <c r="N199" s="126"/>
    </row>
    <row r="200" spans="8:14" ht="19" x14ac:dyDescent="0.25">
      <c r="H200" s="62" t="s">
        <v>501</v>
      </c>
      <c r="I200" s="114"/>
      <c r="J200" s="115" t="s">
        <v>217</v>
      </c>
      <c r="K200" s="144">
        <v>23929.999999999935</v>
      </c>
      <c r="L200" s="115" t="s">
        <v>246</v>
      </c>
      <c r="M200" s="69">
        <f>MODE([1]!Table41234[75 to 79 years])</f>
        <v>0</v>
      </c>
      <c r="N200" s="126"/>
    </row>
    <row r="201" spans="8:14" ht="19" x14ac:dyDescent="0.25">
      <c r="H201" s="62" t="s">
        <v>502</v>
      </c>
      <c r="I201" s="115"/>
      <c r="J201" s="115" t="s">
        <v>217</v>
      </c>
      <c r="K201" s="144">
        <v>23646.999999999967</v>
      </c>
      <c r="L201" s="115" t="s">
        <v>246</v>
      </c>
      <c r="M201" s="69">
        <f>MODE([1]!Table41234[80 to 84 years])</f>
        <v>0</v>
      </c>
      <c r="N201" s="126"/>
    </row>
    <row r="202" spans="8:14" ht="19" x14ac:dyDescent="0.25">
      <c r="H202" s="62" t="s">
        <v>506</v>
      </c>
      <c r="I202" s="115"/>
      <c r="J202" s="115" t="s">
        <v>217</v>
      </c>
      <c r="K202" s="144">
        <v>23596.999999999989</v>
      </c>
      <c r="L202" s="115" t="s">
        <v>246</v>
      </c>
      <c r="M202" s="69">
        <f>MODE([1]!Table41234[85 years and over])</f>
        <v>0</v>
      </c>
      <c r="N202" s="126"/>
    </row>
    <row r="203" spans="8:14" ht="24" x14ac:dyDescent="0.3">
      <c r="H203" s="146" t="s">
        <v>567</v>
      </c>
      <c r="I203" s="147"/>
      <c r="J203" s="147"/>
      <c r="K203" s="148"/>
      <c r="L203" s="147"/>
      <c r="M203" s="149"/>
      <c r="N203" s="150"/>
    </row>
    <row r="204" spans="8:14" ht="20" customHeight="1" x14ac:dyDescent="0.2">
      <c r="H204" s="192" t="s">
        <v>568</v>
      </c>
      <c r="I204" s="193"/>
      <c r="J204" s="193"/>
      <c r="K204" s="193"/>
      <c r="L204" s="193"/>
      <c r="M204" s="193"/>
      <c r="N204" s="194"/>
    </row>
    <row r="205" spans="8:14" ht="19" customHeight="1" x14ac:dyDescent="0.2">
      <c r="H205" s="195"/>
      <c r="I205" s="196"/>
      <c r="J205" s="196"/>
      <c r="K205" s="196"/>
      <c r="L205" s="196"/>
      <c r="M205" s="196"/>
      <c r="N205" s="197"/>
    </row>
    <row r="206" spans="8:14" ht="19" customHeight="1" x14ac:dyDescent="0.2">
      <c r="H206" s="195"/>
      <c r="I206" s="196"/>
      <c r="J206" s="196"/>
      <c r="K206" s="196"/>
      <c r="L206" s="196"/>
      <c r="M206" s="196"/>
      <c r="N206" s="197"/>
    </row>
    <row r="207" spans="8:14" ht="16" customHeight="1" x14ac:dyDescent="0.2">
      <c r="H207" s="198"/>
      <c r="I207" s="199"/>
      <c r="J207" s="199"/>
      <c r="K207" s="199"/>
      <c r="L207" s="199"/>
      <c r="M207" s="199"/>
      <c r="N207" s="200"/>
    </row>
    <row r="208" spans="8:14" ht="17" customHeight="1" x14ac:dyDescent="0.2">
      <c r="H208" s="192" t="s">
        <v>569</v>
      </c>
      <c r="I208" s="193"/>
      <c r="J208" s="193"/>
      <c r="K208" s="193"/>
      <c r="L208" s="193"/>
      <c r="M208" s="193"/>
      <c r="N208" s="194"/>
    </row>
    <row r="209" spans="8:14" x14ac:dyDescent="0.2">
      <c r="H209" s="198"/>
      <c r="I209" s="199"/>
      <c r="J209" s="199"/>
      <c r="K209" s="199"/>
      <c r="L209" s="199"/>
      <c r="M209" s="199"/>
      <c r="N209" s="200"/>
    </row>
    <row r="210" spans="8:14" ht="21" x14ac:dyDescent="0.25">
      <c r="H210" s="184" t="s">
        <v>13</v>
      </c>
      <c r="I210" s="185"/>
      <c r="J210" s="185"/>
      <c r="K210" s="185"/>
      <c r="L210" s="185"/>
      <c r="M210" s="185"/>
      <c r="N210" s="186"/>
    </row>
    <row r="211" spans="8:14" ht="19" x14ac:dyDescent="0.25">
      <c r="H211" s="151" t="s">
        <v>14</v>
      </c>
      <c r="I211" s="151" t="s">
        <v>15</v>
      </c>
      <c r="J211" s="187" t="s">
        <v>16</v>
      </c>
      <c r="K211" s="188"/>
      <c r="L211" s="188"/>
      <c r="M211" s="188"/>
      <c r="N211" s="189"/>
    </row>
    <row r="212" spans="8:14" ht="19" x14ac:dyDescent="0.25">
      <c r="H212" s="29" t="s">
        <v>17</v>
      </c>
      <c r="I212" s="33" t="s">
        <v>18</v>
      </c>
      <c r="J212" s="29" t="s">
        <v>19</v>
      </c>
      <c r="K212" s="31" t="s">
        <v>20</v>
      </c>
      <c r="L212" s="31" t="s">
        <v>21</v>
      </c>
      <c r="M212" s="31" t="s">
        <v>22</v>
      </c>
      <c r="N212" s="34"/>
    </row>
    <row r="213" spans="8:14" ht="19" x14ac:dyDescent="0.25">
      <c r="H213" s="35" t="s">
        <v>24</v>
      </c>
      <c r="I213" s="38" t="s">
        <v>25</v>
      </c>
      <c r="J213" s="35" t="s">
        <v>19</v>
      </c>
      <c r="K213" s="115" t="s">
        <v>20</v>
      </c>
      <c r="L213" s="115" t="s">
        <v>21</v>
      </c>
      <c r="M213" s="115" t="s">
        <v>26</v>
      </c>
      <c r="N213" s="140"/>
    </row>
    <row r="214" spans="8:14" ht="19" x14ac:dyDescent="0.25">
      <c r="H214" s="35" t="s">
        <v>39</v>
      </c>
      <c r="I214" s="38" t="s">
        <v>35</v>
      </c>
      <c r="J214" s="35" t="s">
        <v>19</v>
      </c>
      <c r="K214" s="115" t="s">
        <v>20</v>
      </c>
      <c r="L214" s="115" t="s">
        <v>41</v>
      </c>
      <c r="M214" s="115" t="s">
        <v>42</v>
      </c>
      <c r="N214" s="140"/>
    </row>
    <row r="215" spans="8:14" ht="19" x14ac:dyDescent="0.25">
      <c r="H215" s="35" t="s">
        <v>47</v>
      </c>
      <c r="I215" s="38" t="s">
        <v>40</v>
      </c>
      <c r="J215" s="35" t="s">
        <v>28</v>
      </c>
      <c r="K215" s="115" t="s">
        <v>20</v>
      </c>
      <c r="L215" s="115" t="s">
        <v>41</v>
      </c>
      <c r="M215" s="115" t="s">
        <v>48</v>
      </c>
      <c r="N215" s="140"/>
    </row>
    <row r="216" spans="8:14" ht="19" x14ac:dyDescent="0.25">
      <c r="H216" s="35" t="s">
        <v>55</v>
      </c>
      <c r="I216" s="38" t="s">
        <v>46</v>
      </c>
      <c r="J216" s="35" t="s">
        <v>28</v>
      </c>
      <c r="K216" s="115" t="s">
        <v>20</v>
      </c>
      <c r="L216" s="115" t="s">
        <v>41</v>
      </c>
      <c r="M216" s="115" t="s">
        <v>48</v>
      </c>
      <c r="N216" s="140"/>
    </row>
    <row r="217" spans="8:14" ht="19" x14ac:dyDescent="0.25">
      <c r="H217" s="35" t="s">
        <v>61</v>
      </c>
      <c r="I217" s="38" t="s">
        <v>54</v>
      </c>
      <c r="J217" s="35" t="s">
        <v>28</v>
      </c>
      <c r="K217" s="115" t="s">
        <v>20</v>
      </c>
      <c r="L217" s="115" t="s">
        <v>41</v>
      </c>
      <c r="M217" s="115" t="s">
        <v>48</v>
      </c>
      <c r="N217" s="140"/>
    </row>
    <row r="218" spans="8:14" ht="19" x14ac:dyDescent="0.25">
      <c r="H218" s="35" t="s">
        <v>67</v>
      </c>
      <c r="I218" s="38" t="s">
        <v>60</v>
      </c>
      <c r="J218" s="35" t="s">
        <v>28</v>
      </c>
      <c r="K218" s="115" t="s">
        <v>20</v>
      </c>
      <c r="L218" s="115" t="s">
        <v>41</v>
      </c>
      <c r="M218" s="115" t="s">
        <v>48</v>
      </c>
      <c r="N218" s="140"/>
    </row>
    <row r="219" spans="8:14" ht="19" x14ac:dyDescent="0.25">
      <c r="H219" s="35" t="s">
        <v>74</v>
      </c>
      <c r="I219" s="38" t="s">
        <v>66</v>
      </c>
      <c r="J219" s="35" t="s">
        <v>28</v>
      </c>
      <c r="K219" s="115" t="s">
        <v>20</v>
      </c>
      <c r="L219" s="115" t="s">
        <v>41</v>
      </c>
      <c r="M219" s="115" t="s">
        <v>48</v>
      </c>
      <c r="N219" s="140"/>
    </row>
    <row r="220" spans="8:14" ht="19" x14ac:dyDescent="0.25">
      <c r="H220" s="35" t="s">
        <v>80</v>
      </c>
      <c r="I220" s="38" t="s">
        <v>73</v>
      </c>
      <c r="J220" s="35" t="s">
        <v>28</v>
      </c>
      <c r="K220" s="115" t="s">
        <v>20</v>
      </c>
      <c r="L220" s="115" t="s">
        <v>41</v>
      </c>
      <c r="M220" s="115" t="s">
        <v>48</v>
      </c>
      <c r="N220" s="140"/>
    </row>
    <row r="221" spans="8:14" ht="19" x14ac:dyDescent="0.25">
      <c r="H221" s="35" t="s">
        <v>87</v>
      </c>
      <c r="I221" s="38" t="s">
        <v>81</v>
      </c>
      <c r="J221" s="35" t="s">
        <v>28</v>
      </c>
      <c r="K221" s="115" t="s">
        <v>20</v>
      </c>
      <c r="L221" s="115" t="s">
        <v>41</v>
      </c>
      <c r="M221" s="115" t="s">
        <v>48</v>
      </c>
      <c r="N221" s="140"/>
    </row>
    <row r="222" spans="8:14" ht="19" x14ac:dyDescent="0.25">
      <c r="H222" s="35" t="s">
        <v>93</v>
      </c>
      <c r="I222" s="38" t="s">
        <v>88</v>
      </c>
      <c r="J222" s="35" t="s">
        <v>28</v>
      </c>
      <c r="K222" s="115" t="s">
        <v>20</v>
      </c>
      <c r="L222" s="115" t="s">
        <v>41</v>
      </c>
      <c r="M222" s="115" t="s">
        <v>48</v>
      </c>
      <c r="N222" s="140"/>
    </row>
    <row r="223" spans="8:14" ht="19" x14ac:dyDescent="0.25">
      <c r="H223" s="35" t="s">
        <v>570</v>
      </c>
      <c r="I223" s="38" t="s">
        <v>94</v>
      </c>
      <c r="J223" s="35" t="s">
        <v>28</v>
      </c>
      <c r="K223" s="115" t="s">
        <v>20</v>
      </c>
      <c r="L223" s="115" t="s">
        <v>41</v>
      </c>
      <c r="M223" s="115" t="s">
        <v>48</v>
      </c>
      <c r="N223" s="140"/>
    </row>
    <row r="224" spans="8:14" ht="19" x14ac:dyDescent="0.25">
      <c r="H224" s="35" t="s">
        <v>571</v>
      </c>
      <c r="I224" s="38" t="s">
        <v>98</v>
      </c>
      <c r="J224" s="35" t="s">
        <v>28</v>
      </c>
      <c r="K224" s="115" t="s">
        <v>20</v>
      </c>
      <c r="L224" s="115" t="s">
        <v>41</v>
      </c>
      <c r="M224" s="115" t="s">
        <v>48</v>
      </c>
      <c r="N224" s="140"/>
    </row>
    <row r="225" spans="8:14" ht="19" x14ac:dyDescent="0.25">
      <c r="H225" s="35" t="s">
        <v>572</v>
      </c>
      <c r="I225" s="38" t="s">
        <v>573</v>
      </c>
      <c r="J225" s="35" t="s">
        <v>28</v>
      </c>
      <c r="K225" s="115" t="s">
        <v>20</v>
      </c>
      <c r="L225" s="115" t="s">
        <v>41</v>
      </c>
      <c r="M225" s="115" t="s">
        <v>48</v>
      </c>
      <c r="N225" s="140"/>
    </row>
    <row r="226" spans="8:14" ht="19" x14ac:dyDescent="0.25">
      <c r="H226" s="35" t="s">
        <v>131</v>
      </c>
      <c r="I226" s="38" t="s">
        <v>110</v>
      </c>
      <c r="J226" s="35" t="s">
        <v>28</v>
      </c>
      <c r="K226" s="115" t="s">
        <v>20</v>
      </c>
      <c r="L226" s="115" t="s">
        <v>41</v>
      </c>
      <c r="M226" s="115" t="s">
        <v>48</v>
      </c>
      <c r="N226" s="140"/>
    </row>
    <row r="227" spans="8:14" ht="19" x14ac:dyDescent="0.25">
      <c r="H227" s="35" t="s">
        <v>136</v>
      </c>
      <c r="I227" s="38" t="s">
        <v>116</v>
      </c>
      <c r="J227" s="35" t="s">
        <v>28</v>
      </c>
      <c r="K227" s="115" t="s">
        <v>20</v>
      </c>
      <c r="L227" s="115" t="s">
        <v>41</v>
      </c>
      <c r="M227" s="115" t="s">
        <v>48</v>
      </c>
      <c r="N227" s="140"/>
    </row>
    <row r="228" spans="8:14" ht="19" x14ac:dyDescent="0.25">
      <c r="H228" s="35" t="s">
        <v>574</v>
      </c>
      <c r="I228" s="38" t="s">
        <v>122</v>
      </c>
      <c r="J228" s="35" t="s">
        <v>28</v>
      </c>
      <c r="K228" s="115" t="s">
        <v>20</v>
      </c>
      <c r="L228" s="115" t="s">
        <v>41</v>
      </c>
      <c r="M228" s="115" t="s">
        <v>48</v>
      </c>
      <c r="N228" s="140"/>
    </row>
    <row r="229" spans="8:14" ht="19" x14ac:dyDescent="0.25">
      <c r="H229" s="35" t="s">
        <v>575</v>
      </c>
      <c r="I229" s="38" t="s">
        <v>126</v>
      </c>
      <c r="J229" s="35" t="s">
        <v>28</v>
      </c>
      <c r="K229" s="115" t="s">
        <v>20</v>
      </c>
      <c r="L229" s="115" t="s">
        <v>41</v>
      </c>
      <c r="M229" s="115" t="s">
        <v>48</v>
      </c>
      <c r="N229" s="140"/>
    </row>
    <row r="230" spans="8:14" ht="19" x14ac:dyDescent="0.25">
      <c r="H230" s="152" t="s">
        <v>165</v>
      </c>
      <c r="I230" s="50" t="s">
        <v>132</v>
      </c>
      <c r="J230" s="40" t="s">
        <v>28</v>
      </c>
      <c r="K230" s="42" t="s">
        <v>20</v>
      </c>
      <c r="L230" s="42" t="s">
        <v>41</v>
      </c>
      <c r="M230" s="42" t="s">
        <v>48</v>
      </c>
      <c r="N230" s="44"/>
    </row>
    <row r="231" spans="8:14" ht="19" x14ac:dyDescent="0.25">
      <c r="H231" s="176" t="s">
        <v>83</v>
      </c>
      <c r="I231" s="177"/>
      <c r="J231" s="177"/>
      <c r="K231" s="177"/>
      <c r="L231" s="177"/>
      <c r="M231" s="177"/>
      <c r="N231" s="190"/>
    </row>
    <row r="232" spans="8:14" ht="19" x14ac:dyDescent="0.25">
      <c r="H232" s="165" t="s">
        <v>576</v>
      </c>
      <c r="I232" s="166"/>
      <c r="J232" s="166"/>
      <c r="K232" s="166"/>
      <c r="L232" s="166"/>
      <c r="M232" s="166"/>
      <c r="N232" s="191"/>
    </row>
    <row r="233" spans="8:14" ht="21" x14ac:dyDescent="0.25">
      <c r="H233" s="162" t="s">
        <v>92</v>
      </c>
      <c r="I233" s="163"/>
      <c r="J233" s="163"/>
      <c r="K233" s="163"/>
      <c r="L233" s="163"/>
      <c r="M233" s="163"/>
      <c r="N233" s="164"/>
    </row>
    <row r="234" spans="8:14" ht="19" x14ac:dyDescent="0.25">
      <c r="H234" s="176" t="s">
        <v>577</v>
      </c>
      <c r="I234" s="177"/>
      <c r="J234" s="177"/>
      <c r="K234" s="177"/>
      <c r="L234" s="177"/>
      <c r="M234" s="177"/>
      <c r="N234" s="56"/>
    </row>
    <row r="235" spans="8:14" ht="19" x14ac:dyDescent="0.25">
      <c r="H235" s="179" t="s">
        <v>578</v>
      </c>
      <c r="I235" s="180"/>
      <c r="J235" s="180"/>
      <c r="K235" s="180"/>
      <c r="L235" s="180"/>
      <c r="M235" s="180"/>
      <c r="N235" s="57"/>
    </row>
    <row r="236" spans="8:14" ht="21" x14ac:dyDescent="0.25">
      <c r="H236" s="181" t="s">
        <v>114</v>
      </c>
      <c r="I236" s="182"/>
      <c r="J236" s="182"/>
      <c r="K236" s="182"/>
      <c r="L236" s="182"/>
      <c r="M236" s="182"/>
      <c r="N236" s="183"/>
    </row>
    <row r="237" spans="8:14" ht="19" x14ac:dyDescent="0.25">
      <c r="H237" s="176" t="s">
        <v>120</v>
      </c>
      <c r="I237" s="177"/>
      <c r="J237" s="177"/>
      <c r="K237" s="177"/>
      <c r="L237" s="177"/>
      <c r="M237" s="177"/>
      <c r="N237" s="56"/>
    </row>
    <row r="238" spans="8:14" ht="19" x14ac:dyDescent="0.25">
      <c r="H238" s="165" t="s">
        <v>124</v>
      </c>
      <c r="I238" s="166"/>
      <c r="J238" s="166"/>
      <c r="K238" s="166"/>
      <c r="L238" s="166"/>
      <c r="M238" s="166"/>
      <c r="N238" s="59"/>
    </row>
    <row r="239" spans="8:14" ht="21" x14ac:dyDescent="0.25">
      <c r="H239" s="173" t="s">
        <v>151</v>
      </c>
      <c r="I239" s="174"/>
      <c r="J239" s="174"/>
      <c r="K239" s="174"/>
      <c r="L239" s="174"/>
      <c r="M239" s="174"/>
      <c r="N239" s="175"/>
    </row>
    <row r="240" spans="8:14" ht="19" x14ac:dyDescent="0.25">
      <c r="H240" s="176" t="s">
        <v>579</v>
      </c>
      <c r="I240" s="177"/>
      <c r="J240" s="177"/>
      <c r="K240" s="177"/>
      <c r="L240" s="177"/>
      <c r="M240" s="177"/>
      <c r="N240" s="56"/>
    </row>
    <row r="241" spans="8:14" ht="21" x14ac:dyDescent="0.25">
      <c r="H241" s="173" t="s">
        <v>328</v>
      </c>
      <c r="I241" s="174"/>
      <c r="J241" s="174"/>
      <c r="K241" s="174"/>
      <c r="L241" s="174"/>
      <c r="M241" s="174"/>
      <c r="N241" s="175"/>
    </row>
    <row r="242" spans="8:14" ht="19" x14ac:dyDescent="0.25">
      <c r="H242" s="52" t="s">
        <v>15</v>
      </c>
      <c r="I242" s="53" t="s">
        <v>172</v>
      </c>
      <c r="J242" s="53" t="s">
        <v>173</v>
      </c>
      <c r="K242" s="53" t="s">
        <v>174</v>
      </c>
      <c r="L242" s="53" t="s">
        <v>175</v>
      </c>
      <c r="M242" s="53" t="s">
        <v>176</v>
      </c>
      <c r="N242" s="88"/>
    </row>
    <row r="243" spans="8:14" ht="19" x14ac:dyDescent="0.25">
      <c r="H243" s="35" t="s">
        <v>580</v>
      </c>
      <c r="I243" s="90">
        <f>'[1]New Population Data Checks'!AD2</f>
        <v>2010</v>
      </c>
      <c r="J243" s="90">
        <f>'[1]New Population Data Checks'!AE2</f>
        <v>2017</v>
      </c>
      <c r="K243" s="90" t="str">
        <f>'[1]New Population Data Checks'!AF2</f>
        <v>-</v>
      </c>
      <c r="L243" s="90" t="str">
        <f>'[1]New Population Data Checks'!AG2</f>
        <v>-</v>
      </c>
      <c r="M243" s="90">
        <f>'[1]New Population Data Checks'!AH2</f>
        <v>2010</v>
      </c>
      <c r="N243" s="91"/>
    </row>
    <row r="244" spans="8:14" ht="20" x14ac:dyDescent="0.25">
      <c r="H244" s="119" t="s">
        <v>581</v>
      </c>
      <c r="I244" s="90">
        <f>'[1]New Population Data Checks'!AD3</f>
        <v>545579</v>
      </c>
      <c r="J244" s="90">
        <f>'[1]New Population Data Checks'!AE3</f>
        <v>38982847</v>
      </c>
      <c r="K244" s="90">
        <f>'[1]New Population Data Checks'!AF3</f>
        <v>6130953.4877450978</v>
      </c>
      <c r="L244" s="90">
        <f>'[1]New Population Data Checks'!AG3</f>
        <v>4372302.5</v>
      </c>
      <c r="M244" s="90" t="e">
        <f>'[1]New Population Data Checks'!AH3</f>
        <v>#N/A</v>
      </c>
      <c r="N244" s="95"/>
    </row>
    <row r="245" spans="8:14" ht="19" x14ac:dyDescent="0.25">
      <c r="H245" s="35" t="s">
        <v>582</v>
      </c>
      <c r="I245" s="90">
        <f>'[1]New Population Data Checks'!AD4</f>
        <v>276101</v>
      </c>
      <c r="J245" s="90">
        <f>'[1]New Population Data Checks'!AE4</f>
        <v>19366579</v>
      </c>
      <c r="K245" s="90">
        <f>'[1]New Population Data Checks'!AF4</f>
        <v>3015781.0416666665</v>
      </c>
      <c r="L245" s="90">
        <f>'[1]New Population Data Checks'!AG4</f>
        <v>2151118.5</v>
      </c>
      <c r="M245" s="90">
        <f>'[1]New Population Data Checks'!AH4</f>
        <v>1439862</v>
      </c>
      <c r="N245" s="95"/>
    </row>
    <row r="246" spans="8:14" ht="19" x14ac:dyDescent="0.25">
      <c r="H246" s="62" t="s">
        <v>583</v>
      </c>
      <c r="I246" s="90">
        <f>'[1]New Population Data Checks'!AD5</f>
        <v>267729</v>
      </c>
      <c r="J246" s="90">
        <f>'[1]New Population Data Checks'!AE5</f>
        <v>19616268</v>
      </c>
      <c r="K246" s="90">
        <f>'[1]New Population Data Checks'!AF5</f>
        <v>3115172.4460784313</v>
      </c>
      <c r="L246" s="90">
        <f>'[1]New Population Data Checks'!AG5</f>
        <v>2221184</v>
      </c>
      <c r="M246" s="90" t="e">
        <f>'[1]New Population Data Checks'!AH5</f>
        <v>#N/A</v>
      </c>
      <c r="N246" s="91"/>
    </row>
    <row r="247" spans="8:14" ht="19" x14ac:dyDescent="0.25">
      <c r="H247" s="62" t="s">
        <v>584</v>
      </c>
      <c r="I247" s="90">
        <f>'[1]New Population Data Checks'!AD6</f>
        <v>29829</v>
      </c>
      <c r="J247" s="90">
        <f>'[1]New Population Data Checks'!AE6</f>
        <v>2545224</v>
      </c>
      <c r="K247" s="90">
        <f>'[1]New Population Data Checks'!AF6</f>
        <v>392397.05147058825</v>
      </c>
      <c r="L247" s="90">
        <f>'[1]New Population Data Checks'!AG6</f>
        <v>278038.5</v>
      </c>
      <c r="M247" s="90" t="e">
        <f>'[1]New Population Data Checks'!AH6</f>
        <v>#N/A</v>
      </c>
      <c r="N247" s="97"/>
    </row>
    <row r="248" spans="8:14" ht="19" x14ac:dyDescent="0.25">
      <c r="H248" s="62" t="s">
        <v>585</v>
      </c>
      <c r="I248" s="90">
        <f>'[1]New Population Data Checks'!AD7</f>
        <v>26098</v>
      </c>
      <c r="J248" s="90">
        <f>'[1]New Population Data Checks'!AE7</f>
        <v>2538872</v>
      </c>
      <c r="K248" s="90">
        <f>'[1]New Population Data Checks'!AF7</f>
        <v>399411.5</v>
      </c>
      <c r="L248" s="90">
        <f>'[1]New Population Data Checks'!AG7</f>
        <v>281487</v>
      </c>
      <c r="M248" s="90" t="e">
        <f>'[1]New Population Data Checks'!AH7</f>
        <v>#N/A</v>
      </c>
      <c r="N248" s="97"/>
    </row>
    <row r="249" spans="8:14" ht="19" x14ac:dyDescent="0.25">
      <c r="H249" s="62" t="s">
        <v>586</v>
      </c>
      <c r="I249" s="90">
        <f>'[1]New Population Data Checks'!AD8</f>
        <v>24069</v>
      </c>
      <c r="J249" s="90">
        <f>'[1]New Population Data Checks'!AE8</f>
        <v>2609028</v>
      </c>
      <c r="K249" s="90">
        <f>'[1]New Population Data Checks'!AF8</f>
        <v>405273.30392156861</v>
      </c>
      <c r="L249" s="90">
        <f>'[1]New Population Data Checks'!AG8</f>
        <v>286518</v>
      </c>
      <c r="M249" s="90" t="e">
        <f>'[1]New Population Data Checks'!AH8</f>
        <v>#N/A</v>
      </c>
      <c r="N249" s="97"/>
    </row>
    <row r="250" spans="8:14" ht="19" x14ac:dyDescent="0.25">
      <c r="H250" s="62" t="s">
        <v>587</v>
      </c>
      <c r="I250" s="90">
        <f>'[1]New Population Data Checks'!AD9</f>
        <v>36824</v>
      </c>
      <c r="J250" s="90">
        <f>'[1]New Population Data Checks'!AE9</f>
        <v>2803559</v>
      </c>
      <c r="K250" s="90">
        <f>'[1]New Population Data Checks'!AF9</f>
        <v>424516.22303921566</v>
      </c>
      <c r="L250" s="90">
        <f>'[1]New Population Data Checks'!AG9</f>
        <v>289842.5</v>
      </c>
      <c r="M250" s="90" t="e">
        <f>'[1]New Population Data Checks'!AH9</f>
        <v>#N/A</v>
      </c>
      <c r="N250" s="97"/>
    </row>
    <row r="251" spans="8:14" ht="19" x14ac:dyDescent="0.25">
      <c r="H251" s="62" t="s">
        <v>588</v>
      </c>
      <c r="I251" s="90">
        <f>'[1]New Population Data Checks'!AD10</f>
        <v>40457</v>
      </c>
      <c r="J251" s="90">
        <f>'[1]New Population Data Checks'!AE10</f>
        <v>2906168</v>
      </c>
      <c r="K251" s="90">
        <f>'[1]New Population Data Checks'!AF10</f>
        <v>433036.55392156861</v>
      </c>
      <c r="L251" s="90">
        <f>'[1]New Population Data Checks'!AG10</f>
        <v>304171.5</v>
      </c>
      <c r="M251" s="90">
        <f>'[1]New Population Data Checks'!AH10</f>
        <v>215347</v>
      </c>
      <c r="N251" s="97"/>
    </row>
    <row r="252" spans="8:14" ht="19" x14ac:dyDescent="0.25">
      <c r="H252" s="62" t="s">
        <v>589</v>
      </c>
      <c r="I252" s="90">
        <f>'[1]New Population Data Checks'!AD11</f>
        <v>68112</v>
      </c>
      <c r="J252" s="90">
        <f>'[1]New Population Data Checks'!AE11</f>
        <v>5822872</v>
      </c>
      <c r="K252" s="90">
        <f>'[1]New Population Data Checks'!AF11</f>
        <v>824483.60784313723</v>
      </c>
      <c r="L252" s="90">
        <f>'[1]New Population Data Checks'!AG11</f>
        <v>565109</v>
      </c>
      <c r="M252" s="90" t="e">
        <f>'[1]New Population Data Checks'!AH11</f>
        <v>#N/A</v>
      </c>
      <c r="N252" s="97"/>
    </row>
    <row r="253" spans="8:14" ht="19" x14ac:dyDescent="0.25">
      <c r="H253" s="62" t="s">
        <v>590</v>
      </c>
      <c r="I253" s="90">
        <f>'[1]New Population Data Checks'!AD12</f>
        <v>66635</v>
      </c>
      <c r="J253" s="90">
        <f>'[1]New Population Data Checks'!AE12</f>
        <v>5288140</v>
      </c>
      <c r="K253" s="90">
        <f>'[1]New Population Data Checks'!AF12</f>
        <v>805320.60049019603</v>
      </c>
      <c r="L253" s="90">
        <f>'[1]New Population Data Checks'!AG12</f>
        <v>566391</v>
      </c>
      <c r="M253" s="90" t="e">
        <f>'[1]New Population Data Checks'!AH12</f>
        <v>#N/A</v>
      </c>
      <c r="N253" s="97"/>
    </row>
    <row r="254" spans="8:14" ht="19" x14ac:dyDescent="0.25">
      <c r="H254" s="62" t="s">
        <v>591</v>
      </c>
      <c r="I254" s="90">
        <f>'[1]New Population Data Checks'!AD13</f>
        <v>70920</v>
      </c>
      <c r="J254" s="90">
        <f>'[1]New Population Data Checks'!AE13</f>
        <v>5248476</v>
      </c>
      <c r="K254" s="90">
        <f>'[1]New Population Data Checks'!AF13</f>
        <v>864537.41421568627</v>
      </c>
      <c r="L254" s="90">
        <f>'[1]New Population Data Checks'!AG13</f>
        <v>615769</v>
      </c>
      <c r="M254" s="90" t="e">
        <f>'[1]New Population Data Checks'!AH13</f>
        <v>#N/A</v>
      </c>
      <c r="N254" s="97"/>
    </row>
    <row r="255" spans="8:14" ht="19" x14ac:dyDescent="0.25">
      <c r="H255" s="62" t="s">
        <v>592</v>
      </c>
      <c r="I255" s="90">
        <f>'[1]New Population Data Checks'!AD14</f>
        <v>33689</v>
      </c>
      <c r="J255" s="90">
        <f>'[1]New Population Data Checks'!AE14</f>
        <v>2453244</v>
      </c>
      <c r="K255" s="90">
        <f>'[1]New Population Data Checks'!AF14</f>
        <v>397841.90196078434</v>
      </c>
      <c r="L255" s="90">
        <f>'[1]New Population Data Checks'!AG14</f>
        <v>286476</v>
      </c>
      <c r="M255" s="90" t="e">
        <f>'[1]New Population Data Checks'!AH14</f>
        <v>#N/A</v>
      </c>
      <c r="N255" s="97"/>
    </row>
    <row r="256" spans="8:14" ht="19" x14ac:dyDescent="0.25">
      <c r="H256" s="62" t="s">
        <v>593</v>
      </c>
      <c r="I256" s="90">
        <f>'[1]New Population Data Checks'!AD15</f>
        <v>28237</v>
      </c>
      <c r="J256" s="90">
        <f>'[1]New Population Data Checks'!AE15</f>
        <v>2143851</v>
      </c>
      <c r="K256" s="90">
        <f>'[1]New Population Data Checks'!AF15</f>
        <v>344460.8823529412</v>
      </c>
      <c r="L256" s="90">
        <f>'[1]New Population Data Checks'!AG15</f>
        <v>254379</v>
      </c>
      <c r="M256" s="90" t="e">
        <f>'[1]New Population Data Checks'!AH15</f>
        <v>#N/A</v>
      </c>
      <c r="N256" s="97"/>
    </row>
    <row r="257" spans="8:14" ht="19" x14ac:dyDescent="0.25">
      <c r="H257" s="62" t="s">
        <v>594</v>
      </c>
      <c r="I257" s="90">
        <f>'[1]New Population Data Checks'!AD16</f>
        <v>32019</v>
      </c>
      <c r="J257" s="90">
        <f>'[1]New Population Data Checks'!AE16</f>
        <v>2946809</v>
      </c>
      <c r="K257" s="90">
        <f>'[1]New Population Data Checks'!AF16</f>
        <v>464713.57107843139</v>
      </c>
      <c r="L257" s="90">
        <f>'[1]New Population Data Checks'!AG16</f>
        <v>328386.5</v>
      </c>
      <c r="M257" s="90" t="e">
        <f>'[1]New Population Data Checks'!AH16</f>
        <v>#N/A</v>
      </c>
      <c r="N257" s="97"/>
    </row>
    <row r="258" spans="8:14" ht="19" x14ac:dyDescent="0.25">
      <c r="H258" s="62" t="s">
        <v>595</v>
      </c>
      <c r="I258" s="90">
        <f>'[1]New Population Data Checks'!AD17</f>
        <v>14049</v>
      </c>
      <c r="J258" s="90">
        <f>'[1]New Population Data Checks'!AE17</f>
        <v>1509528</v>
      </c>
      <c r="K258" s="90">
        <f>'[1]New Population Data Checks'!AF17</f>
        <v>263061.7794117647</v>
      </c>
      <c r="L258" s="90">
        <f>'[1]New Population Data Checks'!AG17</f>
        <v>177672</v>
      </c>
      <c r="M258" s="90" t="e">
        <f>'[1]New Population Data Checks'!AH17</f>
        <v>#N/A</v>
      </c>
      <c r="N258" s="97"/>
    </row>
    <row r="259" spans="8:14" ht="19" x14ac:dyDescent="0.25">
      <c r="H259" s="62" t="s">
        <v>596</v>
      </c>
      <c r="I259" s="90">
        <f>'[1]New Population Data Checks'!AD18</f>
        <v>4086</v>
      </c>
      <c r="J259" s="90">
        <f>'[1]New Population Data Checks'!AE18</f>
        <v>692111</v>
      </c>
      <c r="K259" s="90">
        <f>'[1]New Population Data Checks'!AF18</f>
        <v>111899.09803921569</v>
      </c>
      <c r="L259" s="90">
        <f>'[1]New Population Data Checks'!AG18</f>
        <v>75136.5</v>
      </c>
      <c r="M259" s="90" t="e">
        <f>'[1]New Population Data Checks'!AH18</f>
        <v>#N/A</v>
      </c>
      <c r="N259" s="97"/>
    </row>
    <row r="260" spans="8:14" ht="19" x14ac:dyDescent="0.25">
      <c r="H260" s="155" t="s">
        <v>597</v>
      </c>
      <c r="I260" s="156"/>
      <c r="J260" s="156"/>
      <c r="K260" s="156"/>
      <c r="L260" s="156"/>
      <c r="M260" s="156"/>
      <c r="N260" s="48"/>
    </row>
    <row r="261" spans="8:14" ht="19" x14ac:dyDescent="0.25">
      <c r="H261" s="157"/>
      <c r="I261" s="158"/>
      <c r="J261" s="158"/>
      <c r="K261" s="158"/>
      <c r="L261" s="158"/>
      <c r="M261" s="158"/>
      <c r="N261" s="120"/>
    </row>
    <row r="262" spans="8:14" ht="21" x14ac:dyDescent="0.25">
      <c r="H262" s="173" t="s">
        <v>423</v>
      </c>
      <c r="I262" s="174"/>
      <c r="J262" s="174"/>
      <c r="K262" s="174"/>
      <c r="L262" s="174"/>
      <c r="M262" s="174"/>
      <c r="N262" s="175"/>
    </row>
    <row r="263" spans="8:14" ht="19" x14ac:dyDescent="0.25">
      <c r="H263" s="176" t="s">
        <v>598</v>
      </c>
      <c r="I263" s="177"/>
      <c r="J263" s="177"/>
      <c r="K263" s="177"/>
      <c r="L263" s="177"/>
      <c r="M263" s="58"/>
      <c r="N263" s="56"/>
    </row>
    <row r="264" spans="8:14" ht="19" x14ac:dyDescent="0.25">
      <c r="H264" s="171" t="s">
        <v>204</v>
      </c>
      <c r="I264" s="172"/>
      <c r="J264" s="172"/>
      <c r="K264" s="172"/>
      <c r="L264" s="172"/>
      <c r="M264" s="172"/>
      <c r="N264" s="141"/>
    </row>
    <row r="265" spans="8:14" ht="19" x14ac:dyDescent="0.25">
      <c r="H265" s="165" t="s">
        <v>599</v>
      </c>
      <c r="I265" s="166"/>
      <c r="J265" s="115" t="s">
        <v>217</v>
      </c>
      <c r="K265" s="60">
        <v>51</v>
      </c>
      <c r="L265" s="178" t="s">
        <v>433</v>
      </c>
      <c r="M265" s="178"/>
      <c r="N265" s="140"/>
    </row>
    <row r="266" spans="8:14" ht="19" x14ac:dyDescent="0.25">
      <c r="H266" s="171" t="s">
        <v>235</v>
      </c>
      <c r="I266" s="172"/>
      <c r="J266" s="172"/>
      <c r="K266" s="172"/>
      <c r="L266" s="172"/>
      <c r="M266" s="172"/>
      <c r="N266" s="141"/>
    </row>
    <row r="267" spans="8:14" ht="19" x14ac:dyDescent="0.25">
      <c r="H267" s="165" t="s">
        <v>600</v>
      </c>
      <c r="I267" s="166"/>
      <c r="J267" s="115" t="s">
        <v>217</v>
      </c>
      <c r="K267" s="60">
        <v>8</v>
      </c>
      <c r="L267" s="115" t="s">
        <v>246</v>
      </c>
      <c r="M267" s="69">
        <f>M243</f>
        <v>2010</v>
      </c>
      <c r="N267" s="126"/>
    </row>
    <row r="268" spans="8:14" ht="19" x14ac:dyDescent="0.25">
      <c r="H268" s="155" t="s">
        <v>601</v>
      </c>
      <c r="I268" s="156"/>
      <c r="J268" s="115" t="s">
        <v>217</v>
      </c>
      <c r="K268" s="60">
        <v>408</v>
      </c>
      <c r="L268" s="166" t="s">
        <v>433</v>
      </c>
      <c r="M268" s="166"/>
      <c r="N268" s="126"/>
    </row>
    <row r="269" spans="8:14" ht="19" x14ac:dyDescent="0.25">
      <c r="H269" s="165" t="s">
        <v>602</v>
      </c>
      <c r="I269" s="166"/>
      <c r="J269" s="115" t="s">
        <v>217</v>
      </c>
      <c r="K269" s="60">
        <v>407</v>
      </c>
      <c r="L269" s="115" t="s">
        <v>246</v>
      </c>
      <c r="M269" s="69">
        <f>M245</f>
        <v>1439862</v>
      </c>
      <c r="N269" s="126"/>
    </row>
    <row r="270" spans="8:14" ht="19" x14ac:dyDescent="0.25">
      <c r="H270" s="62" t="s">
        <v>603</v>
      </c>
      <c r="I270" s="114"/>
      <c r="J270" s="115" t="s">
        <v>217</v>
      </c>
      <c r="K270" s="60">
        <v>408</v>
      </c>
      <c r="L270" s="166" t="s">
        <v>433</v>
      </c>
      <c r="M270" s="166"/>
      <c r="N270" s="126"/>
    </row>
    <row r="271" spans="8:14" ht="19" x14ac:dyDescent="0.25">
      <c r="H271" s="62" t="s">
        <v>604</v>
      </c>
      <c r="I271" s="114"/>
      <c r="J271" s="115" t="s">
        <v>217</v>
      </c>
      <c r="K271" s="60">
        <v>408</v>
      </c>
      <c r="L271" s="166" t="s">
        <v>433</v>
      </c>
      <c r="M271" s="166"/>
      <c r="N271" s="126"/>
    </row>
    <row r="272" spans="8:14" ht="19" x14ac:dyDescent="0.25">
      <c r="H272" s="62" t="s">
        <v>605</v>
      </c>
      <c r="I272" s="114"/>
      <c r="J272" s="115" t="s">
        <v>217</v>
      </c>
      <c r="K272" s="60">
        <v>408</v>
      </c>
      <c r="L272" s="166" t="s">
        <v>433</v>
      </c>
      <c r="M272" s="166"/>
      <c r="N272" s="126"/>
    </row>
    <row r="273" spans="8:14" ht="19" x14ac:dyDescent="0.25">
      <c r="H273" s="62" t="s">
        <v>606</v>
      </c>
      <c r="I273" s="114"/>
      <c r="J273" s="115" t="s">
        <v>217</v>
      </c>
      <c r="K273" s="60">
        <v>408</v>
      </c>
      <c r="L273" s="166" t="s">
        <v>433</v>
      </c>
      <c r="M273" s="166"/>
      <c r="N273" s="126"/>
    </row>
    <row r="274" spans="8:14" ht="19" x14ac:dyDescent="0.25">
      <c r="H274" s="62" t="s">
        <v>607</v>
      </c>
      <c r="I274" s="114"/>
      <c r="J274" s="115" t="s">
        <v>217</v>
      </c>
      <c r="K274" s="60">
        <v>408</v>
      </c>
      <c r="L274" s="166" t="s">
        <v>433</v>
      </c>
      <c r="M274" s="166"/>
      <c r="N274" s="126"/>
    </row>
    <row r="275" spans="8:14" ht="19" x14ac:dyDescent="0.25">
      <c r="H275" s="62" t="s">
        <v>608</v>
      </c>
      <c r="I275" s="114"/>
      <c r="J275" s="115" t="s">
        <v>217</v>
      </c>
      <c r="K275" s="60">
        <v>407</v>
      </c>
      <c r="L275" s="115" t="s">
        <v>246</v>
      </c>
      <c r="M275" s="69">
        <f>M251</f>
        <v>215347</v>
      </c>
      <c r="N275" s="126"/>
    </row>
    <row r="276" spans="8:14" ht="19" x14ac:dyDescent="0.25">
      <c r="H276" s="62" t="s">
        <v>609</v>
      </c>
      <c r="I276" s="114"/>
      <c r="J276" s="115" t="s">
        <v>217</v>
      </c>
      <c r="K276" s="60">
        <v>408</v>
      </c>
      <c r="L276" s="166" t="s">
        <v>433</v>
      </c>
      <c r="M276" s="166"/>
      <c r="N276" s="126"/>
    </row>
    <row r="277" spans="8:14" ht="19" x14ac:dyDescent="0.25">
      <c r="H277" s="62" t="s">
        <v>610</v>
      </c>
      <c r="I277" s="114"/>
      <c r="J277" s="115" t="s">
        <v>217</v>
      </c>
      <c r="K277" s="60">
        <v>408</v>
      </c>
      <c r="L277" s="166" t="s">
        <v>433</v>
      </c>
      <c r="M277" s="166"/>
      <c r="N277" s="126"/>
    </row>
    <row r="278" spans="8:14" ht="19" x14ac:dyDescent="0.25">
      <c r="H278" s="62" t="s">
        <v>611</v>
      </c>
      <c r="I278" s="114"/>
      <c r="J278" s="115" t="s">
        <v>217</v>
      </c>
      <c r="K278" s="60">
        <v>408</v>
      </c>
      <c r="L278" s="166" t="s">
        <v>433</v>
      </c>
      <c r="M278" s="166"/>
      <c r="N278" s="126"/>
    </row>
    <row r="279" spans="8:14" ht="19" x14ac:dyDescent="0.25">
      <c r="H279" s="62" t="s">
        <v>612</v>
      </c>
      <c r="I279" s="114"/>
      <c r="J279" s="115" t="s">
        <v>217</v>
      </c>
      <c r="K279" s="60">
        <v>408</v>
      </c>
      <c r="L279" s="166" t="s">
        <v>433</v>
      </c>
      <c r="M279" s="166"/>
      <c r="N279" s="126"/>
    </row>
    <row r="280" spans="8:14" ht="19" x14ac:dyDescent="0.25">
      <c r="H280" s="62" t="s">
        <v>613</v>
      </c>
      <c r="I280" s="114"/>
      <c r="J280" s="115" t="s">
        <v>217</v>
      </c>
      <c r="K280" s="60">
        <v>408</v>
      </c>
      <c r="L280" s="166" t="s">
        <v>433</v>
      </c>
      <c r="M280" s="166"/>
      <c r="N280" s="126"/>
    </row>
    <row r="281" spans="8:14" ht="19" x14ac:dyDescent="0.25">
      <c r="H281" s="62" t="s">
        <v>614</v>
      </c>
      <c r="I281" s="114"/>
      <c r="J281" s="115" t="s">
        <v>217</v>
      </c>
      <c r="K281" s="60">
        <v>408</v>
      </c>
      <c r="L281" s="166" t="s">
        <v>433</v>
      </c>
      <c r="M281" s="166"/>
      <c r="N281" s="126"/>
    </row>
    <row r="282" spans="8:14" ht="19" x14ac:dyDescent="0.25">
      <c r="H282" s="62" t="s">
        <v>615</v>
      </c>
      <c r="I282" s="114"/>
      <c r="J282" s="115" t="s">
        <v>217</v>
      </c>
      <c r="K282" s="60">
        <v>408</v>
      </c>
      <c r="L282" s="166" t="s">
        <v>433</v>
      </c>
      <c r="M282" s="166"/>
      <c r="N282" s="126"/>
    </row>
    <row r="283" spans="8:14" ht="19" x14ac:dyDescent="0.25">
      <c r="H283" s="62" t="s">
        <v>616</v>
      </c>
      <c r="I283" s="114"/>
      <c r="J283" s="115" t="s">
        <v>217</v>
      </c>
      <c r="K283" s="60">
        <v>408</v>
      </c>
      <c r="L283" s="166" t="s">
        <v>433</v>
      </c>
      <c r="M283" s="166"/>
      <c r="N283" s="126"/>
    </row>
    <row r="284" spans="8:14" ht="21" x14ac:dyDescent="0.25">
      <c r="H284" s="162" t="s">
        <v>265</v>
      </c>
      <c r="I284" s="163"/>
      <c r="J284" s="163"/>
      <c r="K284" s="163"/>
      <c r="L284" s="163"/>
      <c r="M284" s="163"/>
      <c r="N284" s="164"/>
    </row>
    <row r="285" spans="8:14" ht="19" x14ac:dyDescent="0.25">
      <c r="H285" s="165" t="s">
        <v>516</v>
      </c>
      <c r="I285" s="166"/>
      <c r="J285" s="166"/>
      <c r="K285" s="166"/>
      <c r="L285" s="166"/>
      <c r="M285" s="166"/>
      <c r="N285" s="59"/>
    </row>
    <row r="286" spans="8:14" ht="21" x14ac:dyDescent="0.25">
      <c r="H286" s="162" t="s">
        <v>283</v>
      </c>
      <c r="I286" s="163"/>
      <c r="J286" s="163"/>
      <c r="K286" s="163"/>
      <c r="L286" s="163"/>
      <c r="M286" s="163"/>
      <c r="N286" s="164"/>
    </row>
    <row r="287" spans="8:14" ht="19" x14ac:dyDescent="0.25">
      <c r="H287" s="81" t="s">
        <v>289</v>
      </c>
      <c r="I287" s="167" t="s">
        <v>617</v>
      </c>
      <c r="J287" s="167"/>
      <c r="K287" s="167"/>
      <c r="L287" s="168"/>
      <c r="M287" s="82" t="s">
        <v>291</v>
      </c>
      <c r="N287" s="56"/>
    </row>
    <row r="288" spans="8:14" ht="19" x14ac:dyDescent="0.25">
      <c r="H288" s="169" t="s">
        <v>618</v>
      </c>
      <c r="I288" s="170"/>
      <c r="J288" s="170"/>
      <c r="K288" s="170"/>
      <c r="L288" s="170"/>
      <c r="M288" s="170"/>
      <c r="N288" s="59"/>
    </row>
    <row r="289" spans="8:14" ht="19" x14ac:dyDescent="0.25">
      <c r="H289" s="169"/>
      <c r="I289" s="170"/>
      <c r="J289" s="170"/>
      <c r="K289" s="170"/>
      <c r="L289" s="170"/>
      <c r="M289" s="170"/>
      <c r="N289" s="48"/>
    </row>
    <row r="290" spans="8:14" ht="21" x14ac:dyDescent="0.25">
      <c r="H290" s="162" t="s">
        <v>561</v>
      </c>
      <c r="I290" s="163"/>
      <c r="J290" s="163"/>
      <c r="K290" s="163"/>
      <c r="L290" s="163"/>
      <c r="M290" s="163"/>
      <c r="N290" s="164"/>
    </row>
    <row r="291" spans="8:14" ht="19" x14ac:dyDescent="0.25">
      <c r="H291" s="153" t="s">
        <v>308</v>
      </c>
      <c r="I291" s="154"/>
      <c r="J291" s="154"/>
      <c r="K291" s="154"/>
      <c r="L291" s="154"/>
      <c r="M291" s="154"/>
      <c r="N291" s="56"/>
    </row>
    <row r="292" spans="8:14" ht="19" x14ac:dyDescent="0.25">
      <c r="H292" s="155"/>
      <c r="I292" s="156"/>
      <c r="J292" s="156"/>
      <c r="K292" s="156"/>
      <c r="L292" s="156"/>
      <c r="M292" s="156"/>
      <c r="N292" s="59"/>
    </row>
    <row r="293" spans="8:14" ht="19" x14ac:dyDescent="0.25">
      <c r="H293" s="155" t="s">
        <v>319</v>
      </c>
      <c r="I293" s="156"/>
      <c r="J293" s="156"/>
      <c r="K293" s="156"/>
      <c r="L293" s="156"/>
      <c r="M293" s="156"/>
      <c r="N293" s="59"/>
    </row>
    <row r="294" spans="8:14" ht="19" x14ac:dyDescent="0.25">
      <c r="H294" s="155"/>
      <c r="I294" s="156"/>
      <c r="J294" s="156"/>
      <c r="K294" s="156"/>
      <c r="L294" s="156"/>
      <c r="M294" s="156"/>
      <c r="N294" s="59"/>
    </row>
    <row r="295" spans="8:14" ht="19" x14ac:dyDescent="0.25">
      <c r="H295" s="155" t="s">
        <v>619</v>
      </c>
      <c r="I295" s="156"/>
      <c r="J295" s="156"/>
      <c r="K295" s="156"/>
      <c r="L295" s="156"/>
      <c r="M295" s="156"/>
      <c r="N295" s="59"/>
    </row>
    <row r="296" spans="8:14" ht="19" x14ac:dyDescent="0.25">
      <c r="H296" s="157" t="s">
        <v>334</v>
      </c>
      <c r="I296" s="158"/>
      <c r="J296" s="158"/>
      <c r="K296" s="158"/>
      <c r="L296" s="158"/>
      <c r="M296" s="158"/>
      <c r="N296" s="120"/>
    </row>
  </sheetData>
  <mergeCells count="508">
    <mergeCell ref="AE5:AI5"/>
    <mergeCell ref="AL5:AP5"/>
    <mergeCell ref="A4:G4"/>
    <mergeCell ref="H4:N4"/>
    <mergeCell ref="O4:U4"/>
    <mergeCell ref="V4:AB4"/>
    <mergeCell ref="AC4:AI4"/>
    <mergeCell ref="AJ4:AP4"/>
    <mergeCell ref="A3:G3"/>
    <mergeCell ref="H3:N3"/>
    <mergeCell ref="O3:U3"/>
    <mergeCell ref="V3:AB3"/>
    <mergeCell ref="AC3:AI3"/>
    <mergeCell ref="AJ3:AP3"/>
    <mergeCell ref="A15:G15"/>
    <mergeCell ref="V15:AB15"/>
    <mergeCell ref="A16:G16"/>
    <mergeCell ref="V16:AB16"/>
    <mergeCell ref="A17:G17"/>
    <mergeCell ref="V17:AB17"/>
    <mergeCell ref="C5:G5"/>
    <mergeCell ref="J5:N5"/>
    <mergeCell ref="Q5:U5"/>
    <mergeCell ref="X5:AB5"/>
    <mergeCell ref="A20:G20"/>
    <mergeCell ref="V20:AA20"/>
    <mergeCell ref="AC20:AI20"/>
    <mergeCell ref="AJ20:AP20"/>
    <mergeCell ref="A21:G21"/>
    <mergeCell ref="V21:AB21"/>
    <mergeCell ref="AC21:AI21"/>
    <mergeCell ref="AJ21:AP21"/>
    <mergeCell ref="AJ17:AP17"/>
    <mergeCell ref="A18:G18"/>
    <mergeCell ref="V18:AB18"/>
    <mergeCell ref="AC18:AI18"/>
    <mergeCell ref="AJ18:AP18"/>
    <mergeCell ref="A19:G19"/>
    <mergeCell ref="V19:AB19"/>
    <mergeCell ref="AC19:AI19"/>
    <mergeCell ref="AJ19:AP19"/>
    <mergeCell ref="A22:G22"/>
    <mergeCell ref="O22:U22"/>
    <mergeCell ref="V22:AB22"/>
    <mergeCell ref="AC22:AI22"/>
    <mergeCell ref="AJ22:AP22"/>
    <mergeCell ref="A23:G23"/>
    <mergeCell ref="O23:U23"/>
    <mergeCell ref="V23:AB23"/>
    <mergeCell ref="AC23:AH23"/>
    <mergeCell ref="AJ23:AP23"/>
    <mergeCell ref="A26:G26"/>
    <mergeCell ref="O26:U26"/>
    <mergeCell ref="V26:AA26"/>
    <mergeCell ref="AC26:AI26"/>
    <mergeCell ref="AJ26:AO27"/>
    <mergeCell ref="A27:G27"/>
    <mergeCell ref="O27:T27"/>
    <mergeCell ref="AC27:AI27"/>
    <mergeCell ref="A24:G24"/>
    <mergeCell ref="O24:U24"/>
    <mergeCell ref="V24:AB24"/>
    <mergeCell ref="AC24:AI24"/>
    <mergeCell ref="AJ24:AP24"/>
    <mergeCell ref="A25:G25"/>
    <mergeCell ref="O25:U25"/>
    <mergeCell ref="V25:AB25"/>
    <mergeCell ref="AC25:AI25"/>
    <mergeCell ref="AJ25:AP25"/>
    <mergeCell ref="A28:G28"/>
    <mergeCell ref="O28:U28"/>
    <mergeCell ref="V28:AA28"/>
    <mergeCell ref="AC28:AI28"/>
    <mergeCell ref="AJ28:AO28"/>
    <mergeCell ref="A29:G29"/>
    <mergeCell ref="O29:U29"/>
    <mergeCell ref="V29:AA29"/>
    <mergeCell ref="AC29:AI29"/>
    <mergeCell ref="AJ29:AO29"/>
    <mergeCell ref="A30:G30"/>
    <mergeCell ref="O30:U30"/>
    <mergeCell ref="AC30:AI30"/>
    <mergeCell ref="AJ30:AO30"/>
    <mergeCell ref="A31:G31"/>
    <mergeCell ref="H31:N31"/>
    <mergeCell ref="O31:U31"/>
    <mergeCell ref="AC31:AI31"/>
    <mergeCell ref="AJ31:AO31"/>
    <mergeCell ref="A34:G34"/>
    <mergeCell ref="H34:M34"/>
    <mergeCell ref="O34:U34"/>
    <mergeCell ref="V34:AA34"/>
    <mergeCell ref="AC34:AI34"/>
    <mergeCell ref="AJ34:AO34"/>
    <mergeCell ref="A32:G32"/>
    <mergeCell ref="H32:N32"/>
    <mergeCell ref="O32:U32"/>
    <mergeCell ref="AC32:AI32"/>
    <mergeCell ref="AJ32:AO32"/>
    <mergeCell ref="A33:G33"/>
    <mergeCell ref="H33:N33"/>
    <mergeCell ref="O33:U33"/>
    <mergeCell ref="AC33:AI33"/>
    <mergeCell ref="AJ33:AO33"/>
    <mergeCell ref="A35:G35"/>
    <mergeCell ref="H35:M35"/>
    <mergeCell ref="O35:U35"/>
    <mergeCell ref="AC35:AI35"/>
    <mergeCell ref="AJ35:AP35"/>
    <mergeCell ref="A36:G36"/>
    <mergeCell ref="H36:N36"/>
    <mergeCell ref="O36:T37"/>
    <mergeCell ref="V36:Z36"/>
    <mergeCell ref="AC36:AI36"/>
    <mergeCell ref="AJ36:AO36"/>
    <mergeCell ref="A37:G37"/>
    <mergeCell ref="H37:M37"/>
    <mergeCell ref="AC37:AI37"/>
    <mergeCell ref="AJ37:AO37"/>
    <mergeCell ref="A38:G38"/>
    <mergeCell ref="H38:M38"/>
    <mergeCell ref="O38:T39"/>
    <mergeCell ref="V38:W38"/>
    <mergeCell ref="AC38:AI38"/>
    <mergeCell ref="A41:G41"/>
    <mergeCell ref="H41:M42"/>
    <mergeCell ref="O41:T42"/>
    <mergeCell ref="V41:W41"/>
    <mergeCell ref="AC41:AI41"/>
    <mergeCell ref="A42:G42"/>
    <mergeCell ref="V42:W42"/>
    <mergeCell ref="AC42:AI42"/>
    <mergeCell ref="AJ38:AP38"/>
    <mergeCell ref="A39:G39"/>
    <mergeCell ref="V39:W39"/>
    <mergeCell ref="AC39:AI39"/>
    <mergeCell ref="AJ39:AO39"/>
    <mergeCell ref="A40:G40"/>
    <mergeCell ref="H40:M40"/>
    <mergeCell ref="O40:U40"/>
    <mergeCell ref="V40:W40"/>
    <mergeCell ref="AC40:AI40"/>
    <mergeCell ref="A43:G43"/>
    <mergeCell ref="H43:M44"/>
    <mergeCell ref="O43:T43"/>
    <mergeCell ref="AC43:AH43"/>
    <mergeCell ref="A44:G44"/>
    <mergeCell ref="O44:T45"/>
    <mergeCell ref="AC44:AH44"/>
    <mergeCell ref="A45:G45"/>
    <mergeCell ref="H45:M45"/>
    <mergeCell ref="A46:G46"/>
    <mergeCell ref="H46:M47"/>
    <mergeCell ref="O46:T46"/>
    <mergeCell ref="V46:AB46"/>
    <mergeCell ref="AC46:AH48"/>
    <mergeCell ref="AJ46:AO46"/>
    <mergeCell ref="A47:G47"/>
    <mergeCell ref="O47:T49"/>
    <mergeCell ref="V47:AA47"/>
    <mergeCell ref="A48:G48"/>
    <mergeCell ref="A51:G51"/>
    <mergeCell ref="H51:N51"/>
    <mergeCell ref="O51:T51"/>
    <mergeCell ref="V51:AA51"/>
    <mergeCell ref="AC51:AI51"/>
    <mergeCell ref="AJ51:AK51"/>
    <mergeCell ref="H48:M48"/>
    <mergeCell ref="AJ48:AN48"/>
    <mergeCell ref="A49:G49"/>
    <mergeCell ref="H49:M50"/>
    <mergeCell ref="V49:AA49"/>
    <mergeCell ref="AC49:AI49"/>
    <mergeCell ref="A50:G50"/>
    <mergeCell ref="V50:AB50"/>
    <mergeCell ref="AC50:AI50"/>
    <mergeCell ref="AJ50:AK50"/>
    <mergeCell ref="AJ53:AK53"/>
    <mergeCell ref="A54:G54"/>
    <mergeCell ref="H54:M54"/>
    <mergeCell ref="O54:T54"/>
    <mergeCell ref="W54:Z54"/>
    <mergeCell ref="AC54:AI54"/>
    <mergeCell ref="A52:G52"/>
    <mergeCell ref="H52:M52"/>
    <mergeCell ref="O52:T52"/>
    <mergeCell ref="V52:AA52"/>
    <mergeCell ref="AC52:AI52"/>
    <mergeCell ref="A53:G53"/>
    <mergeCell ref="H53:M53"/>
    <mergeCell ref="O53:T53"/>
    <mergeCell ref="V53:AB53"/>
    <mergeCell ref="AC53:AI53"/>
    <mergeCell ref="A55:G55"/>
    <mergeCell ref="H55:M55"/>
    <mergeCell ref="O55:T55"/>
    <mergeCell ref="V55:AA55"/>
    <mergeCell ref="AC55:AI55"/>
    <mergeCell ref="A56:G56"/>
    <mergeCell ref="H56:M56"/>
    <mergeCell ref="O56:T56"/>
    <mergeCell ref="V56:AB56"/>
    <mergeCell ref="AC56:AI56"/>
    <mergeCell ref="A57:G57"/>
    <mergeCell ref="H57:M57"/>
    <mergeCell ref="O57:T57"/>
    <mergeCell ref="V57:AA58"/>
    <mergeCell ref="AC57:AI57"/>
    <mergeCell ref="AJ57:AK57"/>
    <mergeCell ref="A58:G58"/>
    <mergeCell ref="H58:M58"/>
    <mergeCell ref="O58:T58"/>
    <mergeCell ref="AC58:AI58"/>
    <mergeCell ref="A59:G59"/>
    <mergeCell ref="H59:M59"/>
    <mergeCell ref="O59:T59"/>
    <mergeCell ref="V59:AA60"/>
    <mergeCell ref="AC59:AI59"/>
    <mergeCell ref="AJ59:AK59"/>
    <mergeCell ref="A60:G60"/>
    <mergeCell ref="H60:M60"/>
    <mergeCell ref="O60:T60"/>
    <mergeCell ref="AC60:AI60"/>
    <mergeCell ref="A61:G61"/>
    <mergeCell ref="H61:N61"/>
    <mergeCell ref="O61:T61"/>
    <mergeCell ref="V61:AA61"/>
    <mergeCell ref="AC61:AI61"/>
    <mergeCell ref="A62:G62"/>
    <mergeCell ref="O62:T62"/>
    <mergeCell ref="V62:AA62"/>
    <mergeCell ref="AC62:AH62"/>
    <mergeCell ref="A65:G65"/>
    <mergeCell ref="AC65:AH65"/>
    <mergeCell ref="AJ65:AO66"/>
    <mergeCell ref="A66:G66"/>
    <mergeCell ref="AC66:AH66"/>
    <mergeCell ref="A67:G67"/>
    <mergeCell ref="V67:AA67"/>
    <mergeCell ref="AJ67:AP67"/>
    <mergeCell ref="AJ62:AO62"/>
    <mergeCell ref="A63:G63"/>
    <mergeCell ref="AC63:AH63"/>
    <mergeCell ref="AJ63:AP63"/>
    <mergeCell ref="A64:G64"/>
    <mergeCell ref="AC64:AH64"/>
    <mergeCell ref="AJ64:AO64"/>
    <mergeCell ref="A71:G71"/>
    <mergeCell ref="O71:T71"/>
    <mergeCell ref="V71:W71"/>
    <mergeCell ref="AJ71:AO72"/>
    <mergeCell ref="A72:G72"/>
    <mergeCell ref="O72:T72"/>
    <mergeCell ref="V72:W72"/>
    <mergeCell ref="AC72:AH72"/>
    <mergeCell ref="A68:G68"/>
    <mergeCell ref="AK68:AN68"/>
    <mergeCell ref="A69:G69"/>
    <mergeCell ref="V69:Z69"/>
    <mergeCell ref="AJ69:AO69"/>
    <mergeCell ref="A70:G70"/>
    <mergeCell ref="AJ70:AP70"/>
    <mergeCell ref="A75:G75"/>
    <mergeCell ref="AJ75:AO75"/>
    <mergeCell ref="A76:G76"/>
    <mergeCell ref="O76:P76"/>
    <mergeCell ref="AC76:AD76"/>
    <mergeCell ref="A77:G77"/>
    <mergeCell ref="O77:P77"/>
    <mergeCell ref="AC77:AD77"/>
    <mergeCell ref="A73:G73"/>
    <mergeCell ref="V73:W73"/>
    <mergeCell ref="AJ73:AO73"/>
    <mergeCell ref="A74:G74"/>
    <mergeCell ref="O74:S74"/>
    <mergeCell ref="V74:W74"/>
    <mergeCell ref="AC74:AG74"/>
    <mergeCell ref="AJ74:AO74"/>
    <mergeCell ref="AJ82:AO82"/>
    <mergeCell ref="AJ83:AP83"/>
    <mergeCell ref="AJ84:AN84"/>
    <mergeCell ref="H85:M86"/>
    <mergeCell ref="AJ86:AK86"/>
    <mergeCell ref="A87:G87"/>
    <mergeCell ref="H87:N87"/>
    <mergeCell ref="AJ87:AK87"/>
    <mergeCell ref="A78:G78"/>
    <mergeCell ref="A79:G79"/>
    <mergeCell ref="O79:P79"/>
    <mergeCell ref="A80:G80"/>
    <mergeCell ref="O80:P80"/>
    <mergeCell ref="A81:G81"/>
    <mergeCell ref="O81:P81"/>
    <mergeCell ref="H88:L88"/>
    <mergeCell ref="A89:G89"/>
    <mergeCell ref="H89:M89"/>
    <mergeCell ref="AC89:AH89"/>
    <mergeCell ref="AJ89:AK89"/>
    <mergeCell ref="A90:B90"/>
    <mergeCell ref="C90:D90"/>
    <mergeCell ref="E90:G90"/>
    <mergeCell ref="H90:I90"/>
    <mergeCell ref="L90:M90"/>
    <mergeCell ref="AC93:AI94"/>
    <mergeCell ref="A94:B94"/>
    <mergeCell ref="C94:D94"/>
    <mergeCell ref="E94:G94"/>
    <mergeCell ref="H94:I94"/>
    <mergeCell ref="O94:T94"/>
    <mergeCell ref="AJ91:AK91"/>
    <mergeCell ref="A92:B92"/>
    <mergeCell ref="C92:D92"/>
    <mergeCell ref="E92:G92"/>
    <mergeCell ref="H92:M92"/>
    <mergeCell ref="A93:B93"/>
    <mergeCell ref="C93:D93"/>
    <mergeCell ref="E93:G93"/>
    <mergeCell ref="H93:I93"/>
    <mergeCell ref="O93:T93"/>
    <mergeCell ref="A91:B91"/>
    <mergeCell ref="C91:D91"/>
    <mergeCell ref="E91:G91"/>
    <mergeCell ref="H91:I91"/>
    <mergeCell ref="L91:M91"/>
    <mergeCell ref="AC91:AH92"/>
    <mergeCell ref="C97:D97"/>
    <mergeCell ref="E97:G97"/>
    <mergeCell ref="AC97:AH97"/>
    <mergeCell ref="A98:B98"/>
    <mergeCell ref="C98:D98"/>
    <mergeCell ref="E98:G98"/>
    <mergeCell ref="O98:S98"/>
    <mergeCell ref="AC98:AH98"/>
    <mergeCell ref="A95:G95"/>
    <mergeCell ref="H95:I95"/>
    <mergeCell ref="O95:U95"/>
    <mergeCell ref="AC95:AI95"/>
    <mergeCell ref="A96:B96"/>
    <mergeCell ref="C96:D96"/>
    <mergeCell ref="E96:G96"/>
    <mergeCell ref="O96:S97"/>
    <mergeCell ref="AC96:AH96"/>
    <mergeCell ref="A97:B97"/>
    <mergeCell ref="A99:G99"/>
    <mergeCell ref="O99:T100"/>
    <mergeCell ref="AC99:AH101"/>
    <mergeCell ref="A100:E101"/>
    <mergeCell ref="O101:S103"/>
    <mergeCell ref="A102:E103"/>
    <mergeCell ref="AC102:AH104"/>
    <mergeCell ref="A104:F106"/>
    <mergeCell ref="O104:T105"/>
    <mergeCell ref="AC105:AI105"/>
    <mergeCell ref="O114:U114"/>
    <mergeCell ref="H115:M116"/>
    <mergeCell ref="O106:S106"/>
    <mergeCell ref="AD106:AG106"/>
    <mergeCell ref="A107:F107"/>
    <mergeCell ref="O107:S108"/>
    <mergeCell ref="AC107:AH107"/>
    <mergeCell ref="A108:E110"/>
    <mergeCell ref="AC108:AI108"/>
    <mergeCell ref="O109:T110"/>
    <mergeCell ref="AC109:AH110"/>
    <mergeCell ref="AC119:AH119"/>
    <mergeCell ref="A120:G120"/>
    <mergeCell ref="H120:M120"/>
    <mergeCell ref="AC120:AI120"/>
    <mergeCell ref="A121:F122"/>
    <mergeCell ref="H121:L122"/>
    <mergeCell ref="AC121:AG121"/>
    <mergeCell ref="O115:T116"/>
    <mergeCell ref="A116:G116"/>
    <mergeCell ref="B117:E117"/>
    <mergeCell ref="H117:M118"/>
    <mergeCell ref="O117:T117"/>
    <mergeCell ref="A118:F119"/>
    <mergeCell ref="O118:T118"/>
    <mergeCell ref="H119:N119"/>
    <mergeCell ref="O119:T119"/>
    <mergeCell ref="A111:F115"/>
    <mergeCell ref="O111:U111"/>
    <mergeCell ref="AC111:AH111"/>
    <mergeCell ref="P112:S112"/>
    <mergeCell ref="AC112:AH112"/>
    <mergeCell ref="O113:T113"/>
    <mergeCell ref="AC113:AH113"/>
    <mergeCell ref="H114:N114"/>
    <mergeCell ref="A126:F126"/>
    <mergeCell ref="H126:M127"/>
    <mergeCell ref="AC126:AD126"/>
    <mergeCell ref="A127:G127"/>
    <mergeCell ref="AC127:AD127"/>
    <mergeCell ref="H128:L131"/>
    <mergeCell ref="O131:P131"/>
    <mergeCell ref="Q131:R131"/>
    <mergeCell ref="A123:F124"/>
    <mergeCell ref="H123:M123"/>
    <mergeCell ref="AC123:AD123"/>
    <mergeCell ref="H124:L125"/>
    <mergeCell ref="AC124:AD124"/>
    <mergeCell ref="A125:F125"/>
    <mergeCell ref="AC125:AD125"/>
    <mergeCell ref="H132:M133"/>
    <mergeCell ref="A133:G133"/>
    <mergeCell ref="O133:P133"/>
    <mergeCell ref="Q133:R133"/>
    <mergeCell ref="H134:M135"/>
    <mergeCell ref="O134:P134"/>
    <mergeCell ref="Q134:R134"/>
    <mergeCell ref="A135:G135"/>
    <mergeCell ref="O135:P135"/>
    <mergeCell ref="Q135:R135"/>
    <mergeCell ref="A136:B136"/>
    <mergeCell ref="C136:D136"/>
    <mergeCell ref="E136:G136"/>
    <mergeCell ref="H136:M137"/>
    <mergeCell ref="O136:P136"/>
    <mergeCell ref="Q136:R136"/>
    <mergeCell ref="A137:B137"/>
    <mergeCell ref="C137:D137"/>
    <mergeCell ref="E137:G137"/>
    <mergeCell ref="O137:P137"/>
    <mergeCell ref="A139:G139"/>
    <mergeCell ref="I139:L139"/>
    <mergeCell ref="A140:B140"/>
    <mergeCell ref="C140:D140"/>
    <mergeCell ref="H140:M141"/>
    <mergeCell ref="A141:B141"/>
    <mergeCell ref="C141:D141"/>
    <mergeCell ref="Q137:R137"/>
    <mergeCell ref="A138:B138"/>
    <mergeCell ref="C138:D138"/>
    <mergeCell ref="E138:G138"/>
    <mergeCell ref="H138:N138"/>
    <mergeCell ref="O138:Q138"/>
    <mergeCell ref="H145:M146"/>
    <mergeCell ref="H147:M147"/>
    <mergeCell ref="H148:M148"/>
    <mergeCell ref="H149:N149"/>
    <mergeCell ref="H173:M174"/>
    <mergeCell ref="H175:N175"/>
    <mergeCell ref="A142:B142"/>
    <mergeCell ref="C142:D142"/>
    <mergeCell ref="H142:N142"/>
    <mergeCell ref="A143:G143"/>
    <mergeCell ref="H143:M144"/>
    <mergeCell ref="A144:G144"/>
    <mergeCell ref="H180:M180"/>
    <mergeCell ref="H181:I181"/>
    <mergeCell ref="H182:I182"/>
    <mergeCell ref="H183:I183"/>
    <mergeCell ref="H204:N207"/>
    <mergeCell ref="H208:N209"/>
    <mergeCell ref="H176:L176"/>
    <mergeCell ref="H177:M177"/>
    <mergeCell ref="H178:I178"/>
    <mergeCell ref="L178:M178"/>
    <mergeCell ref="H179:I179"/>
    <mergeCell ref="L179:M179"/>
    <mergeCell ref="H235:M235"/>
    <mergeCell ref="H236:N236"/>
    <mergeCell ref="H237:M237"/>
    <mergeCell ref="H238:M238"/>
    <mergeCell ref="H239:N239"/>
    <mergeCell ref="H240:M240"/>
    <mergeCell ref="H210:N210"/>
    <mergeCell ref="J211:N211"/>
    <mergeCell ref="H231:N231"/>
    <mergeCell ref="H232:N232"/>
    <mergeCell ref="H233:N233"/>
    <mergeCell ref="H234:M234"/>
    <mergeCell ref="H267:I267"/>
    <mergeCell ref="H268:I268"/>
    <mergeCell ref="L268:M268"/>
    <mergeCell ref="H269:I269"/>
    <mergeCell ref="L270:M270"/>
    <mergeCell ref="H241:N241"/>
    <mergeCell ref="H260:M261"/>
    <mergeCell ref="H262:N262"/>
    <mergeCell ref="H263:L263"/>
    <mergeCell ref="H264:M264"/>
    <mergeCell ref="H265:I265"/>
    <mergeCell ref="L265:M265"/>
    <mergeCell ref="H291:M292"/>
    <mergeCell ref="H293:M294"/>
    <mergeCell ref="H295:M295"/>
    <mergeCell ref="H296:M296"/>
    <mergeCell ref="A1:AP1"/>
    <mergeCell ref="H284:N284"/>
    <mergeCell ref="H285:M285"/>
    <mergeCell ref="H286:N286"/>
    <mergeCell ref="I287:L287"/>
    <mergeCell ref="H288:M289"/>
    <mergeCell ref="H290:N290"/>
    <mergeCell ref="L278:M278"/>
    <mergeCell ref="L279:M279"/>
    <mergeCell ref="L280:M280"/>
    <mergeCell ref="L281:M281"/>
    <mergeCell ref="L282:M282"/>
    <mergeCell ref="L283:M283"/>
    <mergeCell ref="L271:M271"/>
    <mergeCell ref="L272:M272"/>
    <mergeCell ref="L273:M273"/>
    <mergeCell ref="L274:M274"/>
    <mergeCell ref="L276:M276"/>
    <mergeCell ref="L277:M277"/>
    <mergeCell ref="H266:M266"/>
  </mergeCells>
  <hyperlinks>
    <hyperlink ref="F102" location="'Month and Age Profiling Checks'!AA13" display="PivotTable68" xr:uid="{D6D3B4E8-33B6-9141-AEA3-E283700B4D01}"/>
    <hyperlink ref="F100" location="'Month and Age Profiling Checks'!M58" display="PivotTable18" xr:uid="{9BB4EEAC-85E3-BF4F-94EB-7BC590235E2A}"/>
    <hyperlink ref="F109" location="'Month and Age Profiling Checks'!AE3" display="PivotTable71" xr:uid="{AF3389FF-0C5B-B34F-9162-37F22361F90F}"/>
    <hyperlink ref="F110" location="'Month and Age Profiling Checks'!AH4" display="PivotTable72" xr:uid="{6E5360FF-CC8C-5D44-9CC1-2975E699EB0B}"/>
    <hyperlink ref="F117" location="'Month and Age Cleaning Check'!K2" display="PivotTable2" xr:uid="{04954D63-E452-954E-920E-BA99D79E1DEA}"/>
    <hyperlink ref="M121" location="'Population Data Profiling Check'!BX2" display="PivotTable8" xr:uid="{82B0841D-FAF3-5A40-94AF-858B56F17ECC}"/>
    <hyperlink ref="M124" location="'Population Data Profiling Check'!BS3" display="PivotTable27" xr:uid="{0AB1F785-AD9F-254E-9D9F-8791564DEF44}"/>
    <hyperlink ref="M128" location="'Population Data Cleaning Check'!AA2" display="PivotTable9" xr:uid="{7ECD1375-9401-A94E-82DB-FB85484817D0}"/>
    <hyperlink ref="M130" location="'Population Data Cleaning Check'!AC15" display="PivotTable29" xr:uid="{0FF283FA-2F3C-C444-A995-F8E1795B98F5}"/>
    <hyperlink ref="M139" location="'Population Data Profiling Check'!BX2" display="PivotTable8" xr:uid="{44B48918-1B7F-AA49-A9EF-36EE19CEF0EE}"/>
    <hyperlink ref="M287" location="'New Population Data Checks'!BG21" display="PivotTable20" xr:uid="{549584C5-29EE-634E-9969-929A5B34B805}"/>
    <hyperlink ref="T98" location="'Influenza Visits ProfilingCheck'!V63" display="PivotTable25" xr:uid="{C8E6FDD1-1EB0-A442-AEF1-7A6469496DF5}"/>
    <hyperlink ref="T96" location="'Influenza Visits Checks'!Z20" display="PivotTable30" xr:uid="{24370895-47CA-0442-A160-07D517404FF1}"/>
    <hyperlink ref="T112" location="'Influenza Visits Cleaning Check'!AP1" display="PivotTable22" xr:uid="{A59B4D86-8EA8-9F4B-9C18-602BAE837999}"/>
    <hyperlink ref="T101" location="'Influenza Visits ProfilingCheck'!AP12" display="PivotTable2" xr:uid="{0BD8E037-048E-2445-BAF7-E570DE3525B8}"/>
    <hyperlink ref="T106" location="'Influenza Visits Checks'!Z31" display="PivotTable15" xr:uid="{339704E2-7DA7-A84B-B14A-9AE7FE0EBB44}"/>
    <hyperlink ref="T107" location="'Influenza Visits ProfilingCheck'!V61" display="PivotTable24" xr:uid="{B2D821C2-91E2-334A-ADD6-B8863458DB59}"/>
    <hyperlink ref="AA54" location="'HCP Vaccinated Cleaning Checks'!V5" display="PivotTable20" xr:uid="{F3213E00-8D6D-A442-825E-F02B3DC8AEDD}"/>
    <hyperlink ref="AH106" location="'All Vaccinated Cleaning Checks'!AB6" display="PivotTable20" xr:uid="{05F85D52-72F3-5D4C-BDFF-9C16E26D2141}"/>
    <hyperlink ref="AO68" location="'Hospitalisation Rate Cleaning'!Y1" display="PivotTable12" xr:uid="{5AE6DD3B-410A-E340-A756-1B79237735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Profiles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2022-02-08T21:40:06Z</dcterms:created>
  <dcterms:modified xsi:type="dcterms:W3CDTF">2022-02-11T19:54:35Z</dcterms:modified>
</cp:coreProperties>
</file>