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elga\Desktop\Fall 2022 Classes\Haptics\Project\"/>
    </mc:Choice>
  </mc:AlternateContent>
  <xr:revisionPtr revIDLastSave="0" documentId="13_ncr:1_{2756E5B6-C867-4908-9063-6FCA924D0BF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4" sheetId="4" r:id="rId1"/>
    <sheet name="Sheet7" sheetId="7" r:id="rId2"/>
    <sheet name="Sheet8" sheetId="8" r:id="rId3"/>
    <sheet name="Sheet11" sheetId="11" r:id="rId4"/>
    <sheet name="Sheet1" sheetId="1" r:id="rId5"/>
  </sheets>
  <definedNames>
    <definedName name="_xlchart.v1.0" hidden="1">Sheet1!$AA$5:$AA$35</definedName>
    <definedName name="_xlchart.v1.1" hidden="1">Sheet1!$F$5:$F$22</definedName>
    <definedName name="_xlchart.v1.10" hidden="1">Sheet1!$E$5:$E$22</definedName>
    <definedName name="_xlchart.v1.11" hidden="1">Sheet1!$J$5:$J$22</definedName>
    <definedName name="_xlchart.v1.12" hidden="1">Sheet1!$U$5:$U$35</definedName>
    <definedName name="_xlchart.v1.13" hidden="1">Sheet1!$Z$5:$Z$35</definedName>
    <definedName name="_xlchart.v1.14" hidden="1">Sheet1!$AC$5:$AC$35</definedName>
    <definedName name="_xlchart.v1.15" hidden="1">Sheet1!$H$5:$H$22</definedName>
    <definedName name="_xlchart.v1.16" hidden="1">Sheet1!$M$5:$M$22</definedName>
    <definedName name="_xlchart.v1.17" hidden="1">Sheet1!$X$5:$X$35</definedName>
    <definedName name="_xlchart.v1.18" hidden="1">Sheet1!$C$5:$C$22</definedName>
    <definedName name="_xlchart.v1.19" hidden="1">Sheet1!$S$5:$S$35</definedName>
    <definedName name="_xlchart.v1.2" hidden="1">Sheet1!$K$5:$K$22</definedName>
    <definedName name="_xlchart.v1.20" hidden="1">Sheet1!$AB$5:$AB$35</definedName>
    <definedName name="_xlchart.v1.21" hidden="1">Sheet1!$E$1</definedName>
    <definedName name="_xlchart.v1.22" hidden="1">Sheet1!$E$1:$H$1</definedName>
    <definedName name="_xlchart.v1.23" hidden="1">Sheet1!$G$5:$G$22</definedName>
    <definedName name="_xlchart.v1.24" hidden="1">Sheet1!$L$5:$L$22</definedName>
    <definedName name="_xlchart.v1.25" hidden="1">Sheet1!$W$5:$W$35</definedName>
    <definedName name="_xlchart.v1.26" hidden="1">Sheet1!$D$5:$D$22</definedName>
    <definedName name="_xlchart.v1.27" hidden="1">Sheet1!$I$5:$I$22</definedName>
    <definedName name="_xlchart.v1.28" hidden="1">Sheet1!$T$5:$T$35</definedName>
    <definedName name="_xlchart.v1.29" hidden="1">Sheet1!$Y$5:$Y$35</definedName>
    <definedName name="_xlchart.v1.3" hidden="1">Sheet1!$V$5:$V$35</definedName>
    <definedName name="_xlchart.v1.4" hidden="1">Sheet1!$C$5:$C$22</definedName>
    <definedName name="_xlchart.v1.5" hidden="1">Sheet1!$S$5:$S$35</definedName>
    <definedName name="_xlchart.v1.6" hidden="1">Sheet1!$AC$5:$AC$35</definedName>
    <definedName name="_xlchart.v1.7" hidden="1">Sheet1!$H$5:$H$22</definedName>
    <definedName name="_xlchart.v1.8" hidden="1">Sheet1!$M$5:$M$22</definedName>
    <definedName name="_xlchart.v1.9" hidden="1">Sheet1!$X$5:$X$35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1" l="1"/>
  <c r="U37" i="1"/>
  <c r="V37" i="1"/>
  <c r="W37" i="1"/>
  <c r="X37" i="1"/>
  <c r="Y37" i="1"/>
  <c r="Z37" i="1"/>
  <c r="AA37" i="1"/>
  <c r="AB37" i="1"/>
  <c r="AC37" i="1"/>
  <c r="S37" i="1"/>
  <c r="D24" i="1"/>
  <c r="E24" i="1"/>
  <c r="F24" i="1"/>
  <c r="G24" i="1"/>
  <c r="H24" i="1"/>
  <c r="I24" i="1"/>
  <c r="J24" i="1"/>
  <c r="K24" i="1"/>
  <c r="L24" i="1"/>
  <c r="M24" i="1"/>
  <c r="C24" i="1"/>
  <c r="AC36" i="1"/>
  <c r="AB36" i="1"/>
  <c r="AA36" i="1"/>
  <c r="Z36" i="1"/>
  <c r="Y36" i="1"/>
  <c r="X36" i="1"/>
  <c r="W36" i="1"/>
  <c r="V36" i="1"/>
  <c r="U36" i="1"/>
  <c r="T36" i="1"/>
  <c r="S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M23" i="1"/>
  <c r="L23" i="1"/>
  <c r="K23" i="1"/>
  <c r="J23" i="1"/>
  <c r="I23" i="1"/>
  <c r="H23" i="1"/>
  <c r="G23" i="1"/>
  <c r="F23" i="1"/>
  <c r="E23" i="1"/>
  <c r="D23" i="1"/>
  <c r="C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<sst xmlns="http://schemas.openxmlformats.org/spreadsheetml/2006/main" count="102" uniqueCount="39">
  <si>
    <t>Venardos</t>
  </si>
  <si>
    <t>Framestamp</t>
  </si>
  <si>
    <t>Right</t>
  </si>
  <si>
    <t>Left</t>
  </si>
  <si>
    <t>Cutouts</t>
  </si>
  <si>
    <t>Begin</t>
  </si>
  <si>
    <t>End</t>
  </si>
  <si>
    <t>Time [sec]</t>
  </si>
  <si>
    <t>Acc Mean</t>
  </si>
  <si>
    <t>Acc Var Stdev</t>
  </si>
  <si>
    <t>Path Length</t>
  </si>
  <si>
    <t>Mean Jerk</t>
  </si>
  <si>
    <t>Std Jerk</t>
  </si>
  <si>
    <t>Averages</t>
  </si>
  <si>
    <t>Mery</t>
  </si>
  <si>
    <t>Time [s]</t>
  </si>
  <si>
    <t>Jerk Mean [m/s^3]</t>
  </si>
  <si>
    <t>Jerk Stdev [m/s^3]</t>
  </si>
  <si>
    <t>Acceleration Mean [m/s^2]</t>
  </si>
  <si>
    <t>Acceleration Stdev [m/s^2]</t>
  </si>
  <si>
    <t>Path Length [m]</t>
  </si>
  <si>
    <t>Stdev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</si>
  <si>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</si>
  <si>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</si>
  <si>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</si>
  <si>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</si>
  <si>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</si>
  <si>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</si>
  <si>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</si>
  <si>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</si>
  <si>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</si>
  <si>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</si>
  <si>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</si>
  <si>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</si>
  <si>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</si>
  <si>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Path length secondary</t>
  </si>
  <si>
    <t>Acc Var stdev primary</t>
  </si>
  <si>
    <t>Acc Var stdev secondary</t>
  </si>
  <si>
    <t>Jerk stdev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</si>
</sst>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1155CC"/>
      <name val="Inconsolata"/>
    </font>
    <font>
      <sz val="11"/>
      <color rgb="FF000000"/>
      <name val="Calibri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3" fontId="1" fillId="0" borderId="0" xfId="0" applyNumberFormat="1" applyFont="1"/>
    <xf numFmtId="0" fontId="2" fillId="2" borderId="0" xfId="0" applyFont="1" applyFill="1"/>
    <xf numFmtId="11" fontId="3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plotArea>
      <cx:plotAreaRegion>
        <cx:series layoutId="boxWhisker" uniqueId="{9A0A74A3-A3B5-468A-9C7B-45A308B4F1D6}">
          <cx:tx>
            <cx:txData>
              <cx:f/>
              <cx:v>Dr. Venardos</cx:v>
            </cx:txData>
          </cx:tx>
          <cx:spPr>
            <a:pattFill prst="pct5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58E-4D3E-B9AF-29D4D2B9239F}">
          <cx:tx>
            <cx:txData>
              <cx:f/>
              <cx:v>Dr. Mery</cx:v>
            </cx:txData>
          </cx:tx>
          <cx:spPr>
            <a:pattFill prst="ltDnDiag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  <cx:legend pos="t" align="ctr" overlay="1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_xlchart.v1.2</cx:f>
      </cx:numDim>
    </cx:data>
    <cx:data id="3">
      <cx:numDim type="val">
        <cx:f>_xlchart.v1.0</cx:f>
      </cx:numDim>
    </cx:data>
  </cx:chartData>
  <cx:chart>
    <cx:plotArea>
      <cx:plotAreaRegion>
        <cx:series layoutId="boxWhisker" uniqueId="{9A0A74A3-A3B5-468A-9C7B-45A308B4F1D6}">
          <cx:tx>
            <cx:txData>
              <cx:f/>
              <cx:v>Dr. Venardos [primary]</cx:v>
            </cx:txData>
          </cx:tx>
          <cx:spPr>
            <a:pattFill prst="pct5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58E-4D3E-B9AF-29D4D2B9239F}">
          <cx:tx>
            <cx:txData>
              <cx:f/>
              <cx:v>Dr. Mery [primary]</cx:v>
            </cx:txData>
          </cx:tx>
          <cx:spPr>
            <a:pattFill prst="ltDnDiag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meanLine="0" nonoutliers="0"/>
            <cx:statistics quartileMethod="exclusive"/>
          </cx:layoutPr>
        </cx:series>
        <cx:series layoutId="boxWhisker" uniqueId="{00000000-6152-40B5-A742-1CEF6FB19F45}">
          <cx:tx>
            <cx:txData>
              <cx:f/>
              <cx:v>Dr. Venardos [secondary]</cx:v>
            </cx:txData>
          </cx:tx>
          <cx:spPr>
            <a:pattFill prst="narVert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1-6152-40B5-A742-1CEF6FB19F45}">
          <cx:tx>
            <cx:txData>
              <cx:f/>
              <cx:v>Dr. Mery [secondary]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/>
        <cx:tickLabels/>
      </cx:axis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_xlchart.v1.8</cx:f>
      </cx:numDim>
    </cx:data>
    <cx:data id="3">
      <cx:numDim type="val">
        <cx:f>_xlchart.v1.6</cx:f>
      </cx:numDim>
    </cx:data>
  </cx:chartData>
  <cx:chart>
    <cx:plotArea>
      <cx:plotAreaRegion>
        <cx:series layoutId="boxWhisker" uniqueId="{9A0A74A3-A3B5-468A-9C7B-45A308B4F1D6}">
          <cx:tx>
            <cx:txData>
              <cx:f/>
              <cx:v>Dr. Venardos [primary]</cx:v>
            </cx:txData>
          </cx:tx>
          <cx:spPr>
            <a:pattFill prst="pct5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58E-4D3E-B9AF-29D4D2B9239F}">
          <cx:tx>
            <cx:txData>
              <cx:f/>
              <cx:v>Dr. Mery [primary]</cx:v>
            </cx:txData>
          </cx:tx>
          <cx:spPr>
            <a:pattFill prst="ltDnDiag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meanLine="0" nonoutliers="0"/>
            <cx:statistics quartileMethod="exclusive"/>
          </cx:layoutPr>
        </cx:series>
        <cx:series layoutId="boxWhisker" uniqueId="{00000000-6152-40B5-A742-1CEF6FB19F45}">
          <cx:tx>
            <cx:txData>
              <cx:f/>
              <cx:v>Dr. Venardos [secondary]</cx:v>
            </cx:txData>
          </cx:tx>
          <cx:spPr>
            <a:pattFill prst="narVert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1-6152-40B5-A742-1CEF6FB19F45}">
          <cx:tx>
            <cx:txData>
              <cx:f/>
              <cx:v>Dr. Mery [secondary]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/>
        <cx:tickLabels/>
      </cx:axis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_xlchart.v1.11</cx:f>
      </cx:numDim>
    </cx:data>
    <cx:data id="3">
      <cx:numDim type="val">
        <cx:f>_xlchart.v1.13</cx:f>
      </cx:numDim>
    </cx:data>
  </cx:chartData>
  <cx:chart>
    <cx:plotArea>
      <cx:plotAreaRegion>
        <cx:series layoutId="boxWhisker" uniqueId="{9A0A74A3-A3B5-468A-9C7B-45A308B4F1D6}">
          <cx:tx>
            <cx:txData>
              <cx:f/>
              <cx:v>Dr. Venardos [primary]</cx:v>
            </cx:txData>
          </cx:tx>
          <cx:spPr>
            <a:pattFill prst="pct5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58E-4D3E-B9AF-29D4D2B9239F}">
          <cx:tx>
            <cx:txData>
              <cx:f/>
              <cx:v>Dr. Mery [primary]</cx:v>
            </cx:txData>
          </cx:tx>
          <cx:spPr>
            <a:pattFill prst="ltDnDiag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meanLine="0" nonoutliers="0"/>
            <cx:statistics quartileMethod="exclusive"/>
          </cx:layoutPr>
        </cx:series>
        <cx:series layoutId="boxWhisker" uniqueId="{00000000-6152-40B5-A742-1CEF6FB19F45}">
          <cx:tx>
            <cx:txData>
              <cx:f/>
              <cx:v>Dr. Venardos [secondary]</cx:v>
            </cx:txData>
          </cx:tx>
          <cx:spPr>
            <a:pattFill prst="narVert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1-6152-40B5-A742-1CEF6FB19F45}">
          <cx:tx>
            <cx:txData>
              <cx:f/>
              <cx:v>Dr. Mery [secondary]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/>
        <cx:tickLabels/>
      </cx:axis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_xlchart.v1.24</cx:f>
      </cx:numDim>
    </cx:data>
    <cx:data id="3">
      <cx:strDim type="cat">
        <cx:f>_xlchart.v1.21</cx:f>
      </cx:strDim>
      <cx:numDim type="val">
        <cx:f>_xlchart.v1.20</cx:f>
      </cx:numDim>
    </cx:data>
  </cx:chartData>
  <cx:chart>
    <cx:plotArea>
      <cx:plotAreaRegion>
        <cx:series layoutId="boxWhisker" uniqueId="{9A0A74A3-A3B5-468A-9C7B-45A308B4F1D6}">
          <cx:tx>
            <cx:txData>
              <cx:f/>
              <cx:v>Dr. Venardos [primary]</cx:v>
            </cx:txData>
          </cx:tx>
          <cx:spPr>
            <a:pattFill prst="pct5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58E-4D3E-B9AF-29D4D2B9239F}">
          <cx:tx>
            <cx:txData>
              <cx:f/>
              <cx:v>Dr. Mery [primary]</cx:v>
            </cx:txData>
          </cx:tx>
          <cx:spPr>
            <a:pattFill prst="ltDnDiag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meanLine="0" nonoutliers="0"/>
            <cx:statistics quartileMethod="exclusive"/>
          </cx:layoutPr>
        </cx:series>
        <cx:series layoutId="boxWhisker" uniqueId="{00000000-6152-40B5-A742-1CEF6FB19F45}">
          <cx:tx>
            <cx:txData>
              <cx:f/>
              <cx:v>Dr. Venardos [secondary]</cx:v>
            </cx:txData>
          </cx:tx>
          <cx:spPr>
            <a:pattFill prst="narVert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1-6152-40B5-A742-1CEF6FB19F45}">
          <cx:tx>
            <cx:txData>
              <cx:f/>
              <cx:v>Dr. Mery [secondary]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0.060000000000000012"/>
        <cx:tickLabels/>
      </cx:axis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</cx:chartData>
  <cx:chart>
    <cx:plotArea>
      <cx:plotAreaRegion>
        <cx:series layoutId="boxWhisker" uniqueId="{9A0A74A3-A3B5-468A-9C7B-45A308B4F1D6}">
          <cx:tx>
            <cx:txData>
              <cx:f/>
              <cx:v>Dr. Venardos [primary]</cx:v>
            </cx:txData>
          </cx:tx>
          <cx:spPr>
            <a:pattFill prst="pct5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58E-4D3E-B9AF-29D4D2B9239F}">
          <cx:tx>
            <cx:txData>
              <cx:f/>
              <cx:v>Dr. Mery [primary]</cx:v>
            </cx:txData>
          </cx:tx>
          <cx:spPr>
            <a:pattFill prst="ltDnDiag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1"/>
          <cx:layoutPr>
            <cx:visibility meanLine="0" nonoutliers="0"/>
            <cx:statistics quartileMethod="exclusive"/>
          </cx:layoutPr>
        </cx:series>
        <cx:series layoutId="boxWhisker" uniqueId="{00000000-6152-40B5-A742-1CEF6FB19F45}">
          <cx:tx>
            <cx:txData>
              <cx:f/>
              <cx:v>Dr. Venardos [secondary]</cx:v>
            </cx:txData>
          </cx:tx>
          <cx:spPr>
            <a:pattFill prst="narVert">
              <a:fgClr>
                <a:srgbClr val="000000">
                  <a:lumMod val="65000"/>
                  <a:lumOff val="35000"/>
                </a:srgb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1-6152-40B5-A742-1CEF6FB19F45}">
          <cx:tx>
            <cx:txData>
              <cx:f/>
              <cx:v>Dr. Mery [secondary]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0.060000000000000012"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61912</xdr:rowOff>
    </xdr:from>
    <xdr:to>
      <xdr:col>5</xdr:col>
      <xdr:colOff>381000</xdr:colOff>
      <xdr:row>37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52D00D4-FB71-DF9B-FC0E-A9F3D0CF4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86287"/>
              <a:ext cx="4572000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39</xdr:row>
      <xdr:rowOff>152400</xdr:rowOff>
    </xdr:from>
    <xdr:to>
      <xdr:col>5</xdr:col>
      <xdr:colOff>419100</xdr:colOff>
      <xdr:row>56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CE54C94-4345-471D-86D7-AE6227C65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7524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447675</xdr:colOff>
      <xdr:row>39</xdr:row>
      <xdr:rowOff>152400</xdr:rowOff>
    </xdr:from>
    <xdr:to>
      <xdr:col>10</xdr:col>
      <xdr:colOff>828675</xdr:colOff>
      <xdr:row>56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766AAD13-6796-4482-AAC6-EC8DD58D66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8675" y="7524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19050</xdr:colOff>
      <xdr:row>39</xdr:row>
      <xdr:rowOff>142875</xdr:rowOff>
    </xdr:from>
    <xdr:to>
      <xdr:col>16</xdr:col>
      <xdr:colOff>400050</xdr:colOff>
      <xdr:row>56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C09D846-4F38-460B-8A0F-1083A5E75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0" y="7515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371475</xdr:colOff>
      <xdr:row>24</xdr:row>
      <xdr:rowOff>57150</xdr:rowOff>
    </xdr:from>
    <xdr:to>
      <xdr:col>10</xdr:col>
      <xdr:colOff>752475</xdr:colOff>
      <xdr:row>37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C03013-9BE7-BF51-A78B-6EE810872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4581525"/>
              <a:ext cx="4572000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771525</xdr:colOff>
      <xdr:row>24</xdr:row>
      <xdr:rowOff>57150</xdr:rowOff>
    </xdr:from>
    <xdr:to>
      <xdr:col>16</xdr:col>
      <xdr:colOff>314325</xdr:colOff>
      <xdr:row>37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7A5BB7-D0C2-9503-5E7E-DB940D4BB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4581525"/>
              <a:ext cx="4572000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314325</xdr:colOff>
      <xdr:row>45</xdr:row>
      <xdr:rowOff>38100</xdr:rowOff>
    </xdr:from>
    <xdr:to>
      <xdr:col>4</xdr:col>
      <xdr:colOff>285750</xdr:colOff>
      <xdr:row>46</xdr:row>
      <xdr:rowOff>142875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831B9CF-4C16-1948-3C15-071A9D754B45}"/>
            </a:ext>
          </a:extLst>
        </xdr:cNvPr>
        <xdr:cNvSpPr txBox="1"/>
      </xdr:nvSpPr>
      <xdr:spPr>
        <a:xfrm>
          <a:off x="2828925" y="8382000"/>
          <a:ext cx="809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⌐     *     ¬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809624</xdr:colOff>
      <xdr:row>44</xdr:row>
      <xdr:rowOff>95250</xdr:rowOff>
    </xdr:from>
    <xdr:to>
      <xdr:col>10</xdr:col>
      <xdr:colOff>38099</xdr:colOff>
      <xdr:row>45</xdr:row>
      <xdr:rowOff>123825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6F83360-D3D8-14FF-B9EB-F1F712D015EB}"/>
            </a:ext>
          </a:extLst>
        </xdr:cNvPr>
        <xdr:cNvSpPr txBox="1"/>
      </xdr:nvSpPr>
      <xdr:spPr>
        <a:xfrm>
          <a:off x="7515224" y="8277225"/>
          <a:ext cx="9048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⌐     *     ¬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12</xdr:col>
      <xdr:colOff>542925</xdr:colOff>
      <xdr:row>44</xdr:row>
      <xdr:rowOff>28575</xdr:rowOff>
    </xdr:from>
    <xdr:to>
      <xdr:col>13</xdr:col>
      <xdr:colOff>523875</xdr:colOff>
      <xdr:row>45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F46B272-7F49-8E87-1806-B85610139875}"/>
            </a:ext>
          </a:extLst>
        </xdr:cNvPr>
        <xdr:cNvSpPr txBox="1"/>
      </xdr:nvSpPr>
      <xdr:spPr>
        <a:xfrm>
          <a:off x="10601325" y="8210550"/>
          <a:ext cx="8191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⌐     *     ¬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342900</xdr:colOff>
      <xdr:row>44</xdr:row>
      <xdr:rowOff>28575</xdr:rowOff>
    </xdr:from>
    <xdr:to>
      <xdr:col>15</xdr:col>
      <xdr:colOff>466725</xdr:colOff>
      <xdr:row>45</xdr:row>
      <xdr:rowOff>104775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50B1C4B-6DEE-46A8-B92E-041436248524}"/>
            </a:ext>
          </a:extLst>
        </xdr:cNvPr>
        <xdr:cNvSpPr txBox="1"/>
      </xdr:nvSpPr>
      <xdr:spPr>
        <a:xfrm>
          <a:off x="12077700" y="8210550"/>
          <a:ext cx="9620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⌐     *     ¬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F7F7F"/>
      </a:accent1>
      <a:accent2>
        <a:srgbClr val="A5A5A5"/>
      </a:accent2>
      <a:accent3>
        <a:srgbClr val="D8D8D8"/>
      </a:accent3>
      <a:accent4>
        <a:srgbClr val="FFFFFF"/>
      </a:accent4>
      <a:accent5>
        <a:srgbClr val="0C0C0C"/>
      </a:accent5>
      <a:accent6>
        <a:srgbClr val="7F7F7F"/>
      </a:accent6>
      <a:hlink>
        <a:srgbClr val="0563C1"/>
      </a:hlink>
      <a:folHlink>
        <a:srgbClr val="954F72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6181-7F3D-4E18-AA6A-68E479952874}">
  <dimension ref="A1:C16"/>
  <sheetViews>
    <sheetView workbookViewId="0">
      <selection activeCell="I4" sqref="I4"/>
    </sheetView>
  </sheetViews>
  <sheetFormatPr defaultRowHeight="12.75" x14ac:dyDescent="0.2"/>
  <sheetData>
    <row r="1" spans="1:3" x14ac:dyDescent="0.2">
      <c r="A1" t="s">
        <v>22</v>
      </c>
    </row>
    <row r="2" spans="1:3" ht="13.5" thickBot="1" x14ac:dyDescent="0.25"/>
    <row r="3" spans="1:3" x14ac:dyDescent="0.2">
      <c r="A3" s="8"/>
      <c r="B3" s="8" t="s">
        <v>23</v>
      </c>
      <c r="C3" s="8" t="s">
        <v>24</v>
      </c>
    </row>
    <row r="4" spans="1:3" x14ac:dyDescent="0.2">
      <c r="A4" s="6" t="s">
        <v>25</v>
      </c>
      <c r="B4" s="6">
        <v>7.3529261333548366</v>
      </c>
      <c r="C4" s="6">
        <v>6.2807036666666658E-3</v>
      </c>
    </row>
    <row r="5" spans="1:3" x14ac:dyDescent="0.2">
      <c r="A5" s="6" t="s">
        <v>26</v>
      </c>
      <c r="B5" s="6">
        <v>193.3675459488158</v>
      </c>
      <c r="C5" s="6">
        <v>2.6027463353975661E-5</v>
      </c>
    </row>
    <row r="6" spans="1:3" x14ac:dyDescent="0.2">
      <c r="A6" s="6" t="s">
        <v>27</v>
      </c>
      <c r="B6" s="6">
        <v>31</v>
      </c>
      <c r="C6" s="6">
        <v>18</v>
      </c>
    </row>
    <row r="7" spans="1:3" x14ac:dyDescent="0.2">
      <c r="A7" s="6" t="s">
        <v>28</v>
      </c>
      <c r="B7" s="6">
        <v>0</v>
      </c>
      <c r="C7" s="6"/>
    </row>
    <row r="8" spans="1:3" x14ac:dyDescent="0.2">
      <c r="A8" s="6" t="s">
        <v>29</v>
      </c>
      <c r="B8" s="6">
        <v>30</v>
      </c>
      <c r="C8" s="6"/>
    </row>
    <row r="9" spans="1:3" x14ac:dyDescent="0.2">
      <c r="A9" s="6" t="s">
        <v>30</v>
      </c>
      <c r="B9" s="6">
        <v>2.9415625234826628</v>
      </c>
      <c r="C9" s="6"/>
    </row>
    <row r="10" spans="1:3" x14ac:dyDescent="0.2">
      <c r="A10" s="6" t="s">
        <v>31</v>
      </c>
      <c r="B10" s="6">
        <v>3.1199553504382069E-3</v>
      </c>
      <c r="C10" s="6"/>
    </row>
    <row r="11" spans="1:3" x14ac:dyDescent="0.2">
      <c r="A11" s="6" t="s">
        <v>32</v>
      </c>
      <c r="B11" s="6">
        <v>1.6972608865939587</v>
      </c>
      <c r="C11" s="6"/>
    </row>
    <row r="12" spans="1:3" x14ac:dyDescent="0.2">
      <c r="A12" s="6" t="s">
        <v>33</v>
      </c>
      <c r="B12" s="6">
        <v>6.2399107008764138E-3</v>
      </c>
      <c r="C12" s="6"/>
    </row>
    <row r="13" spans="1:3" ht="13.5" thickBot="1" x14ac:dyDescent="0.25">
      <c r="A13" s="7" t="s">
        <v>34</v>
      </c>
      <c r="B13" s="7">
        <v>2.0422724563012378</v>
      </c>
      <c r="C13" s="7"/>
    </row>
    <row r="16" spans="1:3" x14ac:dyDescent="0.2">
      <c r="A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2BA4-278C-4843-8A68-A7F5EB221CF8}">
  <dimension ref="A1:C15"/>
  <sheetViews>
    <sheetView workbookViewId="0">
      <selection activeCell="H20" sqref="H20"/>
    </sheetView>
  </sheetViews>
  <sheetFormatPr defaultRowHeight="12.75" x14ac:dyDescent="0.2"/>
  <sheetData>
    <row r="1" spans="1:3" x14ac:dyDescent="0.2">
      <c r="A1" t="s">
        <v>22</v>
      </c>
    </row>
    <row r="2" spans="1:3" ht="13.5" thickBot="1" x14ac:dyDescent="0.25"/>
    <row r="3" spans="1:3" x14ac:dyDescent="0.2">
      <c r="A3" s="8"/>
      <c r="B3" s="8" t="s">
        <v>23</v>
      </c>
      <c r="C3" s="8" t="s">
        <v>24</v>
      </c>
    </row>
    <row r="4" spans="1:3" x14ac:dyDescent="0.2">
      <c r="A4" s="6" t="s">
        <v>25</v>
      </c>
      <c r="B4" s="6">
        <v>2.5581032363870958E-2</v>
      </c>
      <c r="C4" s="6">
        <v>8.7738387337096772E-3</v>
      </c>
    </row>
    <row r="5" spans="1:3" x14ac:dyDescent="0.2">
      <c r="A5" s="6" t="s">
        <v>26</v>
      </c>
      <c r="B5" s="6">
        <v>1.0371286353718734E-3</v>
      </c>
      <c r="C5" s="6">
        <v>1.0087236663735096E-4</v>
      </c>
    </row>
    <row r="6" spans="1:3" x14ac:dyDescent="0.2">
      <c r="A6" s="6" t="s">
        <v>27</v>
      </c>
      <c r="B6" s="6">
        <v>31</v>
      </c>
      <c r="C6" s="6">
        <v>31</v>
      </c>
    </row>
    <row r="7" spans="1:3" x14ac:dyDescent="0.2">
      <c r="A7" s="6" t="s">
        <v>28</v>
      </c>
      <c r="B7" s="6">
        <v>0</v>
      </c>
      <c r="C7" s="6"/>
    </row>
    <row r="8" spans="1:3" x14ac:dyDescent="0.2">
      <c r="A8" s="6" t="s">
        <v>29</v>
      </c>
      <c r="B8" s="6">
        <v>36</v>
      </c>
      <c r="C8" s="6"/>
    </row>
    <row r="9" spans="1:3" x14ac:dyDescent="0.2">
      <c r="A9" s="6" t="s">
        <v>30</v>
      </c>
      <c r="B9" s="6">
        <v>2.7739889589179318</v>
      </c>
      <c r="C9" s="6"/>
    </row>
    <row r="10" spans="1:3" x14ac:dyDescent="0.2">
      <c r="A10" s="6" t="s">
        <v>31</v>
      </c>
      <c r="B10" s="6">
        <v>4.3604023451419283E-3</v>
      </c>
      <c r="C10" s="6"/>
    </row>
    <row r="11" spans="1:3" x14ac:dyDescent="0.2">
      <c r="A11" s="6" t="s">
        <v>32</v>
      </c>
      <c r="B11" s="6">
        <v>1.6882977141168172</v>
      </c>
      <c r="C11" s="6"/>
    </row>
    <row r="12" spans="1:3" x14ac:dyDescent="0.2">
      <c r="A12" s="6" t="s">
        <v>33</v>
      </c>
      <c r="B12" s="6">
        <v>8.7208046902838565E-3</v>
      </c>
      <c r="C12" s="6"/>
    </row>
    <row r="13" spans="1:3" ht="13.5" thickBot="1" x14ac:dyDescent="0.25">
      <c r="A13" s="7" t="s">
        <v>34</v>
      </c>
      <c r="B13" s="7">
        <v>2.028094000980452</v>
      </c>
      <c r="C13" s="7"/>
    </row>
    <row r="15" spans="1:3" x14ac:dyDescent="0.2">
      <c r="B15" s="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2C3E-D2B9-459B-ACB3-D4C44B52D3A0}">
  <dimension ref="A1:C15"/>
  <sheetViews>
    <sheetView workbookViewId="0">
      <selection activeCell="E43" sqref="E43"/>
    </sheetView>
  </sheetViews>
  <sheetFormatPr defaultRowHeight="12.75" x14ac:dyDescent="0.2"/>
  <sheetData>
    <row r="1" spans="1:3" x14ac:dyDescent="0.2">
      <c r="A1" t="s">
        <v>22</v>
      </c>
    </row>
    <row r="2" spans="1:3" ht="13.5" thickBot="1" x14ac:dyDescent="0.25"/>
    <row r="3" spans="1:3" x14ac:dyDescent="0.2">
      <c r="A3" s="8"/>
      <c r="B3" s="8" t="s">
        <v>23</v>
      </c>
      <c r="C3" s="8" t="s">
        <v>24</v>
      </c>
    </row>
    <row r="4" spans="1:3" x14ac:dyDescent="0.2">
      <c r="A4" s="6" t="s">
        <v>25</v>
      </c>
      <c r="B4" s="6">
        <v>2.5581032363870958E-2</v>
      </c>
      <c r="C4" s="6">
        <v>8.7738387337096772E-3</v>
      </c>
    </row>
    <row r="5" spans="1:3" x14ac:dyDescent="0.2">
      <c r="A5" s="6" t="s">
        <v>26</v>
      </c>
      <c r="B5" s="6">
        <v>1.0371286353718734E-3</v>
      </c>
      <c r="C5" s="6">
        <v>1.0087236663735096E-4</v>
      </c>
    </row>
    <row r="6" spans="1:3" x14ac:dyDescent="0.2">
      <c r="A6" s="6" t="s">
        <v>27</v>
      </c>
      <c r="B6" s="6">
        <v>31</v>
      </c>
      <c r="C6" s="6">
        <v>31</v>
      </c>
    </row>
    <row r="7" spans="1:3" x14ac:dyDescent="0.2">
      <c r="A7" s="6" t="s">
        <v>28</v>
      </c>
      <c r="B7" s="6">
        <v>0</v>
      </c>
      <c r="C7" s="6"/>
    </row>
    <row r="8" spans="1:3" x14ac:dyDescent="0.2">
      <c r="A8" s="6" t="s">
        <v>29</v>
      </c>
      <c r="B8" s="6">
        <v>36</v>
      </c>
      <c r="C8" s="6"/>
    </row>
    <row r="9" spans="1:3" x14ac:dyDescent="0.2">
      <c r="A9" s="6" t="s">
        <v>30</v>
      </c>
      <c r="B9" s="6">
        <v>2.7739889589179318</v>
      </c>
      <c r="C9" s="6"/>
    </row>
    <row r="10" spans="1:3" x14ac:dyDescent="0.2">
      <c r="A10" s="6" t="s">
        <v>31</v>
      </c>
      <c r="B10" s="6">
        <v>4.3604023451419283E-3</v>
      </c>
      <c r="C10" s="6"/>
    </row>
    <row r="11" spans="1:3" x14ac:dyDescent="0.2">
      <c r="A11" s="6" t="s">
        <v>32</v>
      </c>
      <c r="B11" s="6">
        <v>1.6882977141168172</v>
      </c>
      <c r="C11" s="6"/>
    </row>
    <row r="12" spans="1:3" x14ac:dyDescent="0.2">
      <c r="A12" s="6" t="s">
        <v>33</v>
      </c>
      <c r="B12" s="6">
        <v>8.7208046902838565E-3</v>
      </c>
      <c r="C12" s="6"/>
    </row>
    <row r="13" spans="1:3" ht="13.5" thickBot="1" x14ac:dyDescent="0.25">
      <c r="A13" s="7" t="s">
        <v>34</v>
      </c>
      <c r="B13" s="7">
        <v>2.028094000980452</v>
      </c>
      <c r="C13" s="7"/>
    </row>
    <row r="15" spans="1:3" x14ac:dyDescent="0.2">
      <c r="B15" s="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B029-B2BE-4533-8FC8-100009F4A230}">
  <dimension ref="A1:C16"/>
  <sheetViews>
    <sheetView workbookViewId="0">
      <selection activeCell="G20" sqref="G20"/>
    </sheetView>
  </sheetViews>
  <sheetFormatPr defaultRowHeight="12.75" x14ac:dyDescent="0.2"/>
  <sheetData>
    <row r="1" spans="1:3" x14ac:dyDescent="0.2">
      <c r="A1" t="s">
        <v>22</v>
      </c>
    </row>
    <row r="2" spans="1:3" ht="13.5" thickBot="1" x14ac:dyDescent="0.25"/>
    <row r="3" spans="1:3" x14ac:dyDescent="0.2">
      <c r="A3" s="8"/>
      <c r="B3" s="8" t="s">
        <v>23</v>
      </c>
      <c r="C3" s="8" t="s">
        <v>24</v>
      </c>
    </row>
    <row r="4" spans="1:3" x14ac:dyDescent="0.2">
      <c r="A4" s="6" t="s">
        <v>25</v>
      </c>
      <c r="B4" s="6">
        <v>1.0224243833333334E-2</v>
      </c>
      <c r="C4" s="6">
        <v>2.2158580807419361E-2</v>
      </c>
    </row>
    <row r="5" spans="1:3" x14ac:dyDescent="0.2">
      <c r="A5" s="6" t="s">
        <v>26</v>
      </c>
      <c r="B5" s="6">
        <v>4.3466757574895049E-5</v>
      </c>
      <c r="C5" s="6">
        <v>7.9518665015443607E-4</v>
      </c>
    </row>
    <row r="6" spans="1:3" x14ac:dyDescent="0.2">
      <c r="A6" s="6" t="s">
        <v>27</v>
      </c>
      <c r="B6" s="6">
        <v>18</v>
      </c>
      <c r="C6" s="6">
        <v>31</v>
      </c>
    </row>
    <row r="7" spans="1:3" x14ac:dyDescent="0.2">
      <c r="A7" s="6" t="s">
        <v>28</v>
      </c>
      <c r="B7" s="6">
        <v>0</v>
      </c>
      <c r="C7" s="6"/>
    </row>
    <row r="8" spans="1:3" x14ac:dyDescent="0.2">
      <c r="A8" s="6" t="s">
        <v>29</v>
      </c>
      <c r="B8" s="6">
        <v>35</v>
      </c>
      <c r="C8" s="6"/>
    </row>
    <row r="9" spans="1:3" x14ac:dyDescent="0.2">
      <c r="A9" s="6" t="s">
        <v>30</v>
      </c>
      <c r="B9" s="6">
        <v>-2.2527241734098493</v>
      </c>
      <c r="C9" s="6"/>
    </row>
    <row r="10" spans="1:3" x14ac:dyDescent="0.2">
      <c r="A10" s="6" t="s">
        <v>31</v>
      </c>
      <c r="B10" s="6">
        <v>1.5324530511753365E-2</v>
      </c>
      <c r="C10" s="6"/>
    </row>
    <row r="11" spans="1:3" x14ac:dyDescent="0.2">
      <c r="A11" s="6" t="s">
        <v>32</v>
      </c>
      <c r="B11" s="6">
        <v>1.6895724577802647</v>
      </c>
      <c r="C11" s="6"/>
    </row>
    <row r="12" spans="1:3" x14ac:dyDescent="0.2">
      <c r="A12" s="6" t="s">
        <v>33</v>
      </c>
      <c r="B12" s="6">
        <v>3.064906102350673E-2</v>
      </c>
      <c r="C12" s="6"/>
    </row>
    <row r="13" spans="1:3" ht="13.5" thickBot="1" x14ac:dyDescent="0.25">
      <c r="A13" s="7" t="s">
        <v>34</v>
      </c>
      <c r="B13" s="7">
        <v>2.0301079282503438</v>
      </c>
      <c r="C13" s="7"/>
    </row>
    <row r="16" spans="1:3" x14ac:dyDescent="0.2">
      <c r="B16" s="9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8"/>
  <sheetViews>
    <sheetView tabSelected="1" topLeftCell="A3" zoomScaleNormal="100" workbookViewId="0">
      <selection activeCell="C58" sqref="C58"/>
    </sheetView>
  </sheetViews>
  <sheetFormatPr defaultColWidth="12.5703125" defaultRowHeight="15.75" customHeight="1" x14ac:dyDescent="0.2"/>
  <sheetData>
    <row r="1" spans="1:29" ht="12.75" x14ac:dyDescent="0.2">
      <c r="A1" s="1" t="s">
        <v>0</v>
      </c>
      <c r="Q1" s="1" t="s">
        <v>14</v>
      </c>
    </row>
    <row r="3" spans="1:29" ht="12.75" x14ac:dyDescent="0.2">
      <c r="A3" s="1" t="s">
        <v>1</v>
      </c>
      <c r="D3" s="1" t="s">
        <v>2</v>
      </c>
      <c r="I3" s="1" t="s">
        <v>3</v>
      </c>
      <c r="O3" s="1" t="s">
        <v>4</v>
      </c>
      <c r="Q3" s="1" t="s">
        <v>1</v>
      </c>
      <c r="T3" s="1" t="s">
        <v>2</v>
      </c>
      <c r="Y3" s="1" t="s">
        <v>3</v>
      </c>
    </row>
    <row r="4" spans="1:29" ht="12.75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O4" s="1" t="s">
        <v>2</v>
      </c>
      <c r="P4" s="1" t="s">
        <v>3</v>
      </c>
      <c r="Q4" s="1" t="s">
        <v>5</v>
      </c>
      <c r="R4" s="1" t="s">
        <v>6</v>
      </c>
      <c r="S4" s="1" t="s">
        <v>7</v>
      </c>
      <c r="T4" s="1" t="s">
        <v>8</v>
      </c>
      <c r="U4" s="1" t="s">
        <v>9</v>
      </c>
      <c r="V4" s="1" t="s">
        <v>10</v>
      </c>
      <c r="W4" s="1" t="s">
        <v>11</v>
      </c>
      <c r="X4" s="1" t="s">
        <v>12</v>
      </c>
      <c r="Y4" s="1" t="s">
        <v>8</v>
      </c>
      <c r="Z4" s="1" t="s">
        <v>9</v>
      </c>
      <c r="AA4" s="1" t="s">
        <v>10</v>
      </c>
      <c r="AB4" s="1" t="s">
        <v>11</v>
      </c>
      <c r="AC4" s="1" t="s">
        <v>12</v>
      </c>
    </row>
    <row r="5" spans="1:29" ht="15" x14ac:dyDescent="0.25">
      <c r="A5" s="1">
        <f>48*60+19</f>
        <v>2899</v>
      </c>
      <c r="B5" s="1">
        <f>54*60+45</f>
        <v>3285</v>
      </c>
      <c r="C5" s="1">
        <v>6.44</v>
      </c>
      <c r="D5" s="2">
        <v>6.8199999999999997E-3</v>
      </c>
      <c r="E5" s="2">
        <v>1.41E-2</v>
      </c>
      <c r="F5" s="1">
        <v>3.82</v>
      </c>
      <c r="G5" s="2">
        <v>6.0699999999999999E-3</v>
      </c>
      <c r="H5" s="2">
        <v>1.24E-2</v>
      </c>
      <c r="I5" s="2">
        <v>5.0400000000000002E-3</v>
      </c>
      <c r="J5" s="2">
        <v>1.4E-2</v>
      </c>
      <c r="K5" s="1">
        <v>2.79</v>
      </c>
      <c r="L5" s="2">
        <v>4.0499999999999998E-3</v>
      </c>
      <c r="M5" s="2">
        <v>1.1599999999999999E-2</v>
      </c>
      <c r="Q5" s="4">
        <f>23*60+16</f>
        <v>1396</v>
      </c>
      <c r="R5" s="4">
        <f>27*60+13</f>
        <v>1633</v>
      </c>
      <c r="S5" s="5">
        <v>3.9500009999999999</v>
      </c>
      <c r="T5" s="5">
        <v>3.1470000000000001E-3</v>
      </c>
      <c r="U5" s="5">
        <v>5.0899999999999999E-3</v>
      </c>
      <c r="V5" s="5">
        <v>1.1045149999999999</v>
      </c>
      <c r="W5" s="5">
        <v>2.7880000000000001E-3</v>
      </c>
      <c r="X5" s="5">
        <v>4.2940000000000001E-3</v>
      </c>
      <c r="Y5" s="5">
        <v>3.1470000000000001E-3</v>
      </c>
      <c r="Z5" s="5">
        <v>5.0899999999999999E-3</v>
      </c>
      <c r="AA5" s="5">
        <v>1.1045149999999999</v>
      </c>
      <c r="AB5" s="5">
        <v>2.7880000000000001E-3</v>
      </c>
      <c r="AC5" s="5">
        <v>4.2940000000000001E-3</v>
      </c>
    </row>
    <row r="6" spans="1:29" ht="15" x14ac:dyDescent="0.25">
      <c r="A6" s="1">
        <f>68*60+21</f>
        <v>4101</v>
      </c>
      <c r="B6" s="1">
        <f>(1*60+10)*60+28</f>
        <v>4228</v>
      </c>
      <c r="C6" s="1">
        <v>2.11</v>
      </c>
      <c r="D6" s="2">
        <v>5.7700000000000004E-4</v>
      </c>
      <c r="E6" s="2">
        <v>2.5000000000000001E-3</v>
      </c>
      <c r="F6" s="2">
        <v>0.105</v>
      </c>
      <c r="G6" s="2">
        <v>5.1400000000000003E-4</v>
      </c>
      <c r="H6" s="2">
        <v>2.1299999999999999E-3</v>
      </c>
      <c r="I6" s="2">
        <v>3.6700000000000001E-3</v>
      </c>
      <c r="J6" s="2">
        <v>5.4599999999999996E-3</v>
      </c>
      <c r="K6" s="2">
        <v>0.68799999999999994</v>
      </c>
      <c r="L6" s="2">
        <v>3.0100000000000001E-3</v>
      </c>
      <c r="M6" s="2">
        <v>4.6600000000000001E-3</v>
      </c>
      <c r="Q6" s="4">
        <f>49*60+19</f>
        <v>2959</v>
      </c>
      <c r="R6" s="4">
        <f>56*60+24</f>
        <v>3384</v>
      </c>
      <c r="S6" s="5">
        <v>22.100020000000001</v>
      </c>
      <c r="T6" s="5">
        <v>2.4674000000000001E-2</v>
      </c>
      <c r="U6" s="5">
        <v>8.9513999999999996E-2</v>
      </c>
      <c r="V6" s="5">
        <v>47.084040000000002</v>
      </c>
      <c r="W6" s="5">
        <v>2.2023000000000001E-2</v>
      </c>
      <c r="X6" s="5">
        <v>8.0008999999999997E-2</v>
      </c>
      <c r="Y6" s="5">
        <v>2.4674000000000001E-2</v>
      </c>
      <c r="Z6" s="5">
        <v>8.9513999999999996E-2</v>
      </c>
      <c r="AA6" s="5">
        <v>47.084040000000002</v>
      </c>
      <c r="AB6" s="5">
        <v>2.2023000000000001E-2</v>
      </c>
      <c r="AC6" s="5">
        <v>8.0008999999999997E-2</v>
      </c>
    </row>
    <row r="7" spans="1:29" ht="15" x14ac:dyDescent="0.25">
      <c r="A7" s="1">
        <f>(1*60+23)*60+5</f>
        <v>4985</v>
      </c>
      <c r="B7" s="1">
        <f>(1*60+29)*60+45</f>
        <v>5385</v>
      </c>
      <c r="C7" s="1">
        <v>6.67</v>
      </c>
      <c r="D7" s="2">
        <v>6.7299999999999999E-4</v>
      </c>
      <c r="E7" s="2">
        <v>2.1099999999999999E-3</v>
      </c>
      <c r="F7" s="2">
        <v>0.43099999999999999</v>
      </c>
      <c r="G7" s="2">
        <v>5.7499999999999999E-4</v>
      </c>
      <c r="H7" s="2">
        <v>1.75E-3</v>
      </c>
      <c r="I7" s="2">
        <v>1.23E-3</v>
      </c>
      <c r="J7" s="2">
        <v>4.2300000000000003E-3</v>
      </c>
      <c r="K7" s="2">
        <v>0.748</v>
      </c>
      <c r="L7" s="2">
        <v>1.1100000000000001E-3</v>
      </c>
      <c r="M7" s="2">
        <v>3.8300000000000001E-3</v>
      </c>
      <c r="Q7" s="4">
        <f>(1*60+8)*60+44</f>
        <v>4124</v>
      </c>
      <c r="R7" s="4">
        <f>(1*60+13)*60+39</f>
        <v>4419</v>
      </c>
      <c r="S7" s="5">
        <v>7.0899900000000002</v>
      </c>
      <c r="T7" s="5">
        <v>1.4255E-2</v>
      </c>
      <c r="U7" s="5">
        <v>4.9320000000000003E-2</v>
      </c>
      <c r="V7" s="5">
        <v>8.6954809999999991</v>
      </c>
      <c r="W7" s="5">
        <v>1.2499E-2</v>
      </c>
      <c r="X7" s="5">
        <v>4.2251999999999998E-2</v>
      </c>
      <c r="Y7" s="5">
        <v>1.4255E-2</v>
      </c>
      <c r="Z7" s="5">
        <v>4.9320000000000003E-2</v>
      </c>
      <c r="AA7" s="5">
        <v>8.6954809999999991</v>
      </c>
      <c r="AB7" s="5">
        <v>1.2499E-2</v>
      </c>
      <c r="AC7" s="5">
        <v>4.2251999999999998E-2</v>
      </c>
    </row>
    <row r="8" spans="1:29" ht="15" x14ac:dyDescent="0.25">
      <c r="A8" s="1">
        <f>(1*60+40)*60+40</f>
        <v>6040</v>
      </c>
      <c r="B8" s="1">
        <f>(1*60+51)*60+42</f>
        <v>6702</v>
      </c>
      <c r="C8" s="1">
        <v>11.04</v>
      </c>
      <c r="D8" s="2">
        <v>3.65E-3</v>
      </c>
      <c r="E8" s="2">
        <v>1.0200000000000001E-2</v>
      </c>
      <c r="F8" s="1">
        <v>3.51</v>
      </c>
      <c r="G8" s="2">
        <v>3.3500000000000001E-3</v>
      </c>
      <c r="H8" s="2">
        <v>8.9700000000000005E-3</v>
      </c>
      <c r="I8" s="2">
        <v>5.7099999999999998E-3</v>
      </c>
      <c r="J8" s="2">
        <v>2.12E-2</v>
      </c>
      <c r="K8" s="1">
        <v>5.89</v>
      </c>
      <c r="L8" s="2">
        <v>5.3400000000000001E-3</v>
      </c>
      <c r="M8" s="2">
        <v>1.9699999999999999E-2</v>
      </c>
      <c r="Q8" s="4">
        <f>(1*60+17)*60+49</f>
        <v>4669</v>
      </c>
      <c r="R8" s="4">
        <f>(1*60+22)*60+29</f>
        <v>4949</v>
      </c>
      <c r="S8" s="5">
        <v>12.33</v>
      </c>
      <c r="T8" s="5">
        <v>8.2830000000000004E-3</v>
      </c>
      <c r="U8" s="5">
        <v>2.5232000000000001E-2</v>
      </c>
      <c r="V8" s="5">
        <v>9.1686049999999994</v>
      </c>
      <c r="W8" s="5">
        <v>7.2139999999999999E-3</v>
      </c>
      <c r="X8" s="5">
        <v>2.1066999999999999E-2</v>
      </c>
      <c r="Y8" s="5">
        <v>8.2830000000000004E-3</v>
      </c>
      <c r="Z8" s="5">
        <v>2.5232000000000001E-2</v>
      </c>
      <c r="AA8" s="5">
        <v>9.1686049999999994</v>
      </c>
      <c r="AB8" s="5">
        <v>7.2139999999999999E-3</v>
      </c>
      <c r="AC8" s="5">
        <v>2.1066999999999999E-2</v>
      </c>
    </row>
    <row r="9" spans="1:29" ht="15" x14ac:dyDescent="0.25">
      <c r="A9" s="1">
        <f>(2*60+17)*60+18</f>
        <v>8238</v>
      </c>
      <c r="B9" s="1">
        <f>(2*60+27)*60+46</f>
        <v>8866</v>
      </c>
      <c r="C9" s="1">
        <v>10.46</v>
      </c>
      <c r="D9" s="2">
        <v>3.9300000000000003E-3</v>
      </c>
      <c r="E9" s="2">
        <v>1.2800000000000001E-2</v>
      </c>
      <c r="F9" s="1">
        <v>3.48</v>
      </c>
      <c r="G9" s="2">
        <v>3.3800000000000002E-3</v>
      </c>
      <c r="H9" s="2">
        <v>1.09E-2</v>
      </c>
      <c r="I9" s="2">
        <v>1.6800000000000001E-3</v>
      </c>
      <c r="J9" s="2">
        <v>4.0699999999999998E-3</v>
      </c>
      <c r="K9" s="1">
        <v>1.55</v>
      </c>
      <c r="L9" s="2">
        <v>1.5E-3</v>
      </c>
      <c r="M9" s="2">
        <v>3.5799999999999998E-3</v>
      </c>
      <c r="Q9" s="4">
        <f>(1*60+34)*60+53</f>
        <v>5693</v>
      </c>
      <c r="R9" s="4">
        <f>(1*60+37)*60+42</f>
        <v>5862</v>
      </c>
      <c r="S9" s="5">
        <v>4.9200100000000004</v>
      </c>
      <c r="T9" s="5">
        <v>1.5907000000000001E-2</v>
      </c>
      <c r="U9" s="5">
        <v>6.2799999999999995E-2</v>
      </c>
      <c r="V9" s="5">
        <v>6.9644909999999998</v>
      </c>
      <c r="W9" s="5">
        <v>1.3833E-2</v>
      </c>
      <c r="X9" s="5">
        <v>5.3383E-2</v>
      </c>
      <c r="Y9" s="5">
        <v>1.5907000000000001E-2</v>
      </c>
      <c r="Z9" s="5">
        <v>6.2799999999999995E-2</v>
      </c>
      <c r="AA9" s="5">
        <v>6.9644909999999998</v>
      </c>
      <c r="AB9" s="5">
        <v>1.3833E-2</v>
      </c>
      <c r="AC9" s="5">
        <v>5.3383E-2</v>
      </c>
    </row>
    <row r="10" spans="1:29" ht="15" x14ac:dyDescent="0.25">
      <c r="A10" s="1">
        <f>(2*60+37)*60+38</f>
        <v>9458</v>
      </c>
      <c r="B10" s="1">
        <f>(2*60+46)*60+51</f>
        <v>10011</v>
      </c>
      <c r="C10" s="1">
        <v>9.2200000000000006</v>
      </c>
      <c r="D10" s="2">
        <v>5.13E-3</v>
      </c>
      <c r="E10" s="2">
        <v>1.7000000000000001E-2</v>
      </c>
      <c r="F10" s="1">
        <v>4.1500000000000004</v>
      </c>
      <c r="G10" s="2">
        <v>4.3899999999999998E-3</v>
      </c>
      <c r="H10" s="2">
        <v>1.44E-2</v>
      </c>
      <c r="I10" s="2">
        <v>3.32E-3</v>
      </c>
      <c r="J10" s="2">
        <v>6.13E-3</v>
      </c>
      <c r="K10" s="1">
        <v>2.87</v>
      </c>
      <c r="L10" s="2">
        <v>2.99E-3</v>
      </c>
      <c r="M10" s="2">
        <v>5.8100000000000001E-3</v>
      </c>
      <c r="Q10" s="4">
        <f>(1*60+40)*60+34</f>
        <v>6034</v>
      </c>
      <c r="R10" s="4">
        <f>(1*60+44)*60+46</f>
        <v>6286</v>
      </c>
      <c r="S10" s="5">
        <v>4.1599909999999998</v>
      </c>
      <c r="T10" s="5">
        <v>2.5820000000000001E-3</v>
      </c>
      <c r="U10" s="5">
        <v>5.4970000000000001E-3</v>
      </c>
      <c r="V10" s="5">
        <v>0.97357000000000005</v>
      </c>
      <c r="W10" s="5">
        <v>2.333E-3</v>
      </c>
      <c r="X10" s="5">
        <v>4.6990000000000001E-3</v>
      </c>
      <c r="Y10" s="5">
        <v>2.5820000000000001E-3</v>
      </c>
      <c r="Z10" s="5">
        <v>5.4970000000000001E-3</v>
      </c>
      <c r="AA10" s="5">
        <v>0.97357000000000005</v>
      </c>
      <c r="AB10" s="5">
        <v>2.333E-3</v>
      </c>
      <c r="AC10" s="5">
        <v>4.6990000000000001E-3</v>
      </c>
    </row>
    <row r="11" spans="1:29" ht="15" x14ac:dyDescent="0.25">
      <c r="A11" s="1">
        <f>(3*60+5)*60+7</f>
        <v>11107</v>
      </c>
      <c r="B11" s="1">
        <f>(3*60+15)*60+40</f>
        <v>11740</v>
      </c>
      <c r="C11" s="1">
        <v>10.55</v>
      </c>
      <c r="D11" s="2">
        <v>7.7400000000000004E-3</v>
      </c>
      <c r="E11" s="2">
        <v>9.5499999999999995E-3</v>
      </c>
      <c r="F11" s="1">
        <v>7.29</v>
      </c>
      <c r="G11" s="2">
        <v>6.77E-3</v>
      </c>
      <c r="H11" s="2">
        <v>8.1099999999999992E-3</v>
      </c>
      <c r="I11" s="2">
        <v>1.8400000000000001E-3</v>
      </c>
      <c r="J11" s="2">
        <v>6.8900000000000003E-3</v>
      </c>
      <c r="K11" s="1">
        <v>1.73</v>
      </c>
      <c r="L11" s="2">
        <v>1.66E-3</v>
      </c>
      <c r="M11" s="2">
        <v>5.8700000000000002E-3</v>
      </c>
      <c r="Q11" s="4">
        <f>(1*60+52)*60+52</f>
        <v>6772</v>
      </c>
      <c r="R11" s="4">
        <f>(1*60+54)*60+12</f>
        <v>6852</v>
      </c>
      <c r="S11" s="5">
        <v>4.6699989999999998</v>
      </c>
      <c r="T11" s="5">
        <v>3.055E-3</v>
      </c>
      <c r="U11" s="5">
        <v>4.5849999999999997E-3</v>
      </c>
      <c r="V11" s="5">
        <v>1.250111</v>
      </c>
      <c r="W11" s="5">
        <v>2.6870000000000002E-3</v>
      </c>
      <c r="X11" s="5">
        <v>4.052E-3</v>
      </c>
      <c r="Y11" s="5">
        <v>3.055E-3</v>
      </c>
      <c r="Z11" s="5">
        <v>4.5849999999999997E-3</v>
      </c>
      <c r="AA11" s="5">
        <v>1.250111</v>
      </c>
      <c r="AB11" s="5">
        <v>2.6870000000000002E-3</v>
      </c>
      <c r="AC11" s="5">
        <v>4.052E-3</v>
      </c>
    </row>
    <row r="12" spans="1:29" ht="15" x14ac:dyDescent="0.25">
      <c r="A12" s="1">
        <f>(3*60+25)*60+1</f>
        <v>12301</v>
      </c>
      <c r="B12" s="1">
        <f>(3*60+34)*60+35</f>
        <v>12875</v>
      </c>
      <c r="C12" s="1">
        <v>9.57</v>
      </c>
      <c r="D12" s="2">
        <v>1.8E-3</v>
      </c>
      <c r="E12" s="2">
        <v>7.3200000000000001E-3</v>
      </c>
      <c r="F12" s="1">
        <v>1.56</v>
      </c>
      <c r="G12" s="2">
        <v>1.6000000000000001E-3</v>
      </c>
      <c r="H12" s="2">
        <v>6.3200000000000001E-3</v>
      </c>
      <c r="I12" s="2">
        <v>0.01</v>
      </c>
      <c r="J12" s="2">
        <v>2.1299999999999999E-2</v>
      </c>
      <c r="K12" s="1">
        <v>8.6199999999999992</v>
      </c>
      <c r="L12" s="2">
        <v>8.9099999999999995E-3</v>
      </c>
      <c r="M12" s="2">
        <v>1.9099999999999999E-2</v>
      </c>
      <c r="Q12" s="4">
        <f>(1*60+57)*60+30</f>
        <v>7050</v>
      </c>
      <c r="R12" s="4">
        <f>(2*60+1)*60+25</f>
        <v>7285</v>
      </c>
      <c r="S12" s="5">
        <v>12.4</v>
      </c>
      <c r="T12" s="5">
        <v>2.1402000000000001E-2</v>
      </c>
      <c r="U12" s="5">
        <v>7.0995000000000003E-2</v>
      </c>
      <c r="V12" s="5">
        <v>22.13814</v>
      </c>
      <c r="W12" s="5">
        <v>1.8522E-2</v>
      </c>
      <c r="X12" s="5">
        <v>6.2742000000000006E-2</v>
      </c>
      <c r="Y12" s="5">
        <v>2.1402000000000001E-2</v>
      </c>
      <c r="Z12" s="5">
        <v>7.0995000000000003E-2</v>
      </c>
      <c r="AA12" s="5">
        <v>22.13814</v>
      </c>
      <c r="AB12" s="5">
        <v>1.8522E-2</v>
      </c>
      <c r="AC12" s="5">
        <v>6.2742000000000006E-2</v>
      </c>
    </row>
    <row r="13" spans="1:29" ht="15" x14ac:dyDescent="0.25">
      <c r="A13" s="1">
        <f>(3*60+40)*60+26</f>
        <v>13226</v>
      </c>
      <c r="B13" s="1">
        <f>(3*60+46)*60+38</f>
        <v>13598</v>
      </c>
      <c r="C13" s="1">
        <v>6.2</v>
      </c>
      <c r="D13" s="2">
        <v>2.7200000000000002E-3</v>
      </c>
      <c r="E13" s="2">
        <v>6.0400000000000002E-3</v>
      </c>
      <c r="F13" s="1">
        <v>1.49</v>
      </c>
      <c r="G13" s="2">
        <v>2.3800000000000002E-3</v>
      </c>
      <c r="H13" s="2">
        <v>5.1900000000000002E-3</v>
      </c>
      <c r="I13" s="2">
        <v>1.1299999999999999E-2</v>
      </c>
      <c r="J13" s="2">
        <v>1.5800000000000002E-2</v>
      </c>
      <c r="K13" s="1">
        <v>6.5</v>
      </c>
      <c r="L13" s="2">
        <v>1.01E-2</v>
      </c>
      <c r="M13" s="2">
        <v>1.41E-2</v>
      </c>
      <c r="Q13" s="4">
        <f>(2*60+8)*60+16</f>
        <v>7696</v>
      </c>
      <c r="R13" s="4">
        <f>(2*60+9)*60+40</f>
        <v>7780</v>
      </c>
      <c r="S13" s="5">
        <v>2.8199930000000002</v>
      </c>
      <c r="T13" s="5">
        <v>3.9300000000000001E-4</v>
      </c>
      <c r="U13" s="5">
        <v>1.096E-3</v>
      </c>
      <c r="V13" s="5">
        <v>9.7123000000000001E-2</v>
      </c>
      <c r="W13" s="5">
        <v>3.6600000000000001E-4</v>
      </c>
      <c r="X13" s="5">
        <v>9.8299999999999993E-4</v>
      </c>
      <c r="Y13" s="5">
        <v>3.9300000000000001E-4</v>
      </c>
      <c r="Z13" s="5">
        <v>1.096E-3</v>
      </c>
      <c r="AA13" s="5">
        <v>9.7123000000000001E-2</v>
      </c>
      <c r="AB13" s="5">
        <v>3.6600000000000001E-4</v>
      </c>
      <c r="AC13" s="5">
        <v>9.8299999999999993E-4</v>
      </c>
    </row>
    <row r="14" spans="1:29" ht="15" x14ac:dyDescent="0.25">
      <c r="A14" s="1">
        <f>(3*60+53)*60+33</f>
        <v>14013</v>
      </c>
      <c r="B14" s="1">
        <f>(3*60+57)*60+2</f>
        <v>14222</v>
      </c>
      <c r="C14" s="1">
        <v>3.48</v>
      </c>
      <c r="D14" s="2">
        <v>2.9199999999999999E-3</v>
      </c>
      <c r="E14" s="2">
        <v>1.0800000000000001E-2</v>
      </c>
      <c r="F14" s="2">
        <v>0.97499999999999998</v>
      </c>
      <c r="G14" s="2">
        <v>2.5899999999999999E-3</v>
      </c>
      <c r="H14" s="2">
        <v>9.1000000000000004E-3</v>
      </c>
      <c r="I14" s="2">
        <v>4.2399999999999998E-3</v>
      </c>
      <c r="J14" s="2">
        <v>6.6299999999999996E-3</v>
      </c>
      <c r="K14" s="1">
        <v>1.33</v>
      </c>
      <c r="L14" s="2">
        <v>3.8300000000000001E-3</v>
      </c>
      <c r="M14" s="2">
        <v>5.94E-3</v>
      </c>
      <c r="Q14" s="4">
        <f>(2*60+12)*60+16</f>
        <v>7936</v>
      </c>
      <c r="R14" s="4">
        <f>(2*60+14)*60+35</f>
        <v>8075</v>
      </c>
      <c r="S14" s="5">
        <v>2.8600059999999998</v>
      </c>
      <c r="T14" s="5">
        <v>2.3050000000000002E-3</v>
      </c>
      <c r="U14" s="5">
        <v>4.5630000000000002E-3</v>
      </c>
      <c r="V14" s="5">
        <v>0.60281399999999996</v>
      </c>
      <c r="W14" s="5">
        <v>2.0790000000000001E-3</v>
      </c>
      <c r="X14" s="5">
        <v>3.9890000000000004E-3</v>
      </c>
      <c r="Y14" s="5">
        <v>2.3050000000000002E-3</v>
      </c>
      <c r="Z14" s="5">
        <v>4.5630000000000002E-3</v>
      </c>
      <c r="AA14" s="5">
        <v>0.60281399999999996</v>
      </c>
      <c r="AB14" s="5">
        <v>2.0790000000000001E-3</v>
      </c>
      <c r="AC14" s="5">
        <v>3.9890000000000004E-3</v>
      </c>
    </row>
    <row r="15" spans="1:29" ht="15" x14ac:dyDescent="0.25">
      <c r="A15" s="1">
        <f>(4*60+25)*60+34</f>
        <v>15934</v>
      </c>
      <c r="B15" s="1">
        <f>(4*60+28)*60+2</f>
        <v>16082</v>
      </c>
      <c r="C15" s="1">
        <v>2.4700000000000002</v>
      </c>
      <c r="D15" s="2">
        <v>5.6899999999999997E-3</v>
      </c>
      <c r="E15" s="2">
        <v>2.3E-2</v>
      </c>
      <c r="F15" s="1">
        <v>1.3</v>
      </c>
      <c r="G15" s="2">
        <v>5.1999999999999998E-3</v>
      </c>
      <c r="H15" s="2">
        <v>2.0799999999999999E-2</v>
      </c>
      <c r="I15" s="2">
        <v>1.7899999999999999E-2</v>
      </c>
      <c r="J15" s="2">
        <v>1.6799999999999999E-2</v>
      </c>
      <c r="K15" s="1">
        <v>3.89</v>
      </c>
      <c r="L15" s="2">
        <v>1.54E-2</v>
      </c>
      <c r="M15" s="2">
        <v>1.44E-2</v>
      </c>
      <c r="Q15" s="4">
        <f>(2*60+33)*60+32</f>
        <v>9212</v>
      </c>
      <c r="R15" s="4">
        <f>(2*60+38)*60+47</f>
        <v>9527</v>
      </c>
      <c r="S15" s="5">
        <v>4.2000010000000003</v>
      </c>
      <c r="T15" s="5">
        <v>1.8079999999999999E-3</v>
      </c>
      <c r="U15" s="5">
        <v>3.9160000000000002E-3</v>
      </c>
      <c r="V15" s="5">
        <v>0.68523699999999999</v>
      </c>
      <c r="W15" s="5">
        <v>1.5709999999999999E-3</v>
      </c>
      <c r="X15" s="5">
        <v>3.3440000000000002E-3</v>
      </c>
      <c r="Y15" s="5">
        <v>1.8079999999999999E-3</v>
      </c>
      <c r="Z15" s="5">
        <v>3.9160000000000002E-3</v>
      </c>
      <c r="AA15" s="5">
        <v>0.68523699999999999</v>
      </c>
      <c r="AB15" s="5">
        <v>1.5709999999999999E-3</v>
      </c>
      <c r="AC15" s="5">
        <v>3.3440000000000002E-3</v>
      </c>
    </row>
    <row r="16" spans="1:29" ht="15" x14ac:dyDescent="0.25">
      <c r="A16" s="1">
        <f>(4*60+34)*60+7</f>
        <v>16447</v>
      </c>
      <c r="B16" s="1">
        <f>(4*60+37)*60+1</f>
        <v>16621</v>
      </c>
      <c r="C16" s="1">
        <v>2.9</v>
      </c>
      <c r="D16" s="2">
        <v>4.0899999999999999E-3</v>
      </c>
      <c r="E16" s="2">
        <v>1.7399999999999999E-2</v>
      </c>
      <c r="F16" s="1">
        <v>1.0900000000000001</v>
      </c>
      <c r="G16" s="2">
        <v>3.5000000000000001E-3</v>
      </c>
      <c r="H16" s="2">
        <v>1.46E-2</v>
      </c>
      <c r="I16" s="2">
        <v>9.5600000000000008E-3</v>
      </c>
      <c r="J16" s="2">
        <v>1.4800000000000001E-2</v>
      </c>
      <c r="K16" s="1">
        <v>2.4300000000000002</v>
      </c>
      <c r="L16" s="2">
        <v>8.2100000000000003E-3</v>
      </c>
      <c r="M16" s="2">
        <v>1.2699999999999999E-2</v>
      </c>
      <c r="Q16" s="4">
        <f>(2*60+49)*60+21</f>
        <v>10161</v>
      </c>
      <c r="R16" s="4">
        <f>(2*60+58)*60+57</f>
        <v>10737</v>
      </c>
      <c r="S16" s="5">
        <v>8.1000069999999997</v>
      </c>
      <c r="T16" s="5">
        <v>1.7409999999999999E-3</v>
      </c>
      <c r="U16" s="5">
        <v>4.0350000000000004E-3</v>
      </c>
      <c r="V16" s="5">
        <v>1.269836</v>
      </c>
      <c r="W16" s="5">
        <v>1.529E-3</v>
      </c>
      <c r="X16" s="5">
        <v>3.4359999999999998E-3</v>
      </c>
      <c r="Y16" s="5">
        <v>1.7409999999999999E-3</v>
      </c>
      <c r="Z16" s="5">
        <v>4.0350000000000004E-3</v>
      </c>
      <c r="AA16" s="5">
        <v>1.269836</v>
      </c>
      <c r="AB16" s="5">
        <v>1.529E-3</v>
      </c>
      <c r="AC16" s="5">
        <v>3.4359999999999998E-3</v>
      </c>
    </row>
    <row r="17" spans="1:29" ht="15" x14ac:dyDescent="0.25">
      <c r="A17" s="1">
        <f>(4*60+42)*60+28</f>
        <v>16948</v>
      </c>
      <c r="B17" s="1">
        <f>(4*60+47)*60+28</f>
        <v>17248</v>
      </c>
      <c r="C17" s="1">
        <v>5</v>
      </c>
      <c r="D17" s="2">
        <v>1.5299999999999999E-2</v>
      </c>
      <c r="E17" s="2">
        <v>2.5100000000000001E-2</v>
      </c>
      <c r="F17" s="1">
        <v>6.87</v>
      </c>
      <c r="G17" s="2">
        <v>1.3599999999999999E-2</v>
      </c>
      <c r="H17" s="2">
        <v>2.1499999999999998E-2</v>
      </c>
      <c r="I17" s="2">
        <v>4.8799999999999998E-3</v>
      </c>
      <c r="J17" s="2">
        <v>7.3899999999999999E-3</v>
      </c>
      <c r="K17" s="1">
        <v>2.23</v>
      </c>
      <c r="L17" s="2">
        <v>4.1599999999999996E-3</v>
      </c>
      <c r="M17" s="2">
        <v>6.1000000000000004E-3</v>
      </c>
      <c r="Q17" s="4">
        <f>(3*60+8)*60+27</f>
        <v>11307</v>
      </c>
      <c r="R17" s="4">
        <f>(3*60+10)*60+15</f>
        <v>11415</v>
      </c>
      <c r="S17" s="5">
        <v>1.3400019999999999</v>
      </c>
      <c r="T17" s="5">
        <v>7.4500000000000001E-10</v>
      </c>
      <c r="U17" s="5">
        <v>3.2799999999999998E-9</v>
      </c>
      <c r="V17" s="5">
        <v>1.3400000000000001E-7</v>
      </c>
      <c r="W17" s="5">
        <v>9.6399999999999998E-10</v>
      </c>
      <c r="X17" s="5">
        <v>5.0300000000000002E-9</v>
      </c>
      <c r="Y17" s="5">
        <v>7.4500000000000001E-10</v>
      </c>
      <c r="Z17" s="5">
        <v>3.2799999999999998E-9</v>
      </c>
      <c r="AA17" s="5">
        <v>1.3400000000000001E-7</v>
      </c>
      <c r="AB17" s="5">
        <v>9.6399999999999998E-10</v>
      </c>
      <c r="AC17" s="5">
        <v>5.0300000000000002E-9</v>
      </c>
    </row>
    <row r="18" spans="1:29" ht="15" x14ac:dyDescent="0.25">
      <c r="A18" s="1">
        <f>(4*60+51)*60+52</f>
        <v>17512</v>
      </c>
      <c r="B18" s="1">
        <f>(4*60+55)*60+31</f>
        <v>17731</v>
      </c>
      <c r="C18" s="1">
        <v>3.65</v>
      </c>
      <c r="D18" s="2">
        <v>1.55E-2</v>
      </c>
      <c r="E18" s="2">
        <v>2.35E-2</v>
      </c>
      <c r="F18" s="1">
        <v>4.8899999999999997</v>
      </c>
      <c r="G18" s="2">
        <v>1.38E-2</v>
      </c>
      <c r="H18" s="2">
        <v>2.0299999999999999E-2</v>
      </c>
      <c r="I18" s="2">
        <v>1.07E-3</v>
      </c>
      <c r="J18" s="2">
        <v>1.9499999999999999E-3</v>
      </c>
      <c r="K18" s="2">
        <v>0.34499999999999997</v>
      </c>
      <c r="L18" s="2">
        <v>9.7099999999999997E-4</v>
      </c>
      <c r="M18" s="2">
        <v>1.6900000000000001E-3</v>
      </c>
      <c r="Q18" s="4">
        <f>(3*60+14)*60+56</f>
        <v>11696</v>
      </c>
      <c r="R18" s="4">
        <f>(3*60+18)*60+9</f>
        <v>11889</v>
      </c>
      <c r="S18" s="5">
        <v>3.2999900000000002</v>
      </c>
      <c r="T18" s="5">
        <v>3.4650000000000002E-3</v>
      </c>
      <c r="U18" s="5">
        <v>5.2300000000000003E-3</v>
      </c>
      <c r="V18" s="5">
        <v>1.017452</v>
      </c>
      <c r="W18" s="5">
        <v>3.1029999999999999E-3</v>
      </c>
      <c r="X18" s="5">
        <v>4.6519999999999999E-3</v>
      </c>
      <c r="Y18" s="5">
        <v>3.4650000000000002E-3</v>
      </c>
      <c r="Z18" s="5">
        <v>5.2300000000000003E-3</v>
      </c>
      <c r="AA18" s="5">
        <v>1.017452</v>
      </c>
      <c r="AB18" s="5">
        <v>3.1029999999999999E-3</v>
      </c>
      <c r="AC18" s="5">
        <v>4.6519999999999999E-3</v>
      </c>
    </row>
    <row r="19" spans="1:29" ht="15" x14ac:dyDescent="0.25">
      <c r="A19" s="1">
        <f>(5*60+9)*60+21</f>
        <v>18561</v>
      </c>
      <c r="B19" s="1">
        <f>(5*60+13)*60+23</f>
        <v>18803</v>
      </c>
      <c r="C19" s="1">
        <v>4.03</v>
      </c>
      <c r="D19" s="2">
        <v>4.2000000000000003E-2</v>
      </c>
      <c r="E19" s="2">
        <v>5.96E-2</v>
      </c>
      <c r="F19" s="1">
        <v>14.35</v>
      </c>
      <c r="G19" s="2">
        <v>3.6900000000000002E-2</v>
      </c>
      <c r="H19" s="2">
        <v>5.3900000000000003E-2</v>
      </c>
      <c r="I19" s="2">
        <v>9.1100000000000003E-4</v>
      </c>
      <c r="J19" s="2">
        <v>1.2600000000000001E-3</v>
      </c>
      <c r="K19" s="2">
        <v>0.33700000000000002</v>
      </c>
      <c r="L19" s="2">
        <v>7.9000000000000001E-4</v>
      </c>
      <c r="M19" s="2">
        <v>1.09E-3</v>
      </c>
      <c r="Q19" s="4">
        <f>(3*60+25)*60+45</f>
        <v>12345</v>
      </c>
      <c r="R19" s="4">
        <f>(3*60+27)*60+13</f>
        <v>12433</v>
      </c>
      <c r="S19" s="5">
        <v>3.9099930000000001</v>
      </c>
      <c r="T19" s="5">
        <v>1.9530000000000001E-3</v>
      </c>
      <c r="U19" s="5">
        <v>3.3279999999999998E-3</v>
      </c>
      <c r="V19" s="5">
        <v>0.66596100000000003</v>
      </c>
      <c r="W19" s="5">
        <v>1.7600000000000001E-3</v>
      </c>
      <c r="X19" s="5">
        <v>2.9719999999999998E-3</v>
      </c>
      <c r="Y19" s="5">
        <v>1.9530000000000001E-3</v>
      </c>
      <c r="Z19" s="5">
        <v>3.3279999999999998E-3</v>
      </c>
      <c r="AA19" s="5">
        <v>0.66596100000000003</v>
      </c>
      <c r="AB19" s="5">
        <v>1.7600000000000001E-3</v>
      </c>
      <c r="AC19" s="5">
        <v>2.9719999999999998E-3</v>
      </c>
    </row>
    <row r="20" spans="1:29" ht="15" x14ac:dyDescent="0.25">
      <c r="A20" s="1">
        <f>(5*60+21)*60+36</f>
        <v>19296</v>
      </c>
      <c r="B20" s="1">
        <f>(5*60+28)*60+33</f>
        <v>19713</v>
      </c>
      <c r="C20" s="1">
        <v>6.95</v>
      </c>
      <c r="D20" s="2">
        <v>1.26E-2</v>
      </c>
      <c r="E20" s="2">
        <v>2.2200000000000001E-2</v>
      </c>
      <c r="F20" s="1">
        <v>7.83</v>
      </c>
      <c r="G20" s="2">
        <v>1.1599999999999999E-2</v>
      </c>
      <c r="H20" s="2">
        <v>2.0500000000000001E-2</v>
      </c>
      <c r="I20" s="2">
        <v>7.2100000000000003E-3</v>
      </c>
      <c r="J20" s="2">
        <v>1.9900000000000001E-2</v>
      </c>
      <c r="K20" s="1">
        <v>4.5199999999999996</v>
      </c>
      <c r="L20" s="2">
        <v>6.3400000000000001E-3</v>
      </c>
      <c r="M20" s="2">
        <v>1.7000000000000001E-2</v>
      </c>
      <c r="Q20" s="4">
        <f>(3*60+32)*60+25</f>
        <v>12745</v>
      </c>
      <c r="R20" s="4">
        <f>(3*60+35)*60+13</f>
        <v>12913</v>
      </c>
      <c r="S20" s="5">
        <v>6.8500009999999998</v>
      </c>
      <c r="T20" s="5">
        <v>2.0660000000000001E-3</v>
      </c>
      <c r="U20" s="5">
        <v>5.4489999999999999E-3</v>
      </c>
      <c r="V20" s="5">
        <v>1.2218990000000001</v>
      </c>
      <c r="W20" s="5">
        <v>1.815E-3</v>
      </c>
      <c r="X20" s="5">
        <v>4.7149999999999996E-3</v>
      </c>
      <c r="Y20" s="5">
        <v>2.0660000000000001E-3</v>
      </c>
      <c r="Z20" s="5">
        <v>5.4489999999999999E-3</v>
      </c>
      <c r="AA20" s="5">
        <v>1.2218990000000001</v>
      </c>
      <c r="AB20" s="5">
        <v>1.815E-3</v>
      </c>
      <c r="AC20" s="5">
        <v>4.7149999999999996E-3</v>
      </c>
    </row>
    <row r="21" spans="1:29" ht="17.25" x14ac:dyDescent="0.4">
      <c r="A21" s="1">
        <f>(5*60+39)*60+43</f>
        <v>20383</v>
      </c>
      <c r="B21" s="1">
        <f>(5*60+43)*60+45</f>
        <v>20625</v>
      </c>
      <c r="C21" s="1">
        <v>4.0400010000000002</v>
      </c>
      <c r="D21" s="2">
        <v>1.6801798E-2</v>
      </c>
      <c r="E21" s="2">
        <v>2.3633619000000002E-2</v>
      </c>
      <c r="F21" s="1">
        <v>5.8987332520000004</v>
      </c>
      <c r="G21" s="2">
        <v>1.3987726000000001E-2</v>
      </c>
      <c r="H21" s="2">
        <v>1.9684349E-2</v>
      </c>
      <c r="I21" s="2">
        <v>1.6801798E-2</v>
      </c>
      <c r="J21" s="2">
        <v>2.3633619000000002E-2</v>
      </c>
      <c r="K21" s="1">
        <v>5.8987332520000004</v>
      </c>
      <c r="L21" s="2">
        <v>1.3987726000000001E-2</v>
      </c>
      <c r="M21" s="2">
        <v>1.9684349E-2</v>
      </c>
      <c r="O21" s="1"/>
      <c r="P21" s="1"/>
      <c r="Q21" s="4">
        <f>(3*60+41)*60+39</f>
        <v>13299</v>
      </c>
      <c r="R21" s="4">
        <f>(3*60+43)*60+30</f>
        <v>13410</v>
      </c>
      <c r="S21" s="5">
        <v>1.4</v>
      </c>
      <c r="T21" s="5">
        <v>1.091E-3</v>
      </c>
      <c r="U21" s="5">
        <v>2.036E-3</v>
      </c>
      <c r="V21" s="5">
        <v>0.133132</v>
      </c>
      <c r="W21" s="5">
        <v>9.6400000000000001E-4</v>
      </c>
      <c r="X21" s="5">
        <v>1.7619999999999999E-3</v>
      </c>
      <c r="Y21" s="5">
        <v>1.091E-3</v>
      </c>
      <c r="Z21" s="5">
        <v>2.036E-3</v>
      </c>
      <c r="AA21" s="5">
        <v>0.133132</v>
      </c>
      <c r="AB21" s="5">
        <v>9.6400000000000001E-4</v>
      </c>
      <c r="AC21" s="5">
        <v>1.7619999999999999E-3</v>
      </c>
    </row>
    <row r="22" spans="1:29" ht="15" x14ac:dyDescent="0.25">
      <c r="A22" s="1">
        <f>(5*60+49)*60+40</f>
        <v>20980</v>
      </c>
      <c r="B22" s="1">
        <f>(5*60+57)*60+28</f>
        <v>21448</v>
      </c>
      <c r="C22" s="1">
        <v>5.91</v>
      </c>
      <c r="D22" s="2">
        <v>6.6898679999999999E-3</v>
      </c>
      <c r="E22" s="2">
        <v>2.0722759E-2</v>
      </c>
      <c r="F22" s="2">
        <v>3.470156078</v>
      </c>
      <c r="G22" s="2">
        <v>5.8234710000000002E-3</v>
      </c>
      <c r="H22" s="2">
        <v>1.7182039999999999E-2</v>
      </c>
      <c r="I22" s="2">
        <v>6.6898679999999999E-3</v>
      </c>
      <c r="J22" s="2">
        <v>2.0722759E-2</v>
      </c>
      <c r="K22" s="1">
        <v>3.470156078</v>
      </c>
      <c r="L22" s="2">
        <v>5.8234710000000002E-3</v>
      </c>
      <c r="M22" s="2">
        <v>1.7182039999999999E-2</v>
      </c>
      <c r="O22" s="3"/>
      <c r="Q22" s="4">
        <f t="shared" ref="Q22:Q23" si="0">(3*60+49)*60+28</f>
        <v>13768</v>
      </c>
      <c r="R22" s="4">
        <f t="shared" ref="R22:R23" si="1">(3*60+55)*60+42</f>
        <v>14142</v>
      </c>
      <c r="S22" s="5">
        <v>2.6000130000000001</v>
      </c>
      <c r="T22" s="5">
        <v>1.9161999999999998E-2</v>
      </c>
      <c r="U22" s="5">
        <v>4.9502999999999998E-2</v>
      </c>
      <c r="V22" s="5">
        <v>4.1284859999999997</v>
      </c>
      <c r="W22" s="5">
        <v>1.7076999999999998E-2</v>
      </c>
      <c r="X22" s="5">
        <v>4.1195000000000002E-2</v>
      </c>
      <c r="Y22" s="5">
        <v>1.9161999999999998E-2</v>
      </c>
      <c r="Z22" s="5">
        <v>4.9502999999999998E-2</v>
      </c>
      <c r="AA22" s="5">
        <v>4.1284859999999997</v>
      </c>
      <c r="AB22" s="5">
        <v>1.7076999999999998E-2</v>
      </c>
      <c r="AC22" s="5">
        <v>4.1195000000000002E-2</v>
      </c>
    </row>
    <row r="23" spans="1:29" ht="15" x14ac:dyDescent="0.25">
      <c r="A23" s="1" t="s">
        <v>13</v>
      </c>
      <c r="C23" s="1">
        <f t="shared" ref="C23:M23" si="2">AVERAGE(C5:C22)</f>
        <v>6.1494445000000013</v>
      </c>
      <c r="D23" s="2">
        <f t="shared" si="2"/>
        <v>8.590648111111111E-3</v>
      </c>
      <c r="E23" s="2">
        <f t="shared" si="2"/>
        <v>1.7087576555555553E-2</v>
      </c>
      <c r="F23" s="1">
        <f t="shared" si="2"/>
        <v>4.0283271850000002</v>
      </c>
      <c r="G23" s="2">
        <f t="shared" si="2"/>
        <v>7.5572331666666666E-3</v>
      </c>
      <c r="H23" s="2">
        <f t="shared" si="2"/>
        <v>1.4874243833333335E-2</v>
      </c>
      <c r="I23" s="2">
        <f t="shared" si="2"/>
        <v>6.2807036666666658E-3</v>
      </c>
      <c r="J23" s="2">
        <f t="shared" si="2"/>
        <v>1.1787021000000002E-2</v>
      </c>
      <c r="K23" s="1">
        <f t="shared" si="2"/>
        <v>3.1020494072222227</v>
      </c>
      <c r="L23" s="2">
        <f t="shared" si="2"/>
        <v>5.4545664999999998E-3</v>
      </c>
      <c r="M23" s="2">
        <f t="shared" si="2"/>
        <v>1.0224243833333334E-2</v>
      </c>
      <c r="Q23" s="4">
        <f t="shared" si="0"/>
        <v>13768</v>
      </c>
      <c r="R23" s="4">
        <f t="shared" si="1"/>
        <v>14142</v>
      </c>
      <c r="S23" s="5">
        <v>2.3199930000000002</v>
      </c>
      <c r="T23" s="5">
        <v>1.3630000000000001E-3</v>
      </c>
      <c r="U23" s="5">
        <v>3.444E-3</v>
      </c>
      <c r="V23" s="5">
        <v>0.27605000000000002</v>
      </c>
      <c r="W23" s="5">
        <v>1.2849999999999999E-3</v>
      </c>
      <c r="X23" s="5">
        <v>3.212E-3</v>
      </c>
      <c r="Y23" s="5">
        <v>1.3630000000000001E-3</v>
      </c>
      <c r="Z23" s="5">
        <v>3.444E-3</v>
      </c>
      <c r="AA23" s="5">
        <v>0.27605000000000002</v>
      </c>
      <c r="AB23" s="5">
        <v>1.2849999999999999E-3</v>
      </c>
      <c r="AC23" s="5">
        <v>3.212E-3</v>
      </c>
    </row>
    <row r="24" spans="1:29" ht="15" x14ac:dyDescent="0.25">
      <c r="A24" t="s">
        <v>21</v>
      </c>
      <c r="C24">
        <f>_xlfn.STDEV.P(C5:C22)</f>
        <v>2.8683957016806105</v>
      </c>
      <c r="D24">
        <f t="shared" ref="D24:M24" si="3">_xlfn.STDEV.P(D5:D22)</f>
        <v>9.5053425867577934E-3</v>
      </c>
      <c r="E24">
        <f t="shared" si="3"/>
        <v>1.2595335075278527E-2</v>
      </c>
      <c r="F24">
        <f t="shared" si="3"/>
        <v>3.425010866280819</v>
      </c>
      <c r="G24">
        <f t="shared" si="3"/>
        <v>8.3418006905727378E-3</v>
      </c>
      <c r="H24">
        <f t="shared" si="3"/>
        <v>1.1375828812474904E-2</v>
      </c>
      <c r="I24">
        <f t="shared" si="3"/>
        <v>4.9579726872627768E-3</v>
      </c>
      <c r="J24">
        <f t="shared" si="3"/>
        <v>7.4031098368985138E-3</v>
      </c>
      <c r="K24">
        <f t="shared" si="3"/>
        <v>2.3065822448023194</v>
      </c>
      <c r="L24">
        <f t="shared" si="3"/>
        <v>4.2353224427054258E-3</v>
      </c>
      <c r="M24">
        <f t="shared" si="3"/>
        <v>6.4071786075950085E-3</v>
      </c>
      <c r="Q24" s="4">
        <f>(4*60+3)*60+39</f>
        <v>14619</v>
      </c>
      <c r="R24" s="4">
        <f>(4*60+4)*60+17</f>
        <v>14657</v>
      </c>
      <c r="S24" s="5">
        <v>18.95</v>
      </c>
      <c r="T24" s="5">
        <v>3.6697E-2</v>
      </c>
      <c r="U24" s="5">
        <v>0.13231799999999999</v>
      </c>
      <c r="V24" s="5">
        <v>59.070920000000001</v>
      </c>
      <c r="W24" s="5">
        <v>3.1115E-2</v>
      </c>
      <c r="X24" s="5">
        <v>0.11508699999999999</v>
      </c>
      <c r="Y24" s="5">
        <v>3.6697E-2</v>
      </c>
      <c r="Z24" s="5">
        <v>0.13231799999999999</v>
      </c>
      <c r="AA24" s="5">
        <v>59.070920000000001</v>
      </c>
      <c r="AB24" s="5">
        <v>3.1115E-2</v>
      </c>
      <c r="AC24" s="5">
        <v>0.11508699999999999</v>
      </c>
    </row>
    <row r="25" spans="1:29" ht="15" x14ac:dyDescent="0.25">
      <c r="Q25" s="4">
        <f>(4*60+8)*60+12</f>
        <v>14892</v>
      </c>
      <c r="R25" s="4">
        <f>(4*60+10)*60+38</f>
        <v>15038</v>
      </c>
      <c r="S25" s="5">
        <v>5.2500090000000004</v>
      </c>
      <c r="T25" s="5">
        <v>5.9259999999999998E-3</v>
      </c>
      <c r="U25" s="5">
        <v>9.0159999999999997E-3</v>
      </c>
      <c r="V25" s="5">
        <v>2.7627929999999998</v>
      </c>
      <c r="W25" s="5">
        <v>5.3550000000000004E-3</v>
      </c>
      <c r="X25" s="5">
        <v>7.8750000000000001E-3</v>
      </c>
      <c r="Y25" s="5">
        <v>5.9259999999999998E-3</v>
      </c>
      <c r="Z25" s="5">
        <v>9.0159999999999997E-3</v>
      </c>
      <c r="AA25" s="5">
        <v>2.7627929999999998</v>
      </c>
      <c r="AB25" s="5">
        <v>5.3550000000000004E-3</v>
      </c>
      <c r="AC25" s="5">
        <v>7.8750000000000001E-3</v>
      </c>
    </row>
    <row r="26" spans="1:29" ht="15" x14ac:dyDescent="0.25">
      <c r="Q26" s="4">
        <f>(4*60+19)*60+48</f>
        <v>15588</v>
      </c>
      <c r="R26" s="4">
        <f>(4*60+26)*60+20</f>
        <v>15980</v>
      </c>
      <c r="S26" s="5">
        <v>10.569990000000001</v>
      </c>
      <c r="T26" s="5">
        <v>3.1459999999999999E-3</v>
      </c>
      <c r="U26" s="5">
        <v>1.1361E-2</v>
      </c>
      <c r="V26" s="5">
        <v>2.8857409999999999</v>
      </c>
      <c r="W26" s="5">
        <v>2.8089999999999999E-3</v>
      </c>
      <c r="X26" s="5">
        <v>1.0388E-2</v>
      </c>
      <c r="Y26" s="5">
        <v>3.1459999999999999E-3</v>
      </c>
      <c r="Z26" s="5">
        <v>1.1361E-2</v>
      </c>
      <c r="AA26" s="5">
        <v>2.8857409999999999</v>
      </c>
      <c r="AB26" s="5">
        <v>2.8089999999999999E-3</v>
      </c>
      <c r="AC26" s="5">
        <v>1.0388E-2</v>
      </c>
    </row>
    <row r="27" spans="1:29" ht="15.75" customHeight="1" x14ac:dyDescent="0.25">
      <c r="Q27" s="4">
        <f>(5*60+14)*60+35</f>
        <v>18875</v>
      </c>
      <c r="R27" s="4">
        <f>(5*60+16)*60+36</f>
        <v>18996</v>
      </c>
      <c r="S27" s="5">
        <v>9.6000010000000007</v>
      </c>
      <c r="T27" s="5">
        <v>1.6382000000000001E-2</v>
      </c>
      <c r="U27" s="5">
        <v>4.1764999999999997E-2</v>
      </c>
      <c r="V27" s="5">
        <v>13.618880000000001</v>
      </c>
      <c r="W27" s="5">
        <v>1.4683999999999999E-2</v>
      </c>
      <c r="X27" s="5">
        <v>3.5755000000000002E-2</v>
      </c>
      <c r="Y27" s="5">
        <v>1.6382000000000001E-2</v>
      </c>
      <c r="Z27" s="5">
        <v>4.1764999999999997E-2</v>
      </c>
      <c r="AA27" s="5">
        <v>13.618880000000001</v>
      </c>
      <c r="AB27" s="5">
        <v>1.4683999999999999E-2</v>
      </c>
      <c r="AC27" s="5">
        <v>3.5755000000000002E-2</v>
      </c>
    </row>
    <row r="28" spans="1:29" ht="15.75" customHeight="1" x14ac:dyDescent="0.25">
      <c r="Q28" s="4">
        <f>(5*60+31)*60</f>
        <v>19860</v>
      </c>
      <c r="R28" s="4">
        <f>(5*60+42)*60+57</f>
        <v>20577</v>
      </c>
      <c r="S28" s="5">
        <v>9.5</v>
      </c>
      <c r="T28" s="5">
        <v>3.5180999999999997E-2</v>
      </c>
      <c r="U28" s="5">
        <v>7.2648000000000004E-2</v>
      </c>
      <c r="V28" s="5">
        <v>28.342860000000002</v>
      </c>
      <c r="W28" s="5">
        <v>3.0669999999999999E-2</v>
      </c>
      <c r="X28" s="5">
        <v>6.4255999999999994E-2</v>
      </c>
      <c r="Y28" s="5">
        <v>3.5180999999999997E-2</v>
      </c>
      <c r="Z28" s="5">
        <v>7.2648000000000004E-2</v>
      </c>
      <c r="AA28" s="5">
        <v>28.342860000000002</v>
      </c>
      <c r="AB28" s="5">
        <v>3.0669999999999999E-2</v>
      </c>
      <c r="AC28" s="5">
        <v>6.4255999999999994E-2</v>
      </c>
    </row>
    <row r="29" spans="1:29" ht="15.75" customHeight="1" x14ac:dyDescent="0.25">
      <c r="Q29" s="4">
        <f>(5*60+51)*60+17</f>
        <v>21077</v>
      </c>
      <c r="R29" s="4">
        <f>(5*60+59)*60+4</f>
        <v>21544</v>
      </c>
      <c r="S29" s="5">
        <v>1.7999989999999999</v>
      </c>
      <c r="T29" s="5">
        <v>1.4994E-2</v>
      </c>
      <c r="U29" s="5">
        <v>4.0309999999999999E-2</v>
      </c>
      <c r="V29" s="5">
        <v>2.6073460000000002</v>
      </c>
      <c r="W29" s="5">
        <v>1.3835999999999999E-2</v>
      </c>
      <c r="X29" s="5">
        <v>3.5684E-2</v>
      </c>
      <c r="Y29" s="5">
        <v>1.4994E-2</v>
      </c>
      <c r="Z29" s="5">
        <v>4.0309999999999999E-2</v>
      </c>
      <c r="AA29" s="5">
        <v>2.6073460000000002</v>
      </c>
      <c r="AB29" s="5">
        <v>1.3835999999999999E-2</v>
      </c>
      <c r="AC29" s="5">
        <v>3.5684E-2</v>
      </c>
    </row>
    <row r="30" spans="1:29" ht="15.75" customHeight="1" x14ac:dyDescent="0.25">
      <c r="Q30" s="4">
        <f>(6*60+7)*60+26</f>
        <v>22046</v>
      </c>
      <c r="R30" s="4">
        <f>(6*60+13)*60+53</f>
        <v>22433</v>
      </c>
      <c r="S30" s="5">
        <v>4.68</v>
      </c>
      <c r="T30" s="5">
        <v>2.3180000000000002E-3</v>
      </c>
      <c r="U30" s="5">
        <v>1.1672999999999999E-2</v>
      </c>
      <c r="V30" s="5">
        <v>0.70359899999999997</v>
      </c>
      <c r="W30" s="5">
        <v>1.9499999999999999E-3</v>
      </c>
      <c r="X30" s="5">
        <v>7.4349999999999998E-3</v>
      </c>
      <c r="Y30" s="5">
        <v>2.3180000000000002E-3</v>
      </c>
      <c r="Z30" s="5">
        <v>1.1672999999999999E-2</v>
      </c>
      <c r="AA30" s="5">
        <v>0.70359899999999997</v>
      </c>
      <c r="AB30" s="5">
        <v>1.9499999999999999E-3</v>
      </c>
      <c r="AC30" s="5">
        <v>7.4349999999999998E-3</v>
      </c>
    </row>
    <row r="31" spans="1:29" ht="15.75" customHeight="1" x14ac:dyDescent="0.25">
      <c r="Q31" s="4">
        <f>(6*60+23)*60+13</f>
        <v>22993</v>
      </c>
      <c r="R31" s="4">
        <f>(6*60+28)*60+19</f>
        <v>23299</v>
      </c>
      <c r="S31" s="5">
        <v>3.22</v>
      </c>
      <c r="T31" s="5">
        <v>1.3283E-2</v>
      </c>
      <c r="U31" s="5">
        <v>3.7533999999999998E-2</v>
      </c>
      <c r="V31" s="5">
        <v>3.7630409999999999</v>
      </c>
      <c r="W31" s="5">
        <v>1.2052E-2</v>
      </c>
      <c r="X31" s="5">
        <v>3.3312000000000001E-2</v>
      </c>
      <c r="Y31" s="5">
        <v>1.3283E-2</v>
      </c>
      <c r="Z31" s="5">
        <v>3.7533999999999998E-2</v>
      </c>
      <c r="AA31" s="5">
        <v>3.7630409999999999</v>
      </c>
      <c r="AB31" s="5">
        <v>1.2052E-2</v>
      </c>
      <c r="AC31" s="5">
        <v>3.3312000000000001E-2</v>
      </c>
    </row>
    <row r="32" spans="1:29" ht="15.75" customHeight="1" x14ac:dyDescent="0.25">
      <c r="Q32" s="4">
        <f>(6*60+36)*60</f>
        <v>23760</v>
      </c>
      <c r="R32" s="4">
        <f>(6*60+42)*60+2</f>
        <v>24122</v>
      </c>
      <c r="S32" s="5">
        <v>7.6</v>
      </c>
      <c r="T32" s="5">
        <v>3.1619999999999999E-3</v>
      </c>
      <c r="U32" s="5">
        <v>7.6509999999999998E-3</v>
      </c>
      <c r="V32" s="5">
        <v>2.1909139999999998</v>
      </c>
      <c r="W32" s="5">
        <v>2.7529999999999998E-3</v>
      </c>
      <c r="X32" s="5">
        <v>6.3140000000000002E-3</v>
      </c>
      <c r="Y32" s="5">
        <v>3.1619999999999999E-3</v>
      </c>
      <c r="Z32" s="5">
        <v>7.6509999999999998E-3</v>
      </c>
      <c r="AA32" s="5">
        <v>2.1909139999999998</v>
      </c>
      <c r="AB32" s="5">
        <v>2.7529999999999998E-3</v>
      </c>
      <c r="AC32" s="5">
        <v>6.3140000000000002E-3</v>
      </c>
    </row>
    <row r="33" spans="2:29" ht="15.75" customHeight="1" x14ac:dyDescent="0.25">
      <c r="Q33" s="4">
        <f>(6*60+51)*60+57</f>
        <v>24717</v>
      </c>
      <c r="R33" s="4">
        <f>(6*60+59)*60+6</f>
        <v>25146</v>
      </c>
      <c r="S33" s="5">
        <v>1.4600010000000001</v>
      </c>
      <c r="T33" s="5">
        <v>2.5409999999999999E-3</v>
      </c>
      <c r="U33" s="5">
        <v>4.065E-3</v>
      </c>
      <c r="V33" s="5">
        <v>0.31978499999999999</v>
      </c>
      <c r="W33" s="5">
        <v>2.258E-3</v>
      </c>
      <c r="X33" s="5">
        <v>3.5230000000000001E-3</v>
      </c>
      <c r="Y33" s="5">
        <v>2.5409999999999999E-3</v>
      </c>
      <c r="Z33" s="5">
        <v>4.065E-3</v>
      </c>
      <c r="AA33" s="5">
        <v>0.31978499999999999</v>
      </c>
      <c r="AB33" s="5">
        <v>2.258E-3</v>
      </c>
      <c r="AC33" s="5">
        <v>3.5230000000000001E-3</v>
      </c>
    </row>
    <row r="34" spans="2:29" ht="15.75" customHeight="1" x14ac:dyDescent="0.25">
      <c r="Q34" s="4">
        <f>(7*60+9)*60+44</f>
        <v>25784</v>
      </c>
      <c r="R34" s="4">
        <f>(7*60+14)*60+40</f>
        <v>26080</v>
      </c>
      <c r="S34" s="5">
        <v>5.2</v>
      </c>
      <c r="T34" s="5">
        <v>8.3829999999999998E-3</v>
      </c>
      <c r="U34" s="5">
        <v>2.5950999999999998E-2</v>
      </c>
      <c r="V34" s="5">
        <v>3.87182</v>
      </c>
      <c r="W34" s="5">
        <v>7.3930000000000003E-3</v>
      </c>
      <c r="X34" s="5">
        <v>2.1916000000000001E-2</v>
      </c>
      <c r="Y34" s="5">
        <v>8.3829999999999998E-3</v>
      </c>
      <c r="Z34" s="5">
        <v>2.5950999999999998E-2</v>
      </c>
      <c r="AA34" s="5">
        <v>3.87182</v>
      </c>
      <c r="AB34" s="5">
        <v>7.3930000000000003E-3</v>
      </c>
      <c r="AC34" s="5">
        <v>2.1916000000000001E-2</v>
      </c>
    </row>
    <row r="35" spans="2:29" ht="15.75" customHeight="1" x14ac:dyDescent="0.25">
      <c r="Q35" s="4">
        <f>(7*60+22)*60+51</f>
        <v>26571</v>
      </c>
      <c r="R35" s="4">
        <f>(7*60+27)*60+5</f>
        <v>26825</v>
      </c>
      <c r="S35" s="5">
        <v>2.8</v>
      </c>
      <c r="T35" s="5">
        <v>1.3240000000000001E-3</v>
      </c>
      <c r="U35" s="5">
        <v>3.0869999999999999E-3</v>
      </c>
      <c r="V35" s="5">
        <v>0.32606800000000002</v>
      </c>
      <c r="W35" s="5">
        <v>1.1770000000000001E-3</v>
      </c>
      <c r="X35" s="5">
        <v>2.6129999999999999E-3</v>
      </c>
      <c r="Y35" s="5">
        <v>1.3240000000000001E-3</v>
      </c>
      <c r="Z35" s="5">
        <v>3.0869999999999999E-3</v>
      </c>
      <c r="AA35" s="5">
        <v>0.32606800000000002</v>
      </c>
      <c r="AB35" s="5">
        <v>1.1770000000000001E-3</v>
      </c>
      <c r="AC35" s="5">
        <v>2.6129999999999999E-3</v>
      </c>
    </row>
    <row r="36" spans="2:29" ht="14.25" x14ac:dyDescent="0.2">
      <c r="Q36" s="1" t="s">
        <v>13</v>
      </c>
      <c r="R36" s="4"/>
      <c r="S36" s="2">
        <f t="shared" ref="S36:AC36" si="4">AVERAGE(S5:S35)</f>
        <v>6.191935806451613</v>
      </c>
      <c r="T36" s="2">
        <f t="shared" si="4"/>
        <v>8.7738387337096772E-3</v>
      </c>
      <c r="U36" s="2">
        <f t="shared" si="4"/>
        <v>2.5581032363870958E-2</v>
      </c>
      <c r="V36" s="2">
        <f t="shared" si="4"/>
        <v>7.3529261333548366</v>
      </c>
      <c r="W36" s="2">
        <f t="shared" si="4"/>
        <v>7.7258064827096786E-3</v>
      </c>
      <c r="X36" s="2">
        <f t="shared" si="4"/>
        <v>2.2158580807419361E-2</v>
      </c>
      <c r="Y36" s="2">
        <f t="shared" si="4"/>
        <v>8.7738387337096772E-3</v>
      </c>
      <c r="Z36" s="2">
        <f t="shared" si="4"/>
        <v>2.5581032363870958E-2</v>
      </c>
      <c r="AA36" s="2">
        <f t="shared" si="4"/>
        <v>7.3529261333548366</v>
      </c>
      <c r="AB36" s="2">
        <f t="shared" si="4"/>
        <v>7.7258064827096786E-3</v>
      </c>
      <c r="AC36" s="2">
        <f t="shared" si="4"/>
        <v>2.2158580807419361E-2</v>
      </c>
    </row>
    <row r="37" spans="2:29" ht="12.75" x14ac:dyDescent="0.2">
      <c r="S37">
        <f>_xlfn.STDEV.P(S5:S35)</f>
        <v>4.8669785156098024</v>
      </c>
      <c r="T37">
        <f t="shared" ref="T37:AC37" si="5">_xlfn.STDEV.P(T5:T35)</f>
        <v>9.8802034051161461E-3</v>
      </c>
      <c r="U37">
        <f t="shared" si="5"/>
        <v>3.168079659573797E-2</v>
      </c>
      <c r="V37">
        <f t="shared" si="5"/>
        <v>13.679542506102804</v>
      </c>
      <c r="W37">
        <f t="shared" si="5"/>
        <v>8.5900800663649118E-3</v>
      </c>
      <c r="X37">
        <f t="shared" si="5"/>
        <v>2.7740502300632373E-2</v>
      </c>
      <c r="Y37">
        <f t="shared" si="5"/>
        <v>9.8802034051161461E-3</v>
      </c>
      <c r="Z37">
        <f t="shared" si="5"/>
        <v>3.168079659573797E-2</v>
      </c>
      <c r="AA37">
        <f t="shared" si="5"/>
        <v>13.679542506102804</v>
      </c>
      <c r="AB37">
        <f t="shared" si="5"/>
        <v>8.5900800663649118E-3</v>
      </c>
      <c r="AC37">
        <f t="shared" si="5"/>
        <v>2.7740502300632373E-2</v>
      </c>
    </row>
    <row r="38" spans="2:29" ht="12.75" x14ac:dyDescent="0.2"/>
    <row r="39" spans="2:29" ht="12.75" x14ac:dyDescent="0.2">
      <c r="B39" t="s">
        <v>15</v>
      </c>
      <c r="H39" t="s">
        <v>16</v>
      </c>
      <c r="M39" t="s">
        <v>18</v>
      </c>
    </row>
    <row r="40" spans="2:29" ht="12.75" x14ac:dyDescent="0.2"/>
    <row r="41" spans="2:29" ht="12.75" x14ac:dyDescent="0.2"/>
    <row r="42" spans="2:29" ht="12.75" x14ac:dyDescent="0.2"/>
    <row r="43" spans="2:29" ht="12.75" x14ac:dyDescent="0.2"/>
    <row r="44" spans="2:29" ht="12.75" x14ac:dyDescent="0.2"/>
    <row r="45" spans="2:29" ht="12.75" x14ac:dyDescent="0.2"/>
    <row r="46" spans="2:29" ht="12.75" x14ac:dyDescent="0.2"/>
    <row r="47" spans="2:29" ht="12.75" x14ac:dyDescent="0.2"/>
    <row r="48" spans="2:29" ht="12.75" x14ac:dyDescent="0.2"/>
    <row r="49" spans="2:13" ht="12.75" x14ac:dyDescent="0.2"/>
    <row r="50" spans="2:13" ht="12.75" x14ac:dyDescent="0.2"/>
    <row r="51" spans="2:13" ht="12.75" x14ac:dyDescent="0.2"/>
    <row r="52" spans="2:13" ht="12.75" x14ac:dyDescent="0.2"/>
    <row r="53" spans="2:13" ht="12.75" x14ac:dyDescent="0.2"/>
    <row r="54" spans="2:13" ht="12.75" x14ac:dyDescent="0.2"/>
    <row r="55" spans="2:13" ht="12.75" x14ac:dyDescent="0.2"/>
    <row r="56" spans="2:13" ht="12.75" x14ac:dyDescent="0.2"/>
    <row r="57" spans="2:13" ht="12.75" x14ac:dyDescent="0.2"/>
    <row r="58" spans="2:13" ht="12.75" x14ac:dyDescent="0.2">
      <c r="B58" t="s">
        <v>20</v>
      </c>
      <c r="H58" t="s">
        <v>17</v>
      </c>
      <c r="M58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Sheet7</vt:lpstr>
      <vt:lpstr>Sheet8</vt:lpstr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eelga</cp:lastModifiedBy>
  <dcterms:modified xsi:type="dcterms:W3CDTF">2022-12-07T21:23:14Z</dcterms:modified>
</cp:coreProperties>
</file>