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80" yWindow="0" windowWidth="25600" windowHeight="16060" tabRatio="500" activeTab="2"/>
  </bookViews>
  <sheets>
    <sheet name="START UP COST" sheetId="1" r:id="rId1"/>
    <sheet name="ANNUAL OPERATING EXPENSES" sheetId="3" r:id="rId2"/>
    <sheet name="5 YEAR FORECAST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4" l="1"/>
  <c r="H33" i="4"/>
  <c r="F33" i="4"/>
  <c r="D33" i="4"/>
  <c r="B33" i="4"/>
  <c r="J34" i="4"/>
  <c r="K10" i="4"/>
  <c r="K16" i="4"/>
  <c r="K17" i="4"/>
  <c r="K27" i="4"/>
  <c r="K28" i="4"/>
  <c r="K30" i="4"/>
  <c r="K29" i="4"/>
  <c r="K31" i="4"/>
  <c r="K32" i="4"/>
  <c r="K33" i="4"/>
  <c r="K18" i="4"/>
  <c r="K34" i="4"/>
  <c r="H34" i="4"/>
  <c r="I10" i="4"/>
  <c r="I16" i="4"/>
  <c r="I17" i="4"/>
  <c r="I27" i="4"/>
  <c r="I28" i="4"/>
  <c r="I30" i="4"/>
  <c r="I29" i="4"/>
  <c r="I31" i="4"/>
  <c r="I32" i="4"/>
  <c r="I33" i="4"/>
  <c r="I18" i="4"/>
  <c r="I34" i="4"/>
  <c r="F34" i="4"/>
  <c r="G10" i="4"/>
  <c r="G16" i="4"/>
  <c r="G17" i="4"/>
  <c r="G27" i="4"/>
  <c r="G28" i="4"/>
  <c r="G30" i="4"/>
  <c r="G29" i="4"/>
  <c r="G31" i="4"/>
  <c r="G32" i="4"/>
  <c r="G33" i="4"/>
  <c r="G18" i="4"/>
  <c r="G34" i="4"/>
  <c r="D34" i="4"/>
  <c r="E10" i="4"/>
  <c r="E16" i="4"/>
  <c r="E17" i="4"/>
  <c r="E27" i="4"/>
  <c r="E28" i="4"/>
  <c r="E30" i="4"/>
  <c r="E29" i="4"/>
  <c r="E31" i="4"/>
  <c r="E32" i="4"/>
  <c r="E33" i="4"/>
  <c r="E18" i="4"/>
  <c r="E34" i="4"/>
  <c r="B34" i="4"/>
  <c r="C10" i="4"/>
  <c r="C16" i="4"/>
  <c r="C17" i="4"/>
  <c r="C27" i="4"/>
  <c r="C28" i="4"/>
  <c r="C30" i="4"/>
  <c r="C29" i="4"/>
  <c r="C31" i="4"/>
  <c r="C32" i="4"/>
  <c r="C33" i="4"/>
  <c r="C18" i="4"/>
  <c r="C34" i="4"/>
  <c r="B27" i="4"/>
  <c r="C25" i="4"/>
  <c r="D25" i="4"/>
  <c r="D27" i="4"/>
  <c r="E25" i="4"/>
  <c r="F25" i="4"/>
  <c r="F27" i="4"/>
  <c r="G25" i="4"/>
  <c r="H25" i="4"/>
  <c r="H27" i="4"/>
  <c r="I25" i="4"/>
  <c r="J25" i="4"/>
  <c r="J27" i="4"/>
  <c r="K25" i="4"/>
  <c r="N25" i="3"/>
  <c r="C10" i="3"/>
  <c r="C12" i="3"/>
  <c r="C16" i="3"/>
  <c r="C27" i="3"/>
  <c r="C33" i="3"/>
  <c r="D10" i="3"/>
  <c r="D16" i="3"/>
  <c r="D27" i="3"/>
  <c r="D33" i="3"/>
  <c r="E10" i="3"/>
  <c r="E16" i="3"/>
  <c r="E27" i="3"/>
  <c r="E33" i="3"/>
  <c r="F10" i="3"/>
  <c r="F12" i="3"/>
  <c r="F16" i="3"/>
  <c r="F27" i="3"/>
  <c r="F33" i="3"/>
  <c r="G10" i="3"/>
  <c r="G12" i="3"/>
  <c r="G16" i="3"/>
  <c r="G27" i="3"/>
  <c r="G33" i="3"/>
  <c r="H10" i="3"/>
  <c r="H16" i="3"/>
  <c r="H27" i="3"/>
  <c r="H33" i="3"/>
  <c r="I10" i="3"/>
  <c r="I12" i="3"/>
  <c r="I16" i="3"/>
  <c r="I27" i="3"/>
  <c r="I33" i="3"/>
  <c r="J10" i="3"/>
  <c r="J12" i="3"/>
  <c r="J16" i="3"/>
  <c r="J27" i="3"/>
  <c r="J33" i="3"/>
  <c r="K10" i="3"/>
  <c r="K12" i="3"/>
  <c r="K16" i="3"/>
  <c r="K23" i="3"/>
  <c r="K27" i="3"/>
  <c r="K33" i="3"/>
  <c r="L10" i="3"/>
  <c r="L12" i="3"/>
  <c r="L16" i="3"/>
  <c r="L27" i="3"/>
  <c r="L33" i="3"/>
  <c r="M10" i="3"/>
  <c r="M12" i="3"/>
  <c r="M16" i="3"/>
  <c r="M27" i="3"/>
  <c r="M33" i="3"/>
  <c r="B10" i="3"/>
  <c r="B12" i="3"/>
  <c r="B16" i="3"/>
  <c r="B27" i="3"/>
  <c r="B33" i="3"/>
  <c r="N18" i="3"/>
  <c r="N33" i="3"/>
  <c r="O18" i="3"/>
  <c r="N7" i="3"/>
  <c r="O7" i="3"/>
  <c r="N6" i="3"/>
  <c r="N8" i="3"/>
  <c r="N9" i="3"/>
  <c r="N10" i="3"/>
  <c r="J10" i="4"/>
  <c r="H10" i="4"/>
  <c r="F10" i="4"/>
  <c r="D10" i="4"/>
  <c r="B10" i="4"/>
  <c r="D20" i="4"/>
  <c r="F20" i="4"/>
  <c r="H20" i="4"/>
  <c r="J20" i="4"/>
  <c r="D21" i="4"/>
  <c r="F21" i="4"/>
  <c r="H21" i="4"/>
  <c r="J21" i="4"/>
  <c r="D22" i="4"/>
  <c r="F22" i="4"/>
  <c r="H22" i="4"/>
  <c r="J22" i="4"/>
  <c r="D23" i="4"/>
  <c r="F23" i="4"/>
  <c r="H23" i="4"/>
  <c r="J23" i="4"/>
  <c r="D24" i="4"/>
  <c r="F24" i="4"/>
  <c r="H24" i="4"/>
  <c r="J24" i="4"/>
  <c r="D26" i="4"/>
  <c r="F26" i="4"/>
  <c r="H26" i="4"/>
  <c r="J26" i="4"/>
  <c r="K7" i="4"/>
  <c r="I7" i="4"/>
  <c r="G7" i="4"/>
  <c r="E7" i="4"/>
  <c r="C7" i="4"/>
  <c r="J12" i="4"/>
  <c r="H12" i="4"/>
  <c r="F12" i="4"/>
  <c r="D12" i="4"/>
  <c r="D6" i="4"/>
  <c r="F6" i="4"/>
  <c r="H6" i="4"/>
  <c r="J6" i="4"/>
  <c r="O6" i="3"/>
  <c r="O8" i="3"/>
  <c r="O9" i="3"/>
  <c r="O10" i="3"/>
  <c r="N12" i="3"/>
  <c r="O12" i="3"/>
  <c r="N13" i="3"/>
  <c r="O13" i="3"/>
  <c r="N14" i="3"/>
  <c r="O14" i="3"/>
  <c r="N15" i="3"/>
  <c r="O15" i="3"/>
  <c r="N16" i="3"/>
  <c r="O16" i="3"/>
  <c r="N17" i="3"/>
  <c r="O17" i="3"/>
  <c r="N20" i="3"/>
  <c r="O20" i="3"/>
  <c r="N21" i="3"/>
  <c r="O21" i="3"/>
  <c r="N22" i="3"/>
  <c r="O22" i="3"/>
  <c r="N23" i="3"/>
  <c r="O23" i="3"/>
  <c r="N24" i="3"/>
  <c r="O24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J16" i="4"/>
  <c r="H16" i="4"/>
  <c r="F16" i="4"/>
  <c r="D16" i="4"/>
  <c r="B16" i="4"/>
  <c r="K26" i="4"/>
  <c r="I26" i="4"/>
  <c r="G26" i="4"/>
  <c r="E26" i="4"/>
  <c r="C26" i="4"/>
  <c r="K24" i="4"/>
  <c r="I24" i="4"/>
  <c r="G24" i="4"/>
  <c r="E24" i="4"/>
  <c r="C24" i="4"/>
  <c r="K23" i="4"/>
  <c r="I23" i="4"/>
  <c r="G23" i="4"/>
  <c r="E23" i="4"/>
  <c r="C23" i="4"/>
  <c r="K22" i="4"/>
  <c r="I22" i="4"/>
  <c r="G22" i="4"/>
  <c r="E22" i="4"/>
  <c r="C22" i="4"/>
  <c r="K21" i="4"/>
  <c r="I21" i="4"/>
  <c r="G21" i="4"/>
  <c r="E21" i="4"/>
  <c r="C21" i="4"/>
  <c r="K20" i="4"/>
  <c r="I20" i="4"/>
  <c r="G20" i="4"/>
  <c r="E20" i="4"/>
  <c r="C20" i="4"/>
  <c r="K15" i="4"/>
  <c r="I15" i="4"/>
  <c r="G15" i="4"/>
  <c r="E15" i="4"/>
  <c r="C15" i="4"/>
  <c r="K14" i="4"/>
  <c r="I14" i="4"/>
  <c r="G14" i="4"/>
  <c r="E14" i="4"/>
  <c r="C14" i="4"/>
  <c r="K13" i="4"/>
  <c r="I13" i="4"/>
  <c r="G13" i="4"/>
  <c r="E13" i="4"/>
  <c r="C13" i="4"/>
  <c r="K12" i="4"/>
  <c r="I12" i="4"/>
  <c r="G12" i="4"/>
  <c r="E12" i="4"/>
  <c r="C12" i="4"/>
  <c r="K9" i="4"/>
  <c r="I9" i="4"/>
  <c r="G9" i="4"/>
  <c r="E9" i="4"/>
  <c r="C9" i="4"/>
  <c r="K8" i="4"/>
  <c r="I8" i="4"/>
  <c r="G8" i="4"/>
  <c r="E8" i="4"/>
  <c r="C8" i="4"/>
  <c r="K6" i="4"/>
  <c r="I6" i="4"/>
  <c r="G6" i="4"/>
  <c r="E6" i="4"/>
  <c r="C6" i="4"/>
  <c r="O33" i="3"/>
  <c r="B37" i="1"/>
  <c r="C34" i="1"/>
  <c r="C33" i="1"/>
  <c r="C32" i="1"/>
  <c r="C31" i="1"/>
  <c r="C30" i="1"/>
  <c r="C22" i="1"/>
  <c r="C21" i="1"/>
  <c r="C20" i="1"/>
  <c r="C16" i="1"/>
  <c r="C9" i="1"/>
  <c r="C35" i="1"/>
  <c r="C37" i="1"/>
  <c r="B30" i="1"/>
  <c r="B20" i="1"/>
  <c r="B11" i="1"/>
  <c r="B12" i="1"/>
  <c r="B15" i="1"/>
  <c r="B16" i="1"/>
  <c r="B9" i="1"/>
  <c r="C7" i="1"/>
  <c r="C8" i="1"/>
  <c r="C11" i="1"/>
  <c r="C12" i="1"/>
  <c r="C13" i="1"/>
  <c r="C14" i="1"/>
  <c r="C15" i="1"/>
  <c r="C18" i="1"/>
  <c r="C19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<sst xmlns="http://schemas.openxmlformats.org/spreadsheetml/2006/main" count="158" uniqueCount="113">
  <si>
    <t xml:space="preserve">   Utilities</t>
  </si>
  <si>
    <t xml:space="preserve">Staff </t>
  </si>
  <si>
    <t xml:space="preserve">   Salaried teachers</t>
  </si>
  <si>
    <t xml:space="preserve">   Contract teachers</t>
  </si>
  <si>
    <t>Total Staff Costs</t>
  </si>
  <si>
    <t>Facility</t>
  </si>
  <si>
    <t xml:space="preserve">   Rent Deposit</t>
  </si>
  <si>
    <t xml:space="preserve">   Monthly Rent</t>
  </si>
  <si>
    <t>Total Facility Costs</t>
  </si>
  <si>
    <t>Design of Classroom</t>
  </si>
  <si>
    <t xml:space="preserve">    Materials</t>
  </si>
  <si>
    <t xml:space="preserve">    Contract designers fees</t>
  </si>
  <si>
    <t>Licensing &amp; Insurance</t>
  </si>
  <si>
    <t>Educational Materials &amp; Supplies</t>
  </si>
  <si>
    <t xml:space="preserve">    Bank Fees</t>
  </si>
  <si>
    <t>Administrative Costs</t>
  </si>
  <si>
    <t>Total Admininstrative Costs</t>
  </si>
  <si>
    <t xml:space="preserve">    Office Supplies &amp; Equipment</t>
  </si>
  <si>
    <t xml:space="preserve">    Facility Cleaning &amp; Supplies</t>
  </si>
  <si>
    <t>Memberships &amp; Subscriptions</t>
  </si>
  <si>
    <t xml:space="preserve">    Bookkeeping &amp; Payroll Fees</t>
  </si>
  <si>
    <t>Legal &amp; Professional Fees</t>
  </si>
  <si>
    <t xml:space="preserve">   Building Insurance, 12 month policy</t>
  </si>
  <si>
    <t xml:space="preserve">   Repair &amp; Renovation</t>
  </si>
  <si>
    <t>Promotional/Admissions</t>
  </si>
  <si>
    <t>Taxes</t>
  </si>
  <si>
    <t>montessori associations</t>
  </si>
  <si>
    <t xml:space="preserve">    Stationery &amp; Printing &amp; Postage</t>
  </si>
  <si>
    <t xml:space="preserve">    Web/Email Hosting</t>
  </si>
  <si>
    <t>TOTAL EXPENSES</t>
  </si>
  <si>
    <t>Total Design of Classroom Costs</t>
  </si>
  <si>
    <t>EXPENSES</t>
  </si>
  <si>
    <t>% of Total</t>
  </si>
  <si>
    <t>SHOPFRONT MONTESSORI SCHOOL</t>
  </si>
  <si>
    <t>8 MONTH START UP TIME FRAME</t>
  </si>
  <si>
    <t xml:space="preserve">   Contract teachers/staff</t>
  </si>
  <si>
    <t>assumption of rent = $3500</t>
  </si>
  <si>
    <t>first, last, security deposit is typically due at lease signing</t>
  </si>
  <si>
    <t>dependent on location</t>
  </si>
  <si>
    <t>allotment to bring space up to school licensing code</t>
  </si>
  <si>
    <t>electricity, water, gas bills; dependent on location</t>
  </si>
  <si>
    <t>designer of classroom</t>
  </si>
  <si>
    <t>design elements: paint, flooring, artwork, lighting, etc.</t>
  </si>
  <si>
    <t>furniture, Montessori materials, educational use supplies</t>
  </si>
  <si>
    <t>START UP COSTS</t>
  </si>
  <si>
    <t>Quickbooks, Payroll company fees</t>
  </si>
  <si>
    <t>legal entity filing fees, legal assistance</t>
  </si>
  <si>
    <t>dependent on location, legal entity type, etc</t>
  </si>
  <si>
    <t>info sessions</t>
  </si>
  <si>
    <t>Notes</t>
  </si>
  <si>
    <t>includes salary and benefits, assumption of starting at month 1</t>
  </si>
  <si>
    <t>Contingencies - 10%</t>
  </si>
  <si>
    <t>unexpected/unplanned expenses</t>
  </si>
  <si>
    <t>all non-educational, back-office expenses</t>
  </si>
  <si>
    <t>school license, work comp, personal injury, liability insurance</t>
  </si>
  <si>
    <t>educational consultants, advisors, additional help</t>
  </si>
  <si>
    <t>TOTAL</t>
  </si>
  <si>
    <t xml:space="preserve">   Professional Development</t>
  </si>
  <si>
    <t xml:space="preserve">   Rent</t>
  </si>
  <si>
    <t xml:space="preserve">   Building Insurance</t>
  </si>
  <si>
    <t xml:space="preserve">   Repair &amp; Maintenance</t>
  </si>
  <si>
    <t>Ed Materials &amp; Supplies</t>
  </si>
  <si>
    <t>Admin Costs</t>
  </si>
  <si>
    <t xml:space="preserve">   Office Supplies &amp; Equipment</t>
  </si>
  <si>
    <t xml:space="preserve">   Stationery &amp; Printing &amp; Postage</t>
  </si>
  <si>
    <t xml:space="preserve">   Cleaning and Supplies</t>
  </si>
  <si>
    <t xml:space="preserve">   Bank Fees</t>
  </si>
  <si>
    <t xml:space="preserve">   Web/Email Hosting &amp; Software</t>
  </si>
  <si>
    <t xml:space="preserve">   Bookkeeping &amp; Payroll Fees</t>
  </si>
  <si>
    <t>Total Admin Expense</t>
  </si>
  <si>
    <t>Snack</t>
  </si>
  <si>
    <t>Total Expenses</t>
  </si>
  <si>
    <t>Contingencies 10%</t>
  </si>
  <si>
    <t>ANNUAL OPERATING COSTS</t>
  </si>
  <si>
    <t>12 MONTH VIEW</t>
  </si>
  <si>
    <t>FIVE YEAR FORECAST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</si>
  <si>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</si>
  <si>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</si>
  <si>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</si>
  <si>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</si>
  <si>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</si>
  <si>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</si>
  <si>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</si>
  <si>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</si>
  <si>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</si>
  <si>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</si>
  <si>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</si>
  <si>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</si>
  <si>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NOTES</t>
  </si>
  <si>
    <t>includes salary + benefits</t>
  </si>
  <si>
    <t>assumes 3% increase every year of lease</t>
  </si>
  <si>
    <t>includes cost of cc payments for tuition</t>
  </si>
  <si>
    <t>dependent on specific legal entity</t>
  </si>
  <si>
    <t>SCHOOL CLOSED SUMMER MONTHS</t>
  </si>
  <si>
    <t>Total Staff Expenses</t>
  </si>
  <si>
    <t>Total Facility Expenses</t>
  </si>
  <si>
    <t>Administrative Expenses</t>
  </si>
  <si>
    <t>Total Admin Expenses</t>
  </si>
  <si>
    <t>Snack Expenses</t>
  </si>
  <si>
    <t>Year 1</t>
  </si>
  <si>
    <t>Year 2</t>
  </si>
  <si>
    <t>Year 3</t>
  </si>
  <si>
    <t>Year 4</t>
  </si>
  <si>
    <t>Year 5</t>
  </si>
  <si>
    <t>Assumption of 3% increase year over year</t>
  </si>
  <si>
    <t>assume 3% increase in cost YOY for all admin expenses</t>
  </si>
  <si>
    <t>Follows lease terms of 3% YOY increase</t>
  </si>
  <si>
    <t>assumption of first few years are heavy on building materials inventory</t>
  </si>
  <si>
    <t>dependent on legal entity</t>
  </si>
  <si>
    <t>$</t>
  </si>
  <si>
    <t xml:space="preserve">   Artist-in-Residence</t>
  </si>
  <si>
    <t>Research</t>
  </si>
  <si>
    <t xml:space="preserve">   Network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</si>
</sst>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%"/>
    <numFmt numFmtId="167" formatCode="_([$$-409]* #,##0.00_);_([$$-409]* \(#,##0.00\);_([$$-409]* &quot;-&quot;??_);_(@_)"/>
    <numFmt numFmtId="168" formatCode="_(&quot;$&quot;* #,##0_);_(&quot;$&quot;* \(#,##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Arial"/>
    </font>
    <font>
      <sz val="8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i/>
      <sz val="9"/>
      <color theme="1"/>
      <name val="Abadi MT Condensed Light"/>
    </font>
    <font>
      <b/>
      <sz val="8"/>
      <color theme="1"/>
      <name val="Arial"/>
    </font>
    <font>
      <b/>
      <sz val="10"/>
      <color theme="1"/>
      <name val="Arial"/>
    </font>
    <font>
      <sz val="8"/>
      <name val="Calibri"/>
      <family val="2"/>
      <scheme val="minor"/>
    </font>
    <font>
      <sz val="10"/>
      <color theme="1"/>
      <name val="Arial"/>
    </font>
    <font>
      <b/>
      <sz val="10"/>
      <name val="Arial"/>
    </font>
    <font>
      <i/>
      <sz val="8"/>
      <color theme="1"/>
      <name val="Arial"/>
    </font>
    <font>
      <i/>
      <sz val="12"/>
      <color theme="1"/>
      <name val="Calibri"/>
      <family val="2"/>
      <scheme val="minor"/>
    </font>
    <font>
      <i/>
      <sz val="10"/>
      <color theme="1"/>
      <name val="Arial"/>
    </font>
    <font>
      <sz val="8"/>
      <color theme="0" tint="-0.499984740745262"/>
      <name val="Arial"/>
    </font>
    <font>
      <b/>
      <sz val="8"/>
      <color theme="0" tint="-0.499984740745262"/>
      <name val="Arial"/>
    </font>
    <font>
      <i/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/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0" xfId="0" applyFont="1"/>
    <xf numFmtId="165" fontId="8" fillId="0" borderId="0" xfId="1" applyFont="1"/>
    <xf numFmtId="165" fontId="9" fillId="0" borderId="0" xfId="1" applyFont="1"/>
    <xf numFmtId="0" fontId="2" fillId="0" borderId="0" xfId="0" applyFont="1"/>
    <xf numFmtId="0" fontId="10" fillId="0" borderId="0" xfId="0" applyFont="1"/>
    <xf numFmtId="0" fontId="6" fillId="0" borderId="0" xfId="0" applyFont="1" applyBorder="1" applyAlignment="1">
      <alignment horizontal="left" wrapText="1"/>
    </xf>
    <xf numFmtId="9" fontId="7" fillId="0" borderId="0" xfId="2" applyFont="1" applyAlignment="1">
      <alignment horizontal="center"/>
    </xf>
    <xf numFmtId="9" fontId="11" fillId="0" borderId="0" xfId="2" applyFont="1" applyAlignment="1">
      <alignment horizontal="center"/>
    </xf>
    <xf numFmtId="166" fontId="7" fillId="0" borderId="0" xfId="2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7" fillId="0" borderId="0" xfId="0" applyFont="1" applyBorder="1"/>
    <xf numFmtId="0" fontId="6" fillId="0" borderId="2" xfId="0" applyFont="1" applyBorder="1" applyAlignment="1">
      <alignment horizontal="left" wrapText="1"/>
    </xf>
    <xf numFmtId="165" fontId="8" fillId="0" borderId="2" xfId="1" applyFont="1" applyBorder="1"/>
    <xf numFmtId="0" fontId="6" fillId="0" borderId="3" xfId="0" applyFont="1" applyBorder="1" applyAlignment="1">
      <alignment horizontal="left" wrapText="1"/>
    </xf>
    <xf numFmtId="165" fontId="8" fillId="0" borderId="3" xfId="1" applyFont="1" applyBorder="1"/>
    <xf numFmtId="0" fontId="6" fillId="0" borderId="4" xfId="0" applyFont="1" applyBorder="1" applyAlignment="1">
      <alignment horizontal="left" wrapText="1"/>
    </xf>
    <xf numFmtId="165" fontId="8" fillId="0" borderId="4" xfId="1" applyFont="1" applyBorder="1"/>
    <xf numFmtId="9" fontId="9" fillId="0" borderId="1" xfId="2" applyFont="1" applyBorder="1"/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5" fillId="0" borderId="0" xfId="0" applyFont="1"/>
    <xf numFmtId="4" fontId="6" fillId="0" borderId="0" xfId="0" applyNumberFormat="1" applyFont="1" applyAlignment="1">
      <alignment wrapText="1"/>
    </xf>
    <xf numFmtId="0" fontId="6" fillId="0" borderId="0" xfId="0" applyFont="1" applyAlignment="1">
      <alignment horizontal="left" wrapText="1"/>
    </xf>
    <xf numFmtId="167" fontId="6" fillId="0" borderId="0" xfId="0" applyNumberFormat="1" applyFont="1" applyAlignment="1">
      <alignment wrapText="1"/>
    </xf>
    <xf numFmtId="167" fontId="6" fillId="0" borderId="3" xfId="0" applyNumberFormat="1" applyFont="1" applyBorder="1" applyAlignment="1">
      <alignment wrapText="1"/>
    </xf>
    <xf numFmtId="167" fontId="3" fillId="0" borderId="0" xfId="0" applyNumberFormat="1" applyFont="1" applyAlignment="1">
      <alignment wrapText="1"/>
    </xf>
    <xf numFmtId="0" fontId="3" fillId="0" borderId="2" xfId="0" applyFont="1" applyBorder="1" applyAlignment="1">
      <alignment horizontal="left" wrapText="1"/>
    </xf>
    <xf numFmtId="167" fontId="3" fillId="0" borderId="2" xfId="0" applyNumberFormat="1" applyFont="1" applyBorder="1" applyAlignment="1">
      <alignment wrapText="1"/>
    </xf>
    <xf numFmtId="0" fontId="3" fillId="0" borderId="11" xfId="0" applyFont="1" applyBorder="1" applyAlignment="1">
      <alignment horizontal="left" wrapText="1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64" fontId="6" fillId="0" borderId="0" xfId="1" applyNumberFormat="1" applyFont="1"/>
    <xf numFmtId="9" fontId="6" fillId="0" borderId="0" xfId="2" applyFont="1" applyAlignment="1">
      <alignment horizontal="center"/>
    </xf>
    <xf numFmtId="167" fontId="0" fillId="0" borderId="0" xfId="1" applyNumberFormat="1" applyFont="1"/>
    <xf numFmtId="168" fontId="6" fillId="0" borderId="0" xfId="1" applyNumberFormat="1" applyFont="1"/>
    <xf numFmtId="165" fontId="6" fillId="0" borderId="0" xfId="1" applyNumberFormat="1" applyFont="1"/>
    <xf numFmtId="164" fontId="6" fillId="0" borderId="3" xfId="1" applyNumberFormat="1" applyFont="1" applyBorder="1"/>
    <xf numFmtId="164" fontId="3" fillId="0" borderId="0" xfId="1" applyNumberFormat="1" applyFont="1"/>
    <xf numFmtId="168" fontId="6" fillId="0" borderId="0" xfId="1" applyNumberFormat="1" applyFont="1" applyBorder="1"/>
    <xf numFmtId="168" fontId="6" fillId="0" borderId="3" xfId="1" applyNumberFormat="1" applyFont="1" applyBorder="1"/>
    <xf numFmtId="0" fontId="3" fillId="0" borderId="0" xfId="0" applyFont="1" applyBorder="1" applyAlignment="1">
      <alignment horizontal="left" wrapText="1"/>
    </xf>
    <xf numFmtId="164" fontId="3" fillId="0" borderId="0" xfId="1" applyNumberFormat="1" applyFont="1" applyBorder="1"/>
    <xf numFmtId="9" fontId="6" fillId="0" borderId="0" xfId="2" applyFont="1" applyBorder="1" applyAlignment="1">
      <alignment horizontal="center"/>
    </xf>
    <xf numFmtId="167" fontId="0" fillId="0" borderId="0" xfId="1" applyNumberFormat="1" applyFont="1" applyBorder="1"/>
    <xf numFmtId="0" fontId="0" fillId="0" borderId="0" xfId="0" applyBorder="1"/>
    <xf numFmtId="168" fontId="3" fillId="0" borderId="2" xfId="1" applyNumberFormat="1" applyFont="1" applyBorder="1"/>
    <xf numFmtId="9" fontId="6" fillId="0" borderId="2" xfId="2" applyFont="1" applyBorder="1" applyAlignment="1">
      <alignment horizontal="center"/>
    </xf>
    <xf numFmtId="0" fontId="3" fillId="0" borderId="14" xfId="0" applyFont="1" applyBorder="1" applyAlignment="1">
      <alignment horizontal="left" wrapText="1"/>
    </xf>
    <xf numFmtId="164" fontId="3" fillId="0" borderId="2" xfId="1" applyNumberFormat="1" applyFont="1" applyBorder="1"/>
    <xf numFmtId="9" fontId="6" fillId="0" borderId="2" xfId="2" applyFont="1" applyBorder="1"/>
    <xf numFmtId="0" fontId="14" fillId="0" borderId="0" xfId="0" applyFont="1"/>
    <xf numFmtId="0" fontId="7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7" fillId="0" borderId="0" xfId="0" applyFont="1"/>
    <xf numFmtId="0" fontId="3" fillId="0" borderId="0" xfId="0" applyFont="1"/>
    <xf numFmtId="0" fontId="3" fillId="0" borderId="7" xfId="0" applyFont="1" applyBorder="1" applyAlignment="1"/>
    <xf numFmtId="0" fontId="7" fillId="0" borderId="0" xfId="0" applyFont="1" applyAlignment="1"/>
    <xf numFmtId="166" fontId="6" fillId="0" borderId="7" xfId="2" applyNumberFormat="1" applyFont="1" applyBorder="1" applyAlignment="1"/>
    <xf numFmtId="166" fontId="6" fillId="0" borderId="8" xfId="2" applyNumberFormat="1" applyFont="1" applyBorder="1" applyAlignment="1"/>
    <xf numFmtId="166" fontId="3" fillId="0" borderId="7" xfId="2" applyNumberFormat="1" applyFont="1" applyBorder="1" applyAlignment="1"/>
    <xf numFmtId="166" fontId="3" fillId="0" borderId="10" xfId="2" applyNumberFormat="1" applyFont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167" fontId="3" fillId="0" borderId="9" xfId="0" applyNumberFormat="1" applyFont="1" applyBorder="1" applyAlignment="1">
      <alignment wrapText="1"/>
    </xf>
    <xf numFmtId="167" fontId="3" fillId="0" borderId="0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167" fontId="3" fillId="0" borderId="12" xfId="0" applyNumberFormat="1" applyFont="1" applyBorder="1" applyAlignment="1">
      <alignment wrapText="1"/>
    </xf>
    <xf numFmtId="0" fontId="7" fillId="0" borderId="0" xfId="0" applyFont="1" applyAlignment="1">
      <alignment horizontal="center"/>
    </xf>
    <xf numFmtId="3" fontId="0" fillId="0" borderId="0" xfId="0" applyNumberFormat="1"/>
    <xf numFmtId="0" fontId="16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0" fontId="16" fillId="0" borderId="0" xfId="0" applyFont="1"/>
    <xf numFmtId="0" fontId="18" fillId="0" borderId="0" xfId="0" applyFont="1"/>
    <xf numFmtId="166" fontId="3" fillId="0" borderId="15" xfId="2" applyNumberFormat="1" applyFont="1" applyBorder="1" applyAlignment="1"/>
    <xf numFmtId="0" fontId="16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4" fontId="6" fillId="0" borderId="7" xfId="0" applyNumberFormat="1" applyFont="1" applyBorder="1" applyAlignment="1">
      <alignment wrapText="1"/>
    </xf>
    <xf numFmtId="167" fontId="6" fillId="0" borderId="7" xfId="0" applyNumberFormat="1" applyFont="1" applyBorder="1" applyAlignment="1">
      <alignment wrapText="1"/>
    </xf>
    <xf numFmtId="167" fontId="3" fillId="0" borderId="17" xfId="0" applyNumberFormat="1" applyFont="1" applyBorder="1" applyAlignment="1">
      <alignment wrapText="1"/>
    </xf>
    <xf numFmtId="167" fontId="3" fillId="0" borderId="7" xfId="0" applyNumberFormat="1" applyFont="1" applyBorder="1" applyAlignment="1">
      <alignment wrapText="1"/>
    </xf>
    <xf numFmtId="167" fontId="6" fillId="0" borderId="8" xfId="0" applyNumberFormat="1" applyFont="1" applyBorder="1" applyAlignment="1">
      <alignment wrapText="1"/>
    </xf>
    <xf numFmtId="167" fontId="3" fillId="0" borderId="15" xfId="0" applyNumberFormat="1" applyFont="1" applyBorder="1" applyAlignment="1">
      <alignment wrapText="1"/>
    </xf>
    <xf numFmtId="0" fontId="19" fillId="0" borderId="0" xfId="0" applyFont="1" applyAlignment="1">
      <alignment horizontal="center"/>
    </xf>
    <xf numFmtId="0" fontId="20" fillId="0" borderId="5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Border="1"/>
    <xf numFmtId="9" fontId="6" fillId="0" borderId="3" xfId="2" applyFont="1" applyBorder="1" applyAlignment="1">
      <alignment horizontal="center"/>
    </xf>
    <xf numFmtId="9" fontId="3" fillId="0" borderId="0" xfId="2" applyFont="1" applyAlignment="1">
      <alignment horizontal="center"/>
    </xf>
    <xf numFmtId="164" fontId="0" fillId="0" borderId="0" xfId="0" applyNumberFormat="1"/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65" fontId="9" fillId="0" borderId="13" xfId="1" applyFont="1" applyBorder="1"/>
    <xf numFmtId="165" fontId="9" fillId="0" borderId="0" xfId="1" applyFont="1" applyAlignment="1">
      <alignment horizontal="center"/>
    </xf>
  </cellXfs>
  <cellStyles count="2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50" zoomScaleNormal="150" zoomScalePageLayoutView="150" workbookViewId="0">
      <selection activeCell="F9" sqref="F9"/>
    </sheetView>
  </sheetViews>
  <sheetFormatPr baseColWidth="10" defaultRowHeight="15" x14ac:dyDescent="0"/>
  <cols>
    <col min="1" max="1" width="32.1640625" bestFit="1" customWidth="1"/>
    <col min="2" max="2" width="10.5" style="3" customWidth="1"/>
    <col min="3" max="3" width="7.5" bestFit="1" customWidth="1"/>
    <col min="4" max="4" width="33.5" style="6" bestFit="1" customWidth="1"/>
    <col min="5" max="5" width="10.6640625" customWidth="1"/>
  </cols>
  <sheetData>
    <row r="1" spans="1:6">
      <c r="A1" s="12" t="s">
        <v>33</v>
      </c>
    </row>
    <row r="2" spans="1:6">
      <c r="A2" s="102" t="s">
        <v>44</v>
      </c>
    </row>
    <row r="3" spans="1:6" ht="14" customHeight="1">
      <c r="A3" s="21" t="s">
        <v>34</v>
      </c>
      <c r="D3" s="7"/>
    </row>
    <row r="4" spans="1:6" ht="14" customHeight="1">
      <c r="A4" s="13"/>
      <c r="D4" s="7"/>
    </row>
    <row r="5" spans="1:6">
      <c r="A5" s="1" t="s">
        <v>31</v>
      </c>
      <c r="B5" s="104" t="s">
        <v>109</v>
      </c>
      <c r="C5" s="11" t="s">
        <v>32</v>
      </c>
      <c r="D5" s="23" t="s">
        <v>49</v>
      </c>
    </row>
    <row r="6" spans="1:6">
      <c r="A6" s="1" t="s">
        <v>1</v>
      </c>
    </row>
    <row r="7" spans="1:6">
      <c r="A7" s="16" t="s">
        <v>2</v>
      </c>
      <c r="B7" s="17">
        <v>80000</v>
      </c>
      <c r="C7" s="8">
        <f>B7/$B$37</f>
        <v>0.36326484277443521</v>
      </c>
      <c r="D7" s="6" t="s">
        <v>50</v>
      </c>
      <c r="F7" s="77"/>
    </row>
    <row r="8" spans="1:6">
      <c r="A8" s="18" t="s">
        <v>35</v>
      </c>
      <c r="B8" s="19">
        <v>10000</v>
      </c>
      <c r="C8" s="8">
        <f>B8/$B$37</f>
        <v>4.5408105346804402E-2</v>
      </c>
      <c r="D8" s="6" t="s">
        <v>55</v>
      </c>
    </row>
    <row r="9" spans="1:6">
      <c r="A9" s="1" t="s">
        <v>4</v>
      </c>
      <c r="B9" s="4">
        <f>SUM(B7:B8)</f>
        <v>90000</v>
      </c>
      <c r="C9" s="9">
        <f>B9/$B$37</f>
        <v>0.40867294812123967</v>
      </c>
      <c r="F9" s="77"/>
    </row>
    <row r="10" spans="1:6">
      <c r="A10" s="1" t="s">
        <v>5</v>
      </c>
      <c r="C10" s="9"/>
    </row>
    <row r="11" spans="1:6">
      <c r="A11" s="16" t="s">
        <v>7</v>
      </c>
      <c r="B11" s="17">
        <f>3500*8</f>
        <v>28000</v>
      </c>
      <c r="C11" s="8">
        <f t="shared" ref="C11:C15" si="0">B11/$B$37</f>
        <v>0.12714269497105232</v>
      </c>
      <c r="D11" s="6" t="s">
        <v>36</v>
      </c>
    </row>
    <row r="12" spans="1:6">
      <c r="A12" s="18" t="s">
        <v>6</v>
      </c>
      <c r="B12" s="19">
        <f>3500*3</f>
        <v>10500</v>
      </c>
      <c r="C12" s="8">
        <f t="shared" si="0"/>
        <v>4.7678510614144624E-2</v>
      </c>
      <c r="D12" s="6" t="s">
        <v>37</v>
      </c>
    </row>
    <row r="13" spans="1:6">
      <c r="A13" s="18" t="s">
        <v>22</v>
      </c>
      <c r="B13" s="19">
        <v>2200</v>
      </c>
      <c r="C13" s="8">
        <f t="shared" si="0"/>
        <v>9.9897831762969687E-3</v>
      </c>
      <c r="D13" s="6" t="s">
        <v>38</v>
      </c>
    </row>
    <row r="14" spans="1:6">
      <c r="A14" s="16" t="s">
        <v>23</v>
      </c>
      <c r="B14" s="17">
        <v>10000</v>
      </c>
      <c r="C14" s="8">
        <f t="shared" si="0"/>
        <v>4.5408105346804402E-2</v>
      </c>
      <c r="D14" s="6" t="s">
        <v>39</v>
      </c>
    </row>
    <row r="15" spans="1:6" ht="16" thickBot="1">
      <c r="A15" s="14" t="s">
        <v>0</v>
      </c>
      <c r="B15" s="15">
        <f>50*8</f>
        <v>400</v>
      </c>
      <c r="C15" s="8">
        <f t="shared" si="0"/>
        <v>1.8163242138721763E-3</v>
      </c>
      <c r="D15" s="6" t="s">
        <v>40</v>
      </c>
    </row>
    <row r="16" spans="1:6">
      <c r="A16" s="1" t="s">
        <v>8</v>
      </c>
      <c r="B16" s="4">
        <f>SUM(B11:B15)</f>
        <v>51100</v>
      </c>
      <c r="C16" s="9">
        <f>B16/$B$37</f>
        <v>0.23203541832217051</v>
      </c>
    </row>
    <row r="17" spans="1:4">
      <c r="A17" s="1" t="s">
        <v>9</v>
      </c>
      <c r="C17" s="9"/>
    </row>
    <row r="18" spans="1:4">
      <c r="A18" s="16" t="s">
        <v>11</v>
      </c>
      <c r="B18" s="17">
        <v>10000</v>
      </c>
      <c r="C18" s="8">
        <f>B18/$B$37</f>
        <v>4.5408105346804402E-2</v>
      </c>
      <c r="D18" s="6" t="s">
        <v>41</v>
      </c>
    </row>
    <row r="19" spans="1:4" ht="16" thickBot="1">
      <c r="A19" s="14" t="s">
        <v>10</v>
      </c>
      <c r="B19" s="15">
        <v>30000</v>
      </c>
      <c r="C19" s="8">
        <f>B19/$B$37</f>
        <v>0.13622431604041321</v>
      </c>
      <c r="D19" s="6" t="s">
        <v>42</v>
      </c>
    </row>
    <row r="20" spans="1:4">
      <c r="A20" s="1" t="s">
        <v>30</v>
      </c>
      <c r="B20" s="4">
        <f>SUM(B18+B19)</f>
        <v>40000</v>
      </c>
      <c r="C20" s="9">
        <f t="shared" ref="C20:C21" si="1">B20/$B$37</f>
        <v>0.18163242138721761</v>
      </c>
    </row>
    <row r="21" spans="1:4">
      <c r="A21" s="1" t="s">
        <v>12</v>
      </c>
      <c r="B21" s="4">
        <v>4800</v>
      </c>
      <c r="C21" s="9">
        <f t="shared" si="1"/>
        <v>2.1795890566466115E-2</v>
      </c>
      <c r="D21" s="6" t="s">
        <v>54</v>
      </c>
    </row>
    <row r="22" spans="1:4">
      <c r="A22" s="1" t="s">
        <v>13</v>
      </c>
      <c r="B22" s="4">
        <v>6000</v>
      </c>
      <c r="C22" s="9">
        <f>B22/$B$37</f>
        <v>2.7244863208082643E-2</v>
      </c>
      <c r="D22" s="6" t="s">
        <v>43</v>
      </c>
    </row>
    <row r="23" spans="1:4">
      <c r="A23" s="1" t="s">
        <v>15</v>
      </c>
      <c r="C23" s="9"/>
    </row>
    <row r="24" spans="1:4">
      <c r="A24" s="16" t="s">
        <v>17</v>
      </c>
      <c r="B24" s="17">
        <v>2200</v>
      </c>
      <c r="C24" s="10">
        <f t="shared" ref="C24:C28" si="2">B24/$B$37</f>
        <v>9.9897831762969687E-3</v>
      </c>
    </row>
    <row r="25" spans="1:4" s="2" customFormat="1">
      <c r="A25" s="18" t="s">
        <v>27</v>
      </c>
      <c r="B25" s="19">
        <v>1500</v>
      </c>
      <c r="C25" s="10">
        <f t="shared" si="2"/>
        <v>6.8112158020206606E-3</v>
      </c>
      <c r="D25" s="6"/>
    </row>
    <row r="26" spans="1:4">
      <c r="A26" s="16" t="s">
        <v>18</v>
      </c>
      <c r="B26" s="17">
        <v>600</v>
      </c>
      <c r="C26" s="10">
        <f t="shared" si="2"/>
        <v>2.7244863208082644E-3</v>
      </c>
    </row>
    <row r="27" spans="1:4">
      <c r="A27" s="16" t="s">
        <v>14</v>
      </c>
      <c r="B27" s="17">
        <v>50</v>
      </c>
      <c r="C27" s="10">
        <f t="shared" si="2"/>
        <v>2.2704052673402204E-4</v>
      </c>
    </row>
    <row r="28" spans="1:4">
      <c r="A28" s="16" t="s">
        <v>28</v>
      </c>
      <c r="B28" s="17">
        <v>125</v>
      </c>
      <c r="C28" s="10">
        <f t="shared" si="2"/>
        <v>5.6760131683505509E-4</v>
      </c>
    </row>
    <row r="29" spans="1:4" ht="16" thickBot="1">
      <c r="A29" s="14" t="s">
        <v>20</v>
      </c>
      <c r="B29" s="15">
        <v>200</v>
      </c>
      <c r="C29" s="10">
        <f>B29/$B$37</f>
        <v>9.0816210693608814E-4</v>
      </c>
      <c r="D29" s="6" t="s">
        <v>45</v>
      </c>
    </row>
    <row r="30" spans="1:4" s="5" customFormat="1">
      <c r="A30" s="1" t="s">
        <v>16</v>
      </c>
      <c r="B30" s="4">
        <f>SUM(B24:B29)</f>
        <v>4675</v>
      </c>
      <c r="C30" s="9">
        <f t="shared" ref="C30:C33" si="3">B30/$B$37</f>
        <v>2.122828924963106E-2</v>
      </c>
      <c r="D30" s="6" t="s">
        <v>53</v>
      </c>
    </row>
    <row r="31" spans="1:4">
      <c r="A31" s="1" t="s">
        <v>19</v>
      </c>
      <c r="B31" s="4">
        <v>300</v>
      </c>
      <c r="C31" s="9">
        <f t="shared" si="3"/>
        <v>1.3622431604041322E-3</v>
      </c>
      <c r="D31" s="6" t="s">
        <v>26</v>
      </c>
    </row>
    <row r="32" spans="1:4">
      <c r="A32" s="1" t="s">
        <v>21</v>
      </c>
      <c r="B32" s="4">
        <v>850</v>
      </c>
      <c r="C32" s="9">
        <f t="shared" si="3"/>
        <v>3.8596889544783744E-3</v>
      </c>
      <c r="D32" s="6" t="s">
        <v>46</v>
      </c>
    </row>
    <row r="33" spans="1:4">
      <c r="A33" s="1" t="s">
        <v>24</v>
      </c>
      <c r="B33" s="4">
        <v>1500</v>
      </c>
      <c r="C33" s="9">
        <f t="shared" si="3"/>
        <v>6.8112158020206606E-3</v>
      </c>
      <c r="D33" s="6" t="s">
        <v>48</v>
      </c>
    </row>
    <row r="34" spans="1:4">
      <c r="A34" s="1" t="s">
        <v>25</v>
      </c>
      <c r="B34" s="4">
        <v>0</v>
      </c>
      <c r="C34" s="9">
        <f>B34/$B$37</f>
        <v>0</v>
      </c>
      <c r="D34" s="6" t="s">
        <v>47</v>
      </c>
    </row>
    <row r="35" spans="1:4">
      <c r="A35" s="1" t="s">
        <v>51</v>
      </c>
      <c r="B35" s="4">
        <v>21000</v>
      </c>
      <c r="C35" s="9">
        <f>B35/$B$37</f>
        <v>9.5357021228289249E-2</v>
      </c>
      <c r="D35" s="6" t="s">
        <v>52</v>
      </c>
    </row>
    <row r="36" spans="1:4" ht="16" thickBot="1">
      <c r="A36" s="1"/>
      <c r="B36" s="4"/>
    </row>
    <row r="37" spans="1:4" ht="16" thickBot="1">
      <c r="A37" s="32" t="s">
        <v>29</v>
      </c>
      <c r="B37" s="103">
        <f>B34+B33+B32+B31+B30+B22+B21+B20+B16+B9+B35</f>
        <v>220225</v>
      </c>
      <c r="C37" s="20">
        <f>C34+C33+C32+C31+C30+C22+C21+C20+C16+C9+C35</f>
        <v>1</v>
      </c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150" zoomScaleNormal="150" zoomScalePageLayoutView="150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I25" sqref="I25"/>
    </sheetView>
  </sheetViews>
  <sheetFormatPr baseColWidth="10" defaultColWidth="8.83203125" defaultRowHeight="15" customHeight="1" x14ac:dyDescent="0"/>
  <cols>
    <col min="1" max="1" width="32.1640625" style="55" customWidth="1"/>
    <col min="2" max="13" width="9" style="55" customWidth="1"/>
    <col min="14" max="14" width="11.5" style="55" bestFit="1" customWidth="1"/>
    <col min="15" max="15" width="9" style="24" bestFit="1" customWidth="1"/>
    <col min="16" max="16" width="25.6640625" style="82" bestFit="1" customWidth="1"/>
    <col min="17" max="16384" width="8.83203125" style="55"/>
  </cols>
  <sheetData>
    <row r="1" spans="1:16" customFormat="1" ht="15" customHeight="1">
      <c r="A1" s="12" t="s">
        <v>33</v>
      </c>
      <c r="B1" s="3"/>
      <c r="D1" s="6"/>
      <c r="P1" s="79"/>
    </row>
    <row r="2" spans="1:16" customFormat="1" ht="15" customHeight="1">
      <c r="A2" s="100" t="s">
        <v>73</v>
      </c>
      <c r="B2" s="3"/>
      <c r="D2" s="6"/>
      <c r="P2" s="79"/>
    </row>
    <row r="3" spans="1:16" s="76" customFormat="1" ht="15" customHeight="1" thickBot="1">
      <c r="A3" s="76" t="s">
        <v>74</v>
      </c>
      <c r="H3" s="92" t="s">
        <v>93</v>
      </c>
      <c r="P3" s="78"/>
    </row>
    <row r="4" spans="1:16" s="59" customFormat="1" ht="15" customHeight="1">
      <c r="A4" s="56"/>
      <c r="B4" s="57" t="s">
        <v>76</v>
      </c>
      <c r="C4" s="57" t="s">
        <v>77</v>
      </c>
      <c r="D4" s="57" t="s">
        <v>78</v>
      </c>
      <c r="E4" s="57" t="s">
        <v>79</v>
      </c>
      <c r="F4" s="57" t="s">
        <v>80</v>
      </c>
      <c r="G4" s="93" t="s">
        <v>81</v>
      </c>
      <c r="H4" s="93" t="s">
        <v>82</v>
      </c>
      <c r="I4" s="93" t="s">
        <v>83</v>
      </c>
      <c r="J4" s="57" t="s">
        <v>84</v>
      </c>
      <c r="K4" s="57" t="s">
        <v>85</v>
      </c>
      <c r="L4" s="57" t="s">
        <v>86</v>
      </c>
      <c r="M4" s="57" t="s">
        <v>87</v>
      </c>
      <c r="N4" s="85" t="s">
        <v>56</v>
      </c>
      <c r="O4" s="58" t="s">
        <v>32</v>
      </c>
      <c r="P4" s="84" t="s">
        <v>88</v>
      </c>
    </row>
    <row r="5" spans="1:16" s="62" customFormat="1" ht="15" customHeight="1">
      <c r="A5" s="68" t="s">
        <v>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86"/>
      <c r="O5" s="61"/>
      <c r="P5" s="80"/>
    </row>
    <row r="6" spans="1:16" s="62" customFormat="1" ht="15" customHeight="1">
      <c r="A6" s="69" t="s">
        <v>2</v>
      </c>
      <c r="B6" s="27">
        <v>13000</v>
      </c>
      <c r="C6" s="27">
        <v>13000</v>
      </c>
      <c r="D6" s="27">
        <v>13000</v>
      </c>
      <c r="E6" s="27">
        <v>13000</v>
      </c>
      <c r="F6" s="27">
        <v>13000</v>
      </c>
      <c r="G6" s="27">
        <v>13000</v>
      </c>
      <c r="H6" s="27">
        <v>13000</v>
      </c>
      <c r="I6" s="27">
        <v>13000</v>
      </c>
      <c r="J6" s="27">
        <v>13000</v>
      </c>
      <c r="K6" s="27">
        <v>13000</v>
      </c>
      <c r="L6" s="27">
        <v>13000</v>
      </c>
      <c r="M6" s="27">
        <v>13000</v>
      </c>
      <c r="N6" s="87">
        <f>(((((((((B6)+(C6))+(D6))+(E6))+(F6))+(G6))+(H6))+(I6))+(J6))+(K6)+L6+M6</f>
        <v>156000</v>
      </c>
      <c r="O6" s="63">
        <f>N6/$N$33</f>
        <v>0.57467030133352981</v>
      </c>
      <c r="P6" s="80" t="s">
        <v>89</v>
      </c>
    </row>
    <row r="7" spans="1:16" s="62" customFormat="1" ht="15" customHeight="1">
      <c r="A7" s="69" t="s">
        <v>110</v>
      </c>
      <c r="B7" s="27">
        <v>600</v>
      </c>
      <c r="C7" s="27">
        <v>600</v>
      </c>
      <c r="D7" s="27">
        <v>600</v>
      </c>
      <c r="E7" s="27">
        <v>600</v>
      </c>
      <c r="F7" s="27">
        <v>400</v>
      </c>
      <c r="G7" s="27"/>
      <c r="H7" s="27"/>
      <c r="I7" s="27"/>
      <c r="J7" s="27">
        <v>400</v>
      </c>
      <c r="K7" s="27">
        <v>600</v>
      </c>
      <c r="L7" s="27">
        <v>600</v>
      </c>
      <c r="M7" s="27">
        <v>600</v>
      </c>
      <c r="N7" s="87">
        <f>(((((((((B7)+(C7))+(D7))+(E7))+(F7))+(G7))+(H7))+(I7))+(J7))+(K7)+L7+M7</f>
        <v>5000</v>
      </c>
      <c r="O7" s="63">
        <f>N7/$N$33</f>
        <v>1.8418919914536213E-2</v>
      </c>
      <c r="P7" s="80"/>
    </row>
    <row r="8" spans="1:16" s="62" customFormat="1" ht="15" customHeight="1">
      <c r="A8" s="69" t="s">
        <v>3</v>
      </c>
      <c r="B8" s="27">
        <v>400</v>
      </c>
      <c r="C8" s="27">
        <v>400</v>
      </c>
      <c r="D8" s="27">
        <v>400</v>
      </c>
      <c r="E8" s="27">
        <v>400</v>
      </c>
      <c r="F8" s="27">
        <v>400</v>
      </c>
      <c r="G8" s="27">
        <v>0</v>
      </c>
      <c r="H8" s="27">
        <v>0</v>
      </c>
      <c r="I8" s="27">
        <v>200</v>
      </c>
      <c r="J8" s="27">
        <v>400</v>
      </c>
      <c r="K8" s="27">
        <v>400</v>
      </c>
      <c r="L8" s="27">
        <v>400</v>
      </c>
      <c r="M8" s="27">
        <v>200</v>
      </c>
      <c r="N8" s="87">
        <f>(((((((((B8)+(C8))+(D8))+(E8))+(F8))+(G8))+(H8))+(I8))+(J8))+(K8)+L8+M8</f>
        <v>3600</v>
      </c>
      <c r="O8" s="63">
        <f>N8/$N$33</f>
        <v>1.3261622338466072E-2</v>
      </c>
      <c r="P8" s="80"/>
    </row>
    <row r="9" spans="1:16" s="62" customFormat="1" ht="15" customHeight="1">
      <c r="A9" s="70" t="s">
        <v>57</v>
      </c>
      <c r="B9" s="27">
        <v>0</v>
      </c>
      <c r="C9" s="27">
        <v>0</v>
      </c>
      <c r="D9" s="27">
        <v>0</v>
      </c>
      <c r="E9" s="27">
        <v>2500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2500</v>
      </c>
      <c r="L9" s="27">
        <v>0</v>
      </c>
      <c r="M9" s="27">
        <v>0</v>
      </c>
      <c r="N9" s="87">
        <f>(((((((((B9)+(C9))+(D9))+(E9))+(F9))+(G9))+(H9))+(I9))+(J9))+(K9)+L9+M9</f>
        <v>5000</v>
      </c>
      <c r="O9" s="64">
        <f>N9/$N$33</f>
        <v>1.8418919914536213E-2</v>
      </c>
      <c r="P9" s="80"/>
    </row>
    <row r="10" spans="1:16" s="62" customFormat="1" ht="15" customHeight="1">
      <c r="A10" s="68" t="s">
        <v>94</v>
      </c>
      <c r="B10" s="71">
        <f>SUM(B6:B9)</f>
        <v>14000</v>
      </c>
      <c r="C10" s="71">
        <f t="shared" ref="C10:M10" si="0">SUM(C6:C9)</f>
        <v>14000</v>
      </c>
      <c r="D10" s="71">
        <f t="shared" si="0"/>
        <v>14000</v>
      </c>
      <c r="E10" s="71">
        <f t="shared" si="0"/>
        <v>16500</v>
      </c>
      <c r="F10" s="71">
        <f t="shared" si="0"/>
        <v>13800</v>
      </c>
      <c r="G10" s="71">
        <f t="shared" si="0"/>
        <v>13000</v>
      </c>
      <c r="H10" s="71">
        <f t="shared" si="0"/>
        <v>13000</v>
      </c>
      <c r="I10" s="71">
        <f t="shared" si="0"/>
        <v>13200</v>
      </c>
      <c r="J10" s="71">
        <f t="shared" si="0"/>
        <v>13800</v>
      </c>
      <c r="K10" s="71">
        <f t="shared" si="0"/>
        <v>16500</v>
      </c>
      <c r="L10" s="71">
        <f t="shared" si="0"/>
        <v>14000</v>
      </c>
      <c r="M10" s="71">
        <f t="shared" si="0"/>
        <v>13800</v>
      </c>
      <c r="N10" s="88">
        <f>N6+N8+N9+N7</f>
        <v>169600</v>
      </c>
      <c r="O10" s="65">
        <f>N10/$N$33</f>
        <v>0.62476976350106828</v>
      </c>
      <c r="P10" s="80"/>
    </row>
    <row r="11" spans="1:16" s="62" customFormat="1" ht="15" customHeight="1">
      <c r="A11" s="68" t="s">
        <v>5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89"/>
      <c r="O11" s="63"/>
      <c r="P11" s="80"/>
    </row>
    <row r="12" spans="1:16" s="62" customFormat="1" ht="15" customHeight="1">
      <c r="A12" s="69" t="s">
        <v>58</v>
      </c>
      <c r="B12" s="27">
        <f>3500</f>
        <v>3500</v>
      </c>
      <c r="C12" s="27">
        <f>3500</f>
        <v>3500</v>
      </c>
      <c r="D12" s="27">
        <v>3500</v>
      </c>
      <c r="E12" s="27">
        <v>3500</v>
      </c>
      <c r="F12" s="27">
        <f>3605</f>
        <v>3605</v>
      </c>
      <c r="G12" s="27">
        <f>3605</f>
        <v>3605</v>
      </c>
      <c r="H12" s="27">
        <v>3605</v>
      </c>
      <c r="I12" s="27">
        <f>3605</f>
        <v>3605</v>
      </c>
      <c r="J12" s="27">
        <f>3605</f>
        <v>3605</v>
      </c>
      <c r="K12" s="27">
        <f>3605</f>
        <v>3605</v>
      </c>
      <c r="L12" s="27">
        <f t="shared" ref="L12:M12" si="1">3605</f>
        <v>3605</v>
      </c>
      <c r="M12" s="27">
        <f t="shared" si="1"/>
        <v>3605</v>
      </c>
      <c r="N12" s="87">
        <f>(((((((((B12)+(C12))+(D12))+(E12))+(F12))+(G12))+(H12))+(I12))+(J12))+(K12)+L12+M12</f>
        <v>42840</v>
      </c>
      <c r="O12" s="63">
        <f t="shared" ref="O12:O18" si="2">N12/$N$33</f>
        <v>0.15781330582774625</v>
      </c>
      <c r="P12" s="80" t="s">
        <v>90</v>
      </c>
    </row>
    <row r="13" spans="1:16" s="62" customFormat="1" ht="15" customHeight="1">
      <c r="A13" s="69" t="s">
        <v>59</v>
      </c>
      <c r="B13" s="27">
        <v>0</v>
      </c>
      <c r="C13" s="27">
        <v>0</v>
      </c>
      <c r="D13" s="27">
        <v>0</v>
      </c>
      <c r="E13" s="27">
        <v>0</v>
      </c>
      <c r="F13" s="27">
        <v>2500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/>
      <c r="M13" s="27"/>
      <c r="N13" s="87">
        <f t="shared" ref="N13:N15" si="3">(((((((((B13)+(C13))+(D13))+(E13))+(F13))+(G13))+(H13))+(I13))+(J13))+(K13)+L13+M13</f>
        <v>2500</v>
      </c>
      <c r="O13" s="63">
        <f t="shared" si="2"/>
        <v>9.2094599572681065E-3</v>
      </c>
      <c r="P13" s="80"/>
    </row>
    <row r="14" spans="1:16" s="62" customFormat="1" ht="15" customHeight="1">
      <c r="A14" s="69" t="s">
        <v>60</v>
      </c>
      <c r="B14" s="27">
        <v>200</v>
      </c>
      <c r="C14" s="27">
        <v>200</v>
      </c>
      <c r="D14" s="27">
        <v>200</v>
      </c>
      <c r="E14" s="27">
        <v>200</v>
      </c>
      <c r="F14" s="27">
        <v>200</v>
      </c>
      <c r="G14" s="27">
        <v>200</v>
      </c>
      <c r="H14" s="27">
        <v>200</v>
      </c>
      <c r="I14" s="27">
        <v>200</v>
      </c>
      <c r="J14" s="27">
        <v>200</v>
      </c>
      <c r="K14" s="27">
        <v>200</v>
      </c>
      <c r="L14" s="27">
        <v>200</v>
      </c>
      <c r="M14" s="27">
        <v>200</v>
      </c>
      <c r="N14" s="87">
        <f t="shared" si="3"/>
        <v>2400</v>
      </c>
      <c r="O14" s="63">
        <f t="shared" si="2"/>
        <v>8.8410815589773824E-3</v>
      </c>
      <c r="P14" s="80"/>
    </row>
    <row r="15" spans="1:16" s="62" customFormat="1" ht="15" customHeight="1">
      <c r="A15" s="70" t="s">
        <v>0</v>
      </c>
      <c r="B15" s="28">
        <v>500</v>
      </c>
      <c r="C15" s="28">
        <v>500</v>
      </c>
      <c r="D15" s="28">
        <v>400</v>
      </c>
      <c r="E15" s="28">
        <v>200</v>
      </c>
      <c r="F15" s="28">
        <v>200</v>
      </c>
      <c r="G15" s="28">
        <v>100</v>
      </c>
      <c r="H15" s="28">
        <v>100</v>
      </c>
      <c r="I15" s="28">
        <v>100</v>
      </c>
      <c r="J15" s="28">
        <v>200</v>
      </c>
      <c r="K15" s="28">
        <v>200</v>
      </c>
      <c r="L15" s="28">
        <v>300</v>
      </c>
      <c r="M15" s="28">
        <v>500</v>
      </c>
      <c r="N15" s="90">
        <f t="shared" si="3"/>
        <v>3300</v>
      </c>
      <c r="O15" s="64">
        <f t="shared" si="2"/>
        <v>1.2156487143593899E-2</v>
      </c>
      <c r="P15" s="80"/>
    </row>
    <row r="16" spans="1:16" s="62" customFormat="1" ht="15" customHeight="1">
      <c r="A16" s="68" t="s">
        <v>95</v>
      </c>
      <c r="B16" s="29">
        <f>SUM(B12:B15)</f>
        <v>4200</v>
      </c>
      <c r="C16" s="29">
        <f t="shared" ref="C16:M16" si="4">SUM(C12:C15)</f>
        <v>4200</v>
      </c>
      <c r="D16" s="29">
        <f t="shared" si="4"/>
        <v>4100</v>
      </c>
      <c r="E16" s="29">
        <f t="shared" si="4"/>
        <v>3900</v>
      </c>
      <c r="F16" s="29">
        <f t="shared" si="4"/>
        <v>6505</v>
      </c>
      <c r="G16" s="29">
        <f t="shared" si="4"/>
        <v>3905</v>
      </c>
      <c r="H16" s="29">
        <f t="shared" si="4"/>
        <v>3905</v>
      </c>
      <c r="I16" s="29">
        <f t="shared" si="4"/>
        <v>3905</v>
      </c>
      <c r="J16" s="29">
        <f t="shared" si="4"/>
        <v>4005</v>
      </c>
      <c r="K16" s="29">
        <f t="shared" si="4"/>
        <v>4005</v>
      </c>
      <c r="L16" s="29">
        <f t="shared" si="4"/>
        <v>4105</v>
      </c>
      <c r="M16" s="29">
        <f t="shared" si="4"/>
        <v>4305</v>
      </c>
      <c r="N16" s="89">
        <f>(((((((((B16)+(C16))+(D16))+(E16))+(F16))+(G16))+(H16))+(I16))+(J16))+(K16)+L16+M16</f>
        <v>51040</v>
      </c>
      <c r="O16" s="65">
        <f t="shared" si="2"/>
        <v>0.18802033448758565</v>
      </c>
      <c r="P16" s="80"/>
    </row>
    <row r="17" spans="1:16" s="62" customFormat="1" ht="15" customHeight="1">
      <c r="A17" s="68" t="s">
        <v>61</v>
      </c>
      <c r="B17" s="29">
        <v>250</v>
      </c>
      <c r="C17" s="29">
        <v>250</v>
      </c>
      <c r="D17" s="29">
        <v>500</v>
      </c>
      <c r="E17" s="29">
        <v>500</v>
      </c>
      <c r="F17" s="29">
        <v>250</v>
      </c>
      <c r="G17" s="29">
        <v>0</v>
      </c>
      <c r="H17" s="29">
        <v>5000</v>
      </c>
      <c r="I17" s="29">
        <v>0</v>
      </c>
      <c r="J17" s="29">
        <v>500</v>
      </c>
      <c r="K17" s="29">
        <v>500</v>
      </c>
      <c r="L17" s="29">
        <v>250</v>
      </c>
      <c r="M17" s="29">
        <v>5000</v>
      </c>
      <c r="N17" s="89">
        <f>(((((((((B17)+(C17))+(D17))+(E17))+(F17))+(G17))+(H17))+(I17))+(J17))+(K17)+L17+M17</f>
        <v>13000</v>
      </c>
      <c r="O17" s="65">
        <f t="shared" si="2"/>
        <v>4.7889191777794153E-2</v>
      </c>
      <c r="P17" s="80"/>
    </row>
    <row r="18" spans="1:16" s="62" customFormat="1" ht="15" customHeight="1">
      <c r="A18" s="68" t="s">
        <v>111</v>
      </c>
      <c r="B18" s="29">
        <v>10000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10000</v>
      </c>
      <c r="K18" s="29">
        <v>0</v>
      </c>
      <c r="L18" s="29">
        <v>0</v>
      </c>
      <c r="M18" s="29">
        <v>0</v>
      </c>
      <c r="N18" s="89">
        <f>(((((((((B18)+(C18))+(D18))+(E18))+(F18))+(G18))+(H18))+(I18))+(J18))+(K18)+L18+M18</f>
        <v>20000</v>
      </c>
      <c r="O18" s="65">
        <f t="shared" si="2"/>
        <v>7.3675679658144852E-2</v>
      </c>
      <c r="P18" s="80"/>
    </row>
    <row r="19" spans="1:16" s="62" customFormat="1" ht="15" customHeight="1">
      <c r="A19" s="68" t="s">
        <v>96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87"/>
      <c r="O19" s="63"/>
      <c r="P19" s="80"/>
    </row>
    <row r="20" spans="1:16" s="62" customFormat="1" ht="15" customHeight="1">
      <c r="A20" s="69" t="s">
        <v>63</v>
      </c>
      <c r="B20" s="27">
        <v>150</v>
      </c>
      <c r="C20" s="27">
        <v>0</v>
      </c>
      <c r="D20" s="27">
        <v>0</v>
      </c>
      <c r="E20" s="27">
        <v>150</v>
      </c>
      <c r="F20" s="27">
        <v>0</v>
      </c>
      <c r="G20" s="27">
        <v>0</v>
      </c>
      <c r="H20" s="27">
        <v>0</v>
      </c>
      <c r="I20" s="27">
        <v>150</v>
      </c>
      <c r="J20" s="27">
        <v>0</v>
      </c>
      <c r="K20" s="27">
        <v>0</v>
      </c>
      <c r="L20" s="27">
        <v>150</v>
      </c>
      <c r="M20" s="27">
        <v>0</v>
      </c>
      <c r="N20" s="87">
        <f>(((((((((B20)+(C20))+(D20))+(E20))+(F20))+(G20))+(H20))+(I20))+(J20))+(K20)+L20+M20</f>
        <v>600</v>
      </c>
      <c r="O20" s="63">
        <f>N20/$N$33</f>
        <v>2.2102703897443456E-3</v>
      </c>
      <c r="P20" s="80"/>
    </row>
    <row r="21" spans="1:16" s="62" customFormat="1" ht="15" customHeight="1">
      <c r="A21" s="69" t="s">
        <v>64</v>
      </c>
      <c r="B21" s="27">
        <v>0</v>
      </c>
      <c r="C21" s="27">
        <v>0</v>
      </c>
      <c r="D21" s="27">
        <v>75</v>
      </c>
      <c r="E21" s="27">
        <v>0</v>
      </c>
      <c r="F21" s="27">
        <v>0</v>
      </c>
      <c r="G21" s="27">
        <v>0</v>
      </c>
      <c r="H21" s="27">
        <v>0</v>
      </c>
      <c r="I21" s="27">
        <v>75</v>
      </c>
      <c r="J21" s="27">
        <v>0</v>
      </c>
      <c r="K21" s="27">
        <v>0</v>
      </c>
      <c r="L21" s="27"/>
      <c r="M21" s="27"/>
      <c r="N21" s="87">
        <f t="shared" ref="N21:N26" si="5">(((((((((B21)+(C21))+(D21))+(E21))+(F21))+(G21))+(H21))+(I21))+(J21))+(K21)+L21+M21</f>
        <v>150</v>
      </c>
      <c r="O21" s="63">
        <f>N21/$N$33</f>
        <v>5.525675974360864E-4</v>
      </c>
      <c r="P21" s="80"/>
    </row>
    <row r="22" spans="1:16" s="62" customFormat="1" ht="15" customHeight="1">
      <c r="A22" s="69" t="s">
        <v>65</v>
      </c>
      <c r="B22" s="27">
        <v>500</v>
      </c>
      <c r="C22" s="27">
        <v>500</v>
      </c>
      <c r="D22" s="27">
        <v>500</v>
      </c>
      <c r="E22" s="27">
        <v>500</v>
      </c>
      <c r="F22" s="27">
        <v>500</v>
      </c>
      <c r="G22" s="27">
        <v>250</v>
      </c>
      <c r="H22" s="27">
        <v>250</v>
      </c>
      <c r="I22" s="27">
        <v>250</v>
      </c>
      <c r="J22" s="27">
        <v>500</v>
      </c>
      <c r="K22" s="27">
        <v>500</v>
      </c>
      <c r="L22" s="27">
        <v>500</v>
      </c>
      <c r="M22" s="27">
        <v>500</v>
      </c>
      <c r="N22" s="87">
        <f t="shared" si="5"/>
        <v>5250</v>
      </c>
      <c r="O22" s="63">
        <f>N22/$N$33</f>
        <v>1.9339865910263022E-2</v>
      </c>
      <c r="P22" s="80"/>
    </row>
    <row r="23" spans="1:16" s="62" customFormat="1" ht="15" customHeight="1">
      <c r="A23" s="69" t="s">
        <v>66</v>
      </c>
      <c r="B23" s="27">
        <v>50</v>
      </c>
      <c r="C23" s="27"/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50</v>
      </c>
      <c r="J23" s="27">
        <v>0</v>
      </c>
      <c r="K23" s="27">
        <f>-J2</f>
        <v>0</v>
      </c>
      <c r="L23" s="27">
        <v>0</v>
      </c>
      <c r="M23" s="27">
        <v>0</v>
      </c>
      <c r="N23" s="87">
        <f t="shared" si="5"/>
        <v>100</v>
      </c>
      <c r="O23" s="63">
        <f>N23/$N$33</f>
        <v>3.6837839829072423E-4</v>
      </c>
      <c r="P23" s="80" t="s">
        <v>91</v>
      </c>
    </row>
    <row r="24" spans="1:16" s="62" customFormat="1" ht="15" customHeight="1">
      <c r="A24" s="69" t="s">
        <v>67</v>
      </c>
      <c r="B24" s="27">
        <v>0</v>
      </c>
      <c r="C24" s="27">
        <v>0</v>
      </c>
      <c r="D24" s="27">
        <v>0</v>
      </c>
      <c r="E24" s="27">
        <v>0</v>
      </c>
      <c r="F24" s="27">
        <v>200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87">
        <f t="shared" si="5"/>
        <v>200</v>
      </c>
      <c r="O24" s="63">
        <f>N24/$N$33</f>
        <v>7.3675679658144846E-4</v>
      </c>
      <c r="P24" s="80"/>
    </row>
    <row r="25" spans="1:16" s="62" customFormat="1" ht="15" customHeight="1">
      <c r="A25" s="69" t="s">
        <v>112</v>
      </c>
      <c r="B25" s="27">
        <v>500</v>
      </c>
      <c r="C25" s="27">
        <v>500</v>
      </c>
      <c r="D25" s="27">
        <v>500</v>
      </c>
      <c r="E25" s="27">
        <v>500</v>
      </c>
      <c r="F25" s="27">
        <v>500</v>
      </c>
      <c r="G25" s="27">
        <v>0</v>
      </c>
      <c r="H25" s="27">
        <v>0</v>
      </c>
      <c r="I25" s="27">
        <v>500</v>
      </c>
      <c r="J25" s="27">
        <v>500</v>
      </c>
      <c r="K25" s="27">
        <v>500</v>
      </c>
      <c r="L25" s="27">
        <v>500</v>
      </c>
      <c r="M25" s="27">
        <v>500</v>
      </c>
      <c r="N25" s="87">
        <f t="shared" si="5"/>
        <v>5000</v>
      </c>
      <c r="O25" s="63"/>
      <c r="P25" s="80"/>
    </row>
    <row r="26" spans="1:16" s="62" customFormat="1" ht="15" customHeight="1">
      <c r="A26" s="70" t="s">
        <v>68</v>
      </c>
      <c r="B26" s="28">
        <v>100</v>
      </c>
      <c r="C26" s="28">
        <v>100</v>
      </c>
      <c r="D26" s="28">
        <v>100</v>
      </c>
      <c r="E26" s="28">
        <v>100</v>
      </c>
      <c r="F26" s="28">
        <v>100</v>
      </c>
      <c r="G26" s="28">
        <v>100</v>
      </c>
      <c r="H26" s="28">
        <v>100</v>
      </c>
      <c r="I26" s="28">
        <v>100</v>
      </c>
      <c r="J26" s="28">
        <v>100</v>
      </c>
      <c r="K26" s="28">
        <v>100</v>
      </c>
      <c r="L26" s="28">
        <v>100</v>
      </c>
      <c r="M26" s="28">
        <v>100</v>
      </c>
      <c r="N26" s="90">
        <f t="shared" si="5"/>
        <v>1200</v>
      </c>
      <c r="O26" s="64">
        <f t="shared" ref="O26:O32" si="6">N26/$N$33</f>
        <v>4.4205407794886912E-3</v>
      </c>
      <c r="P26" s="80"/>
    </row>
    <row r="27" spans="1:16" s="62" customFormat="1" ht="15" customHeight="1">
      <c r="A27" s="68" t="s">
        <v>97</v>
      </c>
      <c r="B27" s="72">
        <f t="shared" ref="B27:N27" si="7">SUM(B20:B26)</f>
        <v>1300</v>
      </c>
      <c r="C27" s="72">
        <f t="shared" si="7"/>
        <v>1100</v>
      </c>
      <c r="D27" s="72">
        <f t="shared" si="7"/>
        <v>1175</v>
      </c>
      <c r="E27" s="72">
        <f t="shared" si="7"/>
        <v>1250</v>
      </c>
      <c r="F27" s="72">
        <f t="shared" si="7"/>
        <v>1300</v>
      </c>
      <c r="G27" s="72">
        <f t="shared" si="7"/>
        <v>350</v>
      </c>
      <c r="H27" s="72">
        <f t="shared" si="7"/>
        <v>350</v>
      </c>
      <c r="I27" s="72">
        <f t="shared" si="7"/>
        <v>1125</v>
      </c>
      <c r="J27" s="72">
        <f t="shared" si="7"/>
        <v>1100</v>
      </c>
      <c r="K27" s="72">
        <f t="shared" si="7"/>
        <v>1100</v>
      </c>
      <c r="L27" s="72">
        <f t="shared" si="7"/>
        <v>1250</v>
      </c>
      <c r="M27" s="72">
        <f t="shared" si="7"/>
        <v>1100</v>
      </c>
      <c r="N27" s="89">
        <f t="shared" si="7"/>
        <v>12500</v>
      </c>
      <c r="O27" s="65">
        <f t="shared" si="6"/>
        <v>4.6047299786340527E-2</v>
      </c>
      <c r="P27" s="80"/>
    </row>
    <row r="28" spans="1:16" s="62" customFormat="1" ht="15" customHeight="1">
      <c r="A28" s="68" t="s">
        <v>19</v>
      </c>
      <c r="B28" s="29">
        <v>0</v>
      </c>
      <c r="C28" s="29">
        <v>0</v>
      </c>
      <c r="D28" s="29">
        <v>10</v>
      </c>
      <c r="E28" s="29">
        <v>10</v>
      </c>
      <c r="F28" s="29">
        <v>10</v>
      </c>
      <c r="G28" s="29">
        <v>10</v>
      </c>
      <c r="H28" s="29">
        <v>10</v>
      </c>
      <c r="I28" s="29">
        <v>10</v>
      </c>
      <c r="J28" s="29">
        <v>210</v>
      </c>
      <c r="K28" s="29">
        <v>10</v>
      </c>
      <c r="L28" s="29">
        <v>10</v>
      </c>
      <c r="M28" s="29">
        <v>10</v>
      </c>
      <c r="N28" s="89">
        <f>(((((((((B28)+(C28))+(D28))+(E28))+(F28))+(G28))+(H28))+(I28))+(J28))+(K28)+L28+M28</f>
        <v>300</v>
      </c>
      <c r="O28" s="65">
        <f t="shared" si="6"/>
        <v>1.1051351948721728E-3</v>
      </c>
      <c r="P28" s="80"/>
    </row>
    <row r="29" spans="1:16" s="62" customFormat="1" ht="15" customHeight="1">
      <c r="A29" s="68" t="s">
        <v>24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100</v>
      </c>
      <c r="K29" s="29">
        <v>100</v>
      </c>
      <c r="L29" s="29">
        <v>50</v>
      </c>
      <c r="M29" s="29">
        <v>0</v>
      </c>
      <c r="N29" s="89">
        <f t="shared" ref="N29:N32" si="8">(((((((((B29)+(C29))+(D29))+(E29))+(F29))+(G29))+(H29))+(I29))+(J29))+(K29)+L29+M29</f>
        <v>250</v>
      </c>
      <c r="O29" s="65">
        <f t="shared" si="6"/>
        <v>9.2094599572681063E-4</v>
      </c>
      <c r="P29" s="80" t="s">
        <v>48</v>
      </c>
    </row>
    <row r="30" spans="1:16" s="62" customFormat="1" ht="15" customHeight="1">
      <c r="A30" s="68" t="s">
        <v>98</v>
      </c>
      <c r="B30" s="29">
        <v>80</v>
      </c>
      <c r="C30" s="29">
        <v>80</v>
      </c>
      <c r="D30" s="29">
        <v>80</v>
      </c>
      <c r="E30" s="29">
        <v>80</v>
      </c>
      <c r="F30" s="29">
        <v>80</v>
      </c>
      <c r="G30" s="29">
        <v>0</v>
      </c>
      <c r="H30" s="29">
        <v>0</v>
      </c>
      <c r="I30" s="29">
        <v>0</v>
      </c>
      <c r="J30" s="29">
        <v>80</v>
      </c>
      <c r="K30" s="29">
        <v>80</v>
      </c>
      <c r="L30" s="29">
        <v>80</v>
      </c>
      <c r="M30" s="29">
        <v>80</v>
      </c>
      <c r="N30" s="89">
        <f t="shared" si="8"/>
        <v>720</v>
      </c>
      <c r="O30" s="65">
        <f t="shared" si="6"/>
        <v>2.6523244676932146E-3</v>
      </c>
      <c r="P30" s="80"/>
    </row>
    <row r="31" spans="1:16" s="62" customFormat="1" ht="15" customHeight="1">
      <c r="A31" s="68" t="s">
        <v>12</v>
      </c>
      <c r="B31" s="29">
        <v>0</v>
      </c>
      <c r="C31" s="29">
        <v>0</v>
      </c>
      <c r="D31" s="29">
        <v>0</v>
      </c>
      <c r="E31" s="29">
        <v>0</v>
      </c>
      <c r="F31" s="29">
        <v>3700</v>
      </c>
      <c r="G31" s="29">
        <v>350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89">
        <f t="shared" si="8"/>
        <v>4050</v>
      </c>
      <c r="O31" s="65">
        <f t="shared" si="6"/>
        <v>1.4919325130774331E-2</v>
      </c>
      <c r="P31" s="80" t="s">
        <v>38</v>
      </c>
    </row>
    <row r="32" spans="1:16" s="62" customFormat="1" ht="15" customHeight="1" thickBot="1">
      <c r="A32" s="73" t="s">
        <v>25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89">
        <f t="shared" si="8"/>
        <v>0</v>
      </c>
      <c r="O32" s="66">
        <f t="shared" si="6"/>
        <v>0</v>
      </c>
      <c r="P32" s="80" t="s">
        <v>92</v>
      </c>
    </row>
    <row r="33" spans="1:16" s="62" customFormat="1" ht="15" customHeight="1" thickBot="1">
      <c r="A33" s="74" t="s">
        <v>71</v>
      </c>
      <c r="B33" s="75">
        <f t="shared" ref="B33:M33" si="9">B10+B16+B27+B28+B17+B31+B29+B30+B32+B18</f>
        <v>29830</v>
      </c>
      <c r="C33" s="75">
        <f t="shared" si="9"/>
        <v>19630</v>
      </c>
      <c r="D33" s="75">
        <f t="shared" si="9"/>
        <v>19865</v>
      </c>
      <c r="E33" s="75">
        <f t="shared" si="9"/>
        <v>22240</v>
      </c>
      <c r="F33" s="75">
        <f t="shared" si="9"/>
        <v>25645</v>
      </c>
      <c r="G33" s="75">
        <f t="shared" si="9"/>
        <v>17615</v>
      </c>
      <c r="H33" s="75">
        <f t="shared" si="9"/>
        <v>22265</v>
      </c>
      <c r="I33" s="75">
        <f t="shared" si="9"/>
        <v>18240</v>
      </c>
      <c r="J33" s="75">
        <f t="shared" si="9"/>
        <v>29795</v>
      </c>
      <c r="K33" s="75">
        <f t="shared" si="9"/>
        <v>22295</v>
      </c>
      <c r="L33" s="75">
        <f t="shared" si="9"/>
        <v>19745</v>
      </c>
      <c r="M33" s="75">
        <f t="shared" si="9"/>
        <v>24295</v>
      </c>
      <c r="N33" s="91">
        <f>(((((((((B33)+(C33))+(D33))+(E33))+(F33))+(G33))+(H33))+(I33))+(J33))+(K33)+L33+M33</f>
        <v>271460</v>
      </c>
      <c r="O33" s="83">
        <f>O10+O16+O17+O27+O28+O29+O30+O31+O32</f>
        <v>0.92632432034185519</v>
      </c>
      <c r="P33" s="80"/>
    </row>
    <row r="34" spans="1:16" s="62" customFormat="1" ht="15" customHeight="1">
      <c r="A34" s="68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67"/>
      <c r="P34" s="80"/>
    </row>
    <row r="35" spans="1:16" s="59" customFormat="1" ht="15" customHeight="1">
      <c r="O35" s="60"/>
      <c r="P35" s="81"/>
    </row>
    <row r="36" spans="1:16" s="59" customFormat="1" ht="15" customHeight="1">
      <c r="O36" s="60"/>
      <c r="P36" s="81"/>
    </row>
    <row r="37" spans="1:16" s="59" customFormat="1" ht="15" customHeight="1">
      <c r="O37" s="60"/>
      <c r="P37" s="8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="150" zoomScaleNormal="150" zoomScalePageLayoutView="1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0" sqref="B10"/>
    </sheetView>
  </sheetViews>
  <sheetFormatPr baseColWidth="10" defaultRowHeight="15" x14ac:dyDescent="0"/>
  <cols>
    <col min="1" max="1" width="32" customWidth="1"/>
    <col min="3" max="3" width="7.5" style="33" bestFit="1" customWidth="1"/>
    <col min="5" max="5" width="7.5" style="33" bestFit="1" customWidth="1"/>
    <col min="7" max="7" width="7.5" style="33" bestFit="1" customWidth="1"/>
    <col min="9" max="9" width="7.5" style="33" bestFit="1" customWidth="1"/>
    <col min="11" max="11" width="7.5" style="33" bestFit="1" customWidth="1"/>
    <col min="12" max="12" width="3.33203125" customWidth="1"/>
    <col min="13" max="13" width="10.83203125" style="81"/>
  </cols>
  <sheetData>
    <row r="1" spans="1:16" ht="15" customHeight="1">
      <c r="A1" s="22" t="s">
        <v>33</v>
      </c>
      <c r="B1" s="3"/>
      <c r="C1"/>
      <c r="D1" s="6"/>
      <c r="E1"/>
      <c r="G1"/>
      <c r="I1"/>
      <c r="K1"/>
      <c r="P1" s="79"/>
    </row>
    <row r="2" spans="1:16" ht="15" customHeight="1">
      <c r="A2" s="101" t="s">
        <v>75</v>
      </c>
      <c r="B2" s="3"/>
      <c r="C2"/>
      <c r="D2" s="6"/>
      <c r="E2"/>
      <c r="G2"/>
      <c r="I2"/>
      <c r="K2"/>
      <c r="P2" s="79"/>
    </row>
    <row r="4" spans="1:16" s="35" customFormat="1" ht="12">
      <c r="A4" s="34"/>
      <c r="B4" s="35" t="s">
        <v>99</v>
      </c>
      <c r="C4" s="33" t="s">
        <v>32</v>
      </c>
      <c r="D4" s="35" t="s">
        <v>100</v>
      </c>
      <c r="E4" s="33" t="s">
        <v>32</v>
      </c>
      <c r="F4" s="35" t="s">
        <v>101</v>
      </c>
      <c r="G4" s="33" t="s">
        <v>32</v>
      </c>
      <c r="H4" s="35" t="s">
        <v>102</v>
      </c>
      <c r="I4" s="33" t="s">
        <v>32</v>
      </c>
      <c r="J4" s="35" t="s">
        <v>103</v>
      </c>
      <c r="K4" s="33" t="s">
        <v>32</v>
      </c>
      <c r="M4" s="94" t="s">
        <v>49</v>
      </c>
    </row>
    <row r="5" spans="1:16">
      <c r="A5" s="1" t="s">
        <v>1</v>
      </c>
    </row>
    <row r="6" spans="1:16">
      <c r="A6" s="26" t="s">
        <v>2</v>
      </c>
      <c r="B6" s="36">
        <v>156000</v>
      </c>
      <c r="C6" s="37">
        <f>B6/$B$34</f>
        <v>0.52242754666684532</v>
      </c>
      <c r="D6" s="36">
        <f>156000*103%</f>
        <v>160680</v>
      </c>
      <c r="E6" s="37">
        <f>D6/$D$34</f>
        <v>0.52187432260758393</v>
      </c>
      <c r="F6" s="39">
        <f>D6*103%</f>
        <v>165500.4</v>
      </c>
      <c r="G6" s="37">
        <f>F6/$F$34</f>
        <v>0.53939906863755605</v>
      </c>
      <c r="H6" s="36">
        <f>F6*103%</f>
        <v>170465.41200000001</v>
      </c>
      <c r="I6" s="37">
        <f>H6/$H$34</f>
        <v>0.54709538632552268</v>
      </c>
      <c r="J6" s="39">
        <f>H6*103%</f>
        <v>175579.37436000002</v>
      </c>
      <c r="K6" s="37">
        <f>J6/$J$34</f>
        <v>0.55005460483771818</v>
      </c>
      <c r="L6" s="38"/>
      <c r="M6" s="95" t="s">
        <v>104</v>
      </c>
    </row>
    <row r="7" spans="1:16">
      <c r="A7" s="26" t="s">
        <v>110</v>
      </c>
      <c r="B7" s="36">
        <v>5000</v>
      </c>
      <c r="C7" s="37">
        <f>B7/$B$34</f>
        <v>1.6744472649578374E-2</v>
      </c>
      <c r="D7" s="36">
        <v>5000</v>
      </c>
      <c r="E7" s="37">
        <f>D7/$D$34</f>
        <v>1.623955447496838E-2</v>
      </c>
      <c r="F7" s="39">
        <v>5000</v>
      </c>
      <c r="G7" s="37">
        <f>F7/$F$34</f>
        <v>1.629600498359992E-2</v>
      </c>
      <c r="H7" s="36">
        <v>5000</v>
      </c>
      <c r="I7" s="37">
        <f>H7/$H$34</f>
        <v>1.6047108322640918E-2</v>
      </c>
      <c r="J7" s="39">
        <v>5000</v>
      </c>
      <c r="K7" s="37">
        <f>J7/$J$34</f>
        <v>1.5663986924509456E-2</v>
      </c>
      <c r="L7" s="38"/>
      <c r="M7" s="95"/>
    </row>
    <row r="8" spans="1:16">
      <c r="A8" s="26" t="s">
        <v>3</v>
      </c>
      <c r="B8" s="36">
        <v>3600</v>
      </c>
      <c r="C8" s="37">
        <f>B8/$B$34</f>
        <v>1.205602030769643E-2</v>
      </c>
      <c r="D8" s="36">
        <v>3600</v>
      </c>
      <c r="E8" s="37">
        <f>D8/$D$34</f>
        <v>1.1692479221977236E-2</v>
      </c>
      <c r="F8" s="36">
        <v>3600</v>
      </c>
      <c r="G8" s="37">
        <f>F8/$F$34</f>
        <v>1.1733123588191941E-2</v>
      </c>
      <c r="H8" s="36">
        <v>3600</v>
      </c>
      <c r="I8" s="37">
        <f>H8/$H$34</f>
        <v>1.1553917992301462E-2</v>
      </c>
      <c r="J8" s="36">
        <v>3600</v>
      </c>
      <c r="K8" s="37">
        <f>J8/$J$34</f>
        <v>1.1278070585646808E-2</v>
      </c>
      <c r="L8" s="38"/>
    </row>
    <row r="9" spans="1:16">
      <c r="A9" s="16" t="s">
        <v>57</v>
      </c>
      <c r="B9" s="41">
        <v>5000</v>
      </c>
      <c r="C9" s="97">
        <f>B9/$B$34</f>
        <v>1.6744472649578374E-2</v>
      </c>
      <c r="D9" s="41">
        <v>5000</v>
      </c>
      <c r="E9" s="97">
        <f>D9/$D$34</f>
        <v>1.623955447496838E-2</v>
      </c>
      <c r="F9" s="41">
        <v>5000</v>
      </c>
      <c r="G9" s="97">
        <f>F9/$F$34</f>
        <v>1.629600498359992E-2</v>
      </c>
      <c r="H9" s="41">
        <v>5000</v>
      </c>
      <c r="I9" s="97">
        <f>H9/$H$34</f>
        <v>1.6047108322640918E-2</v>
      </c>
      <c r="J9" s="41">
        <v>5000</v>
      </c>
      <c r="K9" s="97">
        <f>J9/$J$34</f>
        <v>1.5663986924509456E-2</v>
      </c>
      <c r="L9" s="38"/>
    </row>
    <row r="10" spans="1:16">
      <c r="A10" s="1" t="s">
        <v>4</v>
      </c>
      <c r="B10" s="42">
        <f>B6+B8+B9+B7</f>
        <v>169600</v>
      </c>
      <c r="C10" s="98">
        <f>B10/$B$34</f>
        <v>0.56797251227369849</v>
      </c>
      <c r="D10" s="42">
        <f>D6+D8+D9+D7</f>
        <v>174280</v>
      </c>
      <c r="E10" s="98">
        <f>D10/$D$34</f>
        <v>0.56604591077949795</v>
      </c>
      <c r="F10" s="42">
        <f>F6+F8+F9+F7</f>
        <v>179100.4</v>
      </c>
      <c r="G10" s="98">
        <f>F10/$F$34</f>
        <v>0.58372420219294774</v>
      </c>
      <c r="H10" s="42">
        <f>H6+H8+H9+H7</f>
        <v>184065.41200000001</v>
      </c>
      <c r="I10" s="98">
        <f>H10/$H$34</f>
        <v>0.59074352096310589</v>
      </c>
      <c r="J10" s="42">
        <f>J6+J8+J9+J7</f>
        <v>189179.37436000002</v>
      </c>
      <c r="K10" s="98">
        <f>J10/$J$34</f>
        <v>0.59266064927238393</v>
      </c>
      <c r="L10" s="38"/>
    </row>
    <row r="11" spans="1:16">
      <c r="A11" s="1" t="s">
        <v>5</v>
      </c>
      <c r="B11" s="36"/>
      <c r="C11" s="37"/>
      <c r="D11" s="36"/>
      <c r="E11" s="37"/>
      <c r="F11" s="36"/>
      <c r="G11" s="37"/>
      <c r="H11" s="36"/>
      <c r="I11" s="37"/>
      <c r="J11" s="36"/>
      <c r="K11" s="37"/>
      <c r="L11" s="38"/>
    </row>
    <row r="12" spans="1:16">
      <c r="A12" s="26" t="s">
        <v>58</v>
      </c>
      <c r="B12" s="36">
        <v>42840</v>
      </c>
      <c r="C12" s="37">
        <f t="shared" ref="C12:C18" si="0">B12/$B$34</f>
        <v>0.14346664166158751</v>
      </c>
      <c r="D12" s="40">
        <f>B12*103%</f>
        <v>44125.200000000004</v>
      </c>
      <c r="E12" s="37">
        <f t="shared" ref="E12:E18" si="1">D12/$D$34</f>
        <v>0.14331471782377497</v>
      </c>
      <c r="F12" s="36">
        <f>D12*103%</f>
        <v>45448.956000000006</v>
      </c>
      <c r="G12" s="37">
        <f t="shared" ref="G12:G18" si="2">F12/$F$34</f>
        <v>0.14812728269508271</v>
      </c>
      <c r="H12" s="40">
        <f>F12*103%</f>
        <v>46812.424680000004</v>
      </c>
      <c r="I12" s="37">
        <f t="shared" ref="I12:I18" si="3">H12/$H$34</f>
        <v>0.15024080993708583</v>
      </c>
      <c r="J12" s="36">
        <f>H12*103%</f>
        <v>48216.797420400006</v>
      </c>
      <c r="K12" s="37">
        <f t="shared" ref="K12:K18" si="4">J12/$J$34</f>
        <v>0.15105345686697338</v>
      </c>
      <c r="L12" s="38"/>
      <c r="M12" s="95" t="s">
        <v>106</v>
      </c>
    </row>
    <row r="13" spans="1:16">
      <c r="A13" s="26" t="s">
        <v>59</v>
      </c>
      <c r="B13" s="36">
        <v>2500</v>
      </c>
      <c r="C13" s="37">
        <f t="shared" si="0"/>
        <v>8.3722363247891868E-3</v>
      </c>
      <c r="D13" s="36">
        <v>2500</v>
      </c>
      <c r="E13" s="37">
        <f t="shared" si="1"/>
        <v>8.1197772374841902E-3</v>
      </c>
      <c r="F13" s="36">
        <v>2500</v>
      </c>
      <c r="G13" s="37">
        <f t="shared" si="2"/>
        <v>8.1480024917999598E-3</v>
      </c>
      <c r="H13" s="36">
        <v>2600</v>
      </c>
      <c r="I13" s="37">
        <f t="shared" si="3"/>
        <v>8.3444963277732771E-3</v>
      </c>
      <c r="J13" s="36">
        <v>2600</v>
      </c>
      <c r="K13" s="37">
        <f t="shared" si="4"/>
        <v>8.145273200744917E-3</v>
      </c>
      <c r="L13" s="38"/>
    </row>
    <row r="14" spans="1:16">
      <c r="A14" s="26" t="s">
        <v>60</v>
      </c>
      <c r="B14" s="36">
        <v>2400</v>
      </c>
      <c r="C14" s="37">
        <f t="shared" si="0"/>
        <v>8.0373468717976192E-3</v>
      </c>
      <c r="D14" s="36">
        <v>2500</v>
      </c>
      <c r="E14" s="37">
        <f t="shared" si="1"/>
        <v>8.1197772374841902E-3</v>
      </c>
      <c r="F14" s="36">
        <v>2500</v>
      </c>
      <c r="G14" s="37">
        <f t="shared" si="2"/>
        <v>8.1480024917999598E-3</v>
      </c>
      <c r="H14" s="36">
        <v>2500</v>
      </c>
      <c r="I14" s="37">
        <f t="shared" si="3"/>
        <v>8.0235541613204592E-3</v>
      </c>
      <c r="J14" s="36">
        <v>2500</v>
      </c>
      <c r="K14" s="37">
        <f t="shared" si="4"/>
        <v>7.8319934622547282E-3</v>
      </c>
      <c r="L14" s="38"/>
    </row>
    <row r="15" spans="1:16">
      <c r="A15" s="16" t="s">
        <v>0</v>
      </c>
      <c r="B15" s="41">
        <v>3300</v>
      </c>
      <c r="C15" s="97">
        <f t="shared" si="0"/>
        <v>1.1051351948721727E-2</v>
      </c>
      <c r="D15" s="41">
        <v>3300</v>
      </c>
      <c r="E15" s="97">
        <f t="shared" si="1"/>
        <v>1.0718105953479131E-2</v>
      </c>
      <c r="F15" s="41">
        <v>3300</v>
      </c>
      <c r="G15" s="97">
        <f t="shared" si="2"/>
        <v>1.0755363289175946E-2</v>
      </c>
      <c r="H15" s="41">
        <v>3300</v>
      </c>
      <c r="I15" s="97">
        <f t="shared" si="3"/>
        <v>1.0591091492943006E-2</v>
      </c>
      <c r="J15" s="41">
        <v>3300</v>
      </c>
      <c r="K15" s="97">
        <f t="shared" si="4"/>
        <v>1.033823137017624E-2</v>
      </c>
      <c r="L15" s="38"/>
    </row>
    <row r="16" spans="1:16">
      <c r="A16" s="1" t="s">
        <v>8</v>
      </c>
      <c r="B16" s="42">
        <f>SUM(B12:B15)</f>
        <v>51040</v>
      </c>
      <c r="C16" s="98">
        <f t="shared" si="0"/>
        <v>0.17092757680689605</v>
      </c>
      <c r="D16" s="42">
        <f t="shared" ref="D16:J16" si="5">SUM(D12:D15)</f>
        <v>52425.200000000004</v>
      </c>
      <c r="E16" s="98">
        <f t="shared" si="1"/>
        <v>0.17027237825222249</v>
      </c>
      <c r="F16" s="42">
        <f t="shared" si="5"/>
        <v>53748.956000000006</v>
      </c>
      <c r="G16" s="98">
        <f t="shared" si="2"/>
        <v>0.17517865096785856</v>
      </c>
      <c r="H16" s="42">
        <f t="shared" si="5"/>
        <v>55212.424680000004</v>
      </c>
      <c r="I16" s="98">
        <f t="shared" si="3"/>
        <v>0.17719995191912258</v>
      </c>
      <c r="J16" s="42">
        <f t="shared" si="5"/>
        <v>56616.797420400006</v>
      </c>
      <c r="K16" s="98">
        <f t="shared" si="4"/>
        <v>0.17736895490014926</v>
      </c>
      <c r="L16" s="38"/>
    </row>
    <row r="17" spans="1:13">
      <c r="A17" s="1" t="s">
        <v>61</v>
      </c>
      <c r="B17" s="42">
        <v>13000</v>
      </c>
      <c r="C17" s="98">
        <f t="shared" si="0"/>
        <v>4.353562888890377E-2</v>
      </c>
      <c r="D17" s="42">
        <v>15000</v>
      </c>
      <c r="E17" s="98">
        <f t="shared" si="1"/>
        <v>4.8718663424905148E-2</v>
      </c>
      <c r="F17" s="42">
        <v>7500</v>
      </c>
      <c r="G17" s="98">
        <f t="shared" si="2"/>
        <v>2.4444007475399879E-2</v>
      </c>
      <c r="H17" s="42">
        <v>5000</v>
      </c>
      <c r="I17" s="98">
        <f t="shared" si="3"/>
        <v>1.6047108322640918E-2</v>
      </c>
      <c r="J17" s="42">
        <v>5000</v>
      </c>
      <c r="K17" s="98">
        <f t="shared" si="4"/>
        <v>1.5663986924509456E-2</v>
      </c>
      <c r="L17" s="38"/>
      <c r="M17" s="81" t="s">
        <v>107</v>
      </c>
    </row>
    <row r="18" spans="1:13">
      <c r="A18" s="1" t="s">
        <v>111</v>
      </c>
      <c r="B18" s="42">
        <v>20000</v>
      </c>
      <c r="C18" s="98">
        <f t="shared" si="0"/>
        <v>6.6977890598313494E-2</v>
      </c>
      <c r="D18" s="42">
        <v>20000</v>
      </c>
      <c r="E18" s="98">
        <f t="shared" si="1"/>
        <v>6.4958217899873522E-2</v>
      </c>
      <c r="F18" s="42">
        <v>20000</v>
      </c>
      <c r="G18" s="98">
        <f t="shared" si="2"/>
        <v>6.5184019934399678E-2</v>
      </c>
      <c r="H18" s="42">
        <v>20000</v>
      </c>
      <c r="I18" s="98">
        <f t="shared" si="3"/>
        <v>6.4188433290563673E-2</v>
      </c>
      <c r="J18" s="42">
        <v>20000</v>
      </c>
      <c r="K18" s="98">
        <f t="shared" si="4"/>
        <v>6.2655947698037825E-2</v>
      </c>
      <c r="L18" s="38"/>
    </row>
    <row r="19" spans="1:13">
      <c r="A19" s="1" t="s">
        <v>62</v>
      </c>
      <c r="B19" s="36"/>
      <c r="C19" s="37"/>
      <c r="D19" s="36"/>
      <c r="E19" s="37"/>
      <c r="F19" s="36"/>
      <c r="G19" s="37"/>
      <c r="H19" s="36"/>
      <c r="I19" s="37"/>
      <c r="J19" s="36"/>
      <c r="K19" s="37"/>
      <c r="L19" s="38"/>
    </row>
    <row r="20" spans="1:13">
      <c r="A20" s="26" t="s">
        <v>63</v>
      </c>
      <c r="B20" s="36">
        <v>600</v>
      </c>
      <c r="C20" s="37">
        <f t="shared" ref="C20:C33" si="6">B20/$B$34</f>
        <v>2.0093367179494048E-3</v>
      </c>
      <c r="D20" s="36">
        <f t="shared" ref="D20:D26" si="7">B20*103%</f>
        <v>618</v>
      </c>
      <c r="E20" s="37">
        <f t="shared" ref="E20:E33" si="8">D20/$D$34</f>
        <v>2.0072089331060919E-3</v>
      </c>
      <c r="F20" s="39">
        <f t="shared" ref="F20:F26" si="9">D20*103%</f>
        <v>636.54</v>
      </c>
      <c r="G20" s="37">
        <f t="shared" ref="G20:G33" si="10">F20/$F$34</f>
        <v>2.0746118024521382E-3</v>
      </c>
      <c r="H20" s="36">
        <f t="shared" ref="H20:H26" si="11">F20*103%</f>
        <v>655.63620000000003</v>
      </c>
      <c r="I20" s="37">
        <f t="shared" ref="I20:I33" si="12">H20/$H$34</f>
        <v>2.1042130243289331E-3</v>
      </c>
      <c r="J20" s="43">
        <f t="shared" ref="J20:J26" si="13">H20*103%</f>
        <v>675.30528600000002</v>
      </c>
      <c r="K20" s="37">
        <f t="shared" ref="K20:K33" si="14">J20/$J$34</f>
        <v>2.1155946339912238E-3</v>
      </c>
      <c r="L20" s="38"/>
    </row>
    <row r="21" spans="1:13">
      <c r="A21" s="26" t="s">
        <v>64</v>
      </c>
      <c r="B21" s="36">
        <v>150</v>
      </c>
      <c r="C21" s="37">
        <f t="shared" si="6"/>
        <v>5.023341794873512E-4</v>
      </c>
      <c r="D21" s="36">
        <f t="shared" si="7"/>
        <v>154.5</v>
      </c>
      <c r="E21" s="37">
        <f t="shared" si="8"/>
        <v>5.0180223327652297E-4</v>
      </c>
      <c r="F21" s="39">
        <f t="shared" si="9"/>
        <v>159.13499999999999</v>
      </c>
      <c r="G21" s="37">
        <f t="shared" si="10"/>
        <v>5.1865295061303456E-4</v>
      </c>
      <c r="H21" s="36">
        <f t="shared" si="11"/>
        <v>163.90905000000001</v>
      </c>
      <c r="I21" s="37">
        <f t="shared" si="12"/>
        <v>5.2605325608223329E-4</v>
      </c>
      <c r="J21" s="43">
        <f t="shared" si="13"/>
        <v>168.82632150000001</v>
      </c>
      <c r="K21" s="37">
        <f t="shared" si="14"/>
        <v>5.2889865849780596E-4</v>
      </c>
      <c r="L21" s="38"/>
    </row>
    <row r="22" spans="1:13">
      <c r="A22" s="26" t="s">
        <v>65</v>
      </c>
      <c r="B22" s="36">
        <v>5250</v>
      </c>
      <c r="C22" s="37">
        <f t="shared" si="6"/>
        <v>1.7581696282057292E-2</v>
      </c>
      <c r="D22" s="36">
        <f t="shared" si="7"/>
        <v>5407.5</v>
      </c>
      <c r="E22" s="37">
        <f t="shared" si="8"/>
        <v>1.7563078164678305E-2</v>
      </c>
      <c r="F22" s="39">
        <f t="shared" si="9"/>
        <v>5569.7250000000004</v>
      </c>
      <c r="G22" s="37">
        <f t="shared" si="10"/>
        <v>1.8152853271456212E-2</v>
      </c>
      <c r="H22" s="36">
        <f t="shared" si="11"/>
        <v>5736.8167500000009</v>
      </c>
      <c r="I22" s="37">
        <f t="shared" si="12"/>
        <v>1.8411863962878167E-2</v>
      </c>
      <c r="J22" s="43">
        <f t="shared" si="13"/>
        <v>5908.9212525000012</v>
      </c>
      <c r="K22" s="37">
        <f t="shared" si="14"/>
        <v>1.8511453047423212E-2</v>
      </c>
      <c r="L22" s="38"/>
    </row>
    <row r="23" spans="1:13">
      <c r="A23" s="26" t="s">
        <v>66</v>
      </c>
      <c r="B23" s="36">
        <v>100</v>
      </c>
      <c r="C23" s="37">
        <f t="shared" si="6"/>
        <v>3.3488945299156749E-4</v>
      </c>
      <c r="D23" s="36">
        <f t="shared" si="7"/>
        <v>103</v>
      </c>
      <c r="E23" s="37">
        <f t="shared" si="8"/>
        <v>3.3453482218434864E-4</v>
      </c>
      <c r="F23" s="39">
        <f t="shared" si="9"/>
        <v>106.09</v>
      </c>
      <c r="G23" s="37">
        <f t="shared" si="10"/>
        <v>3.4576863374202309E-4</v>
      </c>
      <c r="H23" s="36">
        <f t="shared" si="11"/>
        <v>109.2727</v>
      </c>
      <c r="I23" s="37">
        <f t="shared" si="12"/>
        <v>3.5070217072148886E-4</v>
      </c>
      <c r="J23" s="43">
        <f t="shared" si="13"/>
        <v>112.550881</v>
      </c>
      <c r="K23" s="37">
        <f t="shared" si="14"/>
        <v>3.5259910566520395E-4</v>
      </c>
      <c r="L23" s="38"/>
    </row>
    <row r="24" spans="1:13">
      <c r="A24" s="26" t="s">
        <v>67</v>
      </c>
      <c r="B24" s="36">
        <v>200</v>
      </c>
      <c r="C24" s="37">
        <f t="shared" si="6"/>
        <v>6.6977890598313497E-4</v>
      </c>
      <c r="D24" s="36">
        <f t="shared" si="7"/>
        <v>206</v>
      </c>
      <c r="E24" s="37">
        <f t="shared" si="8"/>
        <v>6.6906964436869729E-4</v>
      </c>
      <c r="F24" s="39">
        <f t="shared" si="9"/>
        <v>212.18</v>
      </c>
      <c r="G24" s="37">
        <f t="shared" si="10"/>
        <v>6.9153726748404619E-4</v>
      </c>
      <c r="H24" s="36">
        <f t="shared" si="11"/>
        <v>218.5454</v>
      </c>
      <c r="I24" s="37">
        <f t="shared" si="12"/>
        <v>7.0140434144297771E-4</v>
      </c>
      <c r="J24" s="43">
        <f t="shared" si="13"/>
        <v>225.10176200000001</v>
      </c>
      <c r="K24" s="37">
        <f t="shared" si="14"/>
        <v>7.0519821133040791E-4</v>
      </c>
      <c r="L24" s="38"/>
    </row>
    <row r="25" spans="1:13">
      <c r="A25" s="26" t="s">
        <v>112</v>
      </c>
      <c r="B25" s="36">
        <v>5000</v>
      </c>
      <c r="C25" s="37">
        <f t="shared" si="6"/>
        <v>1.6744472649578374E-2</v>
      </c>
      <c r="D25" s="36">
        <f t="shared" si="7"/>
        <v>5150</v>
      </c>
      <c r="E25" s="37">
        <f t="shared" si="8"/>
        <v>1.6726741109217434E-2</v>
      </c>
      <c r="F25" s="39">
        <f t="shared" si="9"/>
        <v>5304.5</v>
      </c>
      <c r="G25" s="37">
        <f t="shared" si="10"/>
        <v>1.7288431687101154E-2</v>
      </c>
      <c r="H25" s="36">
        <f t="shared" si="11"/>
        <v>5463.6350000000002</v>
      </c>
      <c r="I25" s="37">
        <f t="shared" si="12"/>
        <v>1.7535108536074442E-2</v>
      </c>
      <c r="J25" s="43">
        <f t="shared" si="13"/>
        <v>5627.5440500000004</v>
      </c>
      <c r="K25" s="37">
        <f t="shared" si="14"/>
        <v>1.7629955283260199E-2</v>
      </c>
      <c r="L25" s="38"/>
    </row>
    <row r="26" spans="1:13">
      <c r="A26" s="16" t="s">
        <v>68</v>
      </c>
      <c r="B26" s="41">
        <v>1200</v>
      </c>
      <c r="C26" s="97">
        <f t="shared" si="6"/>
        <v>4.0186734358988096E-3</v>
      </c>
      <c r="D26" s="41">
        <f t="shared" si="7"/>
        <v>1236</v>
      </c>
      <c r="E26" s="97">
        <f t="shared" si="8"/>
        <v>4.0144178662121837E-3</v>
      </c>
      <c r="F26" s="44">
        <f t="shared" si="9"/>
        <v>1273.08</v>
      </c>
      <c r="G26" s="97">
        <f t="shared" si="10"/>
        <v>4.1492236049042765E-3</v>
      </c>
      <c r="H26" s="41">
        <f t="shared" si="11"/>
        <v>1311.2724000000001</v>
      </c>
      <c r="I26" s="97">
        <f t="shared" si="12"/>
        <v>4.2084260486578663E-3</v>
      </c>
      <c r="J26" s="44">
        <f t="shared" si="13"/>
        <v>1350.610572</v>
      </c>
      <c r="K26" s="97">
        <f t="shared" si="14"/>
        <v>4.2311892679824476E-3</v>
      </c>
      <c r="L26" s="38"/>
    </row>
    <row r="27" spans="1:13">
      <c r="A27" s="1" t="s">
        <v>69</v>
      </c>
      <c r="B27" s="42">
        <f>SUM(B20:B26)</f>
        <v>12500</v>
      </c>
      <c r="C27" s="37">
        <f t="shared" si="6"/>
        <v>4.1861181623945934E-2</v>
      </c>
      <c r="D27" s="42">
        <f t="shared" ref="D27:J27" si="15">SUM(D20:D26)</f>
        <v>12875</v>
      </c>
      <c r="E27" s="37">
        <f t="shared" si="8"/>
        <v>4.1816852773043582E-2</v>
      </c>
      <c r="F27" s="42">
        <f t="shared" si="15"/>
        <v>13261.250000000002</v>
      </c>
      <c r="G27" s="37">
        <f t="shared" si="10"/>
        <v>4.3221079217752895E-2</v>
      </c>
      <c r="H27" s="42">
        <f t="shared" si="15"/>
        <v>13659.087500000001</v>
      </c>
      <c r="I27" s="37">
        <f t="shared" si="12"/>
        <v>4.3837771340186113E-2</v>
      </c>
      <c r="J27" s="42">
        <f t="shared" si="15"/>
        <v>14068.860125000001</v>
      </c>
      <c r="K27" s="37">
        <f t="shared" si="14"/>
        <v>4.4074888208150496E-2</v>
      </c>
      <c r="L27" s="38"/>
      <c r="M27" s="81" t="s">
        <v>105</v>
      </c>
    </row>
    <row r="28" spans="1:13">
      <c r="A28" s="1" t="s">
        <v>19</v>
      </c>
      <c r="B28" s="42">
        <v>300</v>
      </c>
      <c r="C28" s="37">
        <f t="shared" si="6"/>
        <v>1.0046683589747024E-3</v>
      </c>
      <c r="D28" s="42">
        <v>300</v>
      </c>
      <c r="E28" s="37">
        <f t="shared" si="8"/>
        <v>9.7437326849810293E-4</v>
      </c>
      <c r="F28" s="42">
        <v>300</v>
      </c>
      <c r="G28" s="37">
        <f t="shared" si="10"/>
        <v>9.7776029901599517E-4</v>
      </c>
      <c r="H28" s="42">
        <v>300</v>
      </c>
      <c r="I28" s="37">
        <f t="shared" si="12"/>
        <v>9.6282649935845504E-4</v>
      </c>
      <c r="J28" s="42">
        <v>300</v>
      </c>
      <c r="K28" s="37">
        <f t="shared" si="14"/>
        <v>9.3983921547056732E-4</v>
      </c>
      <c r="L28" s="38"/>
    </row>
    <row r="29" spans="1:13">
      <c r="A29" s="1" t="s">
        <v>24</v>
      </c>
      <c r="B29" s="42">
        <v>250</v>
      </c>
      <c r="C29" s="37">
        <f t="shared" si="6"/>
        <v>8.3722363247891874E-4</v>
      </c>
      <c r="D29" s="42">
        <v>250</v>
      </c>
      <c r="E29" s="37">
        <f t="shared" si="8"/>
        <v>8.1197772374841913E-4</v>
      </c>
      <c r="F29" s="42">
        <v>250</v>
      </c>
      <c r="G29" s="37">
        <f t="shared" si="10"/>
        <v>8.1480024917999594E-4</v>
      </c>
      <c r="H29" s="42">
        <v>250</v>
      </c>
      <c r="I29" s="37">
        <f t="shared" si="12"/>
        <v>8.0235541613204596E-4</v>
      </c>
      <c r="J29" s="42">
        <v>250</v>
      </c>
      <c r="K29" s="37">
        <f t="shared" si="14"/>
        <v>7.8319934622547271E-4</v>
      </c>
      <c r="L29" s="38"/>
    </row>
    <row r="30" spans="1:13">
      <c r="A30" s="1" t="s">
        <v>70</v>
      </c>
      <c r="B30" s="42">
        <v>720</v>
      </c>
      <c r="C30" s="37">
        <f t="shared" si="6"/>
        <v>2.4112040615392859E-3</v>
      </c>
      <c r="D30" s="42">
        <v>720</v>
      </c>
      <c r="E30" s="37">
        <f t="shared" si="8"/>
        <v>2.3384958443954471E-3</v>
      </c>
      <c r="F30" s="42">
        <v>720</v>
      </c>
      <c r="G30" s="37">
        <f t="shared" si="10"/>
        <v>2.3466247176383882E-3</v>
      </c>
      <c r="H30" s="42">
        <v>720</v>
      </c>
      <c r="I30" s="37">
        <f t="shared" si="12"/>
        <v>2.310783598460292E-3</v>
      </c>
      <c r="J30" s="42">
        <v>720</v>
      </c>
      <c r="K30" s="37">
        <f t="shared" si="14"/>
        <v>2.2556141171293617E-3</v>
      </c>
      <c r="L30" s="38"/>
    </row>
    <row r="31" spans="1:13">
      <c r="A31" s="1" t="s">
        <v>12</v>
      </c>
      <c r="B31" s="42">
        <v>4050</v>
      </c>
      <c r="C31" s="37">
        <f t="shared" si="6"/>
        <v>1.3563022846158483E-2</v>
      </c>
      <c r="D31" s="42">
        <v>4050</v>
      </c>
      <c r="E31" s="37">
        <f t="shared" si="8"/>
        <v>1.315403912472439E-2</v>
      </c>
      <c r="F31" s="42">
        <v>4050</v>
      </c>
      <c r="G31" s="37">
        <f t="shared" si="10"/>
        <v>1.3199764036715935E-2</v>
      </c>
      <c r="H31" s="42">
        <v>4050</v>
      </c>
      <c r="I31" s="37">
        <f t="shared" si="12"/>
        <v>1.2998157741339144E-2</v>
      </c>
      <c r="J31" s="42">
        <v>4050</v>
      </c>
      <c r="K31" s="37">
        <f t="shared" si="14"/>
        <v>1.2687829408852659E-2</v>
      </c>
      <c r="L31" s="38"/>
    </row>
    <row r="32" spans="1:13" s="49" customFormat="1">
      <c r="A32" s="45" t="s">
        <v>25</v>
      </c>
      <c r="B32" s="46">
        <v>0</v>
      </c>
      <c r="C32" s="47">
        <f t="shared" si="6"/>
        <v>0</v>
      </c>
      <c r="D32" s="46">
        <v>0</v>
      </c>
      <c r="E32" s="37">
        <f t="shared" si="8"/>
        <v>0</v>
      </c>
      <c r="F32" s="46">
        <v>0</v>
      </c>
      <c r="G32" s="37">
        <f t="shared" si="10"/>
        <v>0</v>
      </c>
      <c r="H32" s="46">
        <v>0</v>
      </c>
      <c r="I32" s="37">
        <f t="shared" si="12"/>
        <v>0</v>
      </c>
      <c r="J32" s="46">
        <v>0</v>
      </c>
      <c r="K32" s="37">
        <f t="shared" si="14"/>
        <v>0</v>
      </c>
      <c r="L32" s="48"/>
      <c r="M32" s="96" t="s">
        <v>108</v>
      </c>
    </row>
    <row r="33" spans="1:12" ht="16" thickBot="1">
      <c r="A33" s="30" t="s">
        <v>72</v>
      </c>
      <c r="B33" s="50">
        <f>10%*(SUM(B27:B32)+B17+B16+B10+B18)</f>
        <v>27146</v>
      </c>
      <c r="C33" s="51">
        <f t="shared" si="6"/>
        <v>9.0909090909090912E-2</v>
      </c>
      <c r="D33" s="50">
        <f>10%*(SUM(D27:D32)+D17+D16+D10+D18)</f>
        <v>27990.020000000004</v>
      </c>
      <c r="E33" s="51">
        <f t="shared" si="8"/>
        <v>9.0909090909090912E-2</v>
      </c>
      <c r="F33" s="50">
        <f>10%*(SUM(F27:F32)+F17+F16+F10+F18)</f>
        <v>27893.060600000004</v>
      </c>
      <c r="G33" s="51">
        <f t="shared" si="10"/>
        <v>9.0909090909090925E-2</v>
      </c>
      <c r="H33" s="50">
        <f>10%*(SUM(H27:H32)+H17+H16+H10+H18)</f>
        <v>28325.692418000006</v>
      </c>
      <c r="I33" s="51">
        <f t="shared" si="12"/>
        <v>9.0909090909090925E-2</v>
      </c>
      <c r="J33" s="50">
        <f>10%*(SUM(J27:J32)+J17+J16+J10+J18)</f>
        <v>29018.503190539999</v>
      </c>
      <c r="K33" s="51">
        <f t="shared" si="14"/>
        <v>9.0909090909090898E-2</v>
      </c>
      <c r="L33" s="38"/>
    </row>
    <row r="34" spans="1:12" ht="16" thickBot="1">
      <c r="A34" s="52" t="s">
        <v>71</v>
      </c>
      <c r="B34" s="53">
        <f>B10+B16+B17+B27+B28+B29+B30+B31+B32+B33+B18</f>
        <v>298606</v>
      </c>
      <c r="C34" s="54">
        <f t="shared" ref="C34:K34" si="16">C10+C16+C17+C27+C28+C30+C29+C31+C32+C33+C18</f>
        <v>1</v>
      </c>
      <c r="D34" s="53">
        <f t="shared" si="16"/>
        <v>307890.22000000003</v>
      </c>
      <c r="E34" s="54">
        <f t="shared" si="16"/>
        <v>1</v>
      </c>
      <c r="F34" s="53">
        <f t="shared" si="16"/>
        <v>306823.6666</v>
      </c>
      <c r="G34" s="54">
        <f t="shared" si="16"/>
        <v>1</v>
      </c>
      <c r="H34" s="53">
        <f t="shared" si="16"/>
        <v>311582.61659799999</v>
      </c>
      <c r="I34" s="54">
        <f t="shared" si="16"/>
        <v>1</v>
      </c>
      <c r="J34" s="53">
        <f t="shared" si="16"/>
        <v>319203.53509594005</v>
      </c>
      <c r="K34" s="54">
        <f t="shared" si="16"/>
        <v>1</v>
      </c>
      <c r="L34" s="38"/>
    </row>
    <row r="35" spans="1:12">
      <c r="A35" s="1"/>
      <c r="B35" s="9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UP COST</vt:lpstr>
      <vt:lpstr>ANNUAL OPERATING EXPENSES</vt:lpstr>
      <vt:lpstr>5 YEAR FORECAST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Grantham</dc:creator>
  <cp:lastModifiedBy>Angie Schiavoni</cp:lastModifiedBy>
  <cp:lastPrinted>2014-12-10T16:30:03Z</cp:lastPrinted>
  <dcterms:created xsi:type="dcterms:W3CDTF">2014-12-10T00:32:35Z</dcterms:created>
  <dcterms:modified xsi:type="dcterms:W3CDTF">2015-11-22T19:31:53Z</dcterms:modified>
</cp:coreProperties>
</file>