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yolauniversitychicago-my.sharepoint.com/personal/efriedmann_luc_edu/Documents/"/>
    </mc:Choice>
  </mc:AlternateContent>
  <xr:revisionPtr revIDLastSave="1112" documentId="8_{E5B451E7-67ED-244B-B6DF-D3EEB7C41D04}" xr6:coauthVersionLast="47" xr6:coauthVersionMax="47" xr10:uidLastSave="{C69C751E-E167-7941-A2FE-38346A1B88E3}"/>
  <bookViews>
    <workbookView xWindow="0" yWindow="500" windowWidth="33600" windowHeight="18940" activeTab="3" xr2:uid="{00000000-000D-0000-FFFF-FFFF00000000}"/>
  </bookViews>
  <sheets>
    <sheet name="Financial Statements " sheetId="4" r:id="rId1"/>
    <sheet name="1_Risk-Return Analysis" sheetId="1" r:id="rId2"/>
    <sheet name="2_Stock Valuation" sheetId="2" r:id="rId3"/>
    <sheet name="3 Bond Valu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72" i="1"/>
  <c r="F11" i="3"/>
  <c r="K11" i="3" s="1"/>
  <c r="G11" i="3"/>
  <c r="L11" i="3"/>
  <c r="N11" i="3"/>
  <c r="C8" i="2"/>
  <c r="G34" i="3"/>
  <c r="G35" i="3"/>
  <c r="G36" i="3"/>
  <c r="G37" i="3"/>
  <c r="G38" i="3"/>
  <c r="G39" i="3"/>
  <c r="G40" i="3"/>
  <c r="G41" i="3"/>
  <c r="G42" i="3"/>
  <c r="M42" i="3" s="1"/>
  <c r="P42" i="3" s="1"/>
  <c r="G43" i="3"/>
  <c r="G44" i="3"/>
  <c r="G45" i="3"/>
  <c r="G46" i="3"/>
  <c r="G47" i="3"/>
  <c r="G48" i="3"/>
  <c r="G49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G5" i="3"/>
  <c r="G8" i="3"/>
  <c r="G10" i="3"/>
  <c r="G12" i="3"/>
  <c r="G13" i="3"/>
  <c r="G14" i="3"/>
  <c r="G15" i="3"/>
  <c r="G16" i="3"/>
  <c r="G17" i="3"/>
  <c r="M17" i="3" s="1"/>
  <c r="P17" i="3" s="1"/>
  <c r="G18" i="3"/>
  <c r="G19" i="3"/>
  <c r="G20" i="3"/>
  <c r="G21" i="3"/>
  <c r="G22" i="3"/>
  <c r="G23" i="3"/>
  <c r="G24" i="3"/>
  <c r="G25" i="3"/>
  <c r="M25" i="3" s="1"/>
  <c r="P25" i="3" s="1"/>
  <c r="G26" i="3"/>
  <c r="G27" i="3"/>
  <c r="G28" i="3"/>
  <c r="G29" i="3"/>
  <c r="G30" i="3"/>
  <c r="G4" i="3"/>
  <c r="M4" i="3" s="1"/>
  <c r="P4" i="3" s="1"/>
  <c r="L5" i="3"/>
  <c r="L6" i="3"/>
  <c r="L7" i="3"/>
  <c r="L8" i="3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4" i="3"/>
  <c r="A6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4" i="3"/>
  <c r="F4" i="3"/>
  <c r="K4" i="3"/>
  <c r="F35" i="3"/>
  <c r="K35" i="3" s="1"/>
  <c r="F36" i="3"/>
  <c r="K36" i="3" s="1"/>
  <c r="F37" i="3"/>
  <c r="K37" i="3"/>
  <c r="F38" i="3"/>
  <c r="K38" i="3"/>
  <c r="F39" i="3"/>
  <c r="K39" i="3" s="1"/>
  <c r="F40" i="3"/>
  <c r="K40" i="3" s="1"/>
  <c r="F41" i="3"/>
  <c r="K41" i="3"/>
  <c r="F42" i="3"/>
  <c r="K42" i="3"/>
  <c r="F43" i="3"/>
  <c r="K43" i="3" s="1"/>
  <c r="F44" i="3"/>
  <c r="K44" i="3" s="1"/>
  <c r="F45" i="3"/>
  <c r="K45" i="3"/>
  <c r="F46" i="3"/>
  <c r="K46" i="3"/>
  <c r="F47" i="3"/>
  <c r="K47" i="3" s="1"/>
  <c r="F48" i="3"/>
  <c r="K48" i="3" s="1"/>
  <c r="F49" i="3"/>
  <c r="K49" i="3"/>
  <c r="F34" i="3"/>
  <c r="K34" i="3"/>
  <c r="F5" i="3"/>
  <c r="K5" i="3" s="1"/>
  <c r="F6" i="3"/>
  <c r="K6" i="3" s="1"/>
  <c r="M6" i="3" s="1"/>
  <c r="P6" i="3" s="1"/>
  <c r="F7" i="3"/>
  <c r="K7" i="3"/>
  <c r="F8" i="3"/>
  <c r="K8" i="3"/>
  <c r="F9" i="3"/>
  <c r="K9" i="3" s="1"/>
  <c r="M9" i="3" s="1"/>
  <c r="P9" i="3" s="1"/>
  <c r="F10" i="3"/>
  <c r="K10" i="3" s="1"/>
  <c r="F12" i="3"/>
  <c r="K12" i="3"/>
  <c r="F13" i="3"/>
  <c r="K13" i="3"/>
  <c r="F14" i="3"/>
  <c r="K14" i="3" s="1"/>
  <c r="F15" i="3"/>
  <c r="K15" i="3" s="1"/>
  <c r="F16" i="3"/>
  <c r="K16" i="3"/>
  <c r="F17" i="3"/>
  <c r="K17" i="3"/>
  <c r="F18" i="3"/>
  <c r="K18" i="3" s="1"/>
  <c r="F19" i="3"/>
  <c r="K19" i="3" s="1"/>
  <c r="F20" i="3"/>
  <c r="K20" i="3"/>
  <c r="F21" i="3"/>
  <c r="K21" i="3"/>
  <c r="F22" i="3"/>
  <c r="K22" i="3" s="1"/>
  <c r="F23" i="3"/>
  <c r="K23" i="3" s="1"/>
  <c r="F24" i="3"/>
  <c r="K24" i="3"/>
  <c r="F25" i="3"/>
  <c r="K25" i="3"/>
  <c r="F26" i="3"/>
  <c r="K26" i="3" s="1"/>
  <c r="F27" i="3"/>
  <c r="K27" i="3" s="1"/>
  <c r="F28" i="3"/>
  <c r="K28" i="3"/>
  <c r="F29" i="3"/>
  <c r="K29" i="3"/>
  <c r="F30" i="3"/>
  <c r="K30" i="3" s="1"/>
  <c r="H63" i="1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4" i="3"/>
  <c r="N25" i="3"/>
  <c r="N24" i="3"/>
  <c r="N17" i="3"/>
  <c r="N16" i="3"/>
  <c r="N12" i="3"/>
  <c r="N9" i="3"/>
  <c r="N8" i="3"/>
  <c r="N5" i="3"/>
  <c r="N6" i="3"/>
  <c r="N7" i="3"/>
  <c r="N10" i="3"/>
  <c r="N13" i="3"/>
  <c r="N14" i="3"/>
  <c r="N15" i="3"/>
  <c r="N18" i="3"/>
  <c r="N19" i="3"/>
  <c r="N20" i="3"/>
  <c r="N21" i="3"/>
  <c r="N22" i="3"/>
  <c r="N23" i="3"/>
  <c r="N26" i="3"/>
  <c r="N27" i="3"/>
  <c r="N28" i="3"/>
  <c r="N29" i="3"/>
  <c r="N30" i="3"/>
  <c r="D10" i="2"/>
  <c r="D8" i="2" s="1"/>
  <c r="B10" i="2"/>
  <c r="D6" i="2"/>
  <c r="B6" i="2"/>
  <c r="B8" i="2" s="1"/>
  <c r="C32" i="1"/>
  <c r="E32" i="1"/>
  <c r="G32" i="1"/>
  <c r="C31" i="1"/>
  <c r="E31" i="1"/>
  <c r="G31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G63" i="1" s="1"/>
  <c r="E7" i="1"/>
  <c r="C7" i="1"/>
  <c r="C66" i="1" s="1"/>
  <c r="G6" i="1"/>
  <c r="E6" i="1"/>
  <c r="C6" i="1"/>
  <c r="G5" i="1"/>
  <c r="E5" i="1"/>
  <c r="C5" i="1"/>
  <c r="C63" i="1" s="1"/>
  <c r="G4" i="1"/>
  <c r="G64" i="1" s="1"/>
  <c r="E4" i="1"/>
  <c r="G67" i="1" s="1"/>
  <c r="C4" i="1"/>
  <c r="C64" i="1"/>
  <c r="C68" i="1" l="1"/>
  <c r="G65" i="1"/>
  <c r="C69" i="1"/>
  <c r="M12" i="3"/>
  <c r="P12" i="3" s="1"/>
  <c r="M45" i="3"/>
  <c r="P45" i="3" s="1"/>
  <c r="M37" i="3"/>
  <c r="P37" i="3" s="1"/>
  <c r="M28" i="3"/>
  <c r="P28" i="3" s="1"/>
  <c r="M20" i="3"/>
  <c r="P20" i="3" s="1"/>
  <c r="M19" i="3"/>
  <c r="P19" i="3" s="1"/>
  <c r="M10" i="3"/>
  <c r="P10" i="3" s="1"/>
  <c r="M44" i="3"/>
  <c r="P44" i="3" s="1"/>
  <c r="M36" i="3"/>
  <c r="P36" i="3" s="1"/>
  <c r="M11" i="3"/>
  <c r="P11" i="3" s="1"/>
  <c r="G66" i="1"/>
  <c r="G68" i="1" s="1"/>
  <c r="G69" i="1" s="1"/>
  <c r="M27" i="3"/>
  <c r="P27" i="3" s="1"/>
  <c r="M26" i="3"/>
  <c r="P26" i="3" s="1"/>
  <c r="M18" i="3"/>
  <c r="P18" i="3" s="1"/>
  <c r="M8" i="3"/>
  <c r="P8" i="3" s="1"/>
  <c r="M43" i="3"/>
  <c r="P43" i="3" s="1"/>
  <c r="M35" i="3"/>
  <c r="P35" i="3" s="1"/>
  <c r="M34" i="3"/>
  <c r="P34" i="3" s="1"/>
  <c r="E66" i="1"/>
  <c r="M24" i="3"/>
  <c r="P24" i="3" s="1"/>
  <c r="M16" i="3"/>
  <c r="P16" i="3" s="1"/>
  <c r="M49" i="3"/>
  <c r="P49" i="3" s="1"/>
  <c r="M41" i="3"/>
  <c r="P41" i="3" s="1"/>
  <c r="M7" i="3"/>
  <c r="P7" i="3" s="1"/>
  <c r="M23" i="3"/>
  <c r="P23" i="3" s="1"/>
  <c r="M48" i="3"/>
  <c r="P48" i="3" s="1"/>
  <c r="M40" i="3"/>
  <c r="P40" i="3" s="1"/>
  <c r="C65" i="1"/>
  <c r="M5" i="3"/>
  <c r="P5" i="3" s="1"/>
  <c r="M14" i="3"/>
  <c r="P14" i="3" s="1"/>
  <c r="M47" i="3"/>
  <c r="P47" i="3" s="1"/>
  <c r="M39" i="3"/>
  <c r="P39" i="3" s="1"/>
  <c r="E64" i="1"/>
  <c r="M15" i="3"/>
  <c r="P15" i="3" s="1"/>
  <c r="E63" i="1"/>
  <c r="E77" i="1" s="1"/>
  <c r="M30" i="3"/>
  <c r="P30" i="3" s="1"/>
  <c r="M22" i="3"/>
  <c r="P22" i="3" s="1"/>
  <c r="M29" i="3"/>
  <c r="P29" i="3" s="1"/>
  <c r="M21" i="3"/>
  <c r="P21" i="3" s="1"/>
  <c r="M13" i="3"/>
  <c r="P13" i="3" s="1"/>
  <c r="M46" i="3"/>
  <c r="P46" i="3" s="1"/>
  <c r="M38" i="3"/>
  <c r="P38" i="3" s="1"/>
  <c r="G70" i="1" l="1"/>
  <c r="D7" i="2"/>
  <c r="D9" i="2" s="1"/>
  <c r="E68" i="1"/>
  <c r="E65" i="1"/>
  <c r="E74" i="1"/>
  <c r="E75" i="1" s="1"/>
  <c r="D11" i="2"/>
  <c r="D12" i="2"/>
  <c r="E69" i="1" l="1"/>
  <c r="E76" i="1"/>
  <c r="E78" i="1" s="1"/>
  <c r="E79" i="1" s="1"/>
  <c r="B7" i="2" l="1"/>
  <c r="B9" i="2" s="1"/>
  <c r="E70" i="1"/>
  <c r="B12" i="2" l="1"/>
  <c r="B11" i="2"/>
</calcChain>
</file>

<file path=xl/sharedStrings.xml><?xml version="1.0" encoding="utf-8"?>
<sst xmlns="http://schemas.openxmlformats.org/spreadsheetml/2006/main" count="182" uniqueCount="86">
  <si>
    <t xml:space="preserve">Charles Schwab </t>
  </si>
  <si>
    <t>Income Statement (in millions)</t>
  </si>
  <si>
    <t>Balance Sheet (in millions)</t>
  </si>
  <si>
    <t>For the Year Ended Dec. 31 2021</t>
  </si>
  <si>
    <t>As of Dec. 31 2021</t>
  </si>
  <si>
    <t> </t>
  </si>
  <si>
    <t>Condensed Balance Sheet</t>
  </si>
  <si>
    <t xml:space="preserve">Revenues  </t>
  </si>
  <si>
    <t xml:space="preserve">Total  Current Assets </t>
  </si>
  <si>
    <t xml:space="preserve">Income Tax Benefit </t>
  </si>
  <si>
    <t>Liabilities &amp; Stockholder Equity</t>
  </si>
  <si>
    <t>Equity Subsidiaries Income</t>
  </si>
  <si>
    <t xml:space="preserve">Total Liabilities </t>
  </si>
  <si>
    <t xml:space="preserve">Total Revenues </t>
  </si>
  <si>
    <t xml:space="preserve">Stockholders' Equity </t>
  </si>
  <si>
    <t xml:space="preserve">Total  Expenses </t>
  </si>
  <si>
    <t>Total Liabilities and stockholders' Equity</t>
  </si>
  <si>
    <t xml:space="preserve">Net Income </t>
  </si>
  <si>
    <t>Eli Lilly and Company</t>
  </si>
  <si>
    <t>Income Statement (in milllions)</t>
  </si>
  <si>
    <t xml:space="preserve">Total Current Liabilities </t>
  </si>
  <si>
    <t>Taxes</t>
  </si>
  <si>
    <t xml:space="preserve">Long Term Liabilities </t>
  </si>
  <si>
    <t>Net Income</t>
  </si>
  <si>
    <t>Total Eli Lilly and Co. shareholders equity</t>
  </si>
  <si>
    <t>Noncontrolling Interest</t>
  </si>
  <si>
    <t>Date</t>
  </si>
  <si>
    <t>Market</t>
  </si>
  <si>
    <t>Adj Close SCHW</t>
  </si>
  <si>
    <t>Adj Close LLY</t>
  </si>
  <si>
    <t>From NYU-Stern</t>
  </si>
  <si>
    <t>ERm</t>
  </si>
  <si>
    <t>Rf+ERm</t>
  </si>
  <si>
    <t xml:space="preserve"> -------------------------------------------------------------------------------------------------------------------------------------------------</t>
  </si>
  <si>
    <t>Risk-Free Rate</t>
  </si>
  <si>
    <t>Risk Premium</t>
  </si>
  <si>
    <t>Average Rate of Return</t>
  </si>
  <si>
    <t>Risk</t>
  </si>
  <si>
    <t>Coefficient of Variation</t>
  </si>
  <si>
    <t>Correlation with Market</t>
  </si>
  <si>
    <t>Correlation with each other</t>
  </si>
  <si>
    <t>Beta</t>
  </si>
  <si>
    <t>Required Rate of Return</t>
  </si>
  <si>
    <t>Buy?</t>
  </si>
  <si>
    <t>Company</t>
  </si>
  <si>
    <t>SCHW</t>
  </si>
  <si>
    <t>LLY</t>
  </si>
  <si>
    <t>Weight</t>
  </si>
  <si>
    <t>Portfolio</t>
  </si>
  <si>
    <t>Expected Rate of Return</t>
  </si>
  <si>
    <t>Stocks</t>
  </si>
  <si>
    <t>Charles Schwab</t>
  </si>
  <si>
    <t>Eli Lilly</t>
  </si>
  <si>
    <t>Ticker</t>
  </si>
  <si>
    <t>2022 Yearly Dividend</t>
  </si>
  <si>
    <t>2023 Yearly Dividend</t>
  </si>
  <si>
    <t>Dividend growth</t>
  </si>
  <si>
    <t>Gordon Growth Model Estimate</t>
  </si>
  <si>
    <t>Price</t>
  </si>
  <si>
    <t>% Over-/under- Valued</t>
  </si>
  <si>
    <t>Stock</t>
  </si>
  <si>
    <t>Count</t>
  </si>
  <si>
    <t>Bond</t>
  </si>
  <si>
    <t>Coupon Rate</t>
  </si>
  <si>
    <t>Callable?</t>
  </si>
  <si>
    <t>Call Price</t>
  </si>
  <si>
    <t>Coupon Rate %</t>
  </si>
  <si>
    <t>Payments Remaining</t>
  </si>
  <si>
    <t>Call Date</t>
  </si>
  <si>
    <t>Maturity Date</t>
  </si>
  <si>
    <t>Yield</t>
  </si>
  <si>
    <t>Coupon payment</t>
  </si>
  <si>
    <t>Last Trade Price</t>
  </si>
  <si>
    <t>Present Value</t>
  </si>
  <si>
    <t>Yield %</t>
  </si>
  <si>
    <t>Raw Last Trade Price</t>
  </si>
  <si>
    <t>Buy, Hold or Sell</t>
  </si>
  <si>
    <t>Yes</t>
  </si>
  <si>
    <t>No</t>
  </si>
  <si>
    <t>N/A</t>
  </si>
  <si>
    <t>*Perpetuity</t>
  </si>
  <si>
    <t xml:space="preserve">*Callable Perpetuity </t>
  </si>
  <si>
    <t xml:space="preserve"> </t>
  </si>
  <si>
    <t xml:space="preserve">Maturity </t>
  </si>
  <si>
    <t xml:space="preserve">Yield </t>
  </si>
  <si>
    <t>*No Call Date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</si>
</sst>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"/>
    <numFmt numFmtId="166" formatCode="_(&quot;$&quot;* #,##0_);_(&quot;$&quot;* \(#,##0\);_(&quot;$&quot;* &quot;-&quot;??_);_(@_)"/>
    <numFmt numFmtId="167" formatCode="_([$$-409]* #,##0_);_([$$-409]* \(#,##0\);_([$$-409]* &quot;-&quot;??_);_(@_)"/>
    <numFmt numFmtId="168" formatCode="&quot;$&quot;#,##0"/>
    <numFmt numFmtId="169" formatCode="0.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Geneva"/>
      <family val="2"/>
      <charset val="1"/>
    </font>
    <font>
      <u/>
      <sz val="12"/>
      <color theme="10"/>
      <name val="Calibri"/>
      <family val="2"/>
      <scheme val="minor"/>
    </font>
    <font>
      <sz val="10"/>
      <color rgb="FF060606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60606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Verdana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165" fontId="0" fillId="0" borderId="0" xfId="1" applyNumberFormat="1" applyFont="1"/>
    <xf numFmtId="10" fontId="18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19" fillId="0" borderId="0" xfId="43"/>
    <xf numFmtId="0" fontId="21" fillId="0" borderId="0" xfId="0" applyFont="1"/>
    <xf numFmtId="0" fontId="23" fillId="0" borderId="10" xfId="0" applyFont="1" applyBorder="1" applyAlignment="1">
      <alignment horizontal="center"/>
    </xf>
    <xf numFmtId="14" fontId="23" fillId="0" borderId="10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19" fillId="0" borderId="0" xfId="43" applyAlignment="1">
      <alignment horizontal="center"/>
    </xf>
    <xf numFmtId="0" fontId="21" fillId="0" borderId="0" xfId="0" applyFont="1" applyAlignment="1">
      <alignment horizontal="center"/>
    </xf>
    <xf numFmtId="14" fontId="0" fillId="0" borderId="10" xfId="0" applyNumberFormat="1" applyBorder="1" applyAlignment="1">
      <alignment horizontal="center"/>
    </xf>
    <xf numFmtId="14" fontId="24" fillId="0" borderId="10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8" fontId="0" fillId="0" borderId="10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1" xfId="0" applyNumberFormat="1" applyBorder="1" applyAlignment="1">
      <alignment horizontal="center"/>
    </xf>
    <xf numFmtId="0" fontId="23" fillId="0" borderId="11" xfId="0" applyFon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165" fontId="0" fillId="0" borderId="0" xfId="0" applyNumberFormat="1"/>
    <xf numFmtId="0" fontId="24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8" fillId="0" borderId="0" xfId="0" applyFont="1"/>
    <xf numFmtId="0" fontId="27" fillId="0" borderId="0" xfId="0" applyFont="1"/>
    <xf numFmtId="0" fontId="27" fillId="33" borderId="16" xfId="0" applyFont="1" applyFill="1" applyBorder="1"/>
    <xf numFmtId="0" fontId="27" fillId="33" borderId="17" xfId="0" applyFont="1" applyFill="1" applyBorder="1"/>
    <xf numFmtId="0" fontId="27" fillId="33" borderId="18" xfId="0" applyFont="1" applyFill="1" applyBorder="1"/>
    <xf numFmtId="0" fontId="27" fillId="33" borderId="19" xfId="0" applyFont="1" applyFill="1" applyBorder="1"/>
    <xf numFmtId="0" fontId="27" fillId="33" borderId="20" xfId="0" applyFont="1" applyFill="1" applyBorder="1"/>
    <xf numFmtId="0" fontId="27" fillId="33" borderId="21" xfId="0" applyFont="1" applyFill="1" applyBorder="1"/>
    <xf numFmtId="164" fontId="24" fillId="0" borderId="10" xfId="0" applyNumberFormat="1" applyFont="1" applyBorder="1" applyAlignment="1">
      <alignment horizontal="center" wrapText="1"/>
    </xf>
    <xf numFmtId="14" fontId="0" fillId="0" borderId="10" xfId="0" applyNumberFormat="1" applyBorder="1"/>
    <xf numFmtId="10" fontId="0" fillId="0" borderId="10" xfId="0" applyNumberFormat="1" applyBorder="1"/>
    <xf numFmtId="164" fontId="0" fillId="0" borderId="10" xfId="1" applyNumberFormat="1" applyFont="1" applyBorder="1"/>
    <xf numFmtId="10" fontId="0" fillId="0" borderId="10" xfId="1" applyNumberFormat="1" applyFont="1" applyBorder="1"/>
    <xf numFmtId="2" fontId="0" fillId="0" borderId="10" xfId="1" applyNumberFormat="1" applyFont="1" applyBorder="1"/>
    <xf numFmtId="165" fontId="0" fillId="0" borderId="10" xfId="1" applyNumberFormat="1" applyFont="1" applyBorder="1"/>
    <xf numFmtId="165" fontId="0" fillId="0" borderId="10" xfId="0" applyNumberFormat="1" applyBorder="1"/>
    <xf numFmtId="166" fontId="26" fillId="0" borderId="0" xfId="44" applyNumberFormat="1" applyFont="1"/>
    <xf numFmtId="166" fontId="28" fillId="0" borderId="14" xfId="44" applyNumberFormat="1" applyFont="1" applyBorder="1"/>
    <xf numFmtId="166" fontId="26" fillId="0" borderId="14" xfId="44" applyNumberFormat="1" applyFont="1" applyBorder="1"/>
    <xf numFmtId="166" fontId="25" fillId="0" borderId="14" xfId="44" applyNumberFormat="1" applyFont="1" applyBorder="1"/>
    <xf numFmtId="167" fontId="26" fillId="0" borderId="0" xfId="0" applyNumberFormat="1" applyFont="1"/>
    <xf numFmtId="167" fontId="27" fillId="33" borderId="21" xfId="0" applyNumberFormat="1" applyFont="1" applyFill="1" applyBorder="1"/>
    <xf numFmtId="167" fontId="28" fillId="0" borderId="14" xfId="0" applyNumberFormat="1" applyFont="1" applyBorder="1"/>
    <xf numFmtId="167" fontId="28" fillId="0" borderId="0" xfId="0" applyNumberFormat="1" applyFont="1"/>
    <xf numFmtId="167" fontId="27" fillId="0" borderId="15" xfId="0" applyNumberFormat="1" applyFont="1" applyBorder="1"/>
    <xf numFmtId="166" fontId="27" fillId="0" borderId="0" xfId="44" applyNumberFormat="1" applyFont="1"/>
    <xf numFmtId="166" fontId="26" fillId="0" borderId="0" xfId="44" applyNumberFormat="1" applyFont="1" applyBorder="1"/>
    <xf numFmtId="166" fontId="27" fillId="33" borderId="21" xfId="44" applyNumberFormat="1" applyFont="1" applyFill="1" applyBorder="1"/>
    <xf numFmtId="166" fontId="28" fillId="0" borderId="0" xfId="44" applyNumberFormat="1" applyFont="1"/>
    <xf numFmtId="166" fontId="27" fillId="0" borderId="15" xfId="44" applyNumberFormat="1" applyFont="1" applyBorder="1"/>
    <xf numFmtId="0" fontId="0" fillId="0" borderId="22" xfId="0" applyBorder="1"/>
    <xf numFmtId="14" fontId="0" fillId="0" borderId="12" xfId="0" applyNumberFormat="1" applyBorder="1"/>
    <xf numFmtId="0" fontId="0" fillId="0" borderId="12" xfId="0" applyBorder="1"/>
    <xf numFmtId="0" fontId="0" fillId="0" borderId="23" xfId="0" applyBorder="1"/>
    <xf numFmtId="2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9" fillId="0" borderId="0" xfId="0" applyFont="1"/>
    <xf numFmtId="0" fontId="30" fillId="0" borderId="0" xfId="0" applyFont="1"/>
    <xf numFmtId="14" fontId="0" fillId="0" borderId="10" xfId="0" applyNumberFormat="1" applyBorder="1" applyAlignment="1">
      <alignment horizontal="center" vertical="center"/>
    </xf>
    <xf numFmtId="168" fontId="24" fillId="0" borderId="10" xfId="0" applyNumberFormat="1" applyFont="1" applyBorder="1" applyAlignment="1">
      <alignment horizontal="center" wrapText="1"/>
    </xf>
    <xf numFmtId="0" fontId="0" fillId="0" borderId="0" xfId="0" quotePrefix="1"/>
    <xf numFmtId="164" fontId="0" fillId="0" borderId="11" xfId="1" applyNumberFormat="1" applyFont="1" applyBorder="1"/>
    <xf numFmtId="9" fontId="0" fillId="0" borderId="10" xfId="1" applyFont="1" applyBorder="1"/>
    <xf numFmtId="169" fontId="0" fillId="0" borderId="10" xfId="1" applyNumberFormat="1" applyFont="1" applyBorder="1"/>
    <xf numFmtId="164" fontId="0" fillId="0" borderId="24" xfId="1" applyNumberFormat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ED2D-BF91-4501-8B22-3E6923F46F95}">
  <dimension ref="A2:I27"/>
  <sheetViews>
    <sheetView workbookViewId="0">
      <selection activeCell="A20" sqref="A20"/>
    </sheetView>
  </sheetViews>
  <sheetFormatPr baseColWidth="10" defaultColWidth="10.83203125" defaultRowHeight="16" x14ac:dyDescent="0.2"/>
  <cols>
    <col min="1" max="1" width="29.83203125" bestFit="1" customWidth="1"/>
    <col min="2" max="3" width="12.1640625" bestFit="1" customWidth="1"/>
    <col min="8" max="8" width="35.83203125" bestFit="1" customWidth="1"/>
    <col min="9" max="9" width="12.1640625" bestFit="1" customWidth="1"/>
  </cols>
  <sheetData>
    <row r="2" spans="1:9" x14ac:dyDescent="0.2">
      <c r="A2" s="46" t="s">
        <v>0</v>
      </c>
      <c r="B2" s="46"/>
      <c r="C2" s="46"/>
      <c r="D2" s="47"/>
      <c r="E2" s="47"/>
      <c r="F2" s="47"/>
      <c r="G2" s="47"/>
      <c r="H2" s="46" t="s">
        <v>0</v>
      </c>
      <c r="I2" s="46"/>
    </row>
    <row r="3" spans="1:9" x14ac:dyDescent="0.2">
      <c r="A3" s="46" t="s">
        <v>1</v>
      </c>
      <c r="B3" s="46"/>
      <c r="C3" s="46"/>
      <c r="D3" s="47"/>
      <c r="E3" s="47"/>
      <c r="F3" s="47"/>
      <c r="G3" s="47"/>
      <c r="H3" s="46" t="s">
        <v>2</v>
      </c>
      <c r="I3" s="46"/>
    </row>
    <row r="4" spans="1:9" ht="17" thickBot="1" x14ac:dyDescent="0.25">
      <c r="A4" s="46" t="s">
        <v>3</v>
      </c>
      <c r="B4" s="46"/>
      <c r="C4" s="46"/>
      <c r="D4" s="47"/>
      <c r="E4" s="47"/>
      <c r="F4" s="47"/>
      <c r="G4" s="47"/>
      <c r="H4" s="46" t="s">
        <v>4</v>
      </c>
      <c r="I4" s="47"/>
    </row>
    <row r="5" spans="1:9" ht="17" thickBot="1" x14ac:dyDescent="0.25">
      <c r="A5" s="53" t="s">
        <v>5</v>
      </c>
      <c r="B5" s="54">
        <v>2021</v>
      </c>
      <c r="C5" s="55">
        <v>2000</v>
      </c>
      <c r="D5" s="47"/>
      <c r="E5" s="47"/>
      <c r="F5" s="47"/>
      <c r="G5" s="47"/>
      <c r="H5" s="53" t="s">
        <v>6</v>
      </c>
      <c r="I5" s="55">
        <v>2021</v>
      </c>
    </row>
    <row r="6" spans="1:9" ht="17" thickBot="1" x14ac:dyDescent="0.25">
      <c r="A6" s="47" t="s">
        <v>7</v>
      </c>
      <c r="B6" s="64">
        <v>11</v>
      </c>
      <c r="C6" s="64">
        <v>39</v>
      </c>
      <c r="D6" s="47"/>
      <c r="E6" s="47"/>
      <c r="F6" s="47"/>
      <c r="G6" s="47"/>
      <c r="H6" s="46" t="s">
        <v>8</v>
      </c>
      <c r="I6" s="68">
        <v>77799</v>
      </c>
    </row>
    <row r="7" spans="1:9" ht="17" thickBot="1" x14ac:dyDescent="0.25">
      <c r="A7" s="47" t="s">
        <v>9</v>
      </c>
      <c r="B7" s="64">
        <v>32</v>
      </c>
      <c r="C7" s="64">
        <v>45</v>
      </c>
      <c r="D7" s="47"/>
      <c r="E7" s="47"/>
      <c r="F7" s="47"/>
      <c r="G7" s="47"/>
      <c r="H7" s="53" t="s">
        <v>10</v>
      </c>
      <c r="I7" s="69" t="s">
        <v>5</v>
      </c>
    </row>
    <row r="8" spans="1:9" x14ac:dyDescent="0.2">
      <c r="A8" s="48" t="s">
        <v>11</v>
      </c>
      <c r="B8" s="65">
        <v>6311</v>
      </c>
      <c r="C8" s="65">
        <v>3642</v>
      </c>
      <c r="D8" s="47"/>
      <c r="E8" s="47"/>
      <c r="F8" s="47"/>
      <c r="G8" s="47"/>
      <c r="H8" s="48" t="s">
        <v>12</v>
      </c>
      <c r="I8" s="70">
        <v>21538</v>
      </c>
    </row>
    <row r="9" spans="1:9" x14ac:dyDescent="0.2">
      <c r="A9" s="46" t="s">
        <v>13</v>
      </c>
      <c r="B9" s="66">
        <v>6354</v>
      </c>
      <c r="C9" s="66">
        <v>3726</v>
      </c>
      <c r="D9" s="47"/>
      <c r="E9" s="47"/>
      <c r="F9" s="47"/>
      <c r="G9" s="47"/>
      <c r="H9" s="47" t="s">
        <v>14</v>
      </c>
      <c r="I9" s="71">
        <v>56261</v>
      </c>
    </row>
    <row r="10" spans="1:9" x14ac:dyDescent="0.2">
      <c r="A10" s="46" t="s">
        <v>15</v>
      </c>
      <c r="B10" s="66">
        <v>-499</v>
      </c>
      <c r="C10" s="66">
        <v>-427</v>
      </c>
      <c r="D10" s="47"/>
      <c r="E10" s="47"/>
      <c r="F10" s="47"/>
      <c r="G10" s="47"/>
      <c r="H10" s="49" t="s">
        <v>16</v>
      </c>
      <c r="I10" s="72">
        <v>77799</v>
      </c>
    </row>
    <row r="11" spans="1:9" x14ac:dyDescent="0.2">
      <c r="A11" s="46" t="s">
        <v>17</v>
      </c>
      <c r="B11" s="67">
        <v>5855</v>
      </c>
      <c r="C11" s="67">
        <v>3299</v>
      </c>
      <c r="D11" s="47"/>
      <c r="E11" s="47"/>
      <c r="F11" s="47"/>
      <c r="G11" s="47"/>
      <c r="H11" s="47"/>
      <c r="I11" s="48"/>
    </row>
    <row r="12" spans="1:9" x14ac:dyDescent="0.2">
      <c r="A12" s="47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47"/>
      <c r="B13" s="47"/>
      <c r="C13" s="47"/>
      <c r="D13" s="47"/>
      <c r="E13" s="47"/>
      <c r="F13" s="47"/>
      <c r="G13" s="47"/>
      <c r="H13" s="48"/>
      <c r="I13" s="48"/>
    </row>
    <row r="14" spans="1:9" x14ac:dyDescent="0.2">
      <c r="A14" s="49"/>
      <c r="B14" s="49"/>
      <c r="C14" s="49"/>
      <c r="D14" s="47"/>
      <c r="E14" s="47"/>
      <c r="F14" s="47"/>
      <c r="G14" s="47"/>
      <c r="H14" s="47"/>
      <c r="I14" s="47"/>
    </row>
    <row r="15" spans="1:9" x14ac:dyDescent="0.2">
      <c r="A15" s="47"/>
      <c r="B15" s="47"/>
      <c r="C15" s="47"/>
      <c r="D15" s="47"/>
      <c r="E15" s="47"/>
      <c r="F15" s="47"/>
      <c r="G15" s="47"/>
      <c r="H15" s="47"/>
      <c r="I15" s="47"/>
    </row>
    <row r="16" spans="1:9" x14ac:dyDescent="0.2">
      <c r="A16" s="46" t="s">
        <v>18</v>
      </c>
      <c r="B16" s="46"/>
      <c r="C16" s="46"/>
      <c r="D16" s="47"/>
      <c r="E16" s="47"/>
      <c r="F16" s="47"/>
      <c r="G16" s="47"/>
      <c r="H16" s="46" t="s">
        <v>18</v>
      </c>
      <c r="I16" s="46"/>
    </row>
    <row r="17" spans="1:9" x14ac:dyDescent="0.2">
      <c r="A17" s="46" t="s">
        <v>19</v>
      </c>
      <c r="B17" s="46"/>
      <c r="C17" s="46"/>
      <c r="D17" s="47"/>
      <c r="E17" s="47"/>
      <c r="F17" s="47"/>
      <c r="G17" s="47"/>
      <c r="H17" s="46" t="s">
        <v>2</v>
      </c>
      <c r="I17" s="46"/>
    </row>
    <row r="18" spans="1:9" ht="17" thickBot="1" x14ac:dyDescent="0.25">
      <c r="A18" s="46" t="s">
        <v>3</v>
      </c>
      <c r="B18" s="46"/>
      <c r="C18" s="46"/>
      <c r="D18" s="47"/>
      <c r="E18" s="47"/>
      <c r="F18" s="47"/>
      <c r="G18" s="47"/>
      <c r="H18" s="46" t="s">
        <v>4</v>
      </c>
      <c r="I18" s="47"/>
    </row>
    <row r="19" spans="1:9" ht="17" thickBot="1" x14ac:dyDescent="0.25">
      <c r="A19" s="50" t="s">
        <v>5</v>
      </c>
      <c r="B19" s="51">
        <v>2021</v>
      </c>
      <c r="C19" s="52">
        <v>2000</v>
      </c>
      <c r="D19" s="47"/>
      <c r="E19" s="47"/>
      <c r="F19" s="47"/>
      <c r="G19" s="47"/>
      <c r="H19" s="53" t="s">
        <v>6</v>
      </c>
      <c r="I19" s="55">
        <v>2021</v>
      </c>
    </row>
    <row r="20" spans="1:9" ht="17" thickBot="1" x14ac:dyDescent="0.25">
      <c r="A20" s="47" t="s">
        <v>7</v>
      </c>
      <c r="B20" s="66">
        <v>28318</v>
      </c>
      <c r="C20" s="66">
        <v>24540</v>
      </c>
      <c r="D20" s="47"/>
      <c r="E20" s="47"/>
      <c r="F20" s="47"/>
      <c r="G20" s="47"/>
      <c r="H20" s="46" t="s">
        <v>8</v>
      </c>
      <c r="I20" s="74">
        <v>48806</v>
      </c>
    </row>
    <row r="21" spans="1:9" ht="17" thickBot="1" x14ac:dyDescent="0.25">
      <c r="A21" s="46" t="s">
        <v>13</v>
      </c>
      <c r="B21" s="64">
        <v>28318</v>
      </c>
      <c r="C21" s="64">
        <v>24540</v>
      </c>
      <c r="D21" s="47"/>
      <c r="E21" s="47"/>
      <c r="F21" s="47"/>
      <c r="G21" s="47"/>
      <c r="H21" s="53" t="s">
        <v>10</v>
      </c>
      <c r="I21" s="75" t="s">
        <v>5</v>
      </c>
    </row>
    <row r="22" spans="1:9" x14ac:dyDescent="0.2">
      <c r="A22" s="46" t="s">
        <v>15</v>
      </c>
      <c r="B22" s="66">
        <v>-22163</v>
      </c>
      <c r="C22" s="66">
        <v>-17310</v>
      </c>
      <c r="D22" s="47"/>
      <c r="E22" s="47"/>
      <c r="F22" s="47"/>
      <c r="G22" s="47"/>
      <c r="H22" s="48" t="s">
        <v>20</v>
      </c>
      <c r="I22" s="64">
        <v>15052</v>
      </c>
    </row>
    <row r="23" spans="1:9" x14ac:dyDescent="0.2">
      <c r="A23" s="49" t="s">
        <v>21</v>
      </c>
      <c r="B23" s="73">
        <v>-574</v>
      </c>
      <c r="C23" s="73">
        <v>-1036</v>
      </c>
      <c r="D23" s="47"/>
      <c r="E23" s="47"/>
      <c r="F23" s="47"/>
      <c r="G23" s="47"/>
      <c r="H23" s="47" t="s">
        <v>22</v>
      </c>
      <c r="I23" s="64">
        <v>24599</v>
      </c>
    </row>
    <row r="24" spans="1:9" x14ac:dyDescent="0.2">
      <c r="A24" s="46" t="s">
        <v>23</v>
      </c>
      <c r="B24" s="67">
        <v>5582</v>
      </c>
      <c r="C24" s="67">
        <v>6194</v>
      </c>
      <c r="D24" s="47"/>
      <c r="E24" s="47"/>
      <c r="F24" s="47"/>
      <c r="G24" s="47"/>
      <c r="H24" s="47" t="s">
        <v>24</v>
      </c>
      <c r="I24" s="76">
        <v>8979</v>
      </c>
    </row>
    <row r="25" spans="1:9" x14ac:dyDescent="0.2">
      <c r="A25" s="47"/>
      <c r="B25" s="47"/>
      <c r="C25" s="47"/>
      <c r="D25" s="47"/>
      <c r="E25" s="47"/>
      <c r="F25" s="47"/>
      <c r="G25" s="47"/>
      <c r="H25" s="47" t="s">
        <v>25</v>
      </c>
      <c r="I25" s="64">
        <v>175.6</v>
      </c>
    </row>
    <row r="26" spans="1:9" x14ac:dyDescent="0.2">
      <c r="A26" s="47"/>
      <c r="B26" s="47"/>
      <c r="C26" s="47"/>
      <c r="D26" s="47"/>
      <c r="E26" s="47"/>
      <c r="F26" s="47"/>
      <c r="G26" s="47"/>
      <c r="H26" s="49" t="s">
        <v>16</v>
      </c>
      <c r="I26" s="77">
        <v>48805</v>
      </c>
    </row>
    <row r="27" spans="1:9" x14ac:dyDescent="0.2">
      <c r="A27" s="47"/>
      <c r="B27" s="47"/>
      <c r="C27" s="47"/>
      <c r="D27" s="47"/>
      <c r="E27" s="47"/>
      <c r="F27" s="47"/>
      <c r="G27" s="47"/>
      <c r="H27" s="48"/>
      <c r="I27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9"/>
  <sheetViews>
    <sheetView topLeftCell="A48" workbookViewId="0">
      <selection activeCell="E78" sqref="E78"/>
    </sheetView>
  </sheetViews>
  <sheetFormatPr baseColWidth="10" defaultColWidth="10.83203125" defaultRowHeight="16" x14ac:dyDescent="0.2"/>
  <cols>
    <col min="1" max="1" width="24.1640625" customWidth="1"/>
    <col min="2" max="2" width="12.1640625" bestFit="1" customWidth="1"/>
    <col min="3" max="3" width="7.6640625" bestFit="1" customWidth="1"/>
    <col min="4" max="4" width="14.1640625" bestFit="1" customWidth="1"/>
    <col min="5" max="5" width="9" style="1" bestFit="1" customWidth="1"/>
    <col min="6" max="6" width="11.83203125" bestFit="1" customWidth="1"/>
    <col min="7" max="7" width="7.6640625" style="2" bestFit="1" customWidth="1"/>
    <col min="8" max="8" width="13.1640625" bestFit="1" customWidth="1"/>
    <col min="9" max="9" width="11.1640625" bestFit="1" customWidth="1"/>
    <col min="10" max="10" width="14.6640625" bestFit="1" customWidth="1"/>
  </cols>
  <sheetData>
    <row r="2" spans="1:8" ht="17" thickBot="1" x14ac:dyDescent="0.25">
      <c r="A2" s="81" t="s">
        <v>26</v>
      </c>
      <c r="B2" s="81" t="s">
        <v>27</v>
      </c>
      <c r="D2" s="81" t="s">
        <v>28</v>
      </c>
      <c r="F2" s="81" t="s">
        <v>29</v>
      </c>
    </row>
    <row r="3" spans="1:8" ht="17" thickTop="1" x14ac:dyDescent="0.2">
      <c r="A3" s="79">
        <v>43040</v>
      </c>
      <c r="B3" s="80">
        <v>2593.6057142857098</v>
      </c>
      <c r="D3" s="80">
        <v>45.775210999999999</v>
      </c>
      <c r="F3" s="80">
        <v>76.652434999999997</v>
      </c>
      <c r="H3" s="3"/>
    </row>
    <row r="4" spans="1:8" x14ac:dyDescent="0.2">
      <c r="A4" s="57">
        <v>43070</v>
      </c>
      <c r="B4" s="41">
        <v>2664.3404999999998</v>
      </c>
      <c r="C4" s="58">
        <f>(B4-B3)/B3</f>
        <v>2.7272759820307003E-2</v>
      </c>
      <c r="D4" s="41">
        <v>48.28302</v>
      </c>
      <c r="E4" s="59">
        <f>(D4-D3)/D3</f>
        <v>5.4785307270347736E-2</v>
      </c>
      <c r="F4" s="41">
        <v>76.972472999999994</v>
      </c>
      <c r="G4" s="60">
        <f>(F4-F3)/F3</f>
        <v>4.1751837368244954E-3</v>
      </c>
      <c r="H4" s="3"/>
    </row>
    <row r="5" spans="1:8" x14ac:dyDescent="0.2">
      <c r="A5" s="57">
        <v>43101</v>
      </c>
      <c r="B5" s="41">
        <v>2789.8038095237998</v>
      </c>
      <c r="C5" s="58">
        <f t="shared" ref="C5:C61" si="0">(B5-B4)/B4</f>
        <v>4.7089818108383689E-2</v>
      </c>
      <c r="D5" s="41">
        <v>50.134639999999997</v>
      </c>
      <c r="E5" s="59">
        <f t="shared" ref="E5:E61" si="1">(D5-D4)/D4</f>
        <v>3.8349299608847934E-2</v>
      </c>
      <c r="F5" s="41">
        <v>74.229316999999995</v>
      </c>
      <c r="G5" s="60">
        <f t="shared" ref="G5:G61" si="2">(F5-F4)/F4</f>
        <v>-3.5638143002109331E-2</v>
      </c>
      <c r="H5" s="3"/>
    </row>
    <row r="6" spans="1:8" x14ac:dyDescent="0.2">
      <c r="A6" s="57">
        <v>43132</v>
      </c>
      <c r="B6" s="41">
        <v>2705.1552631578902</v>
      </c>
      <c r="C6" s="58">
        <f t="shared" si="0"/>
        <v>-3.0342114408524856E-2</v>
      </c>
      <c r="D6" s="41">
        <v>49.833866</v>
      </c>
      <c r="E6" s="59">
        <f t="shared" si="1"/>
        <v>-5.999325017592567E-3</v>
      </c>
      <c r="F6" s="41">
        <v>70.192054999999996</v>
      </c>
      <c r="G6" s="60">
        <f t="shared" si="2"/>
        <v>-5.4389049544939214E-2</v>
      </c>
      <c r="H6" s="3"/>
    </row>
    <row r="7" spans="1:8" x14ac:dyDescent="0.2">
      <c r="A7" s="57">
        <v>43160</v>
      </c>
      <c r="B7" s="41">
        <v>2702.7738095238001</v>
      </c>
      <c r="C7" s="58">
        <f t="shared" si="0"/>
        <v>-8.8033898331961458E-4</v>
      </c>
      <c r="D7" s="41">
        <v>49.176464000000003</v>
      </c>
      <c r="E7" s="59">
        <f t="shared" si="1"/>
        <v>-1.3191872370487925E-2</v>
      </c>
      <c r="F7" s="41">
        <v>71.035788999999994</v>
      </c>
      <c r="G7" s="60">
        <f t="shared" si="2"/>
        <v>1.2020363273307752E-2</v>
      </c>
      <c r="H7" s="3"/>
    </row>
    <row r="8" spans="1:8" x14ac:dyDescent="0.2">
      <c r="A8" s="57">
        <v>43191</v>
      </c>
      <c r="B8" s="41">
        <v>2653.6252380952301</v>
      </c>
      <c r="C8" s="58">
        <f t="shared" si="0"/>
        <v>-1.8184493003219331E-2</v>
      </c>
      <c r="D8" s="41">
        <v>52.434798999999998</v>
      </c>
      <c r="E8" s="59">
        <f t="shared" si="1"/>
        <v>6.6258017249877815E-2</v>
      </c>
      <c r="F8" s="41">
        <v>74.432891999999995</v>
      </c>
      <c r="G8" s="60">
        <f t="shared" si="2"/>
        <v>4.7822415261692973E-2</v>
      </c>
      <c r="H8" s="3"/>
    </row>
    <row r="9" spans="1:8" x14ac:dyDescent="0.2">
      <c r="A9" s="57">
        <v>43221</v>
      </c>
      <c r="B9" s="41">
        <v>2701.4936363636298</v>
      </c>
      <c r="C9" s="58">
        <f t="shared" si="0"/>
        <v>1.8038869084151303E-2</v>
      </c>
      <c r="D9" s="41">
        <v>52.378304</v>
      </c>
      <c r="E9" s="59">
        <f t="shared" si="1"/>
        <v>-1.0774333281986679E-3</v>
      </c>
      <c r="F9" s="41">
        <v>78.077858000000006</v>
      </c>
      <c r="G9" s="60">
        <f t="shared" si="2"/>
        <v>4.8969829091149795E-2</v>
      </c>
      <c r="H9" s="3"/>
    </row>
    <row r="10" spans="1:8" x14ac:dyDescent="0.2">
      <c r="A10" s="57">
        <v>43252</v>
      </c>
      <c r="B10" s="41">
        <v>2754.3528571428501</v>
      </c>
      <c r="C10" s="58">
        <f t="shared" si="0"/>
        <v>1.9566664924805063E-2</v>
      </c>
      <c r="D10" s="41">
        <v>48.203811999999999</v>
      </c>
      <c r="E10" s="59">
        <f t="shared" si="1"/>
        <v>-7.9698876847940719E-2</v>
      </c>
      <c r="F10" s="41">
        <v>78.884338</v>
      </c>
      <c r="G10" s="60">
        <f t="shared" si="2"/>
        <v>1.0329176807078818E-2</v>
      </c>
      <c r="H10" s="3"/>
    </row>
    <row r="11" spans="1:8" x14ac:dyDescent="0.2">
      <c r="A11" s="57">
        <v>43282</v>
      </c>
      <c r="B11" s="41">
        <v>2793.6433333333298</v>
      </c>
      <c r="C11" s="58">
        <f t="shared" si="0"/>
        <v>1.4264866641391967E-2</v>
      </c>
      <c r="D11" s="41">
        <v>48.166083999999998</v>
      </c>
      <c r="E11" s="59">
        <f t="shared" si="1"/>
        <v>-7.8267668955312743E-4</v>
      </c>
      <c r="F11" s="41">
        <v>91.346076999999994</v>
      </c>
      <c r="G11" s="60">
        <f t="shared" si="2"/>
        <v>0.15797481877834854</v>
      </c>
      <c r="H11" s="3"/>
    </row>
    <row r="12" spans="1:8" x14ac:dyDescent="0.2">
      <c r="A12" s="57">
        <v>43313</v>
      </c>
      <c r="B12" s="41">
        <v>2857.8204347825999</v>
      </c>
      <c r="C12" s="58">
        <f t="shared" si="0"/>
        <v>2.297254652500506E-2</v>
      </c>
      <c r="D12" s="41">
        <v>47.911391999999999</v>
      </c>
      <c r="E12" s="59">
        <f t="shared" si="1"/>
        <v>-5.2877871491483217E-3</v>
      </c>
      <c r="F12" s="41">
        <v>97.669403000000003</v>
      </c>
      <c r="G12" s="60">
        <f t="shared" si="2"/>
        <v>6.9223837603885383E-2</v>
      </c>
      <c r="H12" s="3"/>
    </row>
    <row r="13" spans="1:8" x14ac:dyDescent="0.2">
      <c r="A13" s="57">
        <v>43344</v>
      </c>
      <c r="B13" s="41">
        <v>2901.50052631578</v>
      </c>
      <c r="C13" s="58">
        <f t="shared" si="0"/>
        <v>1.5284407306193437E-2</v>
      </c>
      <c r="D13" s="41">
        <v>46.483994000000003</v>
      </c>
      <c r="E13" s="59">
        <f t="shared" si="1"/>
        <v>-2.979245520564288E-2</v>
      </c>
      <c r="F13" s="41">
        <v>99.752234999999999</v>
      </c>
      <c r="G13" s="60">
        <f t="shared" si="2"/>
        <v>2.1325327441593926E-2</v>
      </c>
      <c r="H13" s="3"/>
    </row>
    <row r="14" spans="1:8" x14ac:dyDescent="0.2">
      <c r="A14" s="57">
        <v>43374</v>
      </c>
      <c r="B14" s="41">
        <v>2785.4647826086898</v>
      </c>
      <c r="C14" s="58">
        <f t="shared" si="0"/>
        <v>-3.9991632830902214E-2</v>
      </c>
      <c r="D14" s="41">
        <v>43.731853000000001</v>
      </c>
      <c r="E14" s="59">
        <f t="shared" si="1"/>
        <v>-5.9206207624930028E-2</v>
      </c>
      <c r="F14" s="41">
        <v>100.802666</v>
      </c>
      <c r="G14" s="60">
        <f t="shared" si="2"/>
        <v>1.0530400647163476E-2</v>
      </c>
      <c r="H14" s="3"/>
    </row>
    <row r="15" spans="1:8" x14ac:dyDescent="0.2">
      <c r="A15" s="57">
        <v>43405</v>
      </c>
      <c r="B15" s="41">
        <v>2723.2295238095198</v>
      </c>
      <c r="C15" s="58">
        <f t="shared" si="0"/>
        <v>-2.2342863276441919E-2</v>
      </c>
      <c r="D15" s="41">
        <v>42.369948999999998</v>
      </c>
      <c r="E15" s="59">
        <f t="shared" si="1"/>
        <v>-3.1142151694326849E-2</v>
      </c>
      <c r="F15" s="41">
        <v>110.284279</v>
      </c>
      <c r="G15" s="60">
        <f t="shared" si="2"/>
        <v>9.4061133264074545E-2</v>
      </c>
      <c r="H15" s="3"/>
    </row>
    <row r="16" spans="1:8" x14ac:dyDescent="0.2">
      <c r="A16" s="57">
        <v>43435</v>
      </c>
      <c r="B16" s="41">
        <v>2567.3073684210499</v>
      </c>
      <c r="C16" s="58">
        <f t="shared" si="0"/>
        <v>-5.7256339954169851E-2</v>
      </c>
      <c r="D16" s="41">
        <v>39.382705999999999</v>
      </c>
      <c r="E16" s="59">
        <f t="shared" si="1"/>
        <v>-7.0503813917736829E-2</v>
      </c>
      <c r="F16" s="41">
        <v>108.11151099999999</v>
      </c>
      <c r="G16" s="60">
        <f t="shared" si="2"/>
        <v>-1.9701520649194296E-2</v>
      </c>
      <c r="H16" s="3"/>
    </row>
    <row r="17" spans="1:8" x14ac:dyDescent="0.2">
      <c r="A17" s="57">
        <v>43466</v>
      </c>
      <c r="B17" s="41">
        <v>2607.39</v>
      </c>
      <c r="C17" s="58">
        <f t="shared" si="0"/>
        <v>1.561271239742582E-2</v>
      </c>
      <c r="D17" s="41">
        <v>44.351784000000002</v>
      </c>
      <c r="E17" s="59">
        <f t="shared" si="1"/>
        <v>0.12617411307389603</v>
      </c>
      <c r="F17" s="41">
        <v>111.979294</v>
      </c>
      <c r="G17" s="60">
        <f t="shared" si="2"/>
        <v>3.5775866641989708E-2</v>
      </c>
      <c r="H17" s="3"/>
    </row>
    <row r="18" spans="1:8" x14ac:dyDescent="0.2">
      <c r="A18" s="57">
        <v>43497</v>
      </c>
      <c r="B18" s="41">
        <v>2754.8642105263102</v>
      </c>
      <c r="C18" s="58">
        <f t="shared" si="0"/>
        <v>5.6560089026309969E-2</v>
      </c>
      <c r="D18" s="41">
        <v>43.631076999999998</v>
      </c>
      <c r="E18" s="59">
        <f t="shared" si="1"/>
        <v>-1.6249786028900311E-2</v>
      </c>
      <c r="F18" s="41">
        <v>117.986526</v>
      </c>
      <c r="G18" s="60">
        <f t="shared" si="2"/>
        <v>5.364591778905127E-2</v>
      </c>
      <c r="H18" s="3"/>
    </row>
    <row r="19" spans="1:8" x14ac:dyDescent="0.2">
      <c r="A19" s="57">
        <v>43525</v>
      </c>
      <c r="B19" s="41">
        <v>2803.9838095238001</v>
      </c>
      <c r="C19" s="58">
        <f t="shared" si="0"/>
        <v>1.7830134352831033E-2</v>
      </c>
      <c r="D19" s="41">
        <v>40.699921000000003</v>
      </c>
      <c r="E19" s="59">
        <f t="shared" si="1"/>
        <v>-6.718046405317922E-2</v>
      </c>
      <c r="F19" s="41">
        <v>121.88542200000001</v>
      </c>
      <c r="G19" s="60">
        <f t="shared" si="2"/>
        <v>3.3045264846597887E-2</v>
      </c>
      <c r="H19" s="3"/>
    </row>
    <row r="20" spans="1:8" x14ac:dyDescent="0.2">
      <c r="A20" s="57">
        <v>43556</v>
      </c>
      <c r="B20" s="41">
        <v>2903.8</v>
      </c>
      <c r="C20" s="58">
        <f t="shared" si="0"/>
        <v>3.5597991021621422E-2</v>
      </c>
      <c r="D20" s="41">
        <v>43.574424999999998</v>
      </c>
      <c r="E20" s="59">
        <f t="shared" si="1"/>
        <v>7.0626770995452157E-2</v>
      </c>
      <c r="F20" s="41">
        <v>109.937347</v>
      </c>
      <c r="G20" s="60">
        <f t="shared" si="2"/>
        <v>-9.8027104504753673E-2</v>
      </c>
      <c r="H20" s="3"/>
    </row>
    <row r="21" spans="1:8" x14ac:dyDescent="0.2">
      <c r="A21" s="57">
        <v>43586</v>
      </c>
      <c r="B21" s="41">
        <v>2854.7059090909001</v>
      </c>
      <c r="C21" s="58">
        <f t="shared" si="0"/>
        <v>-1.6906843070838222E-2</v>
      </c>
      <c r="D21" s="41">
        <v>39.605331</v>
      </c>
      <c r="E21" s="59">
        <f t="shared" si="1"/>
        <v>-9.1087696510051441E-2</v>
      </c>
      <c r="F21" s="41">
        <v>108.904106</v>
      </c>
      <c r="G21" s="60">
        <f t="shared" si="2"/>
        <v>-9.3984531025658076E-3</v>
      </c>
      <c r="H21" s="3"/>
    </row>
    <row r="22" spans="1:8" x14ac:dyDescent="0.2">
      <c r="A22" s="57">
        <v>43617</v>
      </c>
      <c r="B22" s="41">
        <v>2890.1660000000002</v>
      </c>
      <c r="C22" s="58">
        <f t="shared" si="0"/>
        <v>1.242162661876176E-2</v>
      </c>
      <c r="D22" s="41">
        <v>38.402755999999997</v>
      </c>
      <c r="E22" s="59">
        <f t="shared" si="1"/>
        <v>-3.0363967921389245E-2</v>
      </c>
      <c r="F22" s="41">
        <v>104.650436</v>
      </c>
      <c r="G22" s="60">
        <f t="shared" si="2"/>
        <v>-3.9058857890996321E-2</v>
      </c>
      <c r="H22" s="3"/>
    </row>
    <row r="23" spans="1:8" x14ac:dyDescent="0.2">
      <c r="A23" s="57">
        <v>43647</v>
      </c>
      <c r="B23" s="41">
        <v>2996.1136363636301</v>
      </c>
      <c r="C23" s="58">
        <f t="shared" si="0"/>
        <v>3.6657976172866868E-2</v>
      </c>
      <c r="D23" s="41">
        <v>41.298003999999999</v>
      </c>
      <c r="E23" s="59">
        <f t="shared" si="1"/>
        <v>7.539167241017812E-2</v>
      </c>
      <c r="F23" s="41">
        <v>102.912407</v>
      </c>
      <c r="G23" s="60">
        <f t="shared" si="2"/>
        <v>-1.6607948007020222E-2</v>
      </c>
      <c r="H23" s="3"/>
    </row>
    <row r="24" spans="1:8" x14ac:dyDescent="0.2">
      <c r="A24" s="57">
        <v>43678</v>
      </c>
      <c r="B24" s="41">
        <v>2897.49818181818</v>
      </c>
      <c r="C24" s="58">
        <f t="shared" si="0"/>
        <v>-3.2914457365221722E-2</v>
      </c>
      <c r="D24" s="41">
        <v>36.568142000000002</v>
      </c>
      <c r="E24" s="59">
        <f t="shared" si="1"/>
        <v>-0.11453003878831522</v>
      </c>
      <c r="F24" s="41">
        <v>106.709641</v>
      </c>
      <c r="G24" s="60">
        <f t="shared" si="2"/>
        <v>3.6897727987258162E-2</v>
      </c>
      <c r="H24" s="3"/>
    </row>
    <row r="25" spans="1:8" x14ac:dyDescent="0.2">
      <c r="A25" s="57">
        <v>43709</v>
      </c>
      <c r="B25" s="41">
        <v>2982.1559999999999</v>
      </c>
      <c r="C25" s="58">
        <f t="shared" si="0"/>
        <v>2.9217556964504173E-2</v>
      </c>
      <c r="D25" s="41">
        <v>40.151459000000003</v>
      </c>
      <c r="E25" s="59">
        <f t="shared" si="1"/>
        <v>9.7990130316164298E-2</v>
      </c>
      <c r="F25" s="41">
        <v>106.22498299999999</v>
      </c>
      <c r="G25" s="60">
        <f t="shared" si="2"/>
        <v>-4.5418389140678512E-3</v>
      </c>
      <c r="H25" s="3"/>
    </row>
    <row r="26" spans="1:8" x14ac:dyDescent="0.2">
      <c r="A26" s="57">
        <v>43739</v>
      </c>
      <c r="B26" s="41">
        <v>2977.6752173913001</v>
      </c>
      <c r="C26" s="58">
        <f t="shared" si="0"/>
        <v>-1.5025312588274667E-3</v>
      </c>
      <c r="D26" s="41">
        <v>39.076397</v>
      </c>
      <c r="E26" s="59">
        <f t="shared" si="1"/>
        <v>-2.6775166501421595E-2</v>
      </c>
      <c r="F26" s="41">
        <v>108.238724</v>
      </c>
      <c r="G26" s="60">
        <f t="shared" si="2"/>
        <v>1.8957320049653576E-2</v>
      </c>
      <c r="H26" s="3"/>
    </row>
    <row r="27" spans="1:8" x14ac:dyDescent="0.2">
      <c r="A27" s="57">
        <v>43770</v>
      </c>
      <c r="B27" s="41">
        <v>3104.9045000000001</v>
      </c>
      <c r="C27" s="58">
        <f t="shared" si="0"/>
        <v>4.2727723247186052E-2</v>
      </c>
      <c r="D27" s="41">
        <v>47.513675999999997</v>
      </c>
      <c r="E27" s="59">
        <f t="shared" si="1"/>
        <v>0.21591752688969754</v>
      </c>
      <c r="F27" s="41">
        <v>111.46832999999999</v>
      </c>
      <c r="G27" s="60">
        <f t="shared" si="2"/>
        <v>2.9837805552844373E-2</v>
      </c>
      <c r="H27" s="3"/>
    </row>
    <row r="28" spans="1:8" x14ac:dyDescent="0.2">
      <c r="A28" s="57">
        <v>43800</v>
      </c>
      <c r="B28" s="41">
        <v>3176.7495238095198</v>
      </c>
      <c r="C28" s="58">
        <f t="shared" si="0"/>
        <v>2.3139205669456087E-2</v>
      </c>
      <c r="D28" s="41">
        <v>45.832386</v>
      </c>
      <c r="E28" s="59">
        <f t="shared" si="1"/>
        <v>-3.5385390934601593E-2</v>
      </c>
      <c r="F28" s="41">
        <v>125.560661</v>
      </c>
      <c r="G28" s="60">
        <f t="shared" si="2"/>
        <v>0.12642452793542347</v>
      </c>
      <c r="H28" s="3"/>
    </row>
    <row r="29" spans="1:8" x14ac:dyDescent="0.2">
      <c r="A29" s="57">
        <v>43831</v>
      </c>
      <c r="B29" s="41">
        <v>3278.20285714285</v>
      </c>
      <c r="C29" s="58">
        <f t="shared" si="0"/>
        <v>3.1936207929817703E-2</v>
      </c>
      <c r="D29" s="41">
        <v>43.895401</v>
      </c>
      <c r="E29" s="59">
        <f t="shared" si="1"/>
        <v>-4.226236443374342E-2</v>
      </c>
      <c r="F29" s="41">
        <v>133.40400700000001</v>
      </c>
      <c r="G29" s="60">
        <f t="shared" si="2"/>
        <v>6.2466587365289608E-2</v>
      </c>
      <c r="H29" s="3"/>
    </row>
    <row r="30" spans="1:8" x14ac:dyDescent="0.2">
      <c r="A30" s="57">
        <v>43862</v>
      </c>
      <c r="B30" s="41">
        <v>3277.31421052631</v>
      </c>
      <c r="C30" s="58">
        <f t="shared" si="0"/>
        <v>-2.710773723486048E-4</v>
      </c>
      <c r="D30" s="41">
        <v>39.269759999999998</v>
      </c>
      <c r="E30" s="59">
        <f t="shared" si="1"/>
        <v>-0.10537871609829927</v>
      </c>
      <c r="F30" s="41">
        <v>120.497337</v>
      </c>
      <c r="G30" s="60">
        <f t="shared" si="2"/>
        <v>-9.6748743086854994E-2</v>
      </c>
      <c r="H30" s="3"/>
    </row>
    <row r="31" spans="1:8" x14ac:dyDescent="0.2">
      <c r="A31" s="57">
        <v>43891</v>
      </c>
      <c r="B31" s="41">
        <v>2652.3936363636299</v>
      </c>
      <c r="C31" s="58">
        <f t="shared" si="0"/>
        <v>-0.19068070194658662</v>
      </c>
      <c r="D31" s="41">
        <v>32.521248</v>
      </c>
      <c r="E31" s="59">
        <f t="shared" si="1"/>
        <v>-0.1718500953405368</v>
      </c>
      <c r="F31" s="41">
        <v>133.21198999999999</v>
      </c>
      <c r="G31" s="60">
        <f t="shared" si="2"/>
        <v>0.10551812443788683</v>
      </c>
      <c r="H31" s="3"/>
    </row>
    <row r="32" spans="1:8" x14ac:dyDescent="0.2">
      <c r="A32" s="57">
        <v>43922</v>
      </c>
      <c r="B32" s="41">
        <v>2761.97523809523</v>
      </c>
      <c r="C32" s="58">
        <f t="shared" si="0"/>
        <v>4.1314230372620699E-2</v>
      </c>
      <c r="D32" s="41">
        <v>36.487254999999998</v>
      </c>
      <c r="E32" s="59">
        <f t="shared" si="1"/>
        <v>0.12195125476119482</v>
      </c>
      <c r="F32" s="41">
        <v>148.49989299999999</v>
      </c>
      <c r="G32" s="60">
        <f t="shared" si="2"/>
        <v>0.11476371608891964</v>
      </c>
      <c r="H32" s="3"/>
    </row>
    <row r="33" spans="1:8" x14ac:dyDescent="0.2">
      <c r="A33" s="57">
        <v>43952</v>
      </c>
      <c r="B33" s="41">
        <v>2919.6149999999998</v>
      </c>
      <c r="C33" s="58">
        <f t="shared" si="0"/>
        <v>5.7075009120459944E-2</v>
      </c>
      <c r="D33" s="41">
        <v>34.736396999999997</v>
      </c>
      <c r="E33" s="59">
        <f t="shared" si="1"/>
        <v>-4.7985467802387466E-2</v>
      </c>
      <c r="F33" s="41">
        <v>146.87698399999999</v>
      </c>
      <c r="G33" s="60">
        <f t="shared" si="2"/>
        <v>-1.0928688009222963E-2</v>
      </c>
      <c r="H33" s="3"/>
    </row>
    <row r="34" spans="1:8" x14ac:dyDescent="0.2">
      <c r="A34" s="57">
        <v>43983</v>
      </c>
      <c r="B34" s="41">
        <v>3104.6609090909001</v>
      </c>
      <c r="C34" s="58">
        <f t="shared" si="0"/>
        <v>6.3380243316636026E-2</v>
      </c>
      <c r="D34" s="41">
        <v>32.808151000000002</v>
      </c>
      <c r="E34" s="59">
        <f t="shared" si="1"/>
        <v>-5.5510823416717474E-2</v>
      </c>
      <c r="F34" s="41">
        <v>158.40327500000001</v>
      </c>
      <c r="G34" s="60">
        <f t="shared" si="2"/>
        <v>7.8475814835631527E-2</v>
      </c>
      <c r="H34" s="3"/>
    </row>
    <row r="35" spans="1:8" x14ac:dyDescent="0.2">
      <c r="A35" s="57">
        <v>44013</v>
      </c>
      <c r="B35" s="41">
        <v>3207.6190909090901</v>
      </c>
      <c r="C35" s="58">
        <f t="shared" si="0"/>
        <v>3.3162456330323699E-2</v>
      </c>
      <c r="D35" s="41">
        <v>32.234447000000003</v>
      </c>
      <c r="E35" s="59">
        <f t="shared" si="1"/>
        <v>-1.7486630075556509E-2</v>
      </c>
      <c r="F35" s="41">
        <v>145.002014</v>
      </c>
      <c r="G35" s="60">
        <f t="shared" si="2"/>
        <v>-8.4602171261926276E-2</v>
      </c>
      <c r="H35" s="3"/>
    </row>
    <row r="36" spans="1:8" x14ac:dyDescent="0.2">
      <c r="A36" s="57">
        <v>44044</v>
      </c>
      <c r="B36" s="41">
        <v>3391.71</v>
      </c>
      <c r="C36" s="58">
        <f t="shared" si="0"/>
        <v>5.7391761263877385E-2</v>
      </c>
      <c r="D36" s="41">
        <v>34.54871</v>
      </c>
      <c r="E36" s="59">
        <f t="shared" si="1"/>
        <v>7.1794716999488056E-2</v>
      </c>
      <c r="F36" s="41">
        <v>143.16888399999999</v>
      </c>
      <c r="G36" s="60">
        <f t="shared" si="2"/>
        <v>-1.264210026765567E-2</v>
      </c>
      <c r="H36" s="3"/>
    </row>
    <row r="37" spans="1:8" x14ac:dyDescent="0.2">
      <c r="A37" s="57">
        <v>44075</v>
      </c>
      <c r="B37" s="41">
        <v>3365.5166666666601</v>
      </c>
      <c r="C37" s="58">
        <f t="shared" si="0"/>
        <v>-7.7227514537917385E-3</v>
      </c>
      <c r="D37" s="41">
        <v>35.415779000000001</v>
      </c>
      <c r="E37" s="59">
        <f t="shared" si="1"/>
        <v>2.5097000727378846E-2</v>
      </c>
      <c r="F37" s="41">
        <v>143.50804099999999</v>
      </c>
      <c r="G37" s="60">
        <f t="shared" si="2"/>
        <v>2.3689295503623552E-3</v>
      </c>
      <c r="H37" s="3"/>
    </row>
    <row r="38" spans="1:8" x14ac:dyDescent="0.2">
      <c r="A38" s="57">
        <v>44105</v>
      </c>
      <c r="B38" s="41">
        <v>3418.7013636363599</v>
      </c>
      <c r="C38" s="58">
        <f t="shared" si="0"/>
        <v>1.5802832740797593E-2</v>
      </c>
      <c r="D38" s="41">
        <v>40.186110999999997</v>
      </c>
      <c r="E38" s="59">
        <f t="shared" si="1"/>
        <v>0.13469510299349893</v>
      </c>
      <c r="F38" s="41">
        <v>126.483299</v>
      </c>
      <c r="G38" s="60">
        <f t="shared" si="2"/>
        <v>-0.11863266951013561</v>
      </c>
      <c r="H38" s="3"/>
    </row>
    <row r="39" spans="1:8" x14ac:dyDescent="0.2">
      <c r="A39" s="57">
        <v>44136</v>
      </c>
      <c r="B39" s="41">
        <v>3548.9924999999998</v>
      </c>
      <c r="C39" s="58">
        <f t="shared" si="0"/>
        <v>3.81112950518303E-2</v>
      </c>
      <c r="D39" s="41">
        <v>47.683731000000002</v>
      </c>
      <c r="E39" s="59">
        <f t="shared" si="1"/>
        <v>0.1865724205061795</v>
      </c>
      <c r="F39" s="41">
        <v>141.21028100000001</v>
      </c>
      <c r="G39" s="60">
        <f t="shared" si="2"/>
        <v>0.11643420211549041</v>
      </c>
      <c r="H39" s="3"/>
    </row>
    <row r="40" spans="1:8" x14ac:dyDescent="0.2">
      <c r="A40" s="57">
        <v>44166</v>
      </c>
      <c r="B40" s="41">
        <v>3695.31</v>
      </c>
      <c r="C40" s="58">
        <f t="shared" si="0"/>
        <v>4.122789777662255E-2</v>
      </c>
      <c r="D40" s="41">
        <v>52.050659000000003</v>
      </c>
      <c r="E40" s="59">
        <f t="shared" si="1"/>
        <v>9.1581088736533672E-2</v>
      </c>
      <c r="F40" s="41">
        <v>164.53448499999999</v>
      </c>
      <c r="G40" s="60">
        <f t="shared" si="2"/>
        <v>0.16517355418335283</v>
      </c>
      <c r="H40" s="3"/>
    </row>
    <row r="41" spans="1:8" x14ac:dyDescent="0.2">
      <c r="A41" s="57">
        <v>44197</v>
      </c>
      <c r="B41" s="41">
        <v>3793.74842105263</v>
      </c>
      <c r="C41" s="58">
        <f t="shared" si="0"/>
        <v>2.663874507216716E-2</v>
      </c>
      <c r="D41" s="41">
        <v>50.57864</v>
      </c>
      <c r="E41" s="59">
        <f t="shared" si="1"/>
        <v>-2.8280506496565258E-2</v>
      </c>
      <c r="F41" s="41">
        <v>202.666641</v>
      </c>
      <c r="G41" s="60">
        <f t="shared" si="2"/>
        <v>0.23175783483930443</v>
      </c>
      <c r="H41" s="3"/>
    </row>
    <row r="42" spans="1:8" x14ac:dyDescent="0.2">
      <c r="A42" s="57">
        <v>44228</v>
      </c>
      <c r="B42" s="41">
        <v>3883.4321052631499</v>
      </c>
      <c r="C42" s="58">
        <f t="shared" si="0"/>
        <v>2.3639860701579123E-2</v>
      </c>
      <c r="D42" s="41">
        <v>60.568756</v>
      </c>
      <c r="E42" s="59">
        <f t="shared" si="1"/>
        <v>0.19751650103680132</v>
      </c>
      <c r="F42" s="41">
        <v>199.66519199999999</v>
      </c>
      <c r="G42" s="60">
        <f t="shared" si="2"/>
        <v>-1.4809783125581127E-2</v>
      </c>
      <c r="H42" s="3"/>
    </row>
    <row r="43" spans="1:8" x14ac:dyDescent="0.2">
      <c r="A43" s="57">
        <v>44256</v>
      </c>
      <c r="B43" s="41">
        <v>3910.5082608695602</v>
      </c>
      <c r="C43" s="58">
        <f t="shared" si="0"/>
        <v>6.972223248016743E-3</v>
      </c>
      <c r="D43" s="41">
        <v>64.171584999999993</v>
      </c>
      <c r="E43" s="59">
        <f t="shared" si="1"/>
        <v>5.9483292012799352E-2</v>
      </c>
      <c r="F43" s="41">
        <v>182.816284</v>
      </c>
      <c r="G43" s="60">
        <f t="shared" si="2"/>
        <v>-8.4385805213359352E-2</v>
      </c>
      <c r="H43" s="3"/>
    </row>
    <row r="44" spans="1:8" x14ac:dyDescent="0.2">
      <c r="A44" s="57">
        <v>44287</v>
      </c>
      <c r="B44" s="41">
        <v>4141.1761904761897</v>
      </c>
      <c r="C44" s="58">
        <f t="shared" si="0"/>
        <v>5.8986687719037582E-2</v>
      </c>
      <c r="D44" s="41">
        <v>69.310828999999998</v>
      </c>
      <c r="E44" s="59">
        <f t="shared" si="1"/>
        <v>8.0085975747677188E-2</v>
      </c>
      <c r="F44" s="41">
        <v>178.85307299999999</v>
      </c>
      <c r="G44" s="60">
        <f t="shared" si="2"/>
        <v>-2.1678654183781579E-2</v>
      </c>
      <c r="H44" s="3"/>
    </row>
    <row r="45" spans="1:8" x14ac:dyDescent="0.2">
      <c r="A45" s="57">
        <v>44317</v>
      </c>
      <c r="B45" s="41">
        <v>4167.8495000000003</v>
      </c>
      <c r="C45" s="58">
        <f t="shared" si="0"/>
        <v>6.4409984740937554E-3</v>
      </c>
      <c r="D45" s="41">
        <v>72.707458000000003</v>
      </c>
      <c r="E45" s="59">
        <f t="shared" si="1"/>
        <v>4.9005747716565393E-2</v>
      </c>
      <c r="F45" s="41">
        <v>195.459396</v>
      </c>
      <c r="G45" s="60">
        <f t="shared" si="2"/>
        <v>9.2848966592818924E-2</v>
      </c>
      <c r="H45" s="3"/>
    </row>
    <row r="46" spans="1:8" x14ac:dyDescent="0.2">
      <c r="A46" s="57">
        <v>44348</v>
      </c>
      <c r="B46" s="41">
        <v>4238.4895454545403</v>
      </c>
      <c r="C46" s="58">
        <f t="shared" si="0"/>
        <v>1.6948799483892132E-2</v>
      </c>
      <c r="D46" s="41">
        <v>71.870697000000007</v>
      </c>
      <c r="E46" s="59">
        <f t="shared" si="1"/>
        <v>-1.150859929664981E-2</v>
      </c>
      <c r="F46" s="41">
        <v>225.59368900000001</v>
      </c>
      <c r="G46" s="60">
        <f t="shared" si="2"/>
        <v>0.15417162652032351</v>
      </c>
      <c r="H46" s="3"/>
    </row>
    <row r="47" spans="1:8" x14ac:dyDescent="0.2">
      <c r="A47" s="57">
        <v>44378</v>
      </c>
      <c r="B47" s="41">
        <v>4363.7128571428502</v>
      </c>
      <c r="C47" s="58">
        <f t="shared" si="0"/>
        <v>2.954432477546215E-2</v>
      </c>
      <c r="D47" s="41">
        <v>67.073402000000002</v>
      </c>
      <c r="E47" s="59">
        <f t="shared" si="1"/>
        <v>-6.6748970028772711E-2</v>
      </c>
      <c r="F47" s="41">
        <v>239.33454900000001</v>
      </c>
      <c r="G47" s="60">
        <f t="shared" si="2"/>
        <v>6.0909771283539749E-2</v>
      </c>
      <c r="H47" s="3"/>
    </row>
    <row r="48" spans="1:8" x14ac:dyDescent="0.2">
      <c r="A48" s="57">
        <v>44409</v>
      </c>
      <c r="B48" s="41">
        <v>4454.20636363636</v>
      </c>
      <c r="C48" s="58">
        <f t="shared" si="0"/>
        <v>2.0737731710596698E-2</v>
      </c>
      <c r="D48" s="41">
        <v>71.910186999999993</v>
      </c>
      <c r="E48" s="59">
        <f t="shared" si="1"/>
        <v>7.2111818631176508E-2</v>
      </c>
      <c r="F48" s="41">
        <v>253.87153599999999</v>
      </c>
      <c r="G48" s="60">
        <f t="shared" si="2"/>
        <v>6.0739191482128981E-2</v>
      </c>
      <c r="H48" s="3"/>
    </row>
    <row r="49" spans="1:9" x14ac:dyDescent="0.2">
      <c r="A49" s="57">
        <v>44440</v>
      </c>
      <c r="B49" s="41">
        <v>4445.5433333333303</v>
      </c>
      <c r="C49" s="58">
        <f t="shared" si="0"/>
        <v>-1.9449099560706719E-3</v>
      </c>
      <c r="D49" s="41">
        <v>72.073729999999998</v>
      </c>
      <c r="E49" s="59">
        <f t="shared" si="1"/>
        <v>2.2742674831314823E-3</v>
      </c>
      <c r="F49" s="41">
        <v>227.83078</v>
      </c>
      <c r="G49" s="60">
        <f t="shared" si="2"/>
        <v>-0.10257453990430809</v>
      </c>
      <c r="H49" s="3"/>
    </row>
    <row r="50" spans="1:9" x14ac:dyDescent="0.2">
      <c r="A50" s="57">
        <v>44470</v>
      </c>
      <c r="B50" s="41">
        <v>4460.7071428571398</v>
      </c>
      <c r="C50" s="58">
        <f t="shared" si="0"/>
        <v>3.4110137697025821E-3</v>
      </c>
      <c r="D50" s="41">
        <v>81.167061000000004</v>
      </c>
      <c r="E50" s="59">
        <f t="shared" si="1"/>
        <v>0.12616706530937147</v>
      </c>
      <c r="F50" s="41">
        <v>251.210419</v>
      </c>
      <c r="G50" s="60">
        <f t="shared" si="2"/>
        <v>0.10261843900108666</v>
      </c>
      <c r="H50" s="3"/>
    </row>
    <row r="51" spans="1:9" x14ac:dyDescent="0.2">
      <c r="A51" s="57">
        <v>44501</v>
      </c>
      <c r="B51" s="41">
        <v>4667.3866666666599</v>
      </c>
      <c r="C51" s="58">
        <f t="shared" si="0"/>
        <v>4.6333354150019192E-2</v>
      </c>
      <c r="D51" s="41">
        <v>76.575873999999999</v>
      </c>
      <c r="E51" s="59">
        <f t="shared" si="1"/>
        <v>-5.6564657429200312E-2</v>
      </c>
      <c r="F51" s="41">
        <v>244.58407600000001</v>
      </c>
      <c r="G51" s="60">
        <f t="shared" si="2"/>
        <v>-2.6377659917043453E-2</v>
      </c>
      <c r="H51" s="3"/>
    </row>
    <row r="52" spans="1:9" x14ac:dyDescent="0.2">
      <c r="A52" s="57">
        <v>44531</v>
      </c>
      <c r="B52" s="41">
        <v>4674.7727272727197</v>
      </c>
      <c r="C52" s="58">
        <f t="shared" si="0"/>
        <v>1.5824831181888675E-3</v>
      </c>
      <c r="D52" s="41">
        <v>83.401122999999998</v>
      </c>
      <c r="E52" s="59">
        <f t="shared" si="1"/>
        <v>8.9130539992269622E-2</v>
      </c>
      <c r="F52" s="41">
        <v>273.25585899999999</v>
      </c>
      <c r="G52" s="60">
        <f t="shared" si="2"/>
        <v>0.11722669549427239</v>
      </c>
      <c r="H52" s="3"/>
    </row>
    <row r="53" spans="1:9" x14ac:dyDescent="0.2">
      <c r="A53" s="57">
        <v>44562</v>
      </c>
      <c r="B53" s="41">
        <v>4573.8154999999997</v>
      </c>
      <c r="C53" s="58">
        <f t="shared" si="0"/>
        <v>-2.1596178715541297E-2</v>
      </c>
      <c r="D53" s="41">
        <v>86.971214000000003</v>
      </c>
      <c r="E53" s="59">
        <f t="shared" si="1"/>
        <v>4.2806270126602555E-2</v>
      </c>
      <c r="F53" s="41">
        <v>242.75666799999999</v>
      </c>
      <c r="G53" s="60">
        <f t="shared" si="2"/>
        <v>-0.11161404228115744</v>
      </c>
      <c r="H53" s="3"/>
    </row>
    <row r="54" spans="1:9" x14ac:dyDescent="0.2">
      <c r="A54" s="57">
        <v>44593</v>
      </c>
      <c r="B54" s="41">
        <v>4435.9805263157796</v>
      </c>
      <c r="C54" s="58">
        <f t="shared" si="0"/>
        <v>-3.0135665438236443E-2</v>
      </c>
      <c r="D54" s="41">
        <v>83.758133000000001</v>
      </c>
      <c r="E54" s="59">
        <f t="shared" si="1"/>
        <v>-3.694418937281941E-2</v>
      </c>
      <c r="F54" s="41">
        <v>247.267731</v>
      </c>
      <c r="G54" s="60">
        <f t="shared" si="2"/>
        <v>1.858265330944486E-2</v>
      </c>
      <c r="H54" s="3"/>
    </row>
    <row r="55" spans="1:9" x14ac:dyDescent="0.2">
      <c r="A55" s="57">
        <v>44621</v>
      </c>
      <c r="B55" s="41">
        <v>4391.2652173913002</v>
      </c>
      <c r="C55" s="58">
        <f t="shared" si="0"/>
        <v>-1.0080140942732411E-2</v>
      </c>
      <c r="D55" s="41">
        <v>83.786674000000005</v>
      </c>
      <c r="E55" s="59">
        <f t="shared" si="1"/>
        <v>3.4075496883394175E-4</v>
      </c>
      <c r="F55" s="41">
        <v>284.47949199999999</v>
      </c>
      <c r="G55" s="60">
        <f t="shared" si="2"/>
        <v>0.15049178010211126</v>
      </c>
      <c r="H55" s="3"/>
    </row>
    <row r="56" spans="1:9" x14ac:dyDescent="0.2">
      <c r="A56" s="57">
        <v>44652</v>
      </c>
      <c r="B56" s="41">
        <v>4391.2960000000003</v>
      </c>
      <c r="C56" s="58">
        <f t="shared" si="0"/>
        <v>7.0099634561247877E-6</v>
      </c>
      <c r="D56" s="41">
        <v>65.918282000000005</v>
      </c>
      <c r="E56" s="59">
        <f t="shared" si="1"/>
        <v>-0.21326054785275281</v>
      </c>
      <c r="F56" s="41">
        <v>290.20147700000001</v>
      </c>
      <c r="G56" s="60">
        <f t="shared" si="2"/>
        <v>2.011387520334864E-2</v>
      </c>
      <c r="H56" s="3"/>
    </row>
    <row r="57" spans="1:9" x14ac:dyDescent="0.2">
      <c r="A57" s="57">
        <v>44682</v>
      </c>
      <c r="B57" s="41">
        <v>4040.36</v>
      </c>
      <c r="C57" s="58">
        <f t="shared" si="0"/>
        <v>-7.9916270731920633E-2</v>
      </c>
      <c r="D57" s="41">
        <v>69.664878999999999</v>
      </c>
      <c r="E57" s="59">
        <f t="shared" si="1"/>
        <v>5.6836994022386594E-2</v>
      </c>
      <c r="F57" s="41">
        <v>311.37081899999998</v>
      </c>
      <c r="G57" s="60">
        <f t="shared" si="2"/>
        <v>7.2947051196434715E-2</v>
      </c>
      <c r="H57" s="3"/>
    </row>
    <row r="58" spans="1:9" x14ac:dyDescent="0.2">
      <c r="A58" s="57">
        <v>44713</v>
      </c>
      <c r="B58" s="41">
        <v>3898.9466666666599</v>
      </c>
      <c r="C58" s="58">
        <f t="shared" si="0"/>
        <v>-3.5000181501980081E-2</v>
      </c>
      <c r="D58" s="41">
        <v>62.981262000000001</v>
      </c>
      <c r="E58" s="59">
        <f t="shared" si="1"/>
        <v>-9.5939547960745011E-2</v>
      </c>
      <c r="F58" s="41">
        <v>323.17495700000001</v>
      </c>
      <c r="G58" s="60">
        <f t="shared" si="2"/>
        <v>3.791022562072531E-2</v>
      </c>
    </row>
    <row r="59" spans="1:9" ht="17" thickBot="1" x14ac:dyDescent="0.25">
      <c r="A59" s="57">
        <v>44743</v>
      </c>
      <c r="B59" s="41">
        <v>3911.7294999999999</v>
      </c>
      <c r="C59" s="58">
        <f t="shared" si="0"/>
        <v>3.2785350573334452E-3</v>
      </c>
      <c r="D59" s="41">
        <v>68.832802000000001</v>
      </c>
      <c r="E59" s="59">
        <f t="shared" si="1"/>
        <v>9.2909221158509012E-2</v>
      </c>
      <c r="F59" s="41">
        <v>328.617188</v>
      </c>
      <c r="G59" s="60">
        <f t="shared" si="2"/>
        <v>1.6839890845873902E-2</v>
      </c>
      <c r="H59" s="78" t="s">
        <v>30</v>
      </c>
      <c r="I59" s="78"/>
    </row>
    <row r="60" spans="1:9" ht="17" thickTop="1" x14ac:dyDescent="0.2">
      <c r="A60" s="57">
        <v>44774</v>
      </c>
      <c r="B60" s="41">
        <v>4158.5630434782597</v>
      </c>
      <c r="C60" s="58">
        <f t="shared" si="0"/>
        <v>6.3100872255676121E-2</v>
      </c>
      <c r="D60" s="41">
        <v>70.726821999999999</v>
      </c>
      <c r="E60" s="59">
        <f t="shared" si="1"/>
        <v>2.7516241457088985E-2</v>
      </c>
      <c r="F60" s="41">
        <v>300.24981700000001</v>
      </c>
      <c r="G60" s="60">
        <f t="shared" si="2"/>
        <v>-8.6323454876620728E-2</v>
      </c>
      <c r="H60" t="s">
        <v>31</v>
      </c>
      <c r="I60" t="s">
        <v>32</v>
      </c>
    </row>
    <row r="61" spans="1:9" x14ac:dyDescent="0.2">
      <c r="A61" s="57">
        <v>44805</v>
      </c>
      <c r="B61" s="41">
        <v>3850.5204761904702</v>
      </c>
      <c r="C61" s="58">
        <f t="shared" si="0"/>
        <v>-7.4074280963681141E-2</v>
      </c>
      <c r="D61" s="41">
        <v>71.870002999999997</v>
      </c>
      <c r="E61" s="59">
        <f t="shared" si="1"/>
        <v>1.6163330511301616E-2</v>
      </c>
      <c r="F61" s="41">
        <v>323.35000600000001</v>
      </c>
      <c r="G61" s="60">
        <f t="shared" si="2"/>
        <v>7.6936563128696261E-2</v>
      </c>
      <c r="H61" s="9">
        <v>5.5300000000000002E-2</v>
      </c>
      <c r="I61" s="10">
        <v>7.6810000000000003E-2</v>
      </c>
    </row>
    <row r="62" spans="1:9" x14ac:dyDescent="0.2">
      <c r="A62" s="90" t="s">
        <v>33</v>
      </c>
      <c r="H62" t="s">
        <v>34</v>
      </c>
      <c r="I62" t="s">
        <v>35</v>
      </c>
    </row>
    <row r="63" spans="1:9" x14ac:dyDescent="0.2">
      <c r="A63" t="s">
        <v>36</v>
      </c>
      <c r="C63" s="5">
        <f>AVERAGE(C4:C61)</f>
        <v>7.7506163467078145E-3</v>
      </c>
      <c r="E63" s="59">
        <f>AVERAGE(E4:E61)</f>
        <v>1.1406141664225648E-2</v>
      </c>
      <c r="G63" s="59">
        <f>AVERAGE(G3:G61)</f>
        <v>2.7959158321580812E-2</v>
      </c>
      <c r="H63" s="1">
        <f>I61-H61</f>
        <v>2.1510000000000001E-2</v>
      </c>
      <c r="I63" s="4">
        <v>4.4200000000000003E-2</v>
      </c>
    </row>
    <row r="64" spans="1:9" x14ac:dyDescent="0.2">
      <c r="A64" t="s">
        <v>37</v>
      </c>
      <c r="C64" s="4">
        <f>STDEV(C4:C61)</f>
        <v>4.194131338468824E-2</v>
      </c>
      <c r="E64" s="59">
        <f>STDEV(E4:E61)</f>
        <v>8.5842688905213793E-2</v>
      </c>
      <c r="G64" s="60">
        <f>STDEV(G4:G61)</f>
        <v>7.6994623129204812E-2</v>
      </c>
    </row>
    <row r="65" spans="1:7" x14ac:dyDescent="0.2">
      <c r="A65" t="s">
        <v>38</v>
      </c>
      <c r="C65" s="6">
        <f>C64/C63</f>
        <v>5.4113520149276146</v>
      </c>
      <c r="E65" s="61">
        <f>E64/E63</f>
        <v>7.5260058512557118</v>
      </c>
      <c r="F65" s="6"/>
      <c r="G65" s="61">
        <f>G64/G63</f>
        <v>2.7538247841235992</v>
      </c>
    </row>
    <row r="66" spans="1:7" x14ac:dyDescent="0.2">
      <c r="A66" t="s">
        <v>39</v>
      </c>
      <c r="C66" s="7">
        <f>CORREL($C$4:$C$61,C4:C61)</f>
        <v>1.0000000000000002</v>
      </c>
      <c r="D66" s="7"/>
      <c r="E66" s="62">
        <f>CORREL($C$4:$C$61,E4:E61)</f>
        <v>0.37299671889003888</v>
      </c>
      <c r="F66" s="8"/>
      <c r="G66" s="62">
        <f>CORREL($C$4:$C$61,G4:G61)</f>
        <v>-9.9307885750731045E-2</v>
      </c>
    </row>
    <row r="67" spans="1:7" x14ac:dyDescent="0.2">
      <c r="A67" t="s">
        <v>40</v>
      </c>
      <c r="E67" s="62"/>
      <c r="G67" s="62">
        <f>CORREL(E4:E61,G4:G61)</f>
        <v>-1.2069468747942706E-2</v>
      </c>
    </row>
    <row r="68" spans="1:7" x14ac:dyDescent="0.2">
      <c r="A68" t="s">
        <v>41</v>
      </c>
      <c r="C68">
        <f>(C64/$C$64)*C66</f>
        <v>1.0000000000000002</v>
      </c>
      <c r="E68" s="63">
        <f>(E64/$C$64)*E66</f>
        <v>0.76342486008157451</v>
      </c>
      <c r="F68" s="42"/>
      <c r="G68" s="63">
        <f>(G64/$C$64)*G66</f>
        <v>-0.18230648065320476</v>
      </c>
    </row>
    <row r="69" spans="1:7" x14ac:dyDescent="0.2">
      <c r="A69" t="s">
        <v>42</v>
      </c>
      <c r="C69" s="1">
        <f>$H$63+($C$63-$H$63)*C68</f>
        <v>7.7506163467078101E-3</v>
      </c>
      <c r="D69" s="1"/>
      <c r="E69" s="59">
        <f>$H$63+($I$63)*E68</f>
        <v>5.5253378815605596E-2</v>
      </c>
      <c r="F69" s="59"/>
      <c r="G69" s="59">
        <f t="shared" ref="G69" si="3">$H$63+($I$63)*G68</f>
        <v>1.345205355512835E-2</v>
      </c>
    </row>
    <row r="70" spans="1:7" x14ac:dyDescent="0.2">
      <c r="A70" t="s">
        <v>43</v>
      </c>
      <c r="E70" s="91" t="str">
        <f>IF(E63&gt;E69,"Buy","Don't Buy")</f>
        <v>Don't Buy</v>
      </c>
      <c r="F70" s="1"/>
      <c r="G70" s="91" t="str">
        <f>IF(G63&gt;G69,"Buy","Don't Buy")</f>
        <v>Buy</v>
      </c>
    </row>
    <row r="71" spans="1:7" x14ac:dyDescent="0.2">
      <c r="A71" s="41" t="s">
        <v>44</v>
      </c>
      <c r="B71" s="41"/>
      <c r="C71" s="41"/>
      <c r="D71" s="41"/>
      <c r="E71" s="59" t="s">
        <v>45</v>
      </c>
      <c r="F71" s="59"/>
      <c r="G71" s="59" t="s">
        <v>46</v>
      </c>
    </row>
    <row r="72" spans="1:7" x14ac:dyDescent="0.2">
      <c r="A72" s="41" t="s">
        <v>47</v>
      </c>
      <c r="B72" s="41"/>
      <c r="C72" s="41"/>
      <c r="D72" s="41"/>
      <c r="E72" s="92">
        <v>0.2</v>
      </c>
      <c r="F72" s="41"/>
      <c r="G72" s="92">
        <f>1-E72</f>
        <v>0.8</v>
      </c>
    </row>
    <row r="73" spans="1:7" x14ac:dyDescent="0.2">
      <c r="A73" t="s">
        <v>48</v>
      </c>
    </row>
    <row r="74" spans="1:7" x14ac:dyDescent="0.2">
      <c r="A74" s="41" t="s">
        <v>37</v>
      </c>
      <c r="B74" s="41"/>
      <c r="C74" s="41"/>
      <c r="D74" s="41"/>
      <c r="E74" s="59">
        <f>SQRT(E64^2*(E72)^2+G64^2*(G72)^2+2*E72*G72*E64*G64*G67)</f>
        <v>6.3743718453558987E-2</v>
      </c>
    </row>
    <row r="75" spans="1:7" x14ac:dyDescent="0.2">
      <c r="A75" s="41" t="s">
        <v>38</v>
      </c>
      <c r="B75" s="41"/>
      <c r="C75" s="41"/>
      <c r="D75" s="41"/>
      <c r="E75" s="93">
        <f>E74/E77</f>
        <v>2.5861036672996089</v>
      </c>
    </row>
    <row r="76" spans="1:7" x14ac:dyDescent="0.2">
      <c r="A76" s="41" t="s">
        <v>41</v>
      </c>
      <c r="B76" s="41"/>
      <c r="C76" s="41"/>
      <c r="D76" s="41"/>
      <c r="E76" s="62">
        <f>E72*E68+G72*G68</f>
        <v>6.8397874937511094E-3</v>
      </c>
    </row>
    <row r="77" spans="1:7" x14ac:dyDescent="0.2">
      <c r="A77" s="41" t="s">
        <v>49</v>
      </c>
      <c r="B77" s="41"/>
      <c r="C77" s="41"/>
      <c r="D77" s="41"/>
      <c r="E77" s="59">
        <f>E63*E72+G63*G72</f>
        <v>2.4648554990109782E-2</v>
      </c>
    </row>
    <row r="78" spans="1:7" x14ac:dyDescent="0.2">
      <c r="A78" s="41" t="s">
        <v>42</v>
      </c>
      <c r="B78" s="41"/>
      <c r="C78" s="41"/>
      <c r="D78" s="41"/>
      <c r="E78" s="91">
        <f>H63+(I63)*E76</f>
        <v>2.18123186072238E-2</v>
      </c>
    </row>
    <row r="79" spans="1:7" x14ac:dyDescent="0.2">
      <c r="E79" s="94" t="str">
        <f>IF(E77&gt;E78,"Buy","Don't Buy")</f>
        <v>Buy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49FE-09E3-C945-A4D9-06C0F791B78B}">
  <dimension ref="A1:E14"/>
  <sheetViews>
    <sheetView workbookViewId="0">
      <selection activeCell="B9" sqref="B9"/>
    </sheetView>
  </sheetViews>
  <sheetFormatPr baseColWidth="10" defaultColWidth="10.83203125" defaultRowHeight="16" x14ac:dyDescent="0.2"/>
  <cols>
    <col min="1" max="1" width="27.83203125" bestFit="1" customWidth="1"/>
    <col min="2" max="2" width="14" bestFit="1" customWidth="1"/>
    <col min="3" max="3" width="8.33203125" hidden="1" customWidth="1"/>
    <col min="4" max="4" width="10.5" bestFit="1" customWidth="1"/>
  </cols>
  <sheetData>
    <row r="1" spans="1:5" x14ac:dyDescent="0.2">
      <c r="A1" s="18"/>
      <c r="B1" s="18"/>
      <c r="C1" s="18"/>
      <c r="D1" s="18"/>
      <c r="E1" s="18"/>
    </row>
    <row r="2" spans="1:5" x14ac:dyDescent="0.2">
      <c r="A2" s="32" t="s">
        <v>50</v>
      </c>
      <c r="B2" s="19" t="s">
        <v>51</v>
      </c>
      <c r="C2" s="19"/>
      <c r="D2" s="19" t="s">
        <v>52</v>
      </c>
      <c r="E2" s="18"/>
    </row>
    <row r="3" spans="1:5" x14ac:dyDescent="0.2">
      <c r="A3" s="32" t="s">
        <v>53</v>
      </c>
      <c r="B3" s="19" t="s">
        <v>45</v>
      </c>
      <c r="C3" s="19"/>
      <c r="D3" s="19" t="s">
        <v>46</v>
      </c>
      <c r="E3" s="18"/>
    </row>
    <row r="4" spans="1:5" x14ac:dyDescent="0.2">
      <c r="A4" s="32" t="s">
        <v>54</v>
      </c>
      <c r="B4" s="29">
        <v>0.84</v>
      </c>
      <c r="C4" s="19"/>
      <c r="D4" s="27">
        <v>3.92</v>
      </c>
      <c r="E4" s="18"/>
    </row>
    <row r="5" spans="1:5" x14ac:dyDescent="0.2">
      <c r="A5" s="32" t="s">
        <v>55</v>
      </c>
      <c r="B5" s="27">
        <v>0.88</v>
      </c>
      <c r="C5" s="19"/>
      <c r="D5" s="27">
        <v>3.92</v>
      </c>
      <c r="E5" s="18"/>
    </row>
    <row r="6" spans="1:5" x14ac:dyDescent="0.2">
      <c r="A6" s="32" t="s">
        <v>56</v>
      </c>
      <c r="B6" s="30">
        <f>(B5-B4)/B4</f>
        <v>4.7619047619047665E-2</v>
      </c>
      <c r="C6" s="19"/>
      <c r="D6" s="19">
        <f>(D5-D4)/D4</f>
        <v>0</v>
      </c>
      <c r="E6" s="18"/>
    </row>
    <row r="7" spans="1:5" x14ac:dyDescent="0.2">
      <c r="A7" s="32" t="s">
        <v>42</v>
      </c>
      <c r="B7" s="30">
        <f>('1_Risk-Return Analysis'!E69)</f>
        <v>5.5253378815605596E-2</v>
      </c>
      <c r="C7" s="19"/>
      <c r="D7" s="30">
        <f>'1_Risk-Return Analysis'!G69</f>
        <v>1.345205355512835E-2</v>
      </c>
      <c r="E7" s="18"/>
    </row>
    <row r="8" spans="1:5" x14ac:dyDescent="0.2">
      <c r="A8" s="32" t="s">
        <v>49</v>
      </c>
      <c r="B8" s="30">
        <f>(B5/B10)+B6</f>
        <v>5.986337714829508E-2</v>
      </c>
      <c r="C8" s="30" t="e">
        <f t="shared" ref="C8:D8" si="0">(C5/C10)+C6</f>
        <v>#DIV/0!</v>
      </c>
      <c r="D8" s="30">
        <f t="shared" si="0"/>
        <v>1.2123086213890468E-2</v>
      </c>
      <c r="E8" s="18"/>
    </row>
    <row r="9" spans="1:5" x14ac:dyDescent="0.2">
      <c r="A9" s="32" t="s">
        <v>57</v>
      </c>
      <c r="B9" s="27">
        <f>(B5/(B7-B6))</f>
        <v>115.26877434879471</v>
      </c>
      <c r="C9" s="27"/>
      <c r="D9" s="27">
        <f>D5/(D7-D6)</f>
        <v>291.40532216403284</v>
      </c>
      <c r="E9" s="18"/>
    </row>
    <row r="10" spans="1:5" x14ac:dyDescent="0.2">
      <c r="A10" s="32" t="s">
        <v>58</v>
      </c>
      <c r="B10" s="29">
        <f>'1_Risk-Return Analysis'!D61</f>
        <v>71.870002999999997</v>
      </c>
      <c r="C10" s="19"/>
      <c r="D10" s="27">
        <f>'1_Risk-Return Analysis'!F61</f>
        <v>323.35000600000001</v>
      </c>
      <c r="E10" s="18"/>
    </row>
    <row r="11" spans="1:5" x14ac:dyDescent="0.2">
      <c r="A11" s="32" t="s">
        <v>43</v>
      </c>
      <c r="B11" s="19" t="str">
        <f>IF(B9&gt;B10, "Buy", "Don't Buy")</f>
        <v>Buy</v>
      </c>
      <c r="C11" s="19"/>
      <c r="D11" s="19" t="str">
        <f t="shared" ref="D11" si="1">IF(D9&gt;D10, "Buy", "Don't Buy")</f>
        <v>Don't Buy</v>
      </c>
      <c r="E11" s="18"/>
    </row>
    <row r="12" spans="1:5" x14ac:dyDescent="0.2">
      <c r="A12" s="32" t="s">
        <v>59</v>
      </c>
      <c r="B12" s="31">
        <f>(B10-B9)/B9</f>
        <v>-0.37650067500044088</v>
      </c>
      <c r="C12" s="31"/>
      <c r="D12" s="31">
        <f>(D10-D9)/D10</f>
        <v>9.8792896994618171E-2</v>
      </c>
      <c r="E12" s="18"/>
    </row>
    <row r="13" spans="1:5" x14ac:dyDescent="0.2">
      <c r="A13" s="18"/>
      <c r="B13" s="18"/>
      <c r="C13" s="18"/>
      <c r="D13" s="18"/>
      <c r="E13" s="18"/>
    </row>
    <row r="14" spans="1:5" x14ac:dyDescent="0.2">
      <c r="A14" s="18"/>
      <c r="B14" s="18"/>
      <c r="C14" s="18"/>
      <c r="D14" s="18"/>
      <c r="E1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F5D0-D924-AF45-B962-6259FF4D1BD3}">
  <dimension ref="A1:R201"/>
  <sheetViews>
    <sheetView tabSelected="1" workbookViewId="0">
      <selection activeCell="E15" sqref="E15"/>
    </sheetView>
  </sheetViews>
  <sheetFormatPr baseColWidth="10" defaultColWidth="10.83203125" defaultRowHeight="16" x14ac:dyDescent="0.2"/>
  <cols>
    <col min="1" max="1" width="10.83203125" style="18"/>
    <col min="3" max="3" width="11.5" style="18" hidden="1" customWidth="1"/>
    <col min="4" max="4" width="11.5" style="18" customWidth="1"/>
    <col min="5" max="6" width="14" style="18" customWidth="1"/>
    <col min="7" max="7" width="18.6640625" style="18" bestFit="1" customWidth="1"/>
    <col min="8" max="8" width="18.6640625" style="18" customWidth="1"/>
    <col min="9" max="9" width="12.5" style="18" bestFit="1" customWidth="1"/>
    <col min="10" max="10" width="7.6640625" style="18" hidden="1" customWidth="1"/>
    <col min="11" max="11" width="18.1640625" style="18" bestFit="1" customWidth="1"/>
    <col min="12" max="12" width="16.1640625" style="18" customWidth="1"/>
    <col min="13" max="13" width="18.1640625" customWidth="1"/>
    <col min="14" max="14" width="11.83203125" bestFit="1" customWidth="1"/>
    <col min="15" max="15" width="18.5" hidden="1" customWidth="1"/>
    <col min="16" max="16" width="14.5" style="18" bestFit="1" customWidth="1"/>
    <col min="17" max="17" width="11" bestFit="1" customWidth="1"/>
  </cols>
  <sheetData>
    <row r="1" spans="1:18" x14ac:dyDescent="0.2">
      <c r="B1" s="36"/>
      <c r="C1" s="37"/>
      <c r="D1" s="37"/>
      <c r="E1" s="37"/>
      <c r="F1" s="37"/>
      <c r="G1" s="37"/>
      <c r="H1" s="37"/>
      <c r="I1" s="38"/>
      <c r="J1" s="37"/>
      <c r="K1" s="39"/>
      <c r="L1" s="39"/>
      <c r="M1" s="39"/>
      <c r="N1" s="40"/>
      <c r="O1" s="40"/>
      <c r="Q1" s="4"/>
    </row>
    <row r="2" spans="1:18" x14ac:dyDescent="0.2">
      <c r="B2" s="33" t="s">
        <v>60</v>
      </c>
      <c r="F2" s="34" t="s">
        <v>51</v>
      </c>
      <c r="G2" s="37"/>
      <c r="H2" s="37"/>
      <c r="I2" s="38"/>
      <c r="J2" s="37"/>
      <c r="K2" s="39"/>
      <c r="L2" s="39"/>
      <c r="M2" s="39"/>
      <c r="N2" s="40"/>
      <c r="O2" s="40"/>
      <c r="Q2" s="4"/>
    </row>
    <row r="3" spans="1:18" x14ac:dyDescent="0.2">
      <c r="A3" s="19" t="s">
        <v>61</v>
      </c>
      <c r="B3" s="28" t="s">
        <v>62</v>
      </c>
      <c r="C3" s="19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27" t="s">
        <v>71</v>
      </c>
      <c r="L3" s="27" t="s">
        <v>72</v>
      </c>
      <c r="M3" s="27" t="s">
        <v>73</v>
      </c>
      <c r="N3" s="10" t="s">
        <v>74</v>
      </c>
      <c r="O3" s="10" t="s">
        <v>75</v>
      </c>
      <c r="P3" s="19" t="s">
        <v>76</v>
      </c>
    </row>
    <row r="4" spans="1:18" x14ac:dyDescent="0.2">
      <c r="A4" s="19">
        <f>COUNT($C4:C$30)</f>
        <v>27</v>
      </c>
      <c r="B4" s="28">
        <v>1000</v>
      </c>
      <c r="C4" s="19">
        <v>2.4500000000000002</v>
      </c>
      <c r="D4" s="19" t="s">
        <v>77</v>
      </c>
      <c r="E4" s="28">
        <v>1000</v>
      </c>
      <c r="F4" s="10">
        <f t="shared" ref="F4:F30" si="0">C4/100</f>
        <v>2.4500000000000001E-2</v>
      </c>
      <c r="G4" s="83">
        <f ca="1">DATEDIF(TODAY(),H4,"Y")*2+1</f>
        <v>7</v>
      </c>
      <c r="H4" s="88">
        <v>46421</v>
      </c>
      <c r="I4" s="24">
        <v>46449</v>
      </c>
      <c r="J4" s="11">
        <v>5.1879999999999997</v>
      </c>
      <c r="K4" s="27">
        <f t="shared" ref="K4:K30" si="1">(F4)*B4/2</f>
        <v>12.25</v>
      </c>
      <c r="L4" s="27">
        <f>O4*10</f>
        <v>894.80000000000007</v>
      </c>
      <c r="M4" s="27">
        <f ca="1">-PV(N4/2,G4,K4,E4)</f>
        <v>913.38698984338373</v>
      </c>
      <c r="N4" s="10">
        <f t="shared" ref="N4:N30" si="2">J4/100</f>
        <v>5.1879999999999996E-2</v>
      </c>
      <c r="O4" s="11">
        <v>89.48</v>
      </c>
      <c r="P4" s="19" t="str">
        <f ca="1">IF(M4&lt;L4, "Sell", IF(M4=L4, "Hold", "Buy"))</f>
        <v>Buy</v>
      </c>
    </row>
    <row r="5" spans="1:18" x14ac:dyDescent="0.2">
      <c r="A5" s="19">
        <f>COUNT($C5:C$30)</f>
        <v>26</v>
      </c>
      <c r="B5" s="28">
        <v>1000</v>
      </c>
      <c r="C5" s="26">
        <v>2.9</v>
      </c>
      <c r="D5" s="19" t="s">
        <v>77</v>
      </c>
      <c r="E5" s="28">
        <v>1000</v>
      </c>
      <c r="F5" s="10">
        <f t="shared" si="0"/>
        <v>2.8999999999999998E-2</v>
      </c>
      <c r="G5" s="83">
        <f t="shared" ref="G5:G49" ca="1" si="3">DATEDIF(TODAY(),H5,"Y")*2+1</f>
        <v>15</v>
      </c>
      <c r="H5" s="88">
        <v>48185</v>
      </c>
      <c r="I5" s="25">
        <v>48276</v>
      </c>
      <c r="J5" s="11">
        <v>5.4020000000000001</v>
      </c>
      <c r="K5" s="27">
        <f t="shared" si="1"/>
        <v>14.499999999999998</v>
      </c>
      <c r="L5" s="27">
        <f t="shared" ref="L5:L49" si="4">O5*10</f>
        <v>818.34999999999991</v>
      </c>
      <c r="M5" s="27">
        <f ca="1">-PV(N5/2,G5,K5,E5)</f>
        <v>847.37469841224447</v>
      </c>
      <c r="N5" s="10">
        <f t="shared" si="2"/>
        <v>5.4019999999999999E-2</v>
      </c>
      <c r="O5" s="87">
        <v>81.834999999999994</v>
      </c>
      <c r="P5" s="19" t="str">
        <f t="shared" ref="P5:P49" ca="1" si="5">IF(M5&lt;L5, "Sell", IF(M5=L5, "Hold", "Buy"))</f>
        <v>Buy</v>
      </c>
    </row>
    <row r="6" spans="1:18" x14ac:dyDescent="0.2">
      <c r="A6" s="19">
        <f>COUNT($C6:C$30)</f>
        <v>25</v>
      </c>
      <c r="B6" s="28">
        <v>1000</v>
      </c>
      <c r="C6" s="19">
        <v>7.6020000000000003</v>
      </c>
      <c r="D6" s="19" t="s">
        <v>78</v>
      </c>
      <c r="E6" s="28" t="s">
        <v>79</v>
      </c>
      <c r="F6" s="10">
        <f t="shared" si="0"/>
        <v>7.6020000000000004E-2</v>
      </c>
      <c r="G6" s="83" t="s">
        <v>79</v>
      </c>
      <c r="H6" s="88" t="s">
        <v>79</v>
      </c>
      <c r="I6" s="25" t="s">
        <v>79</v>
      </c>
      <c r="J6" s="26">
        <v>7.6020000000000003</v>
      </c>
      <c r="K6" s="27">
        <f t="shared" si="1"/>
        <v>38.010000000000005</v>
      </c>
      <c r="L6" s="27">
        <f t="shared" si="4"/>
        <v>1000</v>
      </c>
      <c r="M6" s="27">
        <f>K6/(N6/2)</f>
        <v>1000.0000000000001</v>
      </c>
      <c r="N6" s="10">
        <f t="shared" si="2"/>
        <v>7.6020000000000004E-2</v>
      </c>
      <c r="O6" s="11">
        <v>100</v>
      </c>
      <c r="P6" s="19" t="str">
        <f t="shared" si="5"/>
        <v>Hold</v>
      </c>
      <c r="Q6" t="s">
        <v>80</v>
      </c>
    </row>
    <row r="7" spans="1:18" x14ac:dyDescent="0.2">
      <c r="A7" s="19">
        <f>COUNT($C7:C$30)</f>
        <v>24</v>
      </c>
      <c r="B7" s="28">
        <v>1000</v>
      </c>
      <c r="C7" s="26">
        <v>3</v>
      </c>
      <c r="D7" s="26" t="s">
        <v>77</v>
      </c>
      <c r="E7" s="28">
        <v>1000</v>
      </c>
      <c r="F7" s="10">
        <f t="shared" si="0"/>
        <v>0.03</v>
      </c>
      <c r="G7" s="83">
        <f t="shared" ca="1" si="3"/>
        <v>1</v>
      </c>
      <c r="H7" s="88">
        <v>45636</v>
      </c>
      <c r="I7" s="25">
        <v>45726</v>
      </c>
      <c r="J7" s="11">
        <v>5.0140000000000002</v>
      </c>
      <c r="K7" s="27">
        <f t="shared" si="1"/>
        <v>15</v>
      </c>
      <c r="L7" s="27">
        <f t="shared" si="4"/>
        <v>955.69</v>
      </c>
      <c r="M7" s="27">
        <f ca="1">-PV(N7/2,G7,K7,E7)</f>
        <v>990.17628064424878</v>
      </c>
      <c r="N7" s="10">
        <f t="shared" si="2"/>
        <v>5.0140000000000004E-2</v>
      </c>
      <c r="O7" s="87">
        <v>95.569000000000003</v>
      </c>
      <c r="P7" s="19" t="str">
        <f ca="1">IF(M7&lt;L7, "Sell", IF(M7=L7, "Hold", "Buy"))</f>
        <v>Buy</v>
      </c>
    </row>
    <row r="8" spans="1:18" x14ac:dyDescent="0.2">
      <c r="A8" s="19">
        <f>COUNT($C8:C$30)</f>
        <v>23</v>
      </c>
      <c r="B8" s="28">
        <v>1000</v>
      </c>
      <c r="C8" s="26">
        <v>3.45</v>
      </c>
      <c r="D8" s="26" t="s">
        <v>77</v>
      </c>
      <c r="E8" s="28">
        <v>1000</v>
      </c>
      <c r="F8" s="10">
        <f t="shared" si="0"/>
        <v>3.4500000000000003E-2</v>
      </c>
      <c r="G8" s="83">
        <f t="shared" ca="1" si="3"/>
        <v>3</v>
      </c>
      <c r="H8" s="88">
        <v>45974</v>
      </c>
      <c r="I8" s="25">
        <v>46066</v>
      </c>
      <c r="J8" s="11">
        <v>4.7380000000000004</v>
      </c>
      <c r="K8" s="27">
        <f t="shared" si="1"/>
        <v>17.25</v>
      </c>
      <c r="L8" s="27">
        <f t="shared" si="4"/>
        <v>961.20999999999992</v>
      </c>
      <c r="M8" s="27">
        <f ca="1">-PV(N8/2,G8,K8,E8)</f>
        <v>981.56048231037755</v>
      </c>
      <c r="N8" s="10">
        <f t="shared" si="2"/>
        <v>4.7380000000000005E-2</v>
      </c>
      <c r="O8" s="11">
        <v>96.120999999999995</v>
      </c>
      <c r="P8" s="19" t="str">
        <f t="shared" ca="1" si="5"/>
        <v>Buy</v>
      </c>
    </row>
    <row r="9" spans="1:18" x14ac:dyDescent="0.2">
      <c r="A9" s="19">
        <f>COUNT($C9:C$30)</f>
        <v>22</v>
      </c>
      <c r="B9" s="28">
        <v>1000</v>
      </c>
      <c r="C9" s="26">
        <v>6.3970000000000002</v>
      </c>
      <c r="D9" s="26" t="s">
        <v>78</v>
      </c>
      <c r="E9" s="28" t="s">
        <v>79</v>
      </c>
      <c r="F9" s="10">
        <f t="shared" si="0"/>
        <v>6.3969999999999999E-2</v>
      </c>
      <c r="G9" s="83" t="s">
        <v>79</v>
      </c>
      <c r="H9" s="88" t="s">
        <v>79</v>
      </c>
      <c r="I9" s="25" t="s">
        <v>79</v>
      </c>
      <c r="J9" s="11">
        <v>6.3959999999999999</v>
      </c>
      <c r="K9" s="27">
        <f t="shared" si="1"/>
        <v>31.984999999999999</v>
      </c>
      <c r="L9" s="27">
        <f t="shared" si="4"/>
        <v>1000.1999999999999</v>
      </c>
      <c r="M9" s="27">
        <f>K9/(N9/2)</f>
        <v>1000.1563477173232</v>
      </c>
      <c r="N9" s="10">
        <f t="shared" si="2"/>
        <v>6.3960000000000003E-2</v>
      </c>
      <c r="O9" s="11">
        <v>100.02</v>
      </c>
      <c r="P9" s="19" t="str">
        <f>IF(M9&lt;L9, "Sell", IF(M9=L9, "Hold", "Buy"))</f>
        <v>Sell</v>
      </c>
      <c r="Q9" t="s">
        <v>80</v>
      </c>
    </row>
    <row r="10" spans="1:18" x14ac:dyDescent="0.2">
      <c r="A10" s="19">
        <f>COUNT($C10:C$30)</f>
        <v>21</v>
      </c>
      <c r="B10" s="28">
        <v>1000</v>
      </c>
      <c r="C10" s="43">
        <v>3.2</v>
      </c>
      <c r="D10" s="43" t="s">
        <v>77</v>
      </c>
      <c r="E10" s="28">
        <v>1000</v>
      </c>
      <c r="F10" s="10">
        <f t="shared" si="0"/>
        <v>3.2000000000000001E-2</v>
      </c>
      <c r="G10" s="83">
        <f t="shared" ca="1" si="3"/>
        <v>5</v>
      </c>
      <c r="H10" s="88">
        <v>46358</v>
      </c>
      <c r="I10" s="25">
        <v>46448</v>
      </c>
      <c r="J10" s="11">
        <v>5.2110000000000003</v>
      </c>
      <c r="K10" s="27">
        <f t="shared" si="1"/>
        <v>16</v>
      </c>
      <c r="L10" s="27">
        <f t="shared" si="4"/>
        <v>922.8</v>
      </c>
      <c r="M10" s="27">
        <f ca="1">-PV(N10/2,G10,K10,E10)</f>
        <v>953.42772653070324</v>
      </c>
      <c r="N10" s="10">
        <f t="shared" si="2"/>
        <v>5.2110000000000004E-2</v>
      </c>
      <c r="O10" s="11">
        <v>92.28</v>
      </c>
      <c r="P10" s="19" t="str">
        <f t="shared" ca="1" si="5"/>
        <v>Buy</v>
      </c>
    </row>
    <row r="11" spans="1:18" x14ac:dyDescent="0.2">
      <c r="A11" s="19">
        <f>COUNT($C11:C$30)</f>
        <v>20</v>
      </c>
      <c r="B11" s="28">
        <v>1000</v>
      </c>
      <c r="C11" s="26">
        <v>5</v>
      </c>
      <c r="D11" s="43" t="s">
        <v>77</v>
      </c>
      <c r="E11" s="28">
        <v>1000</v>
      </c>
      <c r="F11" s="10">
        <f t="shared" si="0"/>
        <v>0.05</v>
      </c>
      <c r="G11" s="83">
        <f t="shared" ca="1" si="3"/>
        <v>7</v>
      </c>
      <c r="H11" s="88">
        <v>46722</v>
      </c>
      <c r="I11" s="25" t="s">
        <v>79</v>
      </c>
      <c r="J11" s="11">
        <v>6.3140000000000001</v>
      </c>
      <c r="K11" s="27">
        <f t="shared" si="1"/>
        <v>25</v>
      </c>
      <c r="L11" s="27">
        <f t="shared" si="4"/>
        <v>791.87</v>
      </c>
      <c r="M11" s="27">
        <f t="shared" ref="M11:M30" ca="1" si="6">-PV(N11/2,G11,K11,E11)</f>
        <v>959.30815430839368</v>
      </c>
      <c r="N11" s="10">
        <f t="shared" si="2"/>
        <v>6.3140000000000002E-2</v>
      </c>
      <c r="O11" s="11">
        <v>79.186999999999998</v>
      </c>
      <c r="P11" s="19" t="str">
        <f t="shared" ca="1" si="5"/>
        <v>Buy</v>
      </c>
      <c r="Q11" t="s">
        <v>81</v>
      </c>
    </row>
    <row r="12" spans="1:18" x14ac:dyDescent="0.2">
      <c r="A12" s="19">
        <f>COUNT($C12:C$30)</f>
        <v>19</v>
      </c>
      <c r="B12" s="28">
        <v>1000</v>
      </c>
      <c r="C12" s="26">
        <v>2.65</v>
      </c>
      <c r="D12" s="43" t="s">
        <v>77</v>
      </c>
      <c r="E12" s="28">
        <v>1000</v>
      </c>
      <c r="F12" s="10">
        <f t="shared" si="0"/>
        <v>2.6499999999999999E-2</v>
      </c>
      <c r="G12" s="83" t="e">
        <f t="shared" ca="1" si="3"/>
        <v>#NUM!</v>
      </c>
      <c r="H12" s="88">
        <v>44920</v>
      </c>
      <c r="I12" s="25">
        <v>44951</v>
      </c>
      <c r="J12" s="11">
        <v>4.165</v>
      </c>
      <c r="K12" s="27">
        <f t="shared" si="1"/>
        <v>13.25</v>
      </c>
      <c r="L12" s="27">
        <f t="shared" si="4"/>
        <v>996.43000000000006</v>
      </c>
      <c r="M12" s="27" t="e">
        <f t="shared" ca="1" si="6"/>
        <v>#NUM!</v>
      </c>
      <c r="N12" s="10">
        <f t="shared" si="2"/>
        <v>4.165E-2</v>
      </c>
      <c r="O12" s="11">
        <v>99.643000000000001</v>
      </c>
      <c r="P12" s="19" t="e">
        <f t="shared" ca="1" si="5"/>
        <v>#NUM!</v>
      </c>
      <c r="R12" t="s">
        <v>82</v>
      </c>
    </row>
    <row r="13" spans="1:18" x14ac:dyDescent="0.2">
      <c r="A13" s="19">
        <f>COUNT($C13:C$30)</f>
        <v>18</v>
      </c>
      <c r="B13" s="28">
        <v>1000</v>
      </c>
      <c r="C13" s="26">
        <v>3.2</v>
      </c>
      <c r="D13" s="43" t="s">
        <v>77</v>
      </c>
      <c r="E13" s="28">
        <v>1000</v>
      </c>
      <c r="F13" s="10">
        <f t="shared" si="0"/>
        <v>3.2000000000000001E-2</v>
      </c>
      <c r="G13" s="83">
        <f t="shared" ca="1" si="3"/>
        <v>7</v>
      </c>
      <c r="H13" s="88">
        <v>46685</v>
      </c>
      <c r="I13" s="25">
        <v>46777</v>
      </c>
      <c r="J13" s="11">
        <v>5.1790000000000003</v>
      </c>
      <c r="K13" s="27">
        <f t="shared" si="1"/>
        <v>16</v>
      </c>
      <c r="L13" s="27">
        <f t="shared" si="4"/>
        <v>910.25</v>
      </c>
      <c r="M13" s="27">
        <f t="shared" ca="1" si="6"/>
        <v>937.3862474935645</v>
      </c>
      <c r="N13" s="10">
        <f t="shared" si="2"/>
        <v>5.1790000000000003E-2</v>
      </c>
      <c r="O13" s="11">
        <v>91.025000000000006</v>
      </c>
      <c r="P13" s="19" t="str">
        <f t="shared" ca="1" si="5"/>
        <v>Buy</v>
      </c>
    </row>
    <row r="14" spans="1:18" x14ac:dyDescent="0.2">
      <c r="A14" s="19">
        <f>COUNT($C14:C$30)</f>
        <v>17</v>
      </c>
      <c r="B14" s="28">
        <v>1000</v>
      </c>
      <c r="C14" s="26">
        <v>3.85</v>
      </c>
      <c r="D14" s="43" t="s">
        <v>77</v>
      </c>
      <c r="E14" s="28">
        <v>1000</v>
      </c>
      <c r="F14" s="10">
        <f t="shared" si="0"/>
        <v>3.85E-2</v>
      </c>
      <c r="G14" s="83">
        <f t="shared" ca="1" si="3"/>
        <v>3</v>
      </c>
      <c r="H14" s="88">
        <v>45737</v>
      </c>
      <c r="I14" s="25">
        <v>45798</v>
      </c>
      <c r="J14" s="11">
        <v>4.9969999999999999</v>
      </c>
      <c r="K14" s="27">
        <f t="shared" si="1"/>
        <v>19.25</v>
      </c>
      <c r="L14" s="27">
        <f t="shared" si="4"/>
        <v>972.78000000000009</v>
      </c>
      <c r="M14" s="27">
        <f t="shared" ca="1" si="6"/>
        <v>983.62022940486713</v>
      </c>
      <c r="N14" s="10">
        <f t="shared" si="2"/>
        <v>4.9970000000000001E-2</v>
      </c>
      <c r="O14" s="87">
        <v>97.278000000000006</v>
      </c>
      <c r="P14" s="19" t="str">
        <f t="shared" ca="1" si="5"/>
        <v>Buy</v>
      </c>
    </row>
    <row r="15" spans="1:18" x14ac:dyDescent="0.2">
      <c r="A15" s="19">
        <f>COUNT($C15:C$30)</f>
        <v>16</v>
      </c>
      <c r="B15" s="28">
        <v>1000</v>
      </c>
      <c r="C15" s="26">
        <v>3.55</v>
      </c>
      <c r="D15" s="43" t="s">
        <v>77</v>
      </c>
      <c r="E15" s="28">
        <v>1000</v>
      </c>
      <c r="F15" s="10">
        <f t="shared" si="0"/>
        <v>3.5499999999999997E-2</v>
      </c>
      <c r="G15" s="83">
        <f t="shared" ca="1" si="3"/>
        <v>1</v>
      </c>
      <c r="H15" s="88">
        <v>45292</v>
      </c>
      <c r="I15" s="24">
        <v>45323</v>
      </c>
      <c r="J15" s="11">
        <v>4.835</v>
      </c>
      <c r="K15" s="27">
        <f t="shared" si="1"/>
        <v>17.75</v>
      </c>
      <c r="L15" s="27">
        <f t="shared" si="4"/>
        <v>984.54</v>
      </c>
      <c r="M15" s="27">
        <f t="shared" ca="1" si="6"/>
        <v>993.7266580418385</v>
      </c>
      <c r="N15" s="10">
        <f t="shared" si="2"/>
        <v>4.8349999999999997E-2</v>
      </c>
      <c r="O15" s="87">
        <v>98.453999999999994</v>
      </c>
      <c r="P15" s="19" t="str">
        <f t="shared" ca="1" si="5"/>
        <v>Buy</v>
      </c>
    </row>
    <row r="16" spans="1:18" x14ac:dyDescent="0.2">
      <c r="A16" s="19">
        <f>COUNT($C16:C$30)</f>
        <v>15</v>
      </c>
      <c r="B16" s="28">
        <v>1000</v>
      </c>
      <c r="C16" s="26">
        <v>4</v>
      </c>
      <c r="D16" s="43" t="s">
        <v>77</v>
      </c>
      <c r="E16" s="28">
        <v>1000</v>
      </c>
      <c r="F16" s="10">
        <f t="shared" si="0"/>
        <v>0.04</v>
      </c>
      <c r="G16" s="83">
        <f t="shared" ca="1" si="3"/>
        <v>9</v>
      </c>
      <c r="H16" s="88">
        <v>47058</v>
      </c>
      <c r="I16" s="25">
        <v>47150</v>
      </c>
      <c r="J16" s="11">
        <v>5.35</v>
      </c>
      <c r="K16" s="27">
        <f t="shared" si="1"/>
        <v>20</v>
      </c>
      <c r="L16" s="27">
        <f t="shared" si="4"/>
        <v>929.01</v>
      </c>
      <c r="M16" s="27">
        <f t="shared" ca="1" si="6"/>
        <v>946.63812502712926</v>
      </c>
      <c r="N16" s="10">
        <f t="shared" si="2"/>
        <v>5.3499999999999999E-2</v>
      </c>
      <c r="O16" s="87">
        <v>92.900999999999996</v>
      </c>
      <c r="P16" s="19" t="str">
        <f t="shared" ca="1" si="5"/>
        <v>Buy</v>
      </c>
    </row>
    <row r="17" spans="1:16" x14ac:dyDescent="0.2">
      <c r="A17" s="19">
        <f>COUNT($C17:C$30)</f>
        <v>14</v>
      </c>
      <c r="B17" s="28">
        <v>1000</v>
      </c>
      <c r="C17" s="26">
        <v>3.25</v>
      </c>
      <c r="D17" s="43" t="s">
        <v>77</v>
      </c>
      <c r="E17" s="28">
        <v>1000</v>
      </c>
      <c r="F17" s="10">
        <f t="shared" si="0"/>
        <v>3.2500000000000001E-2</v>
      </c>
      <c r="G17" s="83">
        <f t="shared" ca="1" si="3"/>
        <v>11</v>
      </c>
      <c r="H17" s="88">
        <v>47171</v>
      </c>
      <c r="I17" s="25">
        <v>47260</v>
      </c>
      <c r="J17" s="11">
        <v>5.2169999999999996</v>
      </c>
      <c r="K17" s="27">
        <f t="shared" si="1"/>
        <v>16.25</v>
      </c>
      <c r="L17" s="27">
        <f t="shared" si="4"/>
        <v>891.91000000000008</v>
      </c>
      <c r="M17" s="27">
        <f t="shared" ca="1" si="6"/>
        <v>906.99507760728864</v>
      </c>
      <c r="N17" s="10">
        <f t="shared" si="2"/>
        <v>5.2169999999999994E-2</v>
      </c>
      <c r="O17" s="87">
        <v>89.191000000000003</v>
      </c>
      <c r="P17" s="19" t="str">
        <f t="shared" ca="1" si="5"/>
        <v>Buy</v>
      </c>
    </row>
    <row r="18" spans="1:16" x14ac:dyDescent="0.2">
      <c r="A18" s="19">
        <f>COUNT($C18:C$30)</f>
        <v>13</v>
      </c>
      <c r="B18" s="28">
        <v>1000</v>
      </c>
      <c r="C18" s="26">
        <v>4.2</v>
      </c>
      <c r="D18" s="43" t="s">
        <v>77</v>
      </c>
      <c r="E18" s="28">
        <v>1000</v>
      </c>
      <c r="F18" s="10">
        <f t="shared" si="0"/>
        <v>4.2000000000000003E-2</v>
      </c>
      <c r="G18" s="83">
        <f t="shared" ca="1" si="3"/>
        <v>3</v>
      </c>
      <c r="H18" s="88">
        <v>45712</v>
      </c>
      <c r="I18" s="25">
        <v>45740</v>
      </c>
      <c r="J18" s="11">
        <v>4.7910000000000004</v>
      </c>
      <c r="K18" s="27">
        <f t="shared" si="1"/>
        <v>21</v>
      </c>
      <c r="L18" s="27">
        <f t="shared" si="4"/>
        <v>986.72</v>
      </c>
      <c r="M18" s="27">
        <f t="shared" ca="1" si="6"/>
        <v>991.54335462548397</v>
      </c>
      <c r="N18" s="10">
        <f t="shared" si="2"/>
        <v>4.7910000000000001E-2</v>
      </c>
      <c r="O18" s="87">
        <v>98.671999999999997</v>
      </c>
      <c r="P18" s="19" t="str">
        <f t="shared" ca="1" si="5"/>
        <v>Buy</v>
      </c>
    </row>
    <row r="19" spans="1:16" x14ac:dyDescent="0.2">
      <c r="A19" s="19">
        <f>COUNT($C19:C$30)</f>
        <v>12</v>
      </c>
      <c r="B19" s="28">
        <v>1000</v>
      </c>
      <c r="C19" s="26">
        <v>4.625</v>
      </c>
      <c r="D19" s="43" t="s">
        <v>77</v>
      </c>
      <c r="E19" s="28">
        <v>1000</v>
      </c>
      <c r="F19" s="10">
        <f t="shared" si="0"/>
        <v>4.6249999999999999E-2</v>
      </c>
      <c r="G19" s="83">
        <f t="shared" ca="1" si="3"/>
        <v>13</v>
      </c>
      <c r="H19" s="88">
        <v>47474</v>
      </c>
      <c r="I19" s="25">
        <v>47564</v>
      </c>
      <c r="J19" s="11">
        <v>5.3789999999999996</v>
      </c>
      <c r="K19" s="27">
        <f t="shared" si="1"/>
        <v>23.125</v>
      </c>
      <c r="L19" s="27">
        <f t="shared" si="4"/>
        <v>954.44999999999993</v>
      </c>
      <c r="M19" s="27">
        <f t="shared" ca="1" si="6"/>
        <v>959.09827943890241</v>
      </c>
      <c r="N19" s="10">
        <f t="shared" si="2"/>
        <v>5.3789999999999998E-2</v>
      </c>
      <c r="O19" s="11">
        <v>95.444999999999993</v>
      </c>
      <c r="P19" s="19" t="str">
        <f t="shared" ca="1" si="5"/>
        <v>Buy</v>
      </c>
    </row>
    <row r="20" spans="1:16" x14ac:dyDescent="0.2">
      <c r="A20" s="19">
        <f>COUNT($C20:C$30)</f>
        <v>11</v>
      </c>
      <c r="B20" s="28">
        <v>1000</v>
      </c>
      <c r="C20" s="26">
        <v>0.9</v>
      </c>
      <c r="D20" s="43" t="s">
        <v>77</v>
      </c>
      <c r="E20" s="28">
        <v>1000</v>
      </c>
      <c r="F20" s="10">
        <f t="shared" si="0"/>
        <v>9.0000000000000011E-3</v>
      </c>
      <c r="G20" s="83">
        <f t="shared" ca="1" si="3"/>
        <v>5</v>
      </c>
      <c r="H20" s="88">
        <v>46064</v>
      </c>
      <c r="I20" s="25">
        <v>46092</v>
      </c>
      <c r="J20" s="11">
        <v>5.43</v>
      </c>
      <c r="K20" s="27">
        <f t="shared" si="1"/>
        <v>4.5000000000000009</v>
      </c>
      <c r="L20" s="27">
        <f t="shared" si="4"/>
        <v>862.5</v>
      </c>
      <c r="M20" s="27">
        <f t="shared" ca="1" si="6"/>
        <v>895.42010567872592</v>
      </c>
      <c r="N20" s="10">
        <f t="shared" si="2"/>
        <v>5.4299999999999994E-2</v>
      </c>
      <c r="O20" s="87">
        <v>86.25</v>
      </c>
      <c r="P20" s="19" t="str">
        <f t="shared" ca="1" si="5"/>
        <v>Buy</v>
      </c>
    </row>
    <row r="21" spans="1:16" x14ac:dyDescent="0.2">
      <c r="A21" s="19">
        <f>COUNT($C21:C$30)</f>
        <v>10</v>
      </c>
      <c r="B21" s="28">
        <v>1000</v>
      </c>
      <c r="C21" s="26">
        <v>1.65</v>
      </c>
      <c r="D21" s="43" t="s">
        <v>77</v>
      </c>
      <c r="E21" s="28">
        <v>1000</v>
      </c>
      <c r="F21" s="10">
        <f t="shared" si="0"/>
        <v>1.6500000000000001E-2</v>
      </c>
      <c r="G21" s="83">
        <f t="shared" ca="1" si="3"/>
        <v>15</v>
      </c>
      <c r="H21" s="88">
        <v>47828</v>
      </c>
      <c r="I21" s="25">
        <v>47918</v>
      </c>
      <c r="J21" s="11">
        <v>5.4089999999999998</v>
      </c>
      <c r="K21" s="27">
        <f t="shared" si="1"/>
        <v>8.25</v>
      </c>
      <c r="L21" s="27">
        <f t="shared" si="4"/>
        <v>749.79</v>
      </c>
      <c r="M21" s="27">
        <f t="shared" ca="1" si="6"/>
        <v>770.75466790919052</v>
      </c>
      <c r="N21" s="10">
        <f t="shared" si="2"/>
        <v>5.4089999999999999E-2</v>
      </c>
      <c r="O21" s="87">
        <v>74.978999999999999</v>
      </c>
      <c r="P21" s="19" t="str">
        <f t="shared" ca="1" si="5"/>
        <v>Buy</v>
      </c>
    </row>
    <row r="22" spans="1:16" x14ac:dyDescent="0.2">
      <c r="A22" s="19">
        <f>COUNT($C22:C$30)</f>
        <v>9</v>
      </c>
      <c r="B22" s="28">
        <v>1000</v>
      </c>
      <c r="C22" s="26">
        <v>0.75</v>
      </c>
      <c r="D22" s="43" t="s">
        <v>77</v>
      </c>
      <c r="E22" s="28">
        <v>1000</v>
      </c>
      <c r="F22" s="10">
        <f t="shared" si="0"/>
        <v>7.4999999999999997E-3</v>
      </c>
      <c r="G22" s="83">
        <f t="shared" ca="1" si="3"/>
        <v>1</v>
      </c>
      <c r="H22" s="88">
        <v>45340</v>
      </c>
      <c r="I22" s="25">
        <v>45369</v>
      </c>
      <c r="J22" s="11">
        <v>4.915</v>
      </c>
      <c r="K22" s="27">
        <f t="shared" si="1"/>
        <v>3.75</v>
      </c>
      <c r="L22" s="27">
        <f t="shared" si="4"/>
        <v>945.05</v>
      </c>
      <c r="M22" s="27">
        <f t="shared" ca="1" si="6"/>
        <v>979.67449918258785</v>
      </c>
      <c r="N22" s="10">
        <f t="shared" si="2"/>
        <v>4.9149999999999999E-2</v>
      </c>
      <c r="O22" s="11">
        <v>94.504999999999995</v>
      </c>
      <c r="P22" s="19" t="str">
        <f t="shared" ca="1" si="5"/>
        <v>Buy</v>
      </c>
    </row>
    <row r="23" spans="1:16" x14ac:dyDescent="0.2">
      <c r="A23" s="19">
        <f>COUNT($C23:C$30)</f>
        <v>8</v>
      </c>
      <c r="B23" s="28">
        <v>1000</v>
      </c>
      <c r="C23" s="26">
        <v>2</v>
      </c>
      <c r="D23" s="43" t="s">
        <v>77</v>
      </c>
      <c r="E23" s="28">
        <v>1000</v>
      </c>
      <c r="F23" s="10">
        <f t="shared" si="0"/>
        <v>0.02</v>
      </c>
      <c r="G23" s="83">
        <f t="shared" ca="1" si="3"/>
        <v>9</v>
      </c>
      <c r="H23" s="88">
        <v>46772</v>
      </c>
      <c r="I23" s="25">
        <v>46832</v>
      </c>
      <c r="J23" s="11">
        <v>5.0250000000000004</v>
      </c>
      <c r="K23" s="27">
        <f t="shared" si="1"/>
        <v>10</v>
      </c>
      <c r="L23" s="27">
        <f t="shared" si="4"/>
        <v>858.78</v>
      </c>
      <c r="M23" s="27">
        <f t="shared" ca="1" si="6"/>
        <v>879.51172116648547</v>
      </c>
      <c r="N23" s="10">
        <f t="shared" si="2"/>
        <v>5.0250000000000003E-2</v>
      </c>
      <c r="O23" s="11">
        <v>85.878</v>
      </c>
      <c r="P23" s="19" t="str">
        <f t="shared" ca="1" si="5"/>
        <v>Buy</v>
      </c>
    </row>
    <row r="24" spans="1:16" x14ac:dyDescent="0.2">
      <c r="A24" s="19">
        <f>COUNT($C24:C$30)</f>
        <v>7</v>
      </c>
      <c r="B24" s="28">
        <v>1000</v>
      </c>
      <c r="C24" s="26">
        <v>1.1499999999999999</v>
      </c>
      <c r="D24" s="43" t="s">
        <v>77</v>
      </c>
      <c r="E24" s="28">
        <v>1000</v>
      </c>
      <c r="F24" s="10">
        <f t="shared" si="0"/>
        <v>1.15E-2</v>
      </c>
      <c r="G24" s="83">
        <f t="shared" ca="1" si="3"/>
        <v>5</v>
      </c>
      <c r="H24" s="88">
        <v>46125</v>
      </c>
      <c r="I24" s="25">
        <v>46155</v>
      </c>
      <c r="J24" s="11">
        <v>5.165</v>
      </c>
      <c r="K24" s="27">
        <f t="shared" si="1"/>
        <v>5.75</v>
      </c>
      <c r="L24" s="27">
        <f t="shared" si="4"/>
        <v>871.82</v>
      </c>
      <c r="M24" s="27">
        <f t="shared" ca="1" si="6"/>
        <v>906.95607573817381</v>
      </c>
      <c r="N24" s="10">
        <f t="shared" si="2"/>
        <v>5.1650000000000001E-2</v>
      </c>
      <c r="O24" s="87">
        <v>87.182000000000002</v>
      </c>
      <c r="P24" s="19" t="str">
        <f t="shared" ca="1" si="5"/>
        <v>Buy</v>
      </c>
    </row>
    <row r="25" spans="1:16" x14ac:dyDescent="0.2">
      <c r="A25" s="19">
        <f>COUNT($C25:C$30)</f>
        <v>6</v>
      </c>
      <c r="B25" s="28">
        <v>1000</v>
      </c>
      <c r="C25" s="26">
        <v>2.2999999999999998</v>
      </c>
      <c r="D25" s="43" t="s">
        <v>77</v>
      </c>
      <c r="E25" s="28">
        <v>1000</v>
      </c>
      <c r="F25" s="10">
        <f t="shared" si="0"/>
        <v>2.3E-2</v>
      </c>
      <c r="G25" s="83">
        <f t="shared" ca="1" si="3"/>
        <v>15</v>
      </c>
      <c r="H25" s="88">
        <v>47892</v>
      </c>
      <c r="I25" s="25">
        <v>47981</v>
      </c>
      <c r="J25" s="11">
        <v>5.3959999999999999</v>
      </c>
      <c r="K25" s="27">
        <f t="shared" si="1"/>
        <v>11.5</v>
      </c>
      <c r="L25" s="27">
        <f t="shared" si="4"/>
        <v>790.49</v>
      </c>
      <c r="M25" s="27">
        <f t="shared" ca="1" si="6"/>
        <v>811.0985108733596</v>
      </c>
      <c r="N25" s="10">
        <f t="shared" si="2"/>
        <v>5.3960000000000001E-2</v>
      </c>
      <c r="O25" s="11">
        <v>79.049000000000007</v>
      </c>
      <c r="P25" s="19" t="str">
        <f t="shared" ca="1" si="5"/>
        <v>Buy</v>
      </c>
    </row>
    <row r="26" spans="1:16" x14ac:dyDescent="0.2">
      <c r="A26" s="19">
        <f>COUNT($C26:C$30)</f>
        <v>5</v>
      </c>
      <c r="B26" s="28">
        <v>1000</v>
      </c>
      <c r="C26" s="26">
        <v>1.95</v>
      </c>
      <c r="D26" s="43" t="s">
        <v>77</v>
      </c>
      <c r="E26" s="28">
        <v>1000</v>
      </c>
      <c r="F26" s="10">
        <f t="shared" si="0"/>
        <v>1.95E-2</v>
      </c>
      <c r="G26" s="83">
        <f t="shared" ca="1" si="3"/>
        <v>15</v>
      </c>
      <c r="H26" s="88">
        <v>48092</v>
      </c>
      <c r="I26" s="25">
        <v>48183</v>
      </c>
      <c r="J26" s="11">
        <v>5.3890000000000002</v>
      </c>
      <c r="K26" s="27">
        <f t="shared" si="1"/>
        <v>9.75</v>
      </c>
      <c r="L26" s="27">
        <f t="shared" si="4"/>
        <v>755.57</v>
      </c>
      <c r="M26" s="27">
        <f t="shared" ca="1" si="6"/>
        <v>790.11679671285401</v>
      </c>
      <c r="N26" s="10">
        <f t="shared" si="2"/>
        <v>5.389E-2</v>
      </c>
      <c r="O26" s="87">
        <v>75.557000000000002</v>
      </c>
      <c r="P26" s="19" t="str">
        <f t="shared" ca="1" si="5"/>
        <v>Buy</v>
      </c>
    </row>
    <row r="27" spans="1:16" x14ac:dyDescent="0.2">
      <c r="A27" s="19">
        <f>COUNT($C27:C$30)</f>
        <v>4</v>
      </c>
      <c r="B27" s="28">
        <v>1000</v>
      </c>
      <c r="C27" s="26">
        <v>3.75</v>
      </c>
      <c r="D27" s="43" t="s">
        <v>77</v>
      </c>
      <c r="E27" s="28">
        <v>1000</v>
      </c>
      <c r="F27" s="10">
        <f t="shared" si="0"/>
        <v>3.7499999999999999E-2</v>
      </c>
      <c r="G27" s="83">
        <f t="shared" ca="1" si="3"/>
        <v>1</v>
      </c>
      <c r="H27" s="88">
        <v>45353</v>
      </c>
      <c r="I27" s="25">
        <v>45383</v>
      </c>
      <c r="J27" s="11">
        <v>4.8490000000000002</v>
      </c>
      <c r="K27" s="27">
        <f t="shared" si="1"/>
        <v>18.75</v>
      </c>
      <c r="L27" s="27">
        <f t="shared" si="4"/>
        <v>985.09</v>
      </c>
      <c r="M27" s="27">
        <f t="shared" ca="1" si="6"/>
        <v>994.63507266327872</v>
      </c>
      <c r="N27" s="10">
        <f t="shared" si="2"/>
        <v>4.8490000000000005E-2</v>
      </c>
      <c r="O27" s="11">
        <v>98.509</v>
      </c>
      <c r="P27" s="19" t="str">
        <f t="shared" ca="1" si="5"/>
        <v>Buy</v>
      </c>
    </row>
    <row r="28" spans="1:16" x14ac:dyDescent="0.2">
      <c r="A28" s="19">
        <f>COUNT($C28:C$30)</f>
        <v>3</v>
      </c>
      <c r="B28" s="28">
        <v>1000</v>
      </c>
      <c r="C28" s="26">
        <v>3.625</v>
      </c>
      <c r="D28" s="43" t="s">
        <v>77</v>
      </c>
      <c r="E28" s="28">
        <v>1000</v>
      </c>
      <c r="F28" s="10">
        <f t="shared" si="0"/>
        <v>3.6249999999999998E-2</v>
      </c>
      <c r="G28" s="83">
        <f t="shared" ca="1" si="3"/>
        <v>3</v>
      </c>
      <c r="H28" s="88">
        <v>45658</v>
      </c>
      <c r="I28" s="25">
        <v>45748</v>
      </c>
      <c r="J28" s="11">
        <v>4.8920000000000003</v>
      </c>
      <c r="K28" s="27">
        <f t="shared" si="1"/>
        <v>18.125</v>
      </c>
      <c r="L28" s="27">
        <f t="shared" si="4"/>
        <v>971.42</v>
      </c>
      <c r="M28" s="27">
        <f t="shared" ca="1" si="6"/>
        <v>981.88816732859425</v>
      </c>
      <c r="N28" s="10">
        <f t="shared" si="2"/>
        <v>4.8920000000000005E-2</v>
      </c>
      <c r="O28" s="11">
        <v>97.141999999999996</v>
      </c>
      <c r="P28" s="19" t="str">
        <f t="shared" ca="1" si="5"/>
        <v>Buy</v>
      </c>
    </row>
    <row r="29" spans="1:16" x14ac:dyDescent="0.2">
      <c r="A29" s="19">
        <f>COUNT($C29:C$30)</f>
        <v>2</v>
      </c>
      <c r="B29" s="28">
        <v>1000</v>
      </c>
      <c r="C29" s="26">
        <v>3.3</v>
      </c>
      <c r="D29" s="43" t="s">
        <v>77</v>
      </c>
      <c r="E29" s="28">
        <v>1000</v>
      </c>
      <c r="F29" s="10">
        <f t="shared" si="0"/>
        <v>3.3000000000000002E-2</v>
      </c>
      <c r="G29" s="83">
        <f t="shared" ca="1" si="3"/>
        <v>7</v>
      </c>
      <c r="H29" s="88">
        <v>46388</v>
      </c>
      <c r="I29" s="24">
        <v>46478</v>
      </c>
      <c r="J29" s="86">
        <v>5.2640000000000002</v>
      </c>
      <c r="K29" s="35">
        <f t="shared" si="1"/>
        <v>16.5</v>
      </c>
      <c r="L29" s="27">
        <f t="shared" si="4"/>
        <v>923.5</v>
      </c>
      <c r="M29" s="27">
        <f t="shared" ca="1" si="6"/>
        <v>937.96104995962241</v>
      </c>
      <c r="N29" s="10">
        <f t="shared" si="2"/>
        <v>5.2639999999999999E-2</v>
      </c>
      <c r="O29" s="86">
        <v>92.35</v>
      </c>
      <c r="P29" s="19" t="str">
        <f t="shared" ca="1" si="5"/>
        <v>Buy</v>
      </c>
    </row>
    <row r="30" spans="1:16" x14ac:dyDescent="0.2">
      <c r="A30" s="19">
        <f>COUNT($C30:C$30)</f>
        <v>1</v>
      </c>
      <c r="B30" s="28">
        <v>1000</v>
      </c>
      <c r="C30" s="26">
        <v>2.75</v>
      </c>
      <c r="D30" s="43" t="s">
        <v>77</v>
      </c>
      <c r="E30" s="28">
        <v>1000</v>
      </c>
      <c r="F30" s="10">
        <f t="shared" si="0"/>
        <v>2.75E-2</v>
      </c>
      <c r="G30" s="83">
        <f t="shared" ca="1" si="3"/>
        <v>11</v>
      </c>
      <c r="H30" s="88">
        <v>47300</v>
      </c>
      <c r="I30" s="25">
        <v>47392</v>
      </c>
      <c r="J30" s="86">
        <v>5.3410000000000002</v>
      </c>
      <c r="K30" s="27">
        <f t="shared" si="1"/>
        <v>13.75</v>
      </c>
      <c r="L30" s="27">
        <f t="shared" si="4"/>
        <v>851.75</v>
      </c>
      <c r="M30" s="27">
        <f t="shared" ca="1" si="6"/>
        <v>877.91474615391496</v>
      </c>
      <c r="N30" s="10">
        <f t="shared" si="2"/>
        <v>5.3409999999999999E-2</v>
      </c>
      <c r="O30" s="87">
        <v>85.174999999999997</v>
      </c>
      <c r="P30" s="19" t="str">
        <f t="shared" ca="1" si="5"/>
        <v>Buy</v>
      </c>
    </row>
    <row r="31" spans="1:16" x14ac:dyDescent="0.2">
      <c r="C31" s="20"/>
      <c r="D31" s="20"/>
      <c r="E31" s="20"/>
      <c r="F31" s="20"/>
      <c r="G31" s="84"/>
      <c r="H31" s="85"/>
      <c r="K31" s="39"/>
      <c r="L31" s="39"/>
      <c r="M31" s="39"/>
    </row>
    <row r="32" spans="1:16" x14ac:dyDescent="0.2">
      <c r="B32" s="19" t="s">
        <v>60</v>
      </c>
      <c r="F32" s="19" t="s">
        <v>52</v>
      </c>
      <c r="G32" s="84"/>
      <c r="H32" s="85"/>
      <c r="K32" s="39"/>
      <c r="L32" s="39"/>
      <c r="M32" s="39"/>
    </row>
    <row r="33" spans="1:17" x14ac:dyDescent="0.2">
      <c r="A33" s="19" t="s">
        <v>61</v>
      </c>
      <c r="B33" s="19" t="s">
        <v>62</v>
      </c>
      <c r="C33" s="15" t="s">
        <v>63</v>
      </c>
      <c r="D33" s="15" t="s">
        <v>64</v>
      </c>
      <c r="E33" s="15" t="s">
        <v>65</v>
      </c>
      <c r="F33" s="15" t="s">
        <v>66</v>
      </c>
      <c r="G33" s="83" t="s">
        <v>67</v>
      </c>
      <c r="H33" s="24" t="s">
        <v>68</v>
      </c>
      <c r="I33" s="15" t="s">
        <v>83</v>
      </c>
      <c r="J33" s="15" t="s">
        <v>84</v>
      </c>
      <c r="K33" s="27" t="s">
        <v>71</v>
      </c>
      <c r="L33" s="27" t="s">
        <v>72</v>
      </c>
      <c r="M33" s="27" t="s">
        <v>73</v>
      </c>
      <c r="N33" s="44" t="s">
        <v>74</v>
      </c>
      <c r="O33" s="44" t="s">
        <v>75</v>
      </c>
      <c r="P33" s="19" t="s">
        <v>76</v>
      </c>
    </row>
    <row r="34" spans="1:17" ht="17" x14ac:dyDescent="0.2">
      <c r="A34" s="19">
        <f>COUNT($C34:C$49)</f>
        <v>16</v>
      </c>
      <c r="B34" s="28">
        <v>1000</v>
      </c>
      <c r="C34" s="17">
        <v>7.125</v>
      </c>
      <c r="D34" s="17" t="s">
        <v>78</v>
      </c>
      <c r="E34" s="17" t="s">
        <v>79</v>
      </c>
      <c r="F34" s="56">
        <f>C34/100</f>
        <v>7.1249999999999994E-2</v>
      </c>
      <c r="G34" s="83">
        <f ca="1">DATEDIF(TODAY(),I34,"Y")*2+1</f>
        <v>3</v>
      </c>
      <c r="H34" s="16" t="s">
        <v>79</v>
      </c>
      <c r="I34" s="16">
        <v>45809</v>
      </c>
      <c r="J34" s="11">
        <v>5.0229999999999997</v>
      </c>
      <c r="K34" s="27">
        <f t="shared" ref="K34:K49" si="7">(F34)*B34/2</f>
        <v>35.625</v>
      </c>
      <c r="L34" s="27">
        <f t="shared" si="4"/>
        <v>1050.28</v>
      </c>
      <c r="M34" s="27">
        <f t="shared" ref="M34:M49" ca="1" si="8">-PV(N34/2,G34,K34,1000)</f>
        <v>1030.0101288475066</v>
      </c>
      <c r="N34" s="45">
        <f t="shared" ref="N34:N49" si="9">J34/100</f>
        <v>5.0229999999999997E-2</v>
      </c>
      <c r="O34" s="11">
        <v>105.02800000000001</v>
      </c>
      <c r="P34" s="19" t="str">
        <f t="shared" ca="1" si="5"/>
        <v>Sell</v>
      </c>
    </row>
    <row r="35" spans="1:17" ht="17" x14ac:dyDescent="0.2">
      <c r="A35" s="19">
        <f>COUNT($C35:C$49)</f>
        <v>15</v>
      </c>
      <c r="B35" s="28">
        <v>1000</v>
      </c>
      <c r="C35" s="17">
        <v>6.77</v>
      </c>
      <c r="D35" s="17" t="s">
        <v>77</v>
      </c>
      <c r="E35" s="89">
        <v>1000</v>
      </c>
      <c r="F35" s="56">
        <f t="shared" ref="F35:F49" si="10">C35/100</f>
        <v>6.7699999999999996E-2</v>
      </c>
      <c r="G35" s="83">
        <f t="shared" ca="1" si="3"/>
        <v>25</v>
      </c>
      <c r="H35" s="16">
        <v>49675</v>
      </c>
      <c r="I35" s="16">
        <v>49675</v>
      </c>
      <c r="J35" s="11">
        <v>5.6950000000000003</v>
      </c>
      <c r="K35" s="27">
        <f t="shared" si="7"/>
        <v>33.85</v>
      </c>
      <c r="L35" s="27">
        <f t="shared" si="4"/>
        <v>1098.5</v>
      </c>
      <c r="M35" s="27">
        <f t="shared" ca="1" si="8"/>
        <v>1095.20615695332</v>
      </c>
      <c r="N35" s="45">
        <f t="shared" si="9"/>
        <v>5.6950000000000001E-2</v>
      </c>
      <c r="O35" s="11">
        <v>109.85</v>
      </c>
      <c r="P35" s="19" t="str">
        <f t="shared" ca="1" si="5"/>
        <v>Sell</v>
      </c>
      <c r="Q35" t="s">
        <v>85</v>
      </c>
    </row>
    <row r="36" spans="1:17" ht="17" x14ac:dyDescent="0.2">
      <c r="A36" s="19">
        <f>COUNT($C36:C$49)</f>
        <v>14</v>
      </c>
      <c r="B36" s="28">
        <v>1000</v>
      </c>
      <c r="C36" s="15">
        <v>5.5</v>
      </c>
      <c r="D36" s="17" t="s">
        <v>77</v>
      </c>
      <c r="E36" s="89">
        <v>1000</v>
      </c>
      <c r="F36" s="56">
        <f t="shared" si="10"/>
        <v>5.5E-2</v>
      </c>
      <c r="G36" s="83">
        <f t="shared" ca="1" si="3"/>
        <v>7</v>
      </c>
      <c r="H36" s="16">
        <v>46461</v>
      </c>
      <c r="I36" s="16">
        <v>46461</v>
      </c>
      <c r="J36" s="11">
        <v>4.6680000000000001</v>
      </c>
      <c r="K36" s="27">
        <f t="shared" si="7"/>
        <v>27.5</v>
      </c>
      <c r="L36" s="27">
        <f t="shared" si="4"/>
        <v>1032.52</v>
      </c>
      <c r="M36" s="27">
        <f t="shared" ca="1" si="8"/>
        <v>1026.581153557355</v>
      </c>
      <c r="N36" s="45">
        <f t="shared" si="9"/>
        <v>4.6679999999999999E-2</v>
      </c>
      <c r="O36" s="11">
        <v>103.252</v>
      </c>
      <c r="P36" s="19" t="str">
        <f t="shared" ca="1" si="5"/>
        <v>Sell</v>
      </c>
      <c r="Q36" t="s">
        <v>85</v>
      </c>
    </row>
    <row r="37" spans="1:17" ht="17" x14ac:dyDescent="0.2">
      <c r="A37" s="19">
        <f>COUNT($C37:C$49)</f>
        <v>13</v>
      </c>
      <c r="B37" s="28">
        <v>1000</v>
      </c>
      <c r="C37" s="15">
        <v>5.55</v>
      </c>
      <c r="D37" s="17" t="s">
        <v>77</v>
      </c>
      <c r="E37" s="89">
        <v>1000</v>
      </c>
      <c r="F37" s="56">
        <f t="shared" si="10"/>
        <v>5.5500000000000001E-2</v>
      </c>
      <c r="G37" s="83">
        <f t="shared" ca="1" si="3"/>
        <v>27</v>
      </c>
      <c r="H37" s="16">
        <v>50114</v>
      </c>
      <c r="I37" s="16">
        <v>50114</v>
      </c>
      <c r="J37" s="11">
        <v>4.95</v>
      </c>
      <c r="K37" s="27">
        <f t="shared" si="7"/>
        <v>27.75</v>
      </c>
      <c r="L37" s="27">
        <f t="shared" si="4"/>
        <v>1061.1499999999999</v>
      </c>
      <c r="M37" s="27">
        <f t="shared" ca="1" si="8"/>
        <v>1058.5706393770768</v>
      </c>
      <c r="N37" s="45">
        <f t="shared" si="9"/>
        <v>4.9500000000000002E-2</v>
      </c>
      <c r="O37" s="11">
        <v>106.11499999999999</v>
      </c>
      <c r="P37" s="19" t="str">
        <f t="shared" ca="1" si="5"/>
        <v>Sell</v>
      </c>
      <c r="Q37" t="s">
        <v>85</v>
      </c>
    </row>
    <row r="38" spans="1:17" ht="17" x14ac:dyDescent="0.2">
      <c r="A38" s="19">
        <f>COUNT($C38:C$49)</f>
        <v>12</v>
      </c>
      <c r="B38" s="28">
        <v>1000</v>
      </c>
      <c r="C38" s="15">
        <v>5.95</v>
      </c>
      <c r="D38" s="17" t="s">
        <v>77</v>
      </c>
      <c r="E38" s="89">
        <v>1000</v>
      </c>
      <c r="F38" s="56">
        <f t="shared" si="10"/>
        <v>5.9500000000000004E-2</v>
      </c>
      <c r="G38" s="83">
        <f t="shared" ca="1" si="3"/>
        <v>27</v>
      </c>
      <c r="H38" s="16">
        <v>50359</v>
      </c>
      <c r="I38" s="16">
        <v>50359</v>
      </c>
      <c r="J38" s="11">
        <v>5.7160000000000002</v>
      </c>
      <c r="K38" s="27">
        <f t="shared" si="7"/>
        <v>29.750000000000004</v>
      </c>
      <c r="L38" s="27">
        <f t="shared" si="4"/>
        <v>1023.34</v>
      </c>
      <c r="M38" s="27">
        <f t="shared" ca="1" si="8"/>
        <v>1021.8085719652389</v>
      </c>
      <c r="N38" s="45">
        <f t="shared" si="9"/>
        <v>5.7160000000000002E-2</v>
      </c>
      <c r="O38" s="11">
        <v>102.334</v>
      </c>
      <c r="P38" s="19" t="str">
        <f t="shared" ca="1" si="5"/>
        <v>Sell</v>
      </c>
      <c r="Q38" t="s">
        <v>85</v>
      </c>
    </row>
    <row r="39" spans="1:17" ht="17" x14ac:dyDescent="0.2">
      <c r="A39" s="19">
        <f>COUNT($C39:C$49)</f>
        <v>11</v>
      </c>
      <c r="B39" s="28">
        <v>1000</v>
      </c>
      <c r="C39" s="15">
        <v>4.6500000000000004</v>
      </c>
      <c r="D39" s="17" t="s">
        <v>77</v>
      </c>
      <c r="E39" s="89">
        <v>1000</v>
      </c>
      <c r="F39" s="56">
        <f t="shared" si="10"/>
        <v>4.6500000000000007E-2</v>
      </c>
      <c r="G39" s="83">
        <f t="shared" ca="1" si="3"/>
        <v>41</v>
      </c>
      <c r="H39" s="24">
        <v>52580</v>
      </c>
      <c r="I39" s="16">
        <v>52763</v>
      </c>
      <c r="J39" s="11">
        <v>2.9870000000000001</v>
      </c>
      <c r="K39" s="27">
        <f t="shared" si="7"/>
        <v>23.250000000000004</v>
      </c>
      <c r="L39" s="27">
        <f t="shared" si="4"/>
        <v>1266.43</v>
      </c>
      <c r="M39" s="27">
        <f t="shared" ca="1" si="8"/>
        <v>1253.5735271045901</v>
      </c>
      <c r="N39" s="45">
        <f t="shared" si="9"/>
        <v>2.9870000000000001E-2</v>
      </c>
      <c r="O39" s="11">
        <v>126.643</v>
      </c>
      <c r="P39" s="19" t="str">
        <f t="shared" ca="1" si="5"/>
        <v>Sell</v>
      </c>
    </row>
    <row r="40" spans="1:17" ht="17" x14ac:dyDescent="0.2">
      <c r="A40" s="19">
        <f>COUNT($C40:C$49)</f>
        <v>10</v>
      </c>
      <c r="B40" s="28">
        <v>1000</v>
      </c>
      <c r="C40" s="15">
        <v>2.75</v>
      </c>
      <c r="D40" s="17" t="s">
        <v>77</v>
      </c>
      <c r="E40" s="89">
        <v>1000</v>
      </c>
      <c r="F40" s="56">
        <f t="shared" si="10"/>
        <v>2.75E-2</v>
      </c>
      <c r="G40" s="83">
        <f t="shared" ca="1" si="3"/>
        <v>3</v>
      </c>
      <c r="H40" s="24">
        <v>45717</v>
      </c>
      <c r="I40" s="16">
        <v>45809</v>
      </c>
      <c r="J40" s="11">
        <v>4.6379999999999999</v>
      </c>
      <c r="K40" s="27">
        <f t="shared" si="7"/>
        <v>13.75</v>
      </c>
      <c r="L40" s="27">
        <f t="shared" si="4"/>
        <v>954.5</v>
      </c>
      <c r="M40" s="27">
        <f t="shared" ca="1" si="8"/>
        <v>972.94442582339104</v>
      </c>
      <c r="N40" s="45">
        <f t="shared" si="9"/>
        <v>4.6379999999999998E-2</v>
      </c>
      <c r="O40" s="11">
        <v>95.45</v>
      </c>
      <c r="P40" s="19" t="str">
        <f t="shared" ca="1" si="5"/>
        <v>Buy</v>
      </c>
    </row>
    <row r="41" spans="1:17" ht="17" x14ac:dyDescent="0.2">
      <c r="A41" s="19">
        <f>COUNT($C41:C$49)</f>
        <v>9</v>
      </c>
      <c r="B41" s="28">
        <v>1000</v>
      </c>
      <c r="C41" s="15">
        <v>3.7</v>
      </c>
      <c r="D41" s="17" t="s">
        <v>77</v>
      </c>
      <c r="E41" s="89">
        <v>1000</v>
      </c>
      <c r="F41" s="56">
        <f t="shared" si="10"/>
        <v>3.7000000000000005E-2</v>
      </c>
      <c r="G41" s="83">
        <f t="shared" ca="1" si="3"/>
        <v>41</v>
      </c>
      <c r="H41" s="24">
        <v>52841</v>
      </c>
      <c r="I41" s="16">
        <v>53022</v>
      </c>
      <c r="J41" s="11">
        <v>5.0469999999999997</v>
      </c>
      <c r="K41" s="27">
        <f t="shared" si="7"/>
        <v>18.500000000000004</v>
      </c>
      <c r="L41" s="27">
        <f t="shared" si="4"/>
        <v>820.43000000000006</v>
      </c>
      <c r="M41" s="27">
        <f t="shared" ca="1" si="8"/>
        <v>829.17570693417781</v>
      </c>
      <c r="N41" s="45">
        <f t="shared" si="9"/>
        <v>5.0469999999999994E-2</v>
      </c>
      <c r="O41" s="11">
        <v>82.043000000000006</v>
      </c>
      <c r="P41" s="19" t="str">
        <f t="shared" ca="1" si="5"/>
        <v>Buy</v>
      </c>
    </row>
    <row r="42" spans="1:17" ht="17" x14ac:dyDescent="0.2">
      <c r="A42" s="19">
        <f>COUNT($C42:C$49)</f>
        <v>8</v>
      </c>
      <c r="B42" s="28">
        <v>1000</v>
      </c>
      <c r="C42" s="15">
        <v>3.1</v>
      </c>
      <c r="D42" s="17" t="s">
        <v>77</v>
      </c>
      <c r="E42" s="89">
        <v>1000</v>
      </c>
      <c r="F42" s="56">
        <f t="shared" si="10"/>
        <v>3.1E-2</v>
      </c>
      <c r="G42" s="83">
        <f t="shared" ca="1" si="3"/>
        <v>7</v>
      </c>
      <c r="H42" s="24">
        <v>46433</v>
      </c>
      <c r="I42" s="16">
        <v>46522</v>
      </c>
      <c r="J42" s="11">
        <v>4.577</v>
      </c>
      <c r="K42" s="27">
        <f t="shared" si="7"/>
        <v>15.5</v>
      </c>
      <c r="L42" s="27">
        <f t="shared" si="4"/>
        <v>940.06</v>
      </c>
      <c r="M42" s="27">
        <f t="shared" ca="1" si="8"/>
        <v>952.72996665592859</v>
      </c>
      <c r="N42" s="45">
        <f t="shared" si="9"/>
        <v>4.5769999999999998E-2</v>
      </c>
      <c r="O42" s="11">
        <v>94.006</v>
      </c>
      <c r="P42" s="19" t="str">
        <f t="shared" ca="1" si="5"/>
        <v>Buy</v>
      </c>
    </row>
    <row r="43" spans="1:17" ht="17" x14ac:dyDescent="0.2">
      <c r="A43" s="19">
        <f>COUNT($C43:C$49)</f>
        <v>7</v>
      </c>
      <c r="B43" s="28">
        <v>1000</v>
      </c>
      <c r="C43" s="15">
        <v>3.95</v>
      </c>
      <c r="D43" s="17" t="s">
        <v>77</v>
      </c>
      <c r="E43" s="89">
        <v>1000</v>
      </c>
      <c r="F43" s="56">
        <f t="shared" si="10"/>
        <v>3.95E-2</v>
      </c>
      <c r="G43" s="83">
        <f t="shared" ca="1" si="3"/>
        <v>45</v>
      </c>
      <c r="H43" s="24">
        <v>53646</v>
      </c>
      <c r="I43" s="16">
        <v>53827</v>
      </c>
      <c r="J43" s="11">
        <v>5.1130000000000004</v>
      </c>
      <c r="K43" s="27">
        <f t="shared" si="7"/>
        <v>19.75</v>
      </c>
      <c r="L43" s="27">
        <f t="shared" si="4"/>
        <v>838.43000000000006</v>
      </c>
      <c r="M43" s="27">
        <f t="shared" ca="1" si="8"/>
        <v>845.58050901928539</v>
      </c>
      <c r="N43" s="45">
        <f t="shared" si="9"/>
        <v>5.1130000000000002E-2</v>
      </c>
      <c r="O43" s="11">
        <v>83.843000000000004</v>
      </c>
      <c r="P43" s="19" t="str">
        <f t="shared" ca="1" si="5"/>
        <v>Buy</v>
      </c>
    </row>
    <row r="44" spans="1:17" ht="17" x14ac:dyDescent="0.2">
      <c r="A44" s="19">
        <f>COUNT($C44:C$49)</f>
        <v>6</v>
      </c>
      <c r="B44" s="28">
        <v>1000</v>
      </c>
      <c r="C44" s="15">
        <v>3.375</v>
      </c>
      <c r="D44" s="17" t="s">
        <v>77</v>
      </c>
      <c r="E44" s="89">
        <v>1000</v>
      </c>
      <c r="F44" s="56">
        <f t="shared" si="10"/>
        <v>3.3750000000000002E-2</v>
      </c>
      <c r="G44" s="83">
        <f t="shared" ca="1" si="3"/>
        <v>11</v>
      </c>
      <c r="H44" s="24">
        <v>47102</v>
      </c>
      <c r="I44" s="16">
        <v>47192</v>
      </c>
      <c r="J44" s="11">
        <v>4.6440000000000001</v>
      </c>
      <c r="K44" s="27">
        <f t="shared" si="7"/>
        <v>16.875</v>
      </c>
      <c r="L44" s="27">
        <f t="shared" si="4"/>
        <v>930.63</v>
      </c>
      <c r="M44" s="27">
        <f t="shared" ca="1" si="8"/>
        <v>939.02472782503889</v>
      </c>
      <c r="N44" s="45">
        <f t="shared" si="9"/>
        <v>4.6440000000000002E-2</v>
      </c>
      <c r="O44" s="11">
        <v>93.063000000000002</v>
      </c>
      <c r="P44" s="19" t="str">
        <f t="shared" ca="1" si="5"/>
        <v>Buy</v>
      </c>
    </row>
    <row r="45" spans="1:17" ht="17" x14ac:dyDescent="0.2">
      <c r="A45" s="19">
        <f>COUNT($C45:C$49)</f>
        <v>5</v>
      </c>
      <c r="B45" s="28">
        <v>1000</v>
      </c>
      <c r="C45" s="15">
        <v>3.875</v>
      </c>
      <c r="D45" s="17" t="s">
        <v>77</v>
      </c>
      <c r="E45" s="89">
        <v>1000</v>
      </c>
      <c r="F45" s="56">
        <f t="shared" si="10"/>
        <v>3.875E-2</v>
      </c>
      <c r="G45" s="83">
        <f t="shared" ca="1" si="3"/>
        <v>29</v>
      </c>
      <c r="H45" s="24">
        <v>50663</v>
      </c>
      <c r="I45" s="16">
        <v>50844</v>
      </c>
      <c r="J45" s="11">
        <v>5.3380000000000001</v>
      </c>
      <c r="K45" s="27">
        <f t="shared" si="7"/>
        <v>19.375</v>
      </c>
      <c r="L45" s="27">
        <f t="shared" si="4"/>
        <v>841.39</v>
      </c>
      <c r="M45" s="27">
        <f t="shared" ca="1" si="8"/>
        <v>853.60797648022674</v>
      </c>
      <c r="N45" s="45">
        <f t="shared" si="9"/>
        <v>5.3380000000000004E-2</v>
      </c>
      <c r="O45" s="87">
        <v>84.138999999999996</v>
      </c>
      <c r="P45" s="19" t="str">
        <f t="shared" ca="1" si="5"/>
        <v>Buy</v>
      </c>
    </row>
    <row r="46" spans="1:17" ht="17" x14ac:dyDescent="0.2">
      <c r="A46" s="19">
        <f>COUNT($C46:C$49)</f>
        <v>4</v>
      </c>
      <c r="B46" s="28">
        <v>1000</v>
      </c>
      <c r="C46" s="15">
        <v>3.95</v>
      </c>
      <c r="D46" s="17" t="s">
        <v>77</v>
      </c>
      <c r="E46" s="89">
        <v>1000</v>
      </c>
      <c r="F46" s="56">
        <f t="shared" si="10"/>
        <v>3.95E-2</v>
      </c>
      <c r="G46" s="83">
        <f t="shared" ca="1" si="3"/>
        <v>49</v>
      </c>
      <c r="H46" s="24">
        <v>54316</v>
      </c>
      <c r="I46" s="16">
        <v>54497</v>
      </c>
      <c r="J46" s="11">
        <v>5.0149999999999997</v>
      </c>
      <c r="K46" s="27">
        <f t="shared" si="7"/>
        <v>19.75</v>
      </c>
      <c r="L46" s="27">
        <f t="shared" si="4"/>
        <v>845.14</v>
      </c>
      <c r="M46" s="27">
        <f t="shared" ca="1" si="8"/>
        <v>850.74041012543182</v>
      </c>
      <c r="N46" s="45">
        <f t="shared" si="9"/>
        <v>5.015E-2</v>
      </c>
      <c r="O46" s="87">
        <v>84.513999999999996</v>
      </c>
      <c r="P46" s="19" t="str">
        <f t="shared" ca="1" si="5"/>
        <v>Buy</v>
      </c>
    </row>
    <row r="47" spans="1:17" ht="17" x14ac:dyDescent="0.2">
      <c r="A47" s="19">
        <f>COUNT($C47:C$49)</f>
        <v>3</v>
      </c>
      <c r="B47" s="28">
        <v>1000</v>
      </c>
      <c r="C47" s="15">
        <v>4.1500000000000004</v>
      </c>
      <c r="D47" s="17" t="s">
        <v>77</v>
      </c>
      <c r="E47" s="89">
        <v>1000</v>
      </c>
      <c r="F47" s="56">
        <f t="shared" si="10"/>
        <v>4.1500000000000002E-2</v>
      </c>
      <c r="G47" s="83">
        <f t="shared" ca="1" si="3"/>
        <v>69</v>
      </c>
      <c r="H47" s="24">
        <v>57968</v>
      </c>
      <c r="I47" s="16">
        <v>58149</v>
      </c>
      <c r="J47" s="11">
        <v>5.2469999999999999</v>
      </c>
      <c r="K47" s="27">
        <f t="shared" si="7"/>
        <v>20.75</v>
      </c>
      <c r="L47" s="27">
        <f t="shared" si="4"/>
        <v>822.59</v>
      </c>
      <c r="M47" s="27">
        <f t="shared" ca="1" si="8"/>
        <v>825.94401166988087</v>
      </c>
      <c r="N47" s="45">
        <f t="shared" si="9"/>
        <v>5.2469999999999996E-2</v>
      </c>
      <c r="O47" s="87">
        <v>82.259</v>
      </c>
      <c r="P47" s="19" t="str">
        <f t="shared" ca="1" si="5"/>
        <v>Buy</v>
      </c>
    </row>
    <row r="48" spans="1:17" x14ac:dyDescent="0.2">
      <c r="A48" s="19">
        <f>COUNT($C48:C$49)</f>
        <v>2</v>
      </c>
      <c r="B48" s="28">
        <v>1000</v>
      </c>
      <c r="C48" s="15">
        <v>2.25</v>
      </c>
      <c r="D48" s="15" t="s">
        <v>77</v>
      </c>
      <c r="E48" s="89">
        <v>1000</v>
      </c>
      <c r="F48" s="56">
        <f t="shared" si="10"/>
        <v>2.2499999999999999E-2</v>
      </c>
      <c r="G48" s="83">
        <f t="shared" ca="1" si="3"/>
        <v>51</v>
      </c>
      <c r="H48" s="24">
        <v>54742</v>
      </c>
      <c r="I48" s="16">
        <v>54923</v>
      </c>
      <c r="J48" s="11">
        <v>4.8460000000000001</v>
      </c>
      <c r="K48" s="27">
        <f t="shared" si="7"/>
        <v>11.25</v>
      </c>
      <c r="L48" s="27">
        <f t="shared" si="4"/>
        <v>607.59</v>
      </c>
      <c r="M48" s="27">
        <f t="shared" ca="1" si="8"/>
        <v>622.29757415253823</v>
      </c>
      <c r="N48" s="45">
        <f t="shared" si="9"/>
        <v>4.8460000000000003E-2</v>
      </c>
      <c r="O48" s="11">
        <v>60.759</v>
      </c>
      <c r="P48" s="19" t="str">
        <f t="shared" ca="1" si="5"/>
        <v>Buy</v>
      </c>
    </row>
    <row r="49" spans="1:16" x14ac:dyDescent="0.2">
      <c r="A49" s="19">
        <f>COUNT($C49:C$49)</f>
        <v>1</v>
      </c>
      <c r="B49" s="28">
        <v>1000</v>
      </c>
      <c r="C49" s="15">
        <v>2.5</v>
      </c>
      <c r="D49" s="15" t="s">
        <v>77</v>
      </c>
      <c r="E49" s="89">
        <v>1000</v>
      </c>
      <c r="F49" s="56">
        <f t="shared" si="10"/>
        <v>2.5000000000000001E-2</v>
      </c>
      <c r="G49" s="83">
        <f t="shared" ca="1" si="3"/>
        <v>73</v>
      </c>
      <c r="H49" s="24">
        <v>58515</v>
      </c>
      <c r="I49" s="16">
        <v>58699</v>
      </c>
      <c r="J49" s="11">
        <v>4.97</v>
      </c>
      <c r="K49" s="27">
        <f t="shared" si="7"/>
        <v>12.5</v>
      </c>
      <c r="L49" s="27">
        <f t="shared" si="4"/>
        <v>580.39</v>
      </c>
      <c r="M49" s="27">
        <f t="shared" ca="1" si="8"/>
        <v>585.83868846699261</v>
      </c>
      <c r="N49" s="45">
        <f t="shared" si="9"/>
        <v>4.9699999999999994E-2</v>
      </c>
      <c r="O49" s="11">
        <v>58.039000000000001</v>
      </c>
      <c r="P49" s="19" t="str">
        <f t="shared" ca="1" si="5"/>
        <v>Buy</v>
      </c>
    </row>
    <row r="50" spans="1:16" x14ac:dyDescent="0.2">
      <c r="C50" s="20"/>
      <c r="D50" s="20"/>
      <c r="E50" s="20"/>
      <c r="F50" s="20"/>
      <c r="G50" s="82"/>
      <c r="H50" s="82"/>
      <c r="M50" s="12"/>
    </row>
    <row r="51" spans="1:16" x14ac:dyDescent="0.2">
      <c r="C51" s="20"/>
      <c r="D51" s="20"/>
      <c r="E51" s="20"/>
      <c r="F51" s="20"/>
      <c r="G51" s="20"/>
      <c r="H51" s="20"/>
      <c r="M51" s="11"/>
    </row>
    <row r="52" spans="1:16" x14ac:dyDescent="0.2">
      <c r="C52" s="21"/>
      <c r="D52" s="21"/>
      <c r="E52" s="21"/>
      <c r="F52" s="21"/>
      <c r="G52" s="21"/>
      <c r="H52" s="21"/>
      <c r="M52" s="11"/>
    </row>
    <row r="53" spans="1:16" x14ac:dyDescent="0.2">
      <c r="C53" s="20"/>
      <c r="D53" s="20"/>
      <c r="E53" s="20"/>
      <c r="F53" s="20"/>
      <c r="G53" s="20"/>
      <c r="H53" s="20"/>
      <c r="M53" s="11"/>
    </row>
    <row r="54" spans="1:16" x14ac:dyDescent="0.2">
      <c r="C54" s="20"/>
      <c r="D54" s="20"/>
      <c r="E54" s="20"/>
      <c r="F54" s="20"/>
      <c r="G54" s="20"/>
      <c r="H54" s="20"/>
      <c r="M54" s="11"/>
    </row>
    <row r="55" spans="1:16" x14ac:dyDescent="0.2">
      <c r="C55" s="20"/>
      <c r="D55" s="20"/>
      <c r="E55" s="20"/>
      <c r="F55" s="20"/>
      <c r="G55" s="20"/>
      <c r="H55" s="20"/>
      <c r="M55" s="13"/>
    </row>
    <row r="56" spans="1:16" x14ac:dyDescent="0.2">
      <c r="C56" s="20"/>
      <c r="D56" s="20"/>
      <c r="E56" s="20"/>
      <c r="F56" s="20"/>
      <c r="G56" s="20"/>
      <c r="H56" s="20"/>
      <c r="M56" s="11"/>
    </row>
    <row r="57" spans="1:16" x14ac:dyDescent="0.2">
      <c r="C57" s="22"/>
      <c r="D57" s="22"/>
      <c r="E57" s="22"/>
      <c r="F57" s="22"/>
      <c r="G57" s="22"/>
      <c r="H57" s="22"/>
      <c r="M57" s="11"/>
    </row>
    <row r="58" spans="1:16" x14ac:dyDescent="0.2">
      <c r="C58" s="20"/>
      <c r="D58" s="20"/>
      <c r="E58" s="20"/>
      <c r="F58" s="20"/>
      <c r="G58" s="20"/>
      <c r="H58" s="20"/>
      <c r="M58" s="11"/>
    </row>
    <row r="59" spans="1:16" x14ac:dyDescent="0.2">
      <c r="C59" s="20"/>
      <c r="D59" s="20"/>
      <c r="E59" s="20"/>
      <c r="F59" s="20"/>
      <c r="G59" s="20"/>
      <c r="H59" s="20"/>
      <c r="M59" s="11"/>
    </row>
    <row r="60" spans="1:16" x14ac:dyDescent="0.2">
      <c r="C60" s="20"/>
      <c r="D60" s="20"/>
      <c r="E60" s="20"/>
      <c r="F60" s="20"/>
      <c r="G60" s="20"/>
      <c r="H60" s="20"/>
      <c r="M60" s="12"/>
    </row>
    <row r="61" spans="1:16" x14ac:dyDescent="0.2">
      <c r="C61" s="20"/>
      <c r="D61" s="20"/>
      <c r="E61" s="20"/>
      <c r="F61" s="20"/>
      <c r="G61" s="20"/>
      <c r="H61" s="20"/>
      <c r="M61" s="11"/>
    </row>
    <row r="62" spans="1:16" x14ac:dyDescent="0.2">
      <c r="C62" s="21"/>
      <c r="D62" s="21"/>
      <c r="E62" s="21"/>
      <c r="F62" s="21"/>
      <c r="G62" s="21"/>
      <c r="H62" s="21"/>
      <c r="M62" s="11"/>
    </row>
    <row r="63" spans="1:16" x14ac:dyDescent="0.2">
      <c r="C63" s="20"/>
      <c r="D63" s="20"/>
      <c r="E63" s="20"/>
      <c r="F63" s="20"/>
      <c r="G63" s="20"/>
      <c r="H63" s="20"/>
      <c r="M63" s="11"/>
    </row>
    <row r="64" spans="1:16" x14ac:dyDescent="0.2">
      <c r="C64" s="20"/>
      <c r="D64" s="20"/>
      <c r="E64" s="20"/>
      <c r="F64" s="20"/>
      <c r="G64" s="20"/>
      <c r="H64" s="20"/>
      <c r="M64" s="13"/>
    </row>
    <row r="65" spans="3:13" x14ac:dyDescent="0.2">
      <c r="C65" s="20"/>
      <c r="D65" s="20"/>
      <c r="E65" s="20"/>
      <c r="F65" s="20"/>
      <c r="G65" s="20"/>
      <c r="H65" s="20"/>
      <c r="M65" s="11"/>
    </row>
    <row r="66" spans="3:13" x14ac:dyDescent="0.2">
      <c r="C66" s="22"/>
      <c r="D66" s="22"/>
      <c r="E66" s="22"/>
      <c r="F66" s="22"/>
      <c r="G66" s="22"/>
      <c r="H66" s="22"/>
      <c r="M66" s="11"/>
    </row>
    <row r="67" spans="3:13" x14ac:dyDescent="0.2">
      <c r="C67" s="20"/>
      <c r="D67" s="20"/>
      <c r="E67" s="20"/>
      <c r="F67" s="20"/>
      <c r="G67" s="20"/>
      <c r="H67" s="20"/>
      <c r="M67" s="11"/>
    </row>
    <row r="68" spans="3:13" x14ac:dyDescent="0.2">
      <c r="C68" s="20"/>
      <c r="D68" s="20"/>
      <c r="E68" s="20"/>
      <c r="F68" s="20"/>
      <c r="G68" s="20"/>
      <c r="H68" s="20"/>
      <c r="M68" s="11"/>
    </row>
    <row r="69" spans="3:13" x14ac:dyDescent="0.2">
      <c r="C69" s="20"/>
      <c r="D69" s="20"/>
      <c r="E69" s="20"/>
      <c r="F69" s="20"/>
      <c r="G69" s="20"/>
      <c r="H69" s="20"/>
      <c r="M69" s="12"/>
    </row>
    <row r="70" spans="3:13" x14ac:dyDescent="0.2">
      <c r="C70" s="20"/>
      <c r="D70" s="20"/>
      <c r="E70" s="20"/>
      <c r="F70" s="20"/>
      <c r="G70" s="20"/>
      <c r="H70" s="20"/>
      <c r="M70" s="11"/>
    </row>
    <row r="71" spans="3:13" x14ac:dyDescent="0.2">
      <c r="C71" s="21"/>
      <c r="D71" s="21"/>
      <c r="E71" s="21"/>
      <c r="F71" s="21"/>
      <c r="G71" s="21"/>
      <c r="H71" s="21"/>
      <c r="M71" s="11"/>
    </row>
    <row r="72" spans="3:13" x14ac:dyDescent="0.2">
      <c r="C72" s="20"/>
      <c r="D72" s="20"/>
      <c r="E72" s="20"/>
      <c r="F72" s="20"/>
      <c r="G72" s="20"/>
      <c r="H72" s="20"/>
      <c r="M72" s="11"/>
    </row>
    <row r="73" spans="3:13" x14ac:dyDescent="0.2">
      <c r="C73" s="20"/>
      <c r="D73" s="20"/>
      <c r="E73" s="20"/>
      <c r="F73" s="20"/>
      <c r="G73" s="20"/>
      <c r="H73" s="20"/>
      <c r="M73" s="11"/>
    </row>
    <row r="74" spans="3:13" x14ac:dyDescent="0.2">
      <c r="C74" s="20"/>
      <c r="D74" s="20"/>
      <c r="E74" s="20"/>
      <c r="F74" s="20"/>
      <c r="G74" s="20"/>
      <c r="H74" s="20"/>
      <c r="M74" s="13"/>
    </row>
    <row r="75" spans="3:13" x14ac:dyDescent="0.2">
      <c r="C75" s="20"/>
      <c r="D75" s="20"/>
      <c r="E75" s="20"/>
      <c r="F75" s="20"/>
      <c r="G75" s="20"/>
      <c r="H75" s="20"/>
      <c r="M75" s="11"/>
    </row>
    <row r="76" spans="3:13" x14ac:dyDescent="0.2">
      <c r="C76" s="22"/>
      <c r="D76" s="22"/>
      <c r="E76" s="22"/>
      <c r="F76" s="22"/>
      <c r="G76" s="22"/>
      <c r="H76" s="22"/>
      <c r="M76" s="11"/>
    </row>
    <row r="77" spans="3:13" x14ac:dyDescent="0.2">
      <c r="C77" s="20"/>
      <c r="D77" s="20"/>
      <c r="E77" s="20"/>
      <c r="F77" s="20"/>
      <c r="G77" s="20"/>
      <c r="H77" s="20"/>
      <c r="M77" s="11"/>
    </row>
    <row r="78" spans="3:13" x14ac:dyDescent="0.2">
      <c r="C78" s="20"/>
      <c r="D78" s="20"/>
      <c r="E78" s="20"/>
      <c r="F78" s="20"/>
      <c r="G78" s="20"/>
      <c r="H78" s="20"/>
      <c r="M78" s="11"/>
    </row>
    <row r="79" spans="3:13" x14ac:dyDescent="0.2">
      <c r="C79" s="20"/>
      <c r="D79" s="20"/>
      <c r="E79" s="20"/>
      <c r="F79" s="20"/>
      <c r="G79" s="20"/>
      <c r="H79" s="20"/>
      <c r="M79" s="12"/>
    </row>
    <row r="80" spans="3:13" x14ac:dyDescent="0.2">
      <c r="C80" s="20"/>
      <c r="D80" s="20"/>
      <c r="E80" s="20"/>
      <c r="F80" s="20"/>
      <c r="G80" s="20"/>
      <c r="H80" s="20"/>
      <c r="M80" s="11"/>
    </row>
    <row r="81" spans="3:13" x14ac:dyDescent="0.2">
      <c r="C81" s="21"/>
      <c r="D81" s="21"/>
      <c r="E81" s="21"/>
      <c r="F81" s="21"/>
      <c r="G81" s="21"/>
      <c r="H81" s="21"/>
      <c r="M81" s="11"/>
    </row>
    <row r="82" spans="3:13" x14ac:dyDescent="0.2">
      <c r="C82" s="20"/>
      <c r="D82" s="20"/>
      <c r="E82" s="20"/>
      <c r="F82" s="20"/>
      <c r="G82" s="20"/>
      <c r="H82" s="20"/>
      <c r="M82" s="11"/>
    </row>
    <row r="83" spans="3:13" x14ac:dyDescent="0.2">
      <c r="C83" s="20"/>
      <c r="D83" s="20"/>
      <c r="E83" s="20"/>
      <c r="F83" s="20"/>
      <c r="G83" s="20"/>
      <c r="H83" s="20"/>
      <c r="M83" s="11"/>
    </row>
    <row r="84" spans="3:13" x14ac:dyDescent="0.2">
      <c r="C84" s="20"/>
      <c r="D84" s="20"/>
      <c r="E84" s="20"/>
      <c r="F84" s="20"/>
      <c r="G84" s="20"/>
      <c r="H84" s="20"/>
      <c r="M84" s="13"/>
    </row>
    <row r="85" spans="3:13" x14ac:dyDescent="0.2">
      <c r="C85" s="20"/>
      <c r="D85" s="20"/>
      <c r="E85" s="20"/>
      <c r="F85" s="20"/>
      <c r="G85" s="20"/>
      <c r="H85" s="20"/>
      <c r="M85" s="11"/>
    </row>
    <row r="86" spans="3:13" x14ac:dyDescent="0.2">
      <c r="C86" s="22"/>
      <c r="D86" s="22"/>
      <c r="E86" s="22"/>
      <c r="F86" s="22"/>
      <c r="G86" s="22"/>
      <c r="H86" s="22"/>
      <c r="M86" s="11"/>
    </row>
    <row r="87" spans="3:13" x14ac:dyDescent="0.2">
      <c r="C87" s="20"/>
      <c r="D87" s="20"/>
      <c r="E87" s="20"/>
      <c r="F87" s="20"/>
      <c r="G87" s="20"/>
      <c r="H87" s="20"/>
      <c r="M87" s="11"/>
    </row>
    <row r="88" spans="3:13" x14ac:dyDescent="0.2">
      <c r="C88" s="20"/>
      <c r="D88" s="20"/>
      <c r="E88" s="20"/>
      <c r="F88" s="20"/>
      <c r="G88" s="20"/>
      <c r="H88" s="20"/>
      <c r="M88" s="11"/>
    </row>
    <row r="89" spans="3:13" x14ac:dyDescent="0.2">
      <c r="C89" s="20"/>
      <c r="D89" s="20"/>
      <c r="E89" s="20"/>
      <c r="F89" s="20"/>
      <c r="G89" s="20"/>
      <c r="H89" s="20"/>
      <c r="M89" s="12"/>
    </row>
    <row r="90" spans="3:13" x14ac:dyDescent="0.2">
      <c r="C90" s="20"/>
      <c r="D90" s="20"/>
      <c r="E90" s="20"/>
      <c r="F90" s="20"/>
      <c r="G90" s="20"/>
      <c r="H90" s="20"/>
      <c r="M90" s="11"/>
    </row>
    <row r="91" spans="3:13" x14ac:dyDescent="0.2">
      <c r="C91" s="21"/>
      <c r="D91" s="21"/>
      <c r="E91" s="21"/>
      <c r="F91" s="21"/>
      <c r="G91" s="21"/>
      <c r="H91" s="21"/>
      <c r="M91" s="11"/>
    </row>
    <row r="92" spans="3:13" x14ac:dyDescent="0.2">
      <c r="C92" s="20"/>
      <c r="D92" s="20"/>
      <c r="E92" s="20"/>
      <c r="F92" s="20"/>
      <c r="G92" s="20"/>
      <c r="H92" s="20"/>
      <c r="M92" s="11"/>
    </row>
    <row r="93" spans="3:13" x14ac:dyDescent="0.2">
      <c r="C93" s="20"/>
      <c r="D93" s="20"/>
      <c r="E93" s="20"/>
      <c r="F93" s="20"/>
      <c r="G93" s="20"/>
      <c r="H93" s="20"/>
      <c r="M93" s="13"/>
    </row>
    <row r="94" spans="3:13" x14ac:dyDescent="0.2">
      <c r="C94" s="20"/>
      <c r="D94" s="20"/>
      <c r="E94" s="20"/>
      <c r="F94" s="20"/>
      <c r="G94" s="20"/>
      <c r="H94" s="20"/>
      <c r="M94" s="11"/>
    </row>
    <row r="95" spans="3:13" x14ac:dyDescent="0.2">
      <c r="C95" s="22"/>
      <c r="D95" s="22"/>
      <c r="E95" s="22"/>
      <c r="F95" s="22"/>
      <c r="G95" s="22"/>
      <c r="H95" s="22"/>
      <c r="M95" s="11"/>
    </row>
    <row r="96" spans="3:13" x14ac:dyDescent="0.2">
      <c r="C96" s="20"/>
      <c r="D96" s="20"/>
      <c r="E96" s="20"/>
      <c r="F96" s="20"/>
      <c r="G96" s="20"/>
      <c r="H96" s="20"/>
      <c r="M96" s="11"/>
    </row>
    <row r="97" spans="3:13" x14ac:dyDescent="0.2">
      <c r="C97" s="20"/>
      <c r="D97" s="20"/>
      <c r="E97" s="20"/>
      <c r="F97" s="20"/>
      <c r="G97" s="20"/>
      <c r="H97" s="20"/>
      <c r="M97" s="11"/>
    </row>
    <row r="98" spans="3:13" x14ac:dyDescent="0.2">
      <c r="C98" s="20"/>
      <c r="D98" s="20"/>
      <c r="E98" s="20"/>
      <c r="F98" s="20"/>
      <c r="G98" s="20"/>
      <c r="H98" s="20"/>
      <c r="M98" s="12"/>
    </row>
    <row r="99" spans="3:13" x14ac:dyDescent="0.2">
      <c r="C99" s="20"/>
      <c r="D99" s="20"/>
      <c r="E99" s="20"/>
      <c r="F99" s="20"/>
      <c r="G99" s="20"/>
      <c r="H99" s="20"/>
      <c r="M99" s="11"/>
    </row>
    <row r="100" spans="3:13" x14ac:dyDescent="0.2">
      <c r="C100" s="21"/>
      <c r="D100" s="21"/>
      <c r="E100" s="21"/>
      <c r="F100" s="21"/>
      <c r="G100" s="21"/>
      <c r="H100" s="21"/>
      <c r="M100" s="11"/>
    </row>
    <row r="101" spans="3:13" x14ac:dyDescent="0.2">
      <c r="C101" s="20"/>
      <c r="D101" s="20"/>
      <c r="E101" s="20"/>
      <c r="F101" s="20"/>
      <c r="G101" s="20"/>
      <c r="H101" s="20"/>
      <c r="M101" s="11"/>
    </row>
    <row r="102" spans="3:13" x14ac:dyDescent="0.2">
      <c r="C102" s="20"/>
      <c r="D102" s="20"/>
      <c r="E102" s="20"/>
      <c r="F102" s="20"/>
      <c r="G102" s="20"/>
      <c r="H102" s="20"/>
      <c r="M102" s="11"/>
    </row>
    <row r="103" spans="3:13" x14ac:dyDescent="0.2">
      <c r="C103" s="20"/>
      <c r="D103" s="20"/>
      <c r="E103" s="20"/>
      <c r="F103" s="20"/>
      <c r="G103" s="20"/>
      <c r="H103" s="20"/>
      <c r="M103" s="13"/>
    </row>
    <row r="104" spans="3:13" x14ac:dyDescent="0.2">
      <c r="C104" s="20"/>
      <c r="D104" s="20"/>
      <c r="E104" s="20"/>
      <c r="F104" s="20"/>
      <c r="G104" s="20"/>
      <c r="H104" s="20"/>
      <c r="M104" s="11"/>
    </row>
    <row r="105" spans="3:13" x14ac:dyDescent="0.2">
      <c r="C105" s="22"/>
      <c r="D105" s="22"/>
      <c r="E105" s="22"/>
      <c r="F105" s="22"/>
      <c r="G105" s="22"/>
      <c r="H105" s="22"/>
      <c r="M105" s="11"/>
    </row>
    <row r="106" spans="3:13" x14ac:dyDescent="0.2">
      <c r="C106" s="20"/>
      <c r="D106" s="20"/>
      <c r="E106" s="20"/>
      <c r="F106" s="20"/>
      <c r="G106" s="20"/>
      <c r="H106" s="20"/>
      <c r="M106" s="11"/>
    </row>
    <row r="107" spans="3:13" x14ac:dyDescent="0.2">
      <c r="C107" s="20"/>
      <c r="D107" s="20"/>
      <c r="E107" s="20"/>
      <c r="F107" s="20"/>
      <c r="G107" s="20"/>
      <c r="H107" s="20"/>
      <c r="M107" s="11"/>
    </row>
    <row r="108" spans="3:13" x14ac:dyDescent="0.2">
      <c r="C108" s="20"/>
      <c r="D108" s="20"/>
      <c r="E108" s="20"/>
      <c r="F108" s="20"/>
      <c r="G108" s="20"/>
      <c r="H108" s="20"/>
      <c r="M108" s="12"/>
    </row>
    <row r="109" spans="3:13" x14ac:dyDescent="0.2">
      <c r="C109" s="20"/>
      <c r="D109" s="20"/>
      <c r="E109" s="20"/>
      <c r="F109" s="20"/>
      <c r="G109" s="20"/>
      <c r="H109" s="20"/>
      <c r="M109" s="11"/>
    </row>
    <row r="110" spans="3:13" x14ac:dyDescent="0.2">
      <c r="C110" s="21"/>
      <c r="D110" s="21"/>
      <c r="E110" s="21"/>
      <c r="F110" s="21"/>
      <c r="G110" s="21"/>
      <c r="H110" s="21"/>
      <c r="M110" s="11"/>
    </row>
    <row r="111" spans="3:13" x14ac:dyDescent="0.2">
      <c r="C111" s="20"/>
      <c r="D111" s="20"/>
      <c r="E111" s="20"/>
      <c r="F111" s="20"/>
      <c r="G111" s="20"/>
      <c r="H111" s="20"/>
      <c r="M111" s="11"/>
    </row>
    <row r="112" spans="3:13" x14ac:dyDescent="0.2">
      <c r="C112" s="20"/>
      <c r="D112" s="20"/>
      <c r="E112" s="20"/>
      <c r="F112" s="20"/>
      <c r="G112" s="20"/>
      <c r="H112" s="20"/>
      <c r="M112" s="13"/>
    </row>
    <row r="113" spans="3:13" x14ac:dyDescent="0.2">
      <c r="C113" s="20"/>
      <c r="D113" s="20"/>
      <c r="E113" s="20"/>
      <c r="F113" s="20"/>
      <c r="G113" s="20"/>
      <c r="H113" s="20"/>
      <c r="M113" s="11"/>
    </row>
    <row r="114" spans="3:13" x14ac:dyDescent="0.2">
      <c r="C114" s="22"/>
      <c r="D114" s="22"/>
      <c r="E114" s="22"/>
      <c r="F114" s="22"/>
      <c r="G114" s="22"/>
      <c r="H114" s="22"/>
      <c r="M114" s="11"/>
    </row>
    <row r="115" spans="3:13" x14ac:dyDescent="0.2">
      <c r="C115" s="20"/>
      <c r="D115" s="20"/>
      <c r="E115" s="20"/>
      <c r="F115" s="20"/>
      <c r="G115" s="20"/>
      <c r="H115" s="20"/>
      <c r="M115" s="11"/>
    </row>
    <row r="116" spans="3:13" x14ac:dyDescent="0.2">
      <c r="C116" s="20"/>
      <c r="D116" s="20"/>
      <c r="E116" s="20"/>
      <c r="F116" s="20"/>
      <c r="G116" s="20"/>
      <c r="H116" s="20"/>
      <c r="M116" s="11"/>
    </row>
    <row r="117" spans="3:13" x14ac:dyDescent="0.2">
      <c r="C117" s="20"/>
      <c r="D117" s="20"/>
      <c r="E117" s="20"/>
      <c r="F117" s="20"/>
      <c r="G117" s="20"/>
      <c r="H117" s="20"/>
      <c r="M117" s="12"/>
    </row>
    <row r="118" spans="3:13" x14ac:dyDescent="0.2">
      <c r="C118" s="20"/>
      <c r="D118" s="20"/>
      <c r="E118" s="20"/>
      <c r="F118" s="20"/>
      <c r="G118" s="20"/>
      <c r="H118" s="20"/>
      <c r="M118" s="11"/>
    </row>
    <row r="119" spans="3:13" x14ac:dyDescent="0.2">
      <c r="C119" s="21"/>
      <c r="D119" s="21"/>
      <c r="E119" s="21"/>
      <c r="F119" s="21"/>
      <c r="G119" s="21"/>
      <c r="H119" s="21"/>
      <c r="M119" s="11"/>
    </row>
    <row r="120" spans="3:13" x14ac:dyDescent="0.2">
      <c r="C120" s="20"/>
      <c r="D120" s="20"/>
      <c r="E120" s="20"/>
      <c r="F120" s="20"/>
      <c r="G120" s="20"/>
      <c r="H120" s="20"/>
      <c r="M120" s="11"/>
    </row>
    <row r="121" spans="3:13" x14ac:dyDescent="0.2">
      <c r="C121" s="20"/>
      <c r="D121" s="20"/>
      <c r="E121" s="20"/>
      <c r="F121" s="20"/>
      <c r="G121" s="20"/>
      <c r="H121" s="20"/>
      <c r="M121" s="11"/>
    </row>
    <row r="122" spans="3:13" x14ac:dyDescent="0.2">
      <c r="C122" s="20"/>
      <c r="D122" s="20"/>
      <c r="E122" s="20"/>
      <c r="F122" s="20"/>
      <c r="G122" s="20"/>
      <c r="H122" s="20"/>
      <c r="M122" s="13"/>
    </row>
    <row r="123" spans="3:13" x14ac:dyDescent="0.2">
      <c r="C123" s="20"/>
      <c r="D123" s="20"/>
      <c r="E123" s="20"/>
      <c r="F123" s="20"/>
      <c r="G123" s="20"/>
      <c r="H123" s="20"/>
      <c r="M123" s="11"/>
    </row>
    <row r="124" spans="3:13" x14ac:dyDescent="0.2">
      <c r="C124" s="22"/>
      <c r="D124" s="22"/>
      <c r="E124" s="22"/>
      <c r="F124" s="22"/>
      <c r="G124" s="22"/>
      <c r="H124" s="22"/>
      <c r="M124" s="11"/>
    </row>
    <row r="125" spans="3:13" x14ac:dyDescent="0.2">
      <c r="C125" s="20"/>
      <c r="D125" s="20"/>
      <c r="E125" s="20"/>
      <c r="F125" s="20"/>
      <c r="G125" s="20"/>
      <c r="H125" s="20"/>
      <c r="M125" s="11"/>
    </row>
    <row r="126" spans="3:13" x14ac:dyDescent="0.2">
      <c r="C126" s="20"/>
      <c r="D126" s="20"/>
      <c r="E126" s="20"/>
      <c r="F126" s="20"/>
      <c r="G126" s="20"/>
      <c r="H126" s="20"/>
      <c r="M126" s="11"/>
    </row>
    <row r="127" spans="3:13" x14ac:dyDescent="0.2">
      <c r="C127" s="20"/>
      <c r="D127" s="20"/>
      <c r="E127" s="20"/>
      <c r="F127" s="20"/>
      <c r="G127" s="20"/>
      <c r="H127" s="20"/>
      <c r="M127" s="12"/>
    </row>
    <row r="128" spans="3:13" x14ac:dyDescent="0.2">
      <c r="C128" s="20"/>
      <c r="D128" s="20"/>
      <c r="E128" s="20"/>
      <c r="F128" s="20"/>
      <c r="G128" s="20"/>
      <c r="H128" s="20"/>
      <c r="M128" s="11"/>
    </row>
    <row r="129" spans="3:13" x14ac:dyDescent="0.2">
      <c r="C129" s="21"/>
      <c r="D129" s="21"/>
      <c r="E129" s="21"/>
      <c r="F129" s="21"/>
      <c r="G129" s="21"/>
      <c r="H129" s="21"/>
      <c r="M129" s="11"/>
    </row>
    <row r="130" spans="3:13" x14ac:dyDescent="0.2">
      <c r="C130" s="20"/>
      <c r="D130" s="20"/>
      <c r="E130" s="20"/>
      <c r="F130" s="20"/>
      <c r="G130" s="20"/>
      <c r="H130" s="20"/>
      <c r="M130" s="11"/>
    </row>
    <row r="131" spans="3:13" x14ac:dyDescent="0.2">
      <c r="C131" s="20"/>
      <c r="D131" s="20"/>
      <c r="E131" s="20"/>
      <c r="F131" s="20"/>
      <c r="G131" s="20"/>
      <c r="H131" s="20"/>
      <c r="M131" s="13"/>
    </row>
    <row r="132" spans="3:13" x14ac:dyDescent="0.2">
      <c r="C132" s="20"/>
      <c r="D132" s="20"/>
      <c r="E132" s="20"/>
      <c r="F132" s="20"/>
      <c r="G132" s="20"/>
      <c r="H132" s="20"/>
      <c r="M132" s="11"/>
    </row>
    <row r="133" spans="3:13" x14ac:dyDescent="0.2">
      <c r="C133" s="22"/>
      <c r="D133" s="22"/>
      <c r="E133" s="22"/>
      <c r="F133" s="22"/>
      <c r="G133" s="22"/>
      <c r="H133" s="22"/>
      <c r="M133" s="11"/>
    </row>
    <row r="134" spans="3:13" x14ac:dyDescent="0.2">
      <c r="C134" s="20"/>
      <c r="D134" s="20"/>
      <c r="E134" s="20"/>
      <c r="F134" s="20"/>
      <c r="G134" s="20"/>
      <c r="H134" s="20"/>
      <c r="M134" s="11"/>
    </row>
    <row r="135" spans="3:13" x14ac:dyDescent="0.2">
      <c r="C135" s="20"/>
      <c r="D135" s="20"/>
      <c r="E135" s="20"/>
      <c r="F135" s="20"/>
      <c r="G135" s="20"/>
      <c r="H135" s="20"/>
      <c r="M135" s="11"/>
    </row>
    <row r="136" spans="3:13" x14ac:dyDescent="0.2">
      <c r="C136" s="20"/>
      <c r="D136" s="20"/>
      <c r="E136" s="20"/>
      <c r="F136" s="20"/>
      <c r="G136" s="20"/>
      <c r="H136" s="20"/>
      <c r="M136" s="12"/>
    </row>
    <row r="137" spans="3:13" x14ac:dyDescent="0.2">
      <c r="C137" s="20"/>
      <c r="D137" s="20"/>
      <c r="E137" s="20"/>
      <c r="F137" s="20"/>
      <c r="G137" s="20"/>
      <c r="H137" s="20"/>
      <c r="M137" s="11"/>
    </row>
    <row r="138" spans="3:13" x14ac:dyDescent="0.2">
      <c r="C138" s="21"/>
      <c r="D138" s="21"/>
      <c r="E138" s="21"/>
      <c r="F138" s="21"/>
      <c r="G138" s="21"/>
      <c r="H138" s="21"/>
      <c r="M138" s="11"/>
    </row>
    <row r="139" spans="3:13" x14ac:dyDescent="0.2">
      <c r="C139" s="20"/>
      <c r="D139" s="20"/>
      <c r="E139" s="20"/>
      <c r="F139" s="20"/>
      <c r="G139" s="20"/>
      <c r="H139" s="20"/>
      <c r="M139" s="11"/>
    </row>
    <row r="140" spans="3:13" x14ac:dyDescent="0.2">
      <c r="C140" s="20"/>
      <c r="D140" s="20"/>
      <c r="E140" s="20"/>
      <c r="F140" s="20"/>
      <c r="G140" s="20"/>
      <c r="H140" s="20"/>
      <c r="M140" s="11"/>
    </row>
    <row r="141" spans="3:13" x14ac:dyDescent="0.2">
      <c r="C141" s="20"/>
      <c r="D141" s="20"/>
      <c r="E141" s="20"/>
      <c r="F141" s="20"/>
      <c r="G141" s="20"/>
      <c r="H141" s="20"/>
      <c r="M141" s="13"/>
    </row>
    <row r="142" spans="3:13" x14ac:dyDescent="0.2">
      <c r="C142" s="20"/>
      <c r="D142" s="20"/>
      <c r="E142" s="20"/>
      <c r="F142" s="20"/>
      <c r="G142" s="20"/>
      <c r="H142" s="20"/>
      <c r="M142" s="11"/>
    </row>
    <row r="143" spans="3:13" x14ac:dyDescent="0.2">
      <c r="C143" s="22"/>
      <c r="D143" s="22"/>
      <c r="E143" s="22"/>
      <c r="F143" s="22"/>
      <c r="G143" s="22"/>
      <c r="H143" s="22"/>
      <c r="M143" s="11"/>
    </row>
    <row r="144" spans="3:13" x14ac:dyDescent="0.2">
      <c r="C144" s="20"/>
      <c r="D144" s="20"/>
      <c r="E144" s="20"/>
      <c r="F144" s="20"/>
      <c r="G144" s="20"/>
      <c r="H144" s="20"/>
      <c r="M144" s="11"/>
    </row>
    <row r="145" spans="3:13" x14ac:dyDescent="0.2">
      <c r="C145" s="20"/>
      <c r="D145" s="20"/>
      <c r="E145" s="20"/>
      <c r="F145" s="20"/>
      <c r="G145" s="20"/>
      <c r="H145" s="20"/>
      <c r="M145" s="11"/>
    </row>
    <row r="146" spans="3:13" x14ac:dyDescent="0.2">
      <c r="C146" s="20"/>
      <c r="D146" s="20"/>
      <c r="E146" s="20"/>
      <c r="F146" s="20"/>
      <c r="G146" s="20"/>
      <c r="H146" s="20"/>
      <c r="M146" s="12"/>
    </row>
    <row r="147" spans="3:13" x14ac:dyDescent="0.2">
      <c r="C147" s="20"/>
      <c r="D147" s="20"/>
      <c r="E147" s="20"/>
      <c r="F147" s="20"/>
      <c r="G147" s="20"/>
      <c r="H147" s="20"/>
      <c r="M147" s="11"/>
    </row>
    <row r="148" spans="3:13" x14ac:dyDescent="0.2">
      <c r="C148" s="21"/>
      <c r="D148" s="21"/>
      <c r="E148" s="21"/>
      <c r="F148" s="21"/>
      <c r="G148" s="21"/>
      <c r="H148" s="21"/>
      <c r="M148" s="11"/>
    </row>
    <row r="149" spans="3:13" x14ac:dyDescent="0.2">
      <c r="C149" s="20"/>
      <c r="D149" s="20"/>
      <c r="E149" s="20"/>
      <c r="F149" s="20"/>
      <c r="G149" s="20"/>
      <c r="H149" s="20"/>
      <c r="M149" s="11"/>
    </row>
    <row r="150" spans="3:13" x14ac:dyDescent="0.2">
      <c r="C150" s="20"/>
      <c r="D150" s="20"/>
      <c r="E150" s="20"/>
      <c r="F150" s="20"/>
      <c r="G150" s="20"/>
      <c r="H150" s="20"/>
      <c r="M150" s="11"/>
    </row>
    <row r="151" spans="3:13" x14ac:dyDescent="0.2">
      <c r="C151" s="20"/>
      <c r="D151" s="20"/>
      <c r="E151" s="20"/>
      <c r="F151" s="20"/>
      <c r="G151" s="20"/>
      <c r="H151" s="20"/>
      <c r="M151" s="13"/>
    </row>
    <row r="152" spans="3:13" x14ac:dyDescent="0.2">
      <c r="C152" s="20"/>
      <c r="D152" s="20"/>
      <c r="E152" s="20"/>
      <c r="F152" s="20"/>
      <c r="G152" s="20"/>
      <c r="H152" s="20"/>
      <c r="M152" s="11"/>
    </row>
    <row r="153" spans="3:13" x14ac:dyDescent="0.2">
      <c r="C153" s="22"/>
      <c r="D153" s="22"/>
      <c r="E153" s="22"/>
      <c r="F153" s="22"/>
      <c r="G153" s="22"/>
      <c r="H153" s="22"/>
      <c r="M153" s="11"/>
    </row>
    <row r="154" spans="3:13" x14ac:dyDescent="0.2">
      <c r="C154" s="20"/>
      <c r="D154" s="20"/>
      <c r="E154" s="20"/>
      <c r="F154" s="20"/>
      <c r="G154" s="20"/>
      <c r="H154" s="20"/>
      <c r="M154" s="11"/>
    </row>
    <row r="155" spans="3:13" x14ac:dyDescent="0.2">
      <c r="C155" s="20"/>
      <c r="D155" s="20"/>
      <c r="E155" s="20"/>
      <c r="F155" s="20"/>
      <c r="G155" s="20"/>
      <c r="H155" s="20"/>
      <c r="M155" s="11"/>
    </row>
    <row r="156" spans="3:13" x14ac:dyDescent="0.2">
      <c r="C156" s="20"/>
      <c r="D156" s="20"/>
      <c r="E156" s="20"/>
      <c r="F156" s="20"/>
      <c r="G156" s="20"/>
      <c r="H156" s="20"/>
      <c r="M156" s="12"/>
    </row>
    <row r="157" spans="3:13" x14ac:dyDescent="0.2">
      <c r="C157" s="20"/>
      <c r="D157" s="20"/>
      <c r="E157" s="20"/>
      <c r="F157" s="20"/>
      <c r="G157" s="20"/>
      <c r="H157" s="20"/>
      <c r="M157" s="11"/>
    </row>
    <row r="158" spans="3:13" x14ac:dyDescent="0.2">
      <c r="C158" s="21"/>
      <c r="D158" s="21"/>
      <c r="E158" s="21"/>
      <c r="F158" s="21"/>
      <c r="G158" s="21"/>
      <c r="H158" s="21"/>
      <c r="M158" s="11"/>
    </row>
    <row r="159" spans="3:13" x14ac:dyDescent="0.2">
      <c r="C159" s="20"/>
      <c r="D159" s="20"/>
      <c r="E159" s="20"/>
      <c r="F159" s="20"/>
      <c r="G159" s="20"/>
      <c r="H159" s="20"/>
      <c r="M159" s="11"/>
    </row>
    <row r="160" spans="3:13" x14ac:dyDescent="0.2">
      <c r="C160" s="20"/>
      <c r="D160" s="20"/>
      <c r="E160" s="20"/>
      <c r="F160" s="20"/>
      <c r="G160" s="20"/>
      <c r="H160" s="20"/>
      <c r="M160" s="11"/>
    </row>
    <row r="161" spans="3:13" x14ac:dyDescent="0.2">
      <c r="C161" s="20"/>
      <c r="D161" s="20"/>
      <c r="E161" s="20"/>
      <c r="F161" s="20"/>
      <c r="G161" s="20"/>
      <c r="H161" s="20"/>
      <c r="M161" s="13"/>
    </row>
    <row r="162" spans="3:13" x14ac:dyDescent="0.2">
      <c r="C162" s="20"/>
      <c r="D162" s="20"/>
      <c r="E162" s="20"/>
      <c r="F162" s="20"/>
      <c r="G162" s="20"/>
      <c r="H162" s="20"/>
      <c r="M162" s="11"/>
    </row>
    <row r="163" spans="3:13" x14ac:dyDescent="0.2">
      <c r="C163" s="22"/>
      <c r="D163" s="22"/>
      <c r="E163" s="22"/>
      <c r="F163" s="22"/>
      <c r="G163" s="22"/>
      <c r="H163" s="22"/>
      <c r="M163" s="11"/>
    </row>
    <row r="164" spans="3:13" x14ac:dyDescent="0.2">
      <c r="C164" s="20"/>
      <c r="D164" s="20"/>
      <c r="E164" s="20"/>
      <c r="F164" s="20"/>
      <c r="G164" s="20"/>
      <c r="H164" s="20"/>
      <c r="M164" s="11"/>
    </row>
    <row r="165" spans="3:13" x14ac:dyDescent="0.2">
      <c r="C165" s="20"/>
      <c r="D165" s="20"/>
      <c r="E165" s="20"/>
      <c r="F165" s="20"/>
      <c r="G165" s="20"/>
      <c r="H165" s="20"/>
      <c r="M165" s="11"/>
    </row>
    <row r="166" spans="3:13" x14ac:dyDescent="0.2">
      <c r="C166" s="20"/>
      <c r="D166" s="20"/>
      <c r="E166" s="20"/>
      <c r="F166" s="20"/>
      <c r="G166" s="20"/>
      <c r="H166" s="20"/>
      <c r="M166" s="12"/>
    </row>
    <row r="167" spans="3:13" x14ac:dyDescent="0.2">
      <c r="C167" s="20"/>
      <c r="D167" s="20"/>
      <c r="E167" s="20"/>
      <c r="F167" s="20"/>
      <c r="G167" s="20"/>
      <c r="H167" s="20"/>
      <c r="M167" s="11"/>
    </row>
    <row r="168" spans="3:13" x14ac:dyDescent="0.2">
      <c r="C168" s="21"/>
      <c r="D168" s="21"/>
      <c r="E168" s="21"/>
      <c r="F168" s="21"/>
      <c r="G168" s="21"/>
      <c r="H168" s="21"/>
      <c r="M168" s="11"/>
    </row>
    <row r="169" spans="3:13" x14ac:dyDescent="0.2">
      <c r="C169" s="20"/>
      <c r="D169" s="20"/>
      <c r="E169" s="20"/>
      <c r="F169" s="20"/>
      <c r="G169" s="20"/>
      <c r="H169" s="20"/>
      <c r="M169" s="11"/>
    </row>
    <row r="170" spans="3:13" x14ac:dyDescent="0.2">
      <c r="C170" s="20"/>
      <c r="D170" s="20"/>
      <c r="E170" s="20"/>
      <c r="F170" s="20"/>
      <c r="G170" s="20"/>
      <c r="H170" s="20"/>
      <c r="M170" s="11"/>
    </row>
    <row r="171" spans="3:13" x14ac:dyDescent="0.2">
      <c r="C171" s="20"/>
      <c r="D171" s="20"/>
      <c r="E171" s="20"/>
      <c r="F171" s="20"/>
      <c r="G171" s="20"/>
      <c r="H171" s="20"/>
      <c r="M171" s="13"/>
    </row>
    <row r="172" spans="3:13" x14ac:dyDescent="0.2">
      <c r="C172" s="20"/>
      <c r="D172" s="20"/>
      <c r="E172" s="20"/>
      <c r="F172" s="20"/>
      <c r="G172" s="20"/>
      <c r="H172" s="20"/>
      <c r="M172" s="11"/>
    </row>
    <row r="173" spans="3:13" x14ac:dyDescent="0.2">
      <c r="C173" s="22"/>
      <c r="D173" s="22"/>
      <c r="E173" s="22"/>
      <c r="F173" s="22"/>
      <c r="G173" s="22"/>
      <c r="H173" s="22"/>
      <c r="M173" s="11"/>
    </row>
    <row r="174" spans="3:13" x14ac:dyDescent="0.2">
      <c r="C174" s="20"/>
      <c r="D174" s="20"/>
      <c r="E174" s="20"/>
      <c r="F174" s="20"/>
      <c r="G174" s="20"/>
      <c r="H174" s="20"/>
      <c r="M174" s="11"/>
    </row>
    <row r="175" spans="3:13" x14ac:dyDescent="0.2">
      <c r="C175" s="20"/>
      <c r="D175" s="20"/>
      <c r="E175" s="20"/>
      <c r="F175" s="20"/>
      <c r="G175" s="20"/>
      <c r="H175" s="20"/>
      <c r="M175" s="11"/>
    </row>
    <row r="176" spans="3:13" x14ac:dyDescent="0.2">
      <c r="C176" s="20"/>
      <c r="D176" s="20"/>
      <c r="E176" s="20"/>
      <c r="F176" s="20"/>
      <c r="G176" s="20"/>
      <c r="H176" s="20"/>
      <c r="M176" s="12"/>
    </row>
    <row r="177" spans="3:13" x14ac:dyDescent="0.2">
      <c r="C177" s="20"/>
      <c r="D177" s="20"/>
      <c r="E177" s="20"/>
      <c r="F177" s="20"/>
      <c r="G177" s="20"/>
      <c r="H177" s="20"/>
      <c r="M177" s="11"/>
    </row>
    <row r="178" spans="3:13" x14ac:dyDescent="0.2">
      <c r="C178" s="21"/>
      <c r="D178" s="21"/>
      <c r="E178" s="21"/>
      <c r="F178" s="21"/>
      <c r="G178" s="21"/>
      <c r="H178" s="21"/>
      <c r="M178" s="11"/>
    </row>
    <row r="179" spans="3:13" x14ac:dyDescent="0.2">
      <c r="C179" s="20"/>
      <c r="D179" s="20"/>
      <c r="E179" s="20"/>
      <c r="F179" s="20"/>
      <c r="G179" s="20"/>
      <c r="H179" s="20"/>
      <c r="M179" s="11"/>
    </row>
    <row r="180" spans="3:13" x14ac:dyDescent="0.2">
      <c r="C180" s="20"/>
      <c r="D180" s="20"/>
      <c r="E180" s="20"/>
      <c r="F180" s="20"/>
      <c r="G180" s="20"/>
      <c r="H180" s="20"/>
      <c r="M180" s="11"/>
    </row>
    <row r="181" spans="3:13" x14ac:dyDescent="0.2">
      <c r="C181" s="20"/>
      <c r="D181" s="20"/>
      <c r="E181" s="20"/>
      <c r="F181" s="20"/>
      <c r="G181" s="20"/>
      <c r="H181" s="20"/>
      <c r="M181" s="13"/>
    </row>
    <row r="182" spans="3:13" x14ac:dyDescent="0.2">
      <c r="C182" s="20"/>
      <c r="D182" s="20"/>
      <c r="E182" s="20"/>
      <c r="F182" s="20"/>
      <c r="G182" s="20"/>
      <c r="H182" s="20"/>
      <c r="M182" s="11"/>
    </row>
    <row r="183" spans="3:13" x14ac:dyDescent="0.2">
      <c r="C183" s="22"/>
      <c r="D183" s="22"/>
      <c r="E183" s="22"/>
      <c r="F183" s="22"/>
      <c r="G183" s="22"/>
      <c r="H183" s="22"/>
      <c r="M183" s="11"/>
    </row>
    <row r="184" spans="3:13" x14ac:dyDescent="0.2">
      <c r="C184" s="20"/>
      <c r="D184" s="20"/>
      <c r="E184" s="20"/>
      <c r="F184" s="20"/>
      <c r="G184" s="20"/>
      <c r="H184" s="20"/>
      <c r="M184" s="11"/>
    </row>
    <row r="185" spans="3:13" x14ac:dyDescent="0.2">
      <c r="C185" s="20"/>
      <c r="D185" s="20"/>
      <c r="E185" s="20"/>
      <c r="F185" s="20"/>
      <c r="G185" s="20"/>
      <c r="H185" s="20"/>
      <c r="M185" s="11"/>
    </row>
    <row r="186" spans="3:13" x14ac:dyDescent="0.2">
      <c r="C186" s="20"/>
      <c r="D186" s="20"/>
      <c r="E186" s="20"/>
      <c r="F186" s="20"/>
      <c r="G186" s="20"/>
      <c r="H186" s="20"/>
      <c r="M186" s="12"/>
    </row>
    <row r="187" spans="3:13" x14ac:dyDescent="0.2">
      <c r="C187" s="20"/>
      <c r="D187" s="20"/>
      <c r="E187" s="20"/>
      <c r="F187" s="20"/>
      <c r="G187" s="20"/>
      <c r="H187" s="20"/>
      <c r="M187" s="11"/>
    </row>
    <row r="188" spans="3:13" x14ac:dyDescent="0.2">
      <c r="C188" s="21"/>
      <c r="D188" s="21"/>
      <c r="E188" s="21"/>
      <c r="F188" s="21"/>
      <c r="G188" s="21"/>
      <c r="H188" s="21"/>
      <c r="M188" s="11"/>
    </row>
    <row r="189" spans="3:13" x14ac:dyDescent="0.2">
      <c r="C189" s="20"/>
      <c r="D189" s="20"/>
      <c r="E189" s="20"/>
      <c r="F189" s="20"/>
      <c r="G189" s="20"/>
      <c r="H189" s="20"/>
      <c r="M189" s="11"/>
    </row>
    <row r="190" spans="3:13" x14ac:dyDescent="0.2">
      <c r="C190" s="20"/>
      <c r="D190" s="20"/>
      <c r="E190" s="20"/>
      <c r="F190" s="20"/>
      <c r="G190" s="20"/>
      <c r="H190" s="20"/>
      <c r="M190" s="11"/>
    </row>
    <row r="191" spans="3:13" x14ac:dyDescent="0.2">
      <c r="C191" s="20"/>
      <c r="D191" s="20"/>
      <c r="E191" s="20"/>
      <c r="F191" s="20"/>
      <c r="G191" s="20"/>
      <c r="H191" s="20"/>
      <c r="M191" s="13"/>
    </row>
    <row r="192" spans="3:13" x14ac:dyDescent="0.2">
      <c r="C192" s="20"/>
      <c r="D192" s="20"/>
      <c r="E192" s="20"/>
      <c r="F192" s="20"/>
      <c r="G192" s="20"/>
      <c r="H192" s="20"/>
      <c r="M192" s="11"/>
    </row>
    <row r="193" spans="3:13" x14ac:dyDescent="0.2">
      <c r="C193" s="22"/>
      <c r="D193" s="22"/>
      <c r="E193" s="22"/>
      <c r="F193" s="22"/>
      <c r="G193" s="22"/>
      <c r="H193" s="22"/>
      <c r="M193" s="11"/>
    </row>
    <row r="194" spans="3:13" x14ac:dyDescent="0.2">
      <c r="C194" s="20"/>
      <c r="D194" s="20"/>
      <c r="E194" s="20"/>
      <c r="F194" s="20"/>
      <c r="G194" s="20"/>
      <c r="H194" s="20"/>
      <c r="M194" s="11"/>
    </row>
    <row r="195" spans="3:13" x14ac:dyDescent="0.2">
      <c r="C195" s="20"/>
      <c r="D195" s="20"/>
      <c r="E195" s="20"/>
      <c r="F195" s="20"/>
      <c r="G195" s="20"/>
      <c r="H195" s="20"/>
      <c r="M195" s="11"/>
    </row>
    <row r="196" spans="3:13" x14ac:dyDescent="0.2">
      <c r="C196" s="20"/>
      <c r="D196" s="20"/>
      <c r="E196" s="20"/>
      <c r="F196" s="20"/>
      <c r="G196" s="20"/>
      <c r="H196" s="20"/>
      <c r="M196" s="12"/>
    </row>
    <row r="197" spans="3:13" x14ac:dyDescent="0.2">
      <c r="C197" s="20"/>
      <c r="D197" s="20"/>
      <c r="E197" s="20"/>
      <c r="F197" s="20"/>
      <c r="G197" s="20"/>
      <c r="H197" s="20"/>
      <c r="M197" s="11"/>
    </row>
    <row r="198" spans="3:13" x14ac:dyDescent="0.2">
      <c r="C198" s="21"/>
      <c r="D198" s="21"/>
      <c r="E198" s="21"/>
      <c r="F198" s="21"/>
      <c r="G198" s="21"/>
      <c r="H198" s="21"/>
      <c r="M198" s="11"/>
    </row>
    <row r="199" spans="3:13" x14ac:dyDescent="0.2">
      <c r="C199" s="20"/>
      <c r="D199" s="20"/>
      <c r="E199" s="20"/>
      <c r="F199" s="20"/>
      <c r="G199" s="20"/>
      <c r="H199" s="20"/>
      <c r="M199" s="14"/>
    </row>
    <row r="200" spans="3:13" x14ac:dyDescent="0.2">
      <c r="C200" s="20"/>
      <c r="D200" s="20"/>
      <c r="E200" s="20"/>
      <c r="F200" s="20"/>
      <c r="G200" s="20"/>
      <c r="H200" s="20"/>
    </row>
    <row r="201" spans="3:13" x14ac:dyDescent="0.2">
      <c r="C201" s="23"/>
      <c r="D201" s="23"/>
      <c r="E201" s="23"/>
      <c r="F201" s="23"/>
      <c r="G201" s="23"/>
      <c r="H201" s="23"/>
    </row>
  </sheetData>
  <sortState xmlns:xlrd2="http://schemas.microsoft.com/office/spreadsheetml/2017/richdata2" ref="A4:P30">
    <sortCondition descending="1" ref="A4:A30"/>
  </sortState>
  <phoneticPr fontId="22" type="noConversion"/>
  <pageMargins left="0.7" right="0.7" top="0.75" bottom="0.75" header="0.3" footer="0.3"/>
  <ignoredErrors>
    <ignoredError sqref="A35:A48 A5:A29" formulaRange="1"/>
    <ignoredError sqref="M6 M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Statements </vt:lpstr>
      <vt:lpstr>1_Risk-Return Analysis</vt:lpstr>
      <vt:lpstr>2_Stock Valuation</vt:lpstr>
      <vt:lpstr>3 Bond 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Friedmann, Eli</dc:creator>
  <cp:keywords/>
  <dc:description/>
  <cp:lastModifiedBy>Friedmann, Eli</cp:lastModifiedBy>
  <cp:revision/>
  <dcterms:created xsi:type="dcterms:W3CDTF">2022-10-16T05:43:28Z</dcterms:created>
  <dcterms:modified xsi:type="dcterms:W3CDTF">2023-12-12T03:06:21Z</dcterms:modified>
  <cp:category/>
  <cp:contentStatus/>
</cp:coreProperties>
</file>