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MEGAsync\sporteth\docs\"/>
    </mc:Choice>
  </mc:AlternateContent>
  <xr:revisionPtr revIDLastSave="0" documentId="13_ncr:1_{B6DABCEF-84EE-46F7-BDF4-84330F2031A9}" xr6:coauthVersionLast="47" xr6:coauthVersionMax="47" xr10:uidLastSave="{00000000-0000-0000-0000-000000000000}"/>
  <bookViews>
    <workbookView xWindow="31350" yWindow="2055" windowWidth="23340" windowHeight="11295" activeTab="1" xr2:uid="{1230EDBB-7CF7-4CB6-8A8B-436EE42A5ED4}"/>
  </bookViews>
  <sheets>
    <sheet name="OddsAlgorithm" sheetId="10" r:id="rId1"/>
    <sheet name="MLtoDE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" l="1"/>
  <c r="E18" i="10"/>
  <c r="D18" i="10"/>
  <c r="D16" i="10"/>
  <c r="E17" i="10" s="1"/>
  <c r="J9" i="4"/>
  <c r="J19" i="4" s="1"/>
  <c r="J6" i="4"/>
  <c r="K9" i="4" l="1"/>
  <c r="O9" i="4" s="1"/>
  <c r="I10" i="4"/>
  <c r="I11" i="4" s="1"/>
  <c r="I8" i="4"/>
  <c r="L8" i="4"/>
  <c r="K8" i="4"/>
  <c r="D25" i="4"/>
  <c r="E25" i="4"/>
  <c r="F25" i="4"/>
  <c r="D23" i="4"/>
  <c r="E23" i="4"/>
  <c r="F23" i="4"/>
  <c r="D24" i="4"/>
  <c r="E24" i="4"/>
  <c r="F24" i="4"/>
  <c r="C18" i="4"/>
  <c r="C19" i="4" s="1"/>
  <c r="C20" i="4" s="1"/>
  <c r="C21" i="4" s="1"/>
  <c r="C22" i="4" s="1"/>
  <c r="C17" i="4"/>
  <c r="F16" i="4"/>
  <c r="E16" i="4"/>
  <c r="D16" i="4"/>
  <c r="I12" i="4" l="1"/>
  <c r="J11" i="4"/>
  <c r="L11" i="4" s="1"/>
  <c r="K11" i="4"/>
  <c r="L9" i="4"/>
  <c r="N9" i="4" s="1"/>
  <c r="K10" i="4"/>
  <c r="M10" i="4" s="1"/>
  <c r="J10" i="4"/>
  <c r="L10" i="4" s="1"/>
  <c r="P10" i="4" s="1"/>
  <c r="M9" i="4"/>
  <c r="E10" i="10"/>
  <c r="E11" i="10" s="1"/>
  <c r="E12" i="10" s="1"/>
  <c r="F12" i="10" s="1"/>
  <c r="D10" i="10"/>
  <c r="D11" i="10" s="1"/>
  <c r="D12" i="10" s="1"/>
  <c r="K7" i="4"/>
  <c r="P9" i="4" l="1"/>
  <c r="Q9" i="4" s="1"/>
  <c r="R9" i="4" s="1"/>
  <c r="O10" i="4"/>
  <c r="O11" i="4"/>
  <c r="M11" i="4"/>
  <c r="P11" i="4"/>
  <c r="Q11" i="4" s="1"/>
  <c r="R11" i="4" s="1"/>
  <c r="N11" i="4"/>
  <c r="I13" i="4"/>
  <c r="J12" i="4"/>
  <c r="L12" i="4" s="1"/>
  <c r="K12" i="4"/>
  <c r="N10" i="4"/>
  <c r="Q10" i="4"/>
  <c r="R10" i="4" s="1"/>
  <c r="E13" i="10"/>
  <c r="D14" i="10" s="1"/>
  <c r="D15" i="10" s="1"/>
  <c r="O12" i="4" l="1"/>
  <c r="M12" i="4"/>
  <c r="I14" i="4"/>
  <c r="J13" i="4"/>
  <c r="L13" i="4" s="1"/>
  <c r="K13" i="4"/>
  <c r="N12" i="4"/>
  <c r="P12" i="4"/>
  <c r="Q12" i="4" s="1"/>
  <c r="R12" i="4" s="1"/>
  <c r="D19" i="10"/>
  <c r="D20" i="10"/>
  <c r="E19" i="10"/>
  <c r="E20" i="10"/>
  <c r="K5" i="4"/>
  <c r="O5" i="4" s="1"/>
  <c r="S5" i="4" s="1"/>
  <c r="L6" i="4"/>
  <c r="K6" i="4"/>
  <c r="L7" i="4"/>
  <c r="J5" i="4"/>
  <c r="L5" i="4" s="1"/>
  <c r="P5" i="4" s="1"/>
  <c r="Q5" i="4" s="1"/>
  <c r="M13" i="4" l="1"/>
  <c r="O13" i="4"/>
  <c r="P13" i="4"/>
  <c r="Q13" i="4" s="1"/>
  <c r="R13" i="4" s="1"/>
  <c r="N13" i="4"/>
  <c r="I15" i="4"/>
  <c r="J14" i="4"/>
  <c r="L14" i="4" s="1"/>
  <c r="K14" i="4"/>
  <c r="F20" i="10"/>
  <c r="N6" i="4"/>
  <c r="P6" i="4"/>
  <c r="M6" i="4"/>
  <c r="O6" i="4"/>
  <c r="M8" i="4"/>
  <c r="O8" i="4"/>
  <c r="N7" i="4"/>
  <c r="P7" i="4"/>
  <c r="M7" i="4"/>
  <c r="O7" i="4"/>
  <c r="R5" i="4"/>
  <c r="M5" i="4"/>
  <c r="M14" i="4" l="1"/>
  <c r="O14" i="4"/>
  <c r="I16" i="4"/>
  <c r="J15" i="4"/>
  <c r="L15" i="4" s="1"/>
  <c r="K15" i="4"/>
  <c r="N14" i="4"/>
  <c r="P14" i="4"/>
  <c r="Q14" i="4" s="1"/>
  <c r="R14" i="4" s="1"/>
  <c r="Q6" i="4"/>
  <c r="N8" i="4"/>
  <c r="P8" i="4"/>
  <c r="Q7" i="4"/>
  <c r="O15" i="4" l="1"/>
  <c r="M15" i="4"/>
  <c r="P15" i="4"/>
  <c r="Q15" i="4" s="1"/>
  <c r="R15" i="4" s="1"/>
  <c r="N15" i="4"/>
  <c r="I17" i="4"/>
  <c r="J16" i="4"/>
  <c r="L16" i="4" s="1"/>
  <c r="K16" i="4"/>
  <c r="Q8" i="4"/>
  <c r="D13" i="4"/>
  <c r="F13" i="4"/>
  <c r="D12" i="4"/>
  <c r="F12" i="4"/>
  <c r="M16" i="4" l="1"/>
  <c r="O16" i="4"/>
  <c r="I18" i="4"/>
  <c r="I19" i="4" s="1"/>
  <c r="I20" i="4" s="1"/>
  <c r="I21" i="4" s="1"/>
  <c r="I22" i="4" s="1"/>
  <c r="I23" i="4" s="1"/>
  <c r="I24" i="4" s="1"/>
  <c r="I25" i="4" s="1"/>
  <c r="K17" i="4"/>
  <c r="J17" i="4"/>
  <c r="L17" i="4" s="1"/>
  <c r="N16" i="4"/>
  <c r="P16" i="4"/>
  <c r="Q16" i="4" s="1"/>
  <c r="R16" i="4" s="1"/>
  <c r="R8" i="4"/>
  <c r="E13" i="4"/>
  <c r="E12" i="4"/>
  <c r="N5" i="4"/>
  <c r="M17" i="4" l="1"/>
  <c r="O17" i="4"/>
  <c r="N17" i="4"/>
  <c r="P17" i="4"/>
  <c r="E17" i="4"/>
  <c r="F17" i="4"/>
  <c r="E18" i="4"/>
  <c r="F18" i="4"/>
  <c r="E19" i="4"/>
  <c r="F19" i="4"/>
  <c r="E20" i="4"/>
  <c r="F20" i="4"/>
  <c r="E21" i="4"/>
  <c r="F21" i="4"/>
  <c r="E22" i="4"/>
  <c r="F22" i="4"/>
  <c r="D22" i="4"/>
  <c r="D21" i="4"/>
  <c r="D20" i="4"/>
  <c r="D19" i="4"/>
  <c r="D18" i="4"/>
  <c r="D17" i="4"/>
  <c r="D3" i="4"/>
  <c r="F3" i="4"/>
  <c r="D4" i="4"/>
  <c r="F4" i="4"/>
  <c r="D5" i="4"/>
  <c r="F5" i="4"/>
  <c r="D6" i="4"/>
  <c r="F6" i="4"/>
  <c r="D7" i="4"/>
  <c r="E7" i="4" s="1"/>
  <c r="F7" i="4"/>
  <c r="D8" i="4"/>
  <c r="E8" i="4" s="1"/>
  <c r="F8" i="4"/>
  <c r="D9" i="4"/>
  <c r="E9" i="4" s="1"/>
  <c r="F9" i="4"/>
  <c r="D10" i="4"/>
  <c r="E10" i="4" s="1"/>
  <c r="F10" i="4"/>
  <c r="D11" i="4"/>
  <c r="E11" i="4" s="1"/>
  <c r="F11" i="4"/>
  <c r="Q17" i="4" l="1"/>
  <c r="R17" i="4" s="1"/>
  <c r="E3" i="4"/>
  <c r="E6" i="4"/>
  <c r="E5" i="4"/>
  <c r="E4" i="4"/>
  <c r="E14" i="4" l="1"/>
</calcChain>
</file>

<file path=xl/sharedStrings.xml><?xml version="1.0" encoding="utf-8"?>
<sst xmlns="http://schemas.openxmlformats.org/spreadsheetml/2006/main" count="47" uniqueCount="38">
  <si>
    <t>ProbWin</t>
  </si>
  <si>
    <t>Away</t>
  </si>
  <si>
    <t>Home</t>
  </si>
  <si>
    <t>Fractional</t>
  </si>
  <si>
    <t>Decimal</t>
  </si>
  <si>
    <t>MoneyLine</t>
  </si>
  <si>
    <t>Team 1</t>
  </si>
  <si>
    <t>team0</t>
  </si>
  <si>
    <t>Input</t>
  </si>
  <si>
    <t>Contract Odds</t>
  </si>
  <si>
    <t>Actual Payout</t>
  </si>
  <si>
    <t>MoneyLine Odds</t>
  </si>
  <si>
    <t>Arizona</t>
  </si>
  <si>
    <t>Chicago</t>
  </si>
  <si>
    <t>probWin</t>
  </si>
  <si>
    <t>translate to decimal</t>
  </si>
  <si>
    <t>translate to prob(win)</t>
  </si>
  <si>
    <t>calculate spread</t>
  </si>
  <si>
    <t>New prob(win)</t>
  </si>
  <si>
    <t>translate to decimal odds</t>
  </si>
  <si>
    <t>translate to contract input</t>
  </si>
  <si>
    <t>translate to net decimal odds</t>
  </si>
  <si>
    <t>translate to net moneyline</t>
  </si>
  <si>
    <t>Moneyline</t>
  </si>
  <si>
    <t>team[0] &lt; team[1]</t>
  </si>
  <si>
    <t>51.1% + spread/2</t>
  </si>
  <si>
    <t>1/prob(win)</t>
  </si>
  <si>
    <t>1000*(decOdds - 1)</t>
  </si>
  <si>
    <t>1e6/(decOdds[fave] + 45) -45</t>
  </si>
  <si>
    <t>1+decOdds/1000 * 0.95</t>
  </si>
  <si>
    <t>move favorite first</t>
  </si>
  <si>
    <t>what this means for team[1]/dog</t>
  </si>
  <si>
    <t xml:space="preserve"> IF decOdds&lt;2, -100/(decOdds-1); else (decOdds-1)*100</t>
  </si>
  <si>
    <t>IF moneyOdds&lt; 0, -(100-moneyOdds)/moneyOdds; else, moneyOdds/100+1</t>
  </si>
  <si>
    <t>team[0]</t>
  </si>
  <si>
    <t>team[1]</t>
  </si>
  <si>
    <t>prob win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</si>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</sst>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;[Red]#,##0.000"/>
    <numFmt numFmtId="165" formatCode="0.00%;[Red]\-0.00%"/>
    <numFmt numFmtId="166" formatCode="#,##0;[Red]#,##0"/>
    <numFmt numFmtId="167" formatCode="0.0%;[Red]\-0.0%"/>
    <numFmt numFmtId="168" formatCode="#,##0.00;[Red]#,##0.00"/>
    <numFmt numFmtId="169" formatCode="0.000"/>
    <numFmt numFmtId="170" formatCode="[$-409]m/d/yy\ h:mm\ AM/PM;@"/>
    <numFmt numFmtId="171" formatCode="###0;[Red]###0"/>
    <numFmt numFmtId="172" formatCode="0.000%"/>
    <numFmt numFmtId="173" formatCode="0E+00;[Red]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/>
    <xf numFmtId="167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>
      <alignment horizontal="right"/>
    </xf>
    <xf numFmtId="169" fontId="0" fillId="0" borderId="0" xfId="0" applyNumberFormat="1"/>
    <xf numFmtId="0" fontId="0" fillId="2" borderId="0" xfId="0" applyFill="1"/>
    <xf numFmtId="169" fontId="2" fillId="0" borderId="0" xfId="1" applyNumberFormat="1"/>
    <xf numFmtId="166" fontId="1" fillId="0" borderId="4" xfId="0" applyNumberFormat="1" applyFont="1" applyBorder="1"/>
    <xf numFmtId="168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71" fontId="1" fillId="0" borderId="0" xfId="0" applyNumberFormat="1" applyFont="1"/>
    <xf numFmtId="167" fontId="0" fillId="0" borderId="0" xfId="0" applyNumberFormat="1"/>
    <xf numFmtId="171" fontId="1" fillId="0" borderId="5" xfId="0" applyNumberFormat="1" applyFont="1" applyBorder="1"/>
    <xf numFmtId="169" fontId="2" fillId="0" borderId="5" xfId="1" applyNumberFormat="1" applyBorder="1"/>
    <xf numFmtId="166" fontId="1" fillId="0" borderId="5" xfId="0" applyNumberFormat="1" applyFont="1" applyBorder="1"/>
    <xf numFmtId="166" fontId="1" fillId="0" borderId="2" xfId="0" applyNumberFormat="1" applyFont="1" applyBorder="1"/>
    <xf numFmtId="0" fontId="1" fillId="2" borderId="0" xfId="0" applyFont="1" applyFill="1" applyAlignment="1">
      <alignment horizontal="right"/>
    </xf>
    <xf numFmtId="171" fontId="3" fillId="2" borderId="1" xfId="1" applyNumberFormat="1" applyFont="1" applyFill="1" applyBorder="1"/>
    <xf numFmtId="171" fontId="3" fillId="2" borderId="3" xfId="1" applyNumberFormat="1" applyFont="1" applyFill="1" applyBorder="1"/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0" fontId="5" fillId="0" borderId="0" xfId="0" applyFont="1" applyAlignment="1">
      <alignment vertical="center"/>
    </xf>
    <xf numFmtId="168" fontId="0" fillId="0" borderId="0" xfId="0" applyNumberFormat="1"/>
    <xf numFmtId="170" fontId="1" fillId="0" borderId="0" xfId="0" applyNumberFormat="1" applyFont="1"/>
    <xf numFmtId="166" fontId="1" fillId="2" borderId="0" xfId="0" applyNumberFormat="1" applyFont="1" applyFill="1"/>
    <xf numFmtId="166" fontId="0" fillId="0" borderId="0" xfId="0" applyNumberFormat="1"/>
    <xf numFmtId="0" fontId="0" fillId="0" borderId="0" xfId="0" applyAlignment="1">
      <alignment horizontal="right"/>
    </xf>
    <xf numFmtId="17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quotePrefix="1" applyNumberFormat="1"/>
    <xf numFmtId="0" fontId="0" fillId="0" borderId="0" xfId="0" quotePrefix="1"/>
    <xf numFmtId="166" fontId="0" fillId="0" borderId="0" xfId="0" quotePrefix="1" applyNumberFormat="1"/>
    <xf numFmtId="173" fontId="0" fillId="0" borderId="0" xfId="0" applyNumberFormat="1"/>
    <xf numFmtId="11" fontId="1" fillId="0" borderId="0" xfId="0" quotePrefix="1" applyNumberFormat="1" applyFont="1" applyAlignment="1">
      <alignment horizontal="right"/>
    </xf>
    <xf numFmtId="11" fontId="0" fillId="0" borderId="0" xfId="0" applyNumberFormat="1"/>
  </cellXfs>
  <cellStyles count="2">
    <cellStyle name="Excel Built-in Normal" xfId="1" xr:uid="{5CF1FBC3-5FF4-4C75-9E28-0C3DCCB9D487}"/>
    <cellStyle name="Normal" xfId="0" builtinId="0"/>
  </cellStyles>
  <dxfs count="0"/>
  <tableStyles count="0" defaultTableStyle="TableStyleMedium2" defaultPivotStyle="PivotStyleLight16"/>
  <colors>
    <mruColors>
      <color rgb="FFF8AAA4"/>
      <color rgb="FFFD5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8620-0945-449A-8451-223EC56B0F9B}">
  <sheetPr codeName="Sheet5"/>
  <dimension ref="C3:F20"/>
  <sheetViews>
    <sheetView zoomScale="75" zoomScaleNormal="75" workbookViewId="0">
      <selection activeCell="E18" sqref="E18"/>
    </sheetView>
  </sheetViews>
  <sheetFormatPr defaultRowHeight="15" x14ac:dyDescent="0.25"/>
  <cols>
    <col min="3" max="3" width="25.5703125" customWidth="1"/>
    <col min="6" max="6" width="55.28515625" customWidth="1"/>
    <col min="7" max="7" width="24.7109375" customWidth="1"/>
    <col min="10" max="10" width="15.5703125" customWidth="1"/>
    <col min="11" max="11" width="17.85546875" customWidth="1"/>
  </cols>
  <sheetData>
    <row r="3" spans="3:6" x14ac:dyDescent="0.25">
      <c r="D3" s="7" t="s">
        <v>2</v>
      </c>
      <c r="E3" s="7" t="s">
        <v>1</v>
      </c>
    </row>
    <row r="4" spans="3:6" x14ac:dyDescent="0.25">
      <c r="D4" s="7" t="s">
        <v>12</v>
      </c>
      <c r="E4" s="7" t="s">
        <v>13</v>
      </c>
    </row>
    <row r="5" spans="3:6" x14ac:dyDescent="0.25">
      <c r="C5" s="31" t="s">
        <v>23</v>
      </c>
      <c r="D5" s="30">
        <v>125</v>
      </c>
      <c r="E5" s="30">
        <v>-150</v>
      </c>
      <c r="F5" s="3"/>
    </row>
    <row r="8" spans="3:6" x14ac:dyDescent="0.25">
      <c r="D8" t="s">
        <v>34</v>
      </c>
      <c r="E8" t="s">
        <v>35</v>
      </c>
    </row>
    <row r="9" spans="3:6" x14ac:dyDescent="0.25">
      <c r="D9" s="7" t="s">
        <v>13</v>
      </c>
      <c r="E9" s="7" t="s">
        <v>12</v>
      </c>
    </row>
    <row r="10" spans="3:6" x14ac:dyDescent="0.25">
      <c r="C10" s="31" t="s">
        <v>30</v>
      </c>
      <c r="D10" s="30">
        <f>E5</f>
        <v>-150</v>
      </c>
      <c r="E10" s="30">
        <f>D5</f>
        <v>125</v>
      </c>
      <c r="F10" t="s">
        <v>24</v>
      </c>
    </row>
    <row r="11" spans="3:6" x14ac:dyDescent="0.25">
      <c r="C11" s="31" t="s">
        <v>15</v>
      </c>
      <c r="D11" s="5">
        <f>IF(D10&lt;0,-(100-D10)/D10,D10/100+1)</f>
        <v>1.6666666666666667</v>
      </c>
      <c r="E11" s="5">
        <f>IF(E10&lt;0,-(100-E10)/E10,E10/100+1)</f>
        <v>2.25</v>
      </c>
      <c r="F11" s="35" t="s">
        <v>33</v>
      </c>
    </row>
    <row r="12" spans="3:6" x14ac:dyDescent="0.25">
      <c r="C12" s="31" t="s">
        <v>16</v>
      </c>
      <c r="D12" s="4">
        <f>1/D11</f>
        <v>0.6</v>
      </c>
      <c r="E12" s="4">
        <f>1/E11</f>
        <v>0.44444444444444442</v>
      </c>
      <c r="F12" s="4">
        <f>D12+E12</f>
        <v>1.0444444444444443</v>
      </c>
    </row>
    <row r="13" spans="3:6" x14ac:dyDescent="0.25">
      <c r="C13" s="31" t="s">
        <v>17</v>
      </c>
      <c r="E13" s="4">
        <f>D12-E12</f>
        <v>0.15555555555555556</v>
      </c>
    </row>
    <row r="14" spans="3:6" x14ac:dyDescent="0.25">
      <c r="C14" s="32" t="s">
        <v>18</v>
      </c>
      <c r="D14" s="4">
        <f>0.511+E13/2</f>
        <v>0.58877777777777784</v>
      </c>
      <c r="E14" s="4"/>
      <c r="F14" s="36" t="s">
        <v>25</v>
      </c>
    </row>
    <row r="15" spans="3:6" x14ac:dyDescent="0.25">
      <c r="C15" s="34" t="s">
        <v>19</v>
      </c>
      <c r="D15" s="5">
        <f>1/D14</f>
        <v>1.6984336667295714</v>
      </c>
      <c r="F15" s="36" t="s">
        <v>26</v>
      </c>
    </row>
    <row r="16" spans="3:6" x14ac:dyDescent="0.25">
      <c r="C16" s="33" t="s">
        <v>20</v>
      </c>
      <c r="D16" s="29">
        <f>INT(1000*(D15-1))*10</f>
        <v>6980</v>
      </c>
      <c r="F16" s="36" t="s">
        <v>27</v>
      </c>
    </row>
    <row r="17" spans="3:6" x14ac:dyDescent="0.25">
      <c r="C17" s="31" t="s">
        <v>31</v>
      </c>
      <c r="E17" s="2">
        <f>INT(100000000/(D16+450))-450</f>
        <v>13008</v>
      </c>
      <c r="F17" s="36" t="s">
        <v>28</v>
      </c>
    </row>
    <row r="18" spans="3:6" x14ac:dyDescent="0.25">
      <c r="C18" s="33" t="s">
        <v>21</v>
      </c>
      <c r="D18" s="5">
        <f>1+0.95*D16/10000</f>
        <v>1.6631</v>
      </c>
      <c r="E18" s="5">
        <f>1+0.95*E17/10000</f>
        <v>2.23576</v>
      </c>
      <c r="F18" s="36" t="s">
        <v>29</v>
      </c>
    </row>
    <row r="19" spans="3:6" x14ac:dyDescent="0.25">
      <c r="C19" s="31" t="s">
        <v>22</v>
      </c>
      <c r="D19" s="2">
        <f>IF(D18&lt;2,-100/(D18-1),(D18-1)*100)</f>
        <v>-150.80681646810436</v>
      </c>
      <c r="E19" s="2">
        <f>IF(E18&lt;2,-100/(E18-1),(E18-1)*100)</f>
        <v>123.57599999999999</v>
      </c>
      <c r="F19" s="37" t="s">
        <v>32</v>
      </c>
    </row>
    <row r="20" spans="3:6" x14ac:dyDescent="0.25">
      <c r="C20" t="s">
        <v>36</v>
      </c>
      <c r="D20" s="4">
        <f>1/D18</f>
        <v>0.60128675365281703</v>
      </c>
      <c r="E20" s="4">
        <f>1/E18</f>
        <v>0.44727519948473898</v>
      </c>
      <c r="F20" s="4">
        <f>D20+E20</f>
        <v>1.0485619531375561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15ED-B762-437D-8CE3-242998BE45F8}">
  <sheetPr codeName="Sheet4"/>
  <dimension ref="A1:Z41"/>
  <sheetViews>
    <sheetView tabSelected="1" zoomScale="75" zoomScaleNormal="75" workbookViewId="0">
      <selection activeCell="J5" sqref="J5"/>
    </sheetView>
  </sheetViews>
  <sheetFormatPr defaultRowHeight="15" x14ac:dyDescent="0.25"/>
  <cols>
    <col min="3" max="3" width="11" bestFit="1" customWidth="1"/>
    <col min="4" max="4" width="16.85546875" bestFit="1" customWidth="1"/>
    <col min="5" max="5" width="18" customWidth="1"/>
    <col min="6" max="6" width="11" customWidth="1"/>
    <col min="7" max="7" width="23.140625" bestFit="1" customWidth="1"/>
    <col min="8" max="8" width="14.42578125" bestFit="1" customWidth="1"/>
    <col min="9" max="9" width="17.5703125" customWidth="1"/>
    <col min="15" max="15" width="11" bestFit="1" customWidth="1"/>
    <col min="17" max="17" width="14.7109375" customWidth="1"/>
  </cols>
  <sheetData>
    <row r="1" spans="3:26" x14ac:dyDescent="0.25">
      <c r="E1" s="8"/>
      <c r="F1" s="8"/>
      <c r="I1" s="8"/>
    </row>
    <row r="2" spans="3:26" x14ac:dyDescent="0.25">
      <c r="C2" s="7" t="s">
        <v>5</v>
      </c>
      <c r="D2" s="7" t="s">
        <v>4</v>
      </c>
      <c r="E2" s="7" t="s">
        <v>0</v>
      </c>
      <c r="F2" s="7" t="s">
        <v>3</v>
      </c>
      <c r="G2" s="39">
        <v>1000000</v>
      </c>
      <c r="H2" s="40">
        <v>10000000</v>
      </c>
      <c r="I2" s="38">
        <v>100000000</v>
      </c>
      <c r="W2" s="25"/>
    </row>
    <row r="3" spans="3:26" x14ac:dyDescent="0.25">
      <c r="C3">
        <v>-900</v>
      </c>
      <c r="D3" s="5">
        <f t="shared" ref="D3:D12" si="0">IF(C3&lt;0,-(100-C3)/C3,C3/100+1)</f>
        <v>1.1111111111111112</v>
      </c>
      <c r="E3" s="1">
        <f t="shared" ref="E3:E12" si="1">1/D3</f>
        <v>0.89999999999999991</v>
      </c>
      <c r="F3" s="5">
        <f t="shared" ref="F3:F12" si="2">IF(C3&lt;0,-100/C3,C3/100)</f>
        <v>0.1111111111111111</v>
      </c>
      <c r="H3" s="6"/>
      <c r="I3" s="9" t="s">
        <v>8</v>
      </c>
      <c r="K3" t="s">
        <v>10</v>
      </c>
      <c r="M3" t="s">
        <v>11</v>
      </c>
      <c r="O3" t="s">
        <v>14</v>
      </c>
      <c r="W3" s="25"/>
    </row>
    <row r="4" spans="3:26" ht="15.75" thickBot="1" x14ac:dyDescent="0.3">
      <c r="C4">
        <v>600</v>
      </c>
      <c r="D4" s="5">
        <f t="shared" si="0"/>
        <v>7</v>
      </c>
      <c r="E4" s="1">
        <f t="shared" si="1"/>
        <v>0.14285714285714285</v>
      </c>
      <c r="F4" s="5">
        <f t="shared" si="2"/>
        <v>6</v>
      </c>
      <c r="G4" s="4"/>
      <c r="H4" s="6"/>
      <c r="I4" s="20" t="s">
        <v>9</v>
      </c>
      <c r="J4" s="7" t="s">
        <v>6</v>
      </c>
      <c r="K4" s="7" t="s">
        <v>7</v>
      </c>
      <c r="L4" s="7" t="s">
        <v>6</v>
      </c>
      <c r="M4" s="7" t="s">
        <v>7</v>
      </c>
      <c r="N4" s="7" t="s">
        <v>6</v>
      </c>
      <c r="W4" s="25"/>
    </row>
    <row r="5" spans="3:26" x14ac:dyDescent="0.25">
      <c r="C5">
        <v>300</v>
      </c>
      <c r="D5" s="5">
        <f t="shared" si="0"/>
        <v>4</v>
      </c>
      <c r="E5" s="1">
        <f t="shared" si="1"/>
        <v>0.25</v>
      </c>
      <c r="F5" s="5">
        <f t="shared" si="2"/>
        <v>3</v>
      </c>
      <c r="H5" s="6"/>
      <c r="I5" s="21">
        <v>698</v>
      </c>
      <c r="J5" s="16">
        <f>INT(1000000/(I5+45)-45)</f>
        <v>1300</v>
      </c>
      <c r="K5" s="17">
        <f>I5*0.95/1000+1</f>
        <v>1.6631</v>
      </c>
      <c r="L5" s="17">
        <f>J5*0.95/1000+1</f>
        <v>2.2350000000000003</v>
      </c>
      <c r="M5" s="18">
        <f>IF(K5&lt;2,-100/(K5-1),(K5-1)*100)</f>
        <v>-150.80681646810436</v>
      </c>
      <c r="N5" s="19">
        <f>IF(L5&lt;2,-100/(L5-1),(L5-1)*100)</f>
        <v>123.50000000000003</v>
      </c>
      <c r="O5" s="4">
        <f>1/K5</f>
        <v>0.60128675365281703</v>
      </c>
      <c r="P5" s="4">
        <f>1/L5</f>
        <v>0.44742729306487689</v>
      </c>
      <c r="Q5" s="1">
        <f>P5+O5</f>
        <v>1.0487140467176939</v>
      </c>
      <c r="R5">
        <f>6+O5-P5</f>
        <v>6.15385946058794</v>
      </c>
      <c r="S5">
        <f>1000/O5</f>
        <v>1663.1</v>
      </c>
      <c r="T5" t="s">
        <v>37</v>
      </c>
      <c r="W5" s="25"/>
    </row>
    <row r="6" spans="3:26" x14ac:dyDescent="0.25">
      <c r="C6">
        <v>-300</v>
      </c>
      <c r="D6" s="5">
        <f t="shared" si="0"/>
        <v>1.3333333333333333</v>
      </c>
      <c r="E6" s="1">
        <f t="shared" si="1"/>
        <v>0.75</v>
      </c>
      <c r="F6" s="5">
        <f t="shared" si="2"/>
        <v>0.33333333333333331</v>
      </c>
      <c r="H6" s="6"/>
      <c r="I6" s="22">
        <v>698</v>
      </c>
      <c r="J6" s="14">
        <f>G2/(I6+45)</f>
        <v>1345.8950201884254</v>
      </c>
      <c r="K6" s="10">
        <f t="shared" ref="K6" si="3">I6*0.95/1000+1</f>
        <v>1.6631</v>
      </c>
      <c r="L6" s="10">
        <f t="shared" ref="L6:L7" si="4">J6*0.95/1000+1</f>
        <v>2.2786002691790039</v>
      </c>
      <c r="M6" s="2">
        <f t="shared" ref="M6:M8" si="5">IF(K6&lt;2,-100/(K6-1),(K6-1)*100)</f>
        <v>-150.80681646810436</v>
      </c>
      <c r="N6" s="11">
        <f t="shared" ref="N6:N8" si="6">IF(L6&lt;2,-100/(L6-1),(L6-1)*100)</f>
        <v>127.8600269179004</v>
      </c>
      <c r="O6" s="4">
        <f t="shared" ref="O6:O8" si="7">1/K6</f>
        <v>0.60128675365281703</v>
      </c>
      <c r="P6" s="4">
        <f t="shared" ref="P6:P8" si="8">1/L6</f>
        <v>0.43886591848789136</v>
      </c>
      <c r="Q6" s="1">
        <f t="shared" ref="Q6:Q8" si="9">P6+O6</f>
        <v>1.0401526721407084</v>
      </c>
    </row>
    <row r="7" spans="3:26" x14ac:dyDescent="0.25">
      <c r="C7">
        <v>159</v>
      </c>
      <c r="D7" s="5">
        <f t="shared" si="0"/>
        <v>2.59</v>
      </c>
      <c r="E7" s="1">
        <f t="shared" si="1"/>
        <v>0.38610038610038611</v>
      </c>
      <c r="F7" s="5">
        <f t="shared" si="2"/>
        <v>1.59</v>
      </c>
      <c r="H7" s="6"/>
      <c r="I7" s="22"/>
      <c r="J7" s="14"/>
      <c r="K7" s="10">
        <f>I7*0.95/1000+1</f>
        <v>1</v>
      </c>
      <c r="L7" s="10">
        <f t="shared" si="4"/>
        <v>1</v>
      </c>
      <c r="M7" s="2" t="e">
        <f t="shared" si="5"/>
        <v>#DIV/0!</v>
      </c>
      <c r="N7" s="11" t="e">
        <f t="shared" si="6"/>
        <v>#DIV/0!</v>
      </c>
      <c r="O7" s="4">
        <f t="shared" si="7"/>
        <v>1</v>
      </c>
      <c r="P7" s="4">
        <f t="shared" si="8"/>
        <v>1</v>
      </c>
      <c r="Q7" s="1">
        <f t="shared" si="9"/>
        <v>2</v>
      </c>
      <c r="V7" s="7"/>
      <c r="W7" s="7"/>
      <c r="Y7" s="7"/>
      <c r="Z7" s="7"/>
    </row>
    <row r="8" spans="3:26" x14ac:dyDescent="0.25">
      <c r="C8">
        <v>120</v>
      </c>
      <c r="D8" s="5">
        <f t="shared" si="0"/>
        <v>2.2000000000000002</v>
      </c>
      <c r="E8" s="1">
        <f t="shared" si="1"/>
        <v>0.45454545454545453</v>
      </c>
      <c r="F8" s="5">
        <f t="shared" si="2"/>
        <v>1.2</v>
      </c>
      <c r="H8" s="6"/>
      <c r="I8" s="22">
        <f>I5*10</f>
        <v>6980</v>
      </c>
      <c r="J8" s="14">
        <f>I2/(I8+450)-450</f>
        <v>13008.950201884252</v>
      </c>
      <c r="K8" s="10">
        <f>I8*0.95/10000+1</f>
        <v>1.6631</v>
      </c>
      <c r="L8" s="10">
        <f>J8*0.95/10000+1</f>
        <v>2.2358502691790036</v>
      </c>
      <c r="M8" s="2">
        <f t="shared" si="5"/>
        <v>-150.80681646810436</v>
      </c>
      <c r="N8" s="11">
        <f t="shared" si="6"/>
        <v>123.58502691790036</v>
      </c>
      <c r="O8" s="4">
        <f t="shared" si="7"/>
        <v>0.60128675365281703</v>
      </c>
      <c r="P8" s="4">
        <f t="shared" si="8"/>
        <v>0.44725714140383671</v>
      </c>
      <c r="Q8" s="1">
        <f t="shared" si="9"/>
        <v>1.0485438950566537</v>
      </c>
      <c r="R8" s="2">
        <f>Q8*J8/1000</f>
        <v>13.640455315281756</v>
      </c>
      <c r="S8" s="2"/>
      <c r="V8" s="6"/>
      <c r="W8" s="6"/>
      <c r="X8" s="27"/>
      <c r="Y8" s="6"/>
      <c r="Z8" s="6"/>
    </row>
    <row r="9" spans="3:26" x14ac:dyDescent="0.25">
      <c r="C9">
        <v>800</v>
      </c>
      <c r="D9" s="5">
        <f t="shared" si="0"/>
        <v>9</v>
      </c>
      <c r="E9" s="1">
        <f t="shared" si="1"/>
        <v>0.1111111111111111</v>
      </c>
      <c r="F9" s="5">
        <f t="shared" si="2"/>
        <v>8</v>
      </c>
      <c r="H9" s="6"/>
      <c r="I9" s="22">
        <v>5000</v>
      </c>
      <c r="J9" s="14">
        <f>H2/(I9+450)</f>
        <v>1834.8623853211009</v>
      </c>
      <c r="K9" s="10">
        <f t="shared" ref="K9:K10" si="10">I9*0.95/10000+1</f>
        <v>1.4750000000000001</v>
      </c>
      <c r="L9" s="10">
        <f t="shared" ref="L9:L10" si="11">J9*0.95/10000+1</f>
        <v>1.1743119266055047</v>
      </c>
      <c r="M9" s="2">
        <f t="shared" ref="M9:M10" si="12">IF(K9&lt;2,-100/(K9-1),(K9-1)*100)</f>
        <v>-210.52631578947364</v>
      </c>
      <c r="N9" s="11">
        <f t="shared" ref="N9:N10" si="13">IF(L9&lt;2,-100/(L9-1),(L9-1)*100)</f>
        <v>-573.68421052631561</v>
      </c>
      <c r="O9" s="4">
        <f t="shared" ref="O9:O10" si="14">1/K9</f>
        <v>0.67796610169491522</v>
      </c>
      <c r="P9" s="4">
        <f t="shared" ref="P9:P10" si="15">1/L9</f>
        <v>0.8515625</v>
      </c>
      <c r="Q9" s="1">
        <f t="shared" ref="Q9:Q10" si="16">P9+O9</f>
        <v>1.5295286016949152</v>
      </c>
      <c r="R9" s="2">
        <f t="shared" ref="R9:R10" si="17">Q9*J9/1000</f>
        <v>2.8064744985227805</v>
      </c>
      <c r="S9" s="2"/>
      <c r="U9" s="5"/>
      <c r="V9" s="6"/>
      <c r="W9" s="6"/>
    </row>
    <row r="10" spans="3:26" x14ac:dyDescent="0.25">
      <c r="C10">
        <v>150</v>
      </c>
      <c r="D10" s="5">
        <f t="shared" si="0"/>
        <v>2.5</v>
      </c>
      <c r="E10" s="1">
        <f t="shared" si="1"/>
        <v>0.4</v>
      </c>
      <c r="F10" s="5">
        <f t="shared" si="2"/>
        <v>1.5</v>
      </c>
      <c r="H10" s="6"/>
      <c r="I10" s="22">
        <f t="shared" ref="I10" si="18">I7*10</f>
        <v>0</v>
      </c>
      <c r="J10" s="14">
        <f t="shared" ref="J10:J17" si="19">INT(100000000/(I10+450)-450)</f>
        <v>221772</v>
      </c>
      <c r="K10" s="10">
        <f t="shared" si="10"/>
        <v>1</v>
      </c>
      <c r="L10" s="10">
        <f t="shared" si="11"/>
        <v>22.068339999999999</v>
      </c>
      <c r="M10" s="2" t="e">
        <f t="shared" si="12"/>
        <v>#DIV/0!</v>
      </c>
      <c r="N10" s="11">
        <f t="shared" si="13"/>
        <v>2106.8339999999998</v>
      </c>
      <c r="O10" s="4">
        <f t="shared" si="14"/>
        <v>1</v>
      </c>
      <c r="P10" s="4">
        <f t="shared" si="15"/>
        <v>4.5313784362575528E-2</v>
      </c>
      <c r="Q10" s="1">
        <f t="shared" si="16"/>
        <v>1.0453137843625755</v>
      </c>
      <c r="R10" s="2">
        <f t="shared" si="17"/>
        <v>231.82132858565708</v>
      </c>
      <c r="S10" s="2"/>
    </row>
    <row r="11" spans="3:26" x14ac:dyDescent="0.25">
      <c r="C11">
        <v>110</v>
      </c>
      <c r="D11" s="5">
        <f t="shared" si="0"/>
        <v>2.1</v>
      </c>
      <c r="E11" s="1">
        <f t="shared" si="1"/>
        <v>0.47619047619047616</v>
      </c>
      <c r="F11" s="5">
        <f t="shared" si="2"/>
        <v>1.1000000000000001</v>
      </c>
      <c r="H11" s="6"/>
      <c r="I11" s="22">
        <f t="shared" ref="I11:I25" si="20">I10+500</f>
        <v>500</v>
      </c>
      <c r="J11" s="14">
        <f t="shared" si="19"/>
        <v>104813</v>
      </c>
      <c r="K11" s="10">
        <f t="shared" ref="K11:K17" si="21">I11*0.95/10000+1</f>
        <v>1.0475000000000001</v>
      </c>
      <c r="L11" s="10">
        <f t="shared" ref="L11:L17" si="22">J11*0.95/10000+1</f>
        <v>10.957234999999999</v>
      </c>
      <c r="M11" s="2">
        <f t="shared" ref="M11:M17" si="23">IF(K11&lt;2,-100/(K11-1),(K11-1)*100)</f>
        <v>-2105.2631578947326</v>
      </c>
      <c r="N11" s="11">
        <f t="shared" ref="N11:N17" si="24">IF(L11&lt;2,-100/(L11-1),(L11-1)*100)</f>
        <v>995.72349999999994</v>
      </c>
      <c r="O11" s="4">
        <f t="shared" ref="O11:O17" si="25">1/K11</f>
        <v>0.95465393794749398</v>
      </c>
      <c r="P11" s="4">
        <f t="shared" ref="P11:P17" si="26">1/L11</f>
        <v>9.1263900062378889E-2</v>
      </c>
      <c r="Q11" s="1">
        <f t="shared" ref="Q11:Q17" si="27">P11+O11</f>
        <v>1.0459178380098728</v>
      </c>
      <c r="R11" s="2">
        <f t="shared" ref="R11:R17" si="28">Q11*J11/1000</f>
        <v>109.6257863553288</v>
      </c>
      <c r="S11" s="2"/>
    </row>
    <row r="12" spans="3:26" x14ac:dyDescent="0.25">
      <c r="C12">
        <v>102</v>
      </c>
      <c r="D12" s="5">
        <f t="shared" si="0"/>
        <v>2.02</v>
      </c>
      <c r="E12" s="1">
        <f t="shared" si="1"/>
        <v>0.49504950495049505</v>
      </c>
      <c r="F12" s="5">
        <f t="shared" si="2"/>
        <v>1.02</v>
      </c>
      <c r="H12" s="6"/>
      <c r="I12" s="22">
        <f t="shared" si="20"/>
        <v>1000</v>
      </c>
      <c r="J12" s="14">
        <f t="shared" si="19"/>
        <v>68515</v>
      </c>
      <c r="K12" s="10">
        <f t="shared" si="21"/>
        <v>1.095</v>
      </c>
      <c r="L12" s="10">
        <f t="shared" si="22"/>
        <v>7.5089249999999996</v>
      </c>
      <c r="M12" s="2">
        <f t="shared" si="23"/>
        <v>-1052.6315789473688</v>
      </c>
      <c r="N12" s="11">
        <f t="shared" si="24"/>
        <v>650.89249999999993</v>
      </c>
      <c r="O12" s="4">
        <f t="shared" si="25"/>
        <v>0.91324200913242015</v>
      </c>
      <c r="P12" s="4">
        <f t="shared" si="26"/>
        <v>0.13317485525557921</v>
      </c>
      <c r="Q12" s="1">
        <f t="shared" si="27"/>
        <v>1.0464168643879994</v>
      </c>
      <c r="R12" s="2">
        <f t="shared" si="28"/>
        <v>71.695251463543784</v>
      </c>
      <c r="S12" s="2"/>
    </row>
    <row r="13" spans="3:26" x14ac:dyDescent="0.25">
      <c r="C13">
        <v>120</v>
      </c>
      <c r="D13" s="5">
        <f t="shared" ref="D13" si="29">IF(C13&lt;0,-(100-C13)/C13,C13/100+1)</f>
        <v>2.2000000000000002</v>
      </c>
      <c r="E13" s="1">
        <f t="shared" ref="E13" si="30">1/D13</f>
        <v>0.45454545454545453</v>
      </c>
      <c r="F13" s="5">
        <f t="shared" ref="F13" si="31">IF(C13&lt;0,-100/C13,C13/100)</f>
        <v>1.2</v>
      </c>
      <c r="H13" s="6"/>
      <c r="I13" s="22">
        <f t="shared" si="20"/>
        <v>1500</v>
      </c>
      <c r="J13" s="14">
        <f t="shared" si="19"/>
        <v>50832</v>
      </c>
      <c r="K13" s="10">
        <f t="shared" si="21"/>
        <v>1.1425000000000001</v>
      </c>
      <c r="L13" s="10">
        <f t="shared" si="22"/>
        <v>5.8290399999999991</v>
      </c>
      <c r="M13" s="2">
        <f t="shared" si="23"/>
        <v>-701.75438596491188</v>
      </c>
      <c r="N13" s="11">
        <f t="shared" si="24"/>
        <v>482.90399999999988</v>
      </c>
      <c r="O13" s="4">
        <f t="shared" si="25"/>
        <v>0.87527352297592997</v>
      </c>
      <c r="P13" s="4">
        <f t="shared" si="26"/>
        <v>0.17155483578771122</v>
      </c>
      <c r="Q13" s="1">
        <f t="shared" si="27"/>
        <v>1.0468283587636411</v>
      </c>
      <c r="R13" s="2">
        <f t="shared" si="28"/>
        <v>53.212379132673405</v>
      </c>
      <c r="S13" s="2"/>
    </row>
    <row r="14" spans="3:26" x14ac:dyDescent="0.25">
      <c r="C14" s="7"/>
      <c r="D14" s="12"/>
      <c r="E14" s="13">
        <f>E13+E3</f>
        <v>1.3545454545454545</v>
      </c>
      <c r="I14" s="22">
        <f t="shared" si="20"/>
        <v>2000</v>
      </c>
      <c r="J14" s="14">
        <f t="shared" si="19"/>
        <v>40366</v>
      </c>
      <c r="K14" s="10">
        <f t="shared" si="21"/>
        <v>1.19</v>
      </c>
      <c r="L14" s="10">
        <f t="shared" si="22"/>
        <v>4.8347699999999998</v>
      </c>
      <c r="M14" s="2">
        <f t="shared" si="23"/>
        <v>-526.31578947368439</v>
      </c>
      <c r="N14" s="11">
        <f t="shared" si="24"/>
        <v>383.47699999999998</v>
      </c>
      <c r="O14" s="4">
        <f t="shared" si="25"/>
        <v>0.84033613445378152</v>
      </c>
      <c r="P14" s="4">
        <f t="shared" si="26"/>
        <v>0.20683507178211166</v>
      </c>
      <c r="Q14" s="1">
        <f t="shared" si="27"/>
        <v>1.0471712062358931</v>
      </c>
      <c r="R14" s="2">
        <f t="shared" si="28"/>
        <v>42.270112910918058</v>
      </c>
      <c r="S14" s="2"/>
    </row>
    <row r="15" spans="3:26" x14ac:dyDescent="0.25">
      <c r="C15" s="7" t="s">
        <v>4</v>
      </c>
      <c r="D15" t="s">
        <v>5</v>
      </c>
      <c r="E15" t="s">
        <v>0</v>
      </c>
      <c r="F15" s="7" t="s">
        <v>3</v>
      </c>
      <c r="I15" s="22">
        <f t="shared" si="20"/>
        <v>2500</v>
      </c>
      <c r="J15" s="14">
        <f t="shared" si="19"/>
        <v>33448</v>
      </c>
      <c r="K15" s="10">
        <f t="shared" si="21"/>
        <v>1.2375</v>
      </c>
      <c r="L15" s="10">
        <f t="shared" si="22"/>
        <v>4.1775599999999997</v>
      </c>
      <c r="M15" s="2">
        <f t="shared" si="23"/>
        <v>-421.05263157894728</v>
      </c>
      <c r="N15" s="11">
        <f t="shared" si="24"/>
        <v>317.75599999999997</v>
      </c>
      <c r="O15" s="4">
        <f t="shared" si="25"/>
        <v>0.80808080808080807</v>
      </c>
      <c r="P15" s="4">
        <f t="shared" si="26"/>
        <v>0.23937418014343304</v>
      </c>
      <c r="Q15" s="1">
        <f t="shared" si="27"/>
        <v>1.0474549882242412</v>
      </c>
      <c r="R15" s="2">
        <f t="shared" si="28"/>
        <v>35.035274446124419</v>
      </c>
      <c r="S15" s="2"/>
    </row>
    <row r="16" spans="3:26" x14ac:dyDescent="0.25">
      <c r="C16">
        <v>8</v>
      </c>
      <c r="D16" s="2">
        <f t="shared" ref="D16:D22" si="32">IF(C16&lt;2,-100/(C16-1),(C16-1)*100)</f>
        <v>700</v>
      </c>
      <c r="E16" s="4">
        <f>1/C16</f>
        <v>0.125</v>
      </c>
      <c r="F16" s="5">
        <f t="shared" ref="F16:F22" si="33">IF(C16&lt;0,-100/C16,C16/100)</f>
        <v>0.08</v>
      </c>
      <c r="H16" s="2"/>
      <c r="I16" s="22">
        <f t="shared" si="20"/>
        <v>3000</v>
      </c>
      <c r="J16" s="14">
        <f t="shared" si="19"/>
        <v>28535</v>
      </c>
      <c r="K16" s="10">
        <f t="shared" si="21"/>
        <v>1.2849999999999999</v>
      </c>
      <c r="L16" s="10">
        <f t="shared" si="22"/>
        <v>3.7108249999999998</v>
      </c>
      <c r="M16" s="2">
        <f t="shared" si="23"/>
        <v>-350.87719298245622</v>
      </c>
      <c r="N16" s="11">
        <f t="shared" si="24"/>
        <v>271.08249999999998</v>
      </c>
      <c r="O16" s="4">
        <f t="shared" si="25"/>
        <v>0.77821011673151752</v>
      </c>
      <c r="P16" s="4">
        <f t="shared" si="26"/>
        <v>0.26948185376567207</v>
      </c>
      <c r="Q16" s="1">
        <f t="shared" si="27"/>
        <v>1.0476919704971897</v>
      </c>
      <c r="R16" s="2">
        <f t="shared" si="28"/>
        <v>29.89589037813731</v>
      </c>
      <c r="S16" s="2"/>
    </row>
    <row r="17" spans="1:22" x14ac:dyDescent="0.25">
      <c r="A17" s="15"/>
      <c r="C17" s="10">
        <f>C16-1</f>
        <v>7</v>
      </c>
      <c r="D17" s="2">
        <f>IF(C17&lt;2,-100/(C17-1),(C17-1)*100)</f>
        <v>600</v>
      </c>
      <c r="E17" s="4">
        <f t="shared" ref="E17:E22" si="34">1/C17</f>
        <v>0.14285714285714285</v>
      </c>
      <c r="F17" s="5">
        <f t="shared" si="33"/>
        <v>7.0000000000000007E-2</v>
      </c>
      <c r="G17" s="1"/>
      <c r="I17" s="22">
        <f t="shared" si="20"/>
        <v>3500</v>
      </c>
      <c r="J17" s="14">
        <f t="shared" si="19"/>
        <v>24866</v>
      </c>
      <c r="K17" s="10">
        <f t="shared" si="21"/>
        <v>1.3325</v>
      </c>
      <c r="L17" s="10">
        <f t="shared" si="22"/>
        <v>3.3622699999999996</v>
      </c>
      <c r="M17" s="2">
        <f t="shared" si="23"/>
        <v>-300.75187969924809</v>
      </c>
      <c r="N17" s="11">
        <f t="shared" si="24"/>
        <v>236.22699999999998</v>
      </c>
      <c r="O17" s="4">
        <f t="shared" si="25"/>
        <v>0.75046904315196994</v>
      </c>
      <c r="P17" s="4">
        <f t="shared" si="26"/>
        <v>0.29741811335793977</v>
      </c>
      <c r="Q17" s="1">
        <f t="shared" si="27"/>
        <v>1.0478871565099097</v>
      </c>
      <c r="R17" s="2">
        <f t="shared" si="28"/>
        <v>26.056762033775417</v>
      </c>
      <c r="S17" s="2"/>
      <c r="T17" s="3"/>
      <c r="U17" s="3"/>
      <c r="V17" s="3"/>
    </row>
    <row r="18" spans="1:22" x14ac:dyDescent="0.25">
      <c r="C18" s="10">
        <f t="shared" ref="C18:C22" si="35">C17-1</f>
        <v>6</v>
      </c>
      <c r="D18" s="2">
        <f t="shared" si="32"/>
        <v>500</v>
      </c>
      <c r="E18" s="4">
        <f t="shared" si="34"/>
        <v>0.16666666666666666</v>
      </c>
      <c r="F18" s="5">
        <f t="shared" si="33"/>
        <v>0.06</v>
      </c>
      <c r="G18" s="1"/>
      <c r="I18" s="22">
        <f t="shared" si="20"/>
        <v>4000</v>
      </c>
      <c r="J18" s="24"/>
      <c r="O18" s="25"/>
    </row>
    <row r="19" spans="1:22" x14ac:dyDescent="0.25">
      <c r="A19" s="15"/>
      <c r="C19" s="10">
        <f t="shared" si="35"/>
        <v>5</v>
      </c>
      <c r="D19" s="2">
        <f t="shared" si="32"/>
        <v>400</v>
      </c>
      <c r="E19" s="4">
        <f t="shared" si="34"/>
        <v>0.2</v>
      </c>
      <c r="F19" s="5">
        <f t="shared" si="33"/>
        <v>0.05</v>
      </c>
      <c r="G19" s="1"/>
      <c r="H19" s="24"/>
      <c r="I19" s="22">
        <f t="shared" si="20"/>
        <v>4500</v>
      </c>
      <c r="J19" s="6">
        <f>J9/10000</f>
        <v>0.18348623853211007</v>
      </c>
      <c r="O19" s="25"/>
      <c r="S19" s="6"/>
      <c r="T19" s="6"/>
      <c r="U19" s="6"/>
      <c r="V19" s="6"/>
    </row>
    <row r="20" spans="1:22" x14ac:dyDescent="0.25">
      <c r="C20" s="10">
        <f t="shared" si="35"/>
        <v>4</v>
      </c>
      <c r="D20" s="2">
        <f t="shared" si="32"/>
        <v>300</v>
      </c>
      <c r="E20" s="4">
        <f t="shared" si="34"/>
        <v>0.25</v>
      </c>
      <c r="F20" s="5">
        <f t="shared" si="33"/>
        <v>0.04</v>
      </c>
      <c r="G20" s="1"/>
      <c r="H20" s="24"/>
      <c r="I20" s="22">
        <f t="shared" si="20"/>
        <v>5000</v>
      </c>
      <c r="J20" s="23"/>
      <c r="K20" s="23"/>
      <c r="O20" s="25"/>
      <c r="S20" s="6"/>
      <c r="T20" s="6"/>
      <c r="U20" s="6"/>
      <c r="V20" s="6"/>
    </row>
    <row r="21" spans="1:22" x14ac:dyDescent="0.25">
      <c r="C21" s="10">
        <f t="shared" si="35"/>
        <v>3</v>
      </c>
      <c r="D21" s="2">
        <f t="shared" si="32"/>
        <v>200</v>
      </c>
      <c r="E21" s="4">
        <f t="shared" si="34"/>
        <v>0.33333333333333331</v>
      </c>
      <c r="F21" s="5">
        <f t="shared" si="33"/>
        <v>0.03</v>
      </c>
      <c r="G21" s="1"/>
      <c r="H21" s="24"/>
      <c r="I21" s="22">
        <f t="shared" si="20"/>
        <v>5500</v>
      </c>
      <c r="J21" s="23"/>
      <c r="K21" s="23"/>
      <c r="O21" s="25"/>
      <c r="S21" s="6"/>
      <c r="T21" s="6"/>
      <c r="U21" s="6"/>
      <c r="V21" s="6"/>
    </row>
    <row r="22" spans="1:22" x14ac:dyDescent="0.25">
      <c r="C22" s="10">
        <f t="shared" si="35"/>
        <v>2</v>
      </c>
      <c r="D22" s="2">
        <f t="shared" si="32"/>
        <v>100</v>
      </c>
      <c r="E22" s="4">
        <f t="shared" si="34"/>
        <v>0.5</v>
      </c>
      <c r="F22" s="5">
        <f t="shared" si="33"/>
        <v>0.02</v>
      </c>
      <c r="G22" s="1"/>
      <c r="H22" s="24"/>
      <c r="I22" s="22">
        <f t="shared" si="20"/>
        <v>6000</v>
      </c>
      <c r="J22" s="23"/>
      <c r="K22" s="23"/>
      <c r="O22" s="26">
        <v>1E+19</v>
      </c>
      <c r="S22" s="6"/>
      <c r="T22" s="6"/>
      <c r="U22" s="6"/>
      <c r="V22" s="6"/>
    </row>
    <row r="23" spans="1:22" x14ac:dyDescent="0.25">
      <c r="A23" s="15"/>
      <c r="C23" s="10">
        <v>1.5</v>
      </c>
      <c r="D23" s="2">
        <f t="shared" ref="D23:D24" si="36">IF(C23&lt;2,-100/(C23-1),(C23-1)*100)</f>
        <v>-200</v>
      </c>
      <c r="E23" s="4">
        <f t="shared" ref="E23:E24" si="37">1/C23</f>
        <v>0.66666666666666663</v>
      </c>
      <c r="F23" s="5">
        <f t="shared" ref="F23:F24" si="38">IF(C23&lt;0,-100/C23,C23/100)</f>
        <v>1.4999999999999999E-2</v>
      </c>
      <c r="G23" s="1"/>
      <c r="H23" s="24"/>
      <c r="I23" s="22">
        <f t="shared" si="20"/>
        <v>6500</v>
      </c>
      <c r="J23" s="23"/>
      <c r="K23" s="23"/>
      <c r="S23" s="6"/>
      <c r="T23" s="6"/>
      <c r="U23" s="6"/>
      <c r="V23" s="6"/>
    </row>
    <row r="24" spans="1:22" x14ac:dyDescent="0.25">
      <c r="B24" s="5"/>
      <c r="C24" s="10">
        <v>3</v>
      </c>
      <c r="D24" s="2">
        <f t="shared" si="36"/>
        <v>200</v>
      </c>
      <c r="E24" s="4">
        <f t="shared" si="37"/>
        <v>0.33333333333333331</v>
      </c>
      <c r="F24" s="5">
        <f t="shared" si="38"/>
        <v>0.03</v>
      </c>
      <c r="G24" s="1"/>
      <c r="H24" s="24"/>
      <c r="I24" s="22">
        <f t="shared" si="20"/>
        <v>7000</v>
      </c>
      <c r="S24" s="6"/>
      <c r="T24" s="6"/>
      <c r="U24" s="6"/>
      <c r="V24" s="6"/>
    </row>
    <row r="25" spans="1:22" x14ac:dyDescent="0.25">
      <c r="B25" s="5"/>
      <c r="C25" s="10">
        <v>2.2000000000000002</v>
      </c>
      <c r="D25" s="2">
        <f t="shared" ref="D25" si="39">IF(C25&lt;2,-100/(C25-1),(C25-1)*100)</f>
        <v>120.00000000000001</v>
      </c>
      <c r="E25" s="4">
        <f t="shared" ref="E25" si="40">1/C25</f>
        <v>0.45454545454545453</v>
      </c>
      <c r="F25" s="5">
        <f t="shared" ref="F25" si="41">IF(C25&lt;0,-100/C25,C25/100)</f>
        <v>2.2000000000000002E-2</v>
      </c>
      <c r="G25" s="1"/>
      <c r="H25" s="24"/>
      <c r="I25" s="22">
        <f t="shared" si="20"/>
        <v>7500</v>
      </c>
      <c r="J25" s="24"/>
      <c r="O25" s="25"/>
    </row>
    <row r="26" spans="1:22" x14ac:dyDescent="0.25">
      <c r="B26" s="5"/>
      <c r="C26" s="10"/>
      <c r="D26" s="2"/>
      <c r="E26" s="4"/>
      <c r="F26" s="5"/>
      <c r="G26" s="1"/>
      <c r="H26" s="24"/>
      <c r="I26" s="24"/>
      <c r="O26" s="25"/>
      <c r="S26" s="6"/>
      <c r="T26" s="6"/>
      <c r="U26" s="6"/>
      <c r="V26" s="6"/>
    </row>
    <row r="27" spans="1:22" x14ac:dyDescent="0.25">
      <c r="B27" s="5"/>
      <c r="C27" s="10"/>
      <c r="D27" s="2"/>
      <c r="E27" s="4"/>
      <c r="F27" s="5"/>
      <c r="H27" s="2"/>
      <c r="I27" s="5"/>
      <c r="J27" s="23"/>
      <c r="K27" s="23"/>
      <c r="O27" s="25"/>
      <c r="S27" s="6"/>
      <c r="T27" s="6"/>
      <c r="U27" s="6"/>
      <c r="V27" s="6"/>
    </row>
    <row r="28" spans="1:22" x14ac:dyDescent="0.25">
      <c r="B28" s="5"/>
      <c r="C28" s="10"/>
      <c r="D28" s="2"/>
      <c r="E28" s="4"/>
      <c r="F28" s="5"/>
      <c r="H28" s="2"/>
      <c r="I28" s="5"/>
      <c r="J28" s="23"/>
      <c r="K28" s="23"/>
      <c r="O28" s="25"/>
      <c r="S28" s="6"/>
      <c r="T28" s="6"/>
      <c r="U28" s="6"/>
      <c r="V28" s="6"/>
    </row>
    <row r="29" spans="1:22" x14ac:dyDescent="0.25">
      <c r="B29" s="5"/>
      <c r="C29" s="10"/>
      <c r="D29" s="2"/>
      <c r="E29" s="4"/>
      <c r="F29" s="5"/>
      <c r="H29" s="2"/>
      <c r="I29" s="5"/>
    </row>
    <row r="30" spans="1:22" x14ac:dyDescent="0.25">
      <c r="B30" s="5"/>
      <c r="C30" s="10"/>
      <c r="D30" s="2"/>
      <c r="E30" s="4"/>
      <c r="F30" s="5"/>
      <c r="H30" s="2"/>
      <c r="I30" s="5"/>
    </row>
    <row r="31" spans="1:22" x14ac:dyDescent="0.25">
      <c r="B31" s="5"/>
      <c r="C31" s="10"/>
      <c r="D31" s="2"/>
      <c r="E31" s="4"/>
      <c r="F31" s="5"/>
      <c r="H31" s="2"/>
      <c r="I31" s="5"/>
    </row>
    <row r="32" spans="1:22" x14ac:dyDescent="0.25">
      <c r="B32" s="5"/>
      <c r="C32" s="12"/>
      <c r="D32" s="2"/>
      <c r="E32" s="4"/>
      <c r="F32" s="5"/>
      <c r="H32" s="2"/>
      <c r="I32" s="5"/>
    </row>
    <row r="33" spans="3:8" x14ac:dyDescent="0.25">
      <c r="C33" s="6"/>
      <c r="D33" s="2"/>
      <c r="E33" s="4"/>
      <c r="F33" s="5"/>
      <c r="H33" s="2"/>
    </row>
    <row r="34" spans="3:8" x14ac:dyDescent="0.25">
      <c r="C34" s="6"/>
      <c r="D34" s="2"/>
      <c r="E34" s="4"/>
      <c r="F34" s="5"/>
      <c r="H34" s="2"/>
    </row>
    <row r="35" spans="3:8" x14ac:dyDescent="0.25">
      <c r="C35" s="10"/>
      <c r="D35" s="2"/>
      <c r="E35" s="4"/>
      <c r="F35" s="5"/>
      <c r="H35" s="2"/>
    </row>
    <row r="36" spans="3:8" x14ac:dyDescent="0.25">
      <c r="C36" s="10"/>
      <c r="D36" s="2"/>
      <c r="E36" s="4"/>
      <c r="F36" s="5"/>
      <c r="H36" s="2"/>
    </row>
    <row r="37" spans="3:8" x14ac:dyDescent="0.25">
      <c r="C37" s="10"/>
      <c r="D37" s="2"/>
      <c r="E37" s="4"/>
      <c r="F37" s="5"/>
    </row>
    <row r="40" spans="3:8" x14ac:dyDescent="0.25">
      <c r="D40" s="2"/>
      <c r="E40" s="28"/>
    </row>
    <row r="41" spans="3:8" x14ac:dyDescent="0.25">
      <c r="D41" s="28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OddsAlgorithm</vt:lpstr>
      <vt:lpstr>MLtoDEC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Falkenstein</cp:lastModifiedBy>
  <dcterms:created xsi:type="dcterms:W3CDTF">2021-08-18T18:19:25Z</dcterms:created>
  <dcterms:modified xsi:type="dcterms:W3CDTF">2023-10-06T21:54:39Z</dcterms:modified>
</cp:coreProperties>
</file>