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\docs\"/>
    </mc:Choice>
  </mc:AlternateContent>
  <xr:revisionPtr revIDLastSave="0" documentId="13_ncr:1_{E14B83D4-B512-4D26-AF91-103FFC296DCE}" xr6:coauthVersionLast="47" xr6:coauthVersionMax="47" xr10:uidLastSave="{00000000-0000-0000-0000-000000000000}"/>
  <bookViews>
    <workbookView xWindow="32310" yWindow="3735" windowWidth="24390" windowHeight="11295" xr2:uid="{1230EDBB-7CF7-4CB6-8A8B-436EE42A5ED4}"/>
  </bookViews>
  <sheets>
    <sheet name="OddsAlgorithm" sheetId="10" r:id="rId1"/>
    <sheet name="MLtoDEC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0" l="1"/>
  <c r="H16" i="10"/>
  <c r="F24" i="10"/>
  <c r="E26" i="4"/>
  <c r="D37" i="10"/>
  <c r="E29" i="10"/>
  <c r="E31" i="10" s="1"/>
  <c r="F32" i="10" s="1"/>
  <c r="D29" i="10"/>
  <c r="D31" i="10" s="1"/>
  <c r="H7" i="10"/>
  <c r="H8" i="10"/>
  <c r="I14" i="10"/>
  <c r="F31" i="10" l="1"/>
  <c r="E32" i="10"/>
  <c r="L8" i="10"/>
  <c r="L7" i="10"/>
  <c r="M16" i="10" s="1"/>
  <c r="M17" i="10" s="1"/>
  <c r="B25" i="4"/>
  <c r="B24" i="4"/>
  <c r="B27" i="4" s="1"/>
  <c r="C27" i="4" s="1"/>
  <c r="B28" i="4"/>
  <c r="C28" i="4" s="1"/>
  <c r="I16" i="10"/>
  <c r="I17" i="10" s="1"/>
  <c r="I18" i="10" s="1"/>
  <c r="I19" i="10" s="1"/>
  <c r="H17" i="10"/>
  <c r="H18" i="10" s="1"/>
  <c r="H19" i="10" s="1"/>
  <c r="D18" i="10" s="1"/>
  <c r="J11" i="4"/>
  <c r="E16" i="10"/>
  <c r="D16" i="10"/>
  <c r="E12" i="10"/>
  <c r="D12" i="10"/>
  <c r="E10" i="10"/>
  <c r="D10" i="10"/>
  <c r="M18" i="10" l="1"/>
  <c r="M19" i="10" s="1"/>
  <c r="D33" i="10"/>
  <c r="D34" i="10" s="1"/>
  <c r="D35" i="10" s="1"/>
  <c r="D36" i="10" s="1"/>
  <c r="E33" i="10"/>
  <c r="E34" i="10" s="1"/>
  <c r="E35" i="10" s="1"/>
  <c r="E36" i="10" s="1"/>
  <c r="L16" i="10"/>
  <c r="L17" i="10" s="1"/>
  <c r="B30" i="4"/>
  <c r="L18" i="10" l="1"/>
  <c r="L19" i="10" s="1"/>
  <c r="M27" i="4"/>
  <c r="H35" i="4"/>
  <c r="I35" i="4" s="1"/>
  <c r="J35" i="4" s="1"/>
  <c r="K35" i="4" s="1"/>
  <c r="L35" i="4" s="1"/>
  <c r="G35" i="4"/>
  <c r="S35" i="4" s="1"/>
  <c r="B3" i="4"/>
  <c r="K27" i="4"/>
  <c r="K28" i="4"/>
  <c r="J27" i="4"/>
  <c r="O5" i="4"/>
  <c r="L5" i="4"/>
  <c r="J5" i="4"/>
  <c r="K5" i="4"/>
  <c r="M25" i="4"/>
  <c r="L25" i="4"/>
  <c r="L24" i="4"/>
  <c r="L22" i="4"/>
  <c r="S54" i="4"/>
  <c r="H54" i="4"/>
  <c r="I54" i="4" s="1"/>
  <c r="J54" i="4" s="1"/>
  <c r="K54" i="4" s="1"/>
  <c r="L54" i="4" s="1"/>
  <c r="G54" i="4"/>
  <c r="G37" i="4"/>
  <c r="I37" i="4" s="1"/>
  <c r="J37" i="4" s="1"/>
  <c r="K37" i="4" s="1"/>
  <c r="L37" i="4" s="1"/>
  <c r="H37" i="4"/>
  <c r="S37" i="4" s="1"/>
  <c r="G38" i="4"/>
  <c r="H38" i="4"/>
  <c r="S38" i="4" s="1"/>
  <c r="G39" i="4"/>
  <c r="H39" i="4"/>
  <c r="S39" i="4"/>
  <c r="G40" i="4"/>
  <c r="H40" i="4"/>
  <c r="S40" i="4" s="1"/>
  <c r="I40" i="4"/>
  <c r="J40" i="4" s="1"/>
  <c r="K40" i="4" s="1"/>
  <c r="L40" i="4" s="1"/>
  <c r="G41" i="4"/>
  <c r="H41" i="4"/>
  <c r="S41" i="4"/>
  <c r="G42" i="4"/>
  <c r="I42" i="4" s="1"/>
  <c r="J42" i="4" s="1"/>
  <c r="K42" i="4" s="1"/>
  <c r="L42" i="4" s="1"/>
  <c r="H42" i="4"/>
  <c r="G43" i="4"/>
  <c r="I43" i="4" s="1"/>
  <c r="J43" i="4" s="1"/>
  <c r="K43" i="4" s="1"/>
  <c r="L43" i="4" s="1"/>
  <c r="H43" i="4"/>
  <c r="S43" i="4" s="1"/>
  <c r="G44" i="4"/>
  <c r="H44" i="4"/>
  <c r="S44" i="4" s="1"/>
  <c r="G45" i="4"/>
  <c r="H45" i="4"/>
  <c r="S45" i="4"/>
  <c r="G46" i="4"/>
  <c r="H46" i="4"/>
  <c r="S46" i="4" s="1"/>
  <c r="I46" i="4"/>
  <c r="J46" i="4" s="1"/>
  <c r="K46" i="4" s="1"/>
  <c r="L46" i="4" s="1"/>
  <c r="G47" i="4"/>
  <c r="H47" i="4"/>
  <c r="S47" i="4"/>
  <c r="G48" i="4"/>
  <c r="I48" i="4" s="1"/>
  <c r="J48" i="4" s="1"/>
  <c r="K48" i="4" s="1"/>
  <c r="L48" i="4" s="1"/>
  <c r="H48" i="4"/>
  <c r="G49" i="4"/>
  <c r="I49" i="4" s="1"/>
  <c r="J49" i="4" s="1"/>
  <c r="K49" i="4" s="1"/>
  <c r="L49" i="4" s="1"/>
  <c r="H49" i="4"/>
  <c r="S49" i="4" s="1"/>
  <c r="G50" i="4"/>
  <c r="H50" i="4"/>
  <c r="S50" i="4" s="1"/>
  <c r="G51" i="4"/>
  <c r="H51" i="4"/>
  <c r="S51" i="4"/>
  <c r="G52" i="4"/>
  <c r="H52" i="4"/>
  <c r="S52" i="4" s="1"/>
  <c r="I52" i="4"/>
  <c r="J52" i="4" s="1"/>
  <c r="K52" i="4" s="1"/>
  <c r="L52" i="4" s="1"/>
  <c r="G53" i="4"/>
  <c r="H53" i="4"/>
  <c r="S53" i="4"/>
  <c r="O35" i="4" l="1"/>
  <c r="P35" i="4" s="1"/>
  <c r="Q35" i="4" s="1"/>
  <c r="M35" i="4"/>
  <c r="N35" i="4" s="1"/>
  <c r="M54" i="4"/>
  <c r="N54" i="4" s="1"/>
  <c r="R54" i="4" s="1"/>
  <c r="O54" i="4"/>
  <c r="P54" i="4" s="1"/>
  <c r="Q54" i="4" s="1"/>
  <c r="M52" i="4"/>
  <c r="N52" i="4" s="1"/>
  <c r="O52" i="4"/>
  <c r="P52" i="4" s="1"/>
  <c r="Q52" i="4" s="1"/>
  <c r="M40" i="4"/>
  <c r="N40" i="4" s="1"/>
  <c r="O40" i="4"/>
  <c r="P40" i="4" s="1"/>
  <c r="Q40" i="4" s="1"/>
  <c r="M48" i="4"/>
  <c r="N48" i="4" s="1"/>
  <c r="R48" i="4" s="1"/>
  <c r="O48" i="4"/>
  <c r="P48" i="4" s="1"/>
  <c r="Q48" i="4" s="1"/>
  <c r="M43" i="4"/>
  <c r="N43" i="4" s="1"/>
  <c r="O43" i="4"/>
  <c r="P43" i="4" s="1"/>
  <c r="Q43" i="4" s="1"/>
  <c r="M46" i="4"/>
  <c r="N46" i="4" s="1"/>
  <c r="O46" i="4"/>
  <c r="P46" i="4" s="1"/>
  <c r="Q46" i="4" s="1"/>
  <c r="M42" i="4"/>
  <c r="N42" i="4" s="1"/>
  <c r="O42" i="4"/>
  <c r="P42" i="4" s="1"/>
  <c r="Q42" i="4" s="1"/>
  <c r="M49" i="4"/>
  <c r="N49" i="4" s="1"/>
  <c r="O49" i="4"/>
  <c r="P49" i="4" s="1"/>
  <c r="Q49" i="4" s="1"/>
  <c r="M37" i="4"/>
  <c r="N37" i="4" s="1"/>
  <c r="O37" i="4"/>
  <c r="P37" i="4" s="1"/>
  <c r="Q37" i="4" s="1"/>
  <c r="I53" i="4"/>
  <c r="J53" i="4" s="1"/>
  <c r="K53" i="4" s="1"/>
  <c r="L53" i="4" s="1"/>
  <c r="S48" i="4"/>
  <c r="I47" i="4"/>
  <c r="J47" i="4" s="1"/>
  <c r="K47" i="4" s="1"/>
  <c r="L47" i="4" s="1"/>
  <c r="S42" i="4"/>
  <c r="I41" i="4"/>
  <c r="J41" i="4" s="1"/>
  <c r="K41" i="4" s="1"/>
  <c r="L41" i="4" s="1"/>
  <c r="I51" i="4"/>
  <c r="J51" i="4" s="1"/>
  <c r="K51" i="4" s="1"/>
  <c r="L51" i="4" s="1"/>
  <c r="I45" i="4"/>
  <c r="J45" i="4" s="1"/>
  <c r="K45" i="4" s="1"/>
  <c r="L45" i="4" s="1"/>
  <c r="I39" i="4"/>
  <c r="J39" i="4" s="1"/>
  <c r="K39" i="4" s="1"/>
  <c r="L39" i="4" s="1"/>
  <c r="I50" i="4"/>
  <c r="J50" i="4" s="1"/>
  <c r="K50" i="4" s="1"/>
  <c r="L50" i="4" s="1"/>
  <c r="I44" i="4"/>
  <c r="J44" i="4" s="1"/>
  <c r="K44" i="4" s="1"/>
  <c r="L44" i="4" s="1"/>
  <c r="I38" i="4"/>
  <c r="J38" i="4" s="1"/>
  <c r="K38" i="4" s="1"/>
  <c r="L38" i="4" s="1"/>
  <c r="R35" i="4" l="1"/>
  <c r="O39" i="4"/>
  <c r="P39" i="4" s="1"/>
  <c r="Q39" i="4" s="1"/>
  <c r="M39" i="4"/>
  <c r="N39" i="4" s="1"/>
  <c r="R42" i="4"/>
  <c r="R43" i="4"/>
  <c r="O51" i="4"/>
  <c r="P51" i="4" s="1"/>
  <c r="Q51" i="4" s="1"/>
  <c r="M51" i="4"/>
  <c r="N51" i="4" s="1"/>
  <c r="M47" i="4"/>
  <c r="N47" i="4" s="1"/>
  <c r="O47" i="4"/>
  <c r="P47" i="4" s="1"/>
  <c r="Q47" i="4" s="1"/>
  <c r="M41" i="4"/>
  <c r="N41" i="4" s="1"/>
  <c r="O41" i="4"/>
  <c r="P41" i="4" s="1"/>
  <c r="Q41" i="4" s="1"/>
  <c r="M53" i="4"/>
  <c r="N53" i="4" s="1"/>
  <c r="O53" i="4"/>
  <c r="P53" i="4" s="1"/>
  <c r="Q53" i="4" s="1"/>
  <c r="O45" i="4"/>
  <c r="P45" i="4" s="1"/>
  <c r="Q45" i="4" s="1"/>
  <c r="M45" i="4"/>
  <c r="N45" i="4" s="1"/>
  <c r="R46" i="4"/>
  <c r="M38" i="4"/>
  <c r="N38" i="4" s="1"/>
  <c r="R38" i="4" s="1"/>
  <c r="O38" i="4"/>
  <c r="P38" i="4" s="1"/>
  <c r="Q38" i="4" s="1"/>
  <c r="R37" i="4"/>
  <c r="R40" i="4"/>
  <c r="M44" i="4"/>
  <c r="N44" i="4" s="1"/>
  <c r="O44" i="4"/>
  <c r="P44" i="4" s="1"/>
  <c r="Q44" i="4" s="1"/>
  <c r="M50" i="4"/>
  <c r="N50" i="4" s="1"/>
  <c r="O50" i="4"/>
  <c r="P50" i="4" s="1"/>
  <c r="Q50" i="4" s="1"/>
  <c r="R49" i="4"/>
  <c r="R52" i="4"/>
  <c r="R53" i="4" l="1"/>
  <c r="R41" i="4"/>
  <c r="R50" i="4"/>
  <c r="R47" i="4"/>
  <c r="R44" i="4"/>
  <c r="R51" i="4"/>
  <c r="R45" i="4"/>
  <c r="R39" i="4"/>
  <c r="S36" i="4" l="1"/>
  <c r="G36" i="4"/>
  <c r="I36" i="4" s="1"/>
  <c r="J36" i="4" s="1"/>
  <c r="K36" i="4" s="1"/>
  <c r="L36" i="4" s="1"/>
  <c r="H36" i="4"/>
  <c r="M36" i="4" l="1"/>
  <c r="N36" i="4" s="1"/>
  <c r="O36" i="4"/>
  <c r="P36" i="4" s="1"/>
  <c r="Q36" i="4" s="1"/>
  <c r="R36" i="4" l="1"/>
  <c r="F32" i="4" l="1"/>
  <c r="H32" i="4" s="1"/>
  <c r="I32" i="4" s="1"/>
  <c r="E32" i="4"/>
  <c r="G32" i="4" s="1"/>
  <c r="J32" i="4" l="1"/>
  <c r="K32" i="4" s="1"/>
  <c r="L32" i="4" s="1"/>
  <c r="O32" i="4" l="1"/>
  <c r="M32" i="4"/>
  <c r="N32" i="4" s="1"/>
  <c r="H28" i="4" l="1"/>
  <c r="P32" i="4"/>
  <c r="Q32" i="4" s="1"/>
  <c r="R32" i="4" s="1"/>
  <c r="G5" i="4" l="1"/>
  <c r="G4" i="4"/>
  <c r="J9" i="4"/>
  <c r="J19" i="4" s="1"/>
  <c r="J6" i="4"/>
  <c r="K9" i="4" l="1"/>
  <c r="O9" i="4" s="1"/>
  <c r="I10" i="4"/>
  <c r="I11" i="4" s="1"/>
  <c r="I8" i="4"/>
  <c r="J8" i="4" s="1"/>
  <c r="L8" i="4" s="1"/>
  <c r="D25" i="4"/>
  <c r="E25" i="4"/>
  <c r="F25" i="4"/>
  <c r="D23" i="4"/>
  <c r="E23" i="4"/>
  <c r="F23" i="4"/>
  <c r="D24" i="4"/>
  <c r="E24" i="4"/>
  <c r="F24" i="4"/>
  <c r="C18" i="4"/>
  <c r="C19" i="4" s="1"/>
  <c r="C20" i="4" s="1"/>
  <c r="C21" i="4" s="1"/>
  <c r="C22" i="4" s="1"/>
  <c r="C17" i="4"/>
  <c r="F16" i="4"/>
  <c r="E16" i="4"/>
  <c r="D16" i="4"/>
  <c r="F27" i="4" l="1"/>
  <c r="K8" i="4"/>
  <c r="I12" i="4"/>
  <c r="L11" i="4"/>
  <c r="K11" i="4"/>
  <c r="L9" i="4"/>
  <c r="N9" i="4" s="1"/>
  <c r="K10" i="4"/>
  <c r="M10" i="4" s="1"/>
  <c r="J10" i="4"/>
  <c r="L10" i="4" s="1"/>
  <c r="P10" i="4" s="1"/>
  <c r="M9" i="4"/>
  <c r="K7" i="4"/>
  <c r="E13" i="10" l="1"/>
  <c r="D14" i="10" s="1"/>
  <c r="D15" i="10" s="1"/>
  <c r="P9" i="4"/>
  <c r="Q9" i="4" s="1"/>
  <c r="R9" i="4" s="1"/>
  <c r="O10" i="4"/>
  <c r="O11" i="4"/>
  <c r="M11" i="4"/>
  <c r="P11" i="4"/>
  <c r="Q11" i="4" s="1"/>
  <c r="R11" i="4" s="1"/>
  <c r="N11" i="4"/>
  <c r="I13" i="4"/>
  <c r="J12" i="4"/>
  <c r="L12" i="4" s="1"/>
  <c r="K12" i="4"/>
  <c r="N10" i="4"/>
  <c r="Q10" i="4"/>
  <c r="R10" i="4" s="1"/>
  <c r="E14" i="10" l="1"/>
  <c r="E15" i="10" s="1"/>
  <c r="D17" i="10"/>
  <c r="O12" i="4"/>
  <c r="M12" i="4"/>
  <c r="I14" i="4"/>
  <c r="J13" i="4"/>
  <c r="L13" i="4" s="1"/>
  <c r="K13" i="4"/>
  <c r="N12" i="4"/>
  <c r="P12" i="4"/>
  <c r="Q12" i="4" s="1"/>
  <c r="R12" i="4" s="1"/>
  <c r="S5" i="4"/>
  <c r="L6" i="4"/>
  <c r="K6" i="4"/>
  <c r="L7" i="4"/>
  <c r="P5" i="4"/>
  <c r="E17" i="10" l="1"/>
  <c r="Q5" i="4"/>
  <c r="M13" i="4"/>
  <c r="O13" i="4"/>
  <c r="P13" i="4"/>
  <c r="Q13" i="4" s="1"/>
  <c r="R13" i="4" s="1"/>
  <c r="N13" i="4"/>
  <c r="I15" i="4"/>
  <c r="J14" i="4"/>
  <c r="L14" i="4" s="1"/>
  <c r="K14" i="4"/>
  <c r="N6" i="4"/>
  <c r="P6" i="4"/>
  <c r="M6" i="4"/>
  <c r="O6" i="4"/>
  <c r="M8" i="4"/>
  <c r="O8" i="4"/>
  <c r="N7" i="4"/>
  <c r="P7" i="4"/>
  <c r="M7" i="4"/>
  <c r="O7" i="4"/>
  <c r="R5" i="4"/>
  <c r="M5" i="4"/>
  <c r="M14" i="4" l="1"/>
  <c r="O14" i="4"/>
  <c r="I16" i="4"/>
  <c r="J15" i="4"/>
  <c r="L15" i="4" s="1"/>
  <c r="K15" i="4"/>
  <c r="N14" i="4"/>
  <c r="P14" i="4"/>
  <c r="Q14" i="4" s="1"/>
  <c r="R14" i="4" s="1"/>
  <c r="Q6" i="4"/>
  <c r="N8" i="4"/>
  <c r="P8" i="4"/>
  <c r="Q7" i="4"/>
  <c r="O15" i="4" l="1"/>
  <c r="M15" i="4"/>
  <c r="P15" i="4"/>
  <c r="Q15" i="4" s="1"/>
  <c r="R15" i="4" s="1"/>
  <c r="N15" i="4"/>
  <c r="I17" i="4"/>
  <c r="J16" i="4"/>
  <c r="L16" i="4" s="1"/>
  <c r="K16" i="4"/>
  <c r="Q8" i="4"/>
  <c r="D13" i="4"/>
  <c r="F13" i="4"/>
  <c r="D12" i="4"/>
  <c r="F12" i="4"/>
  <c r="M16" i="4" l="1"/>
  <c r="O16" i="4"/>
  <c r="I18" i="4"/>
  <c r="I19" i="4" s="1"/>
  <c r="I20" i="4" s="1"/>
  <c r="I21" i="4" s="1"/>
  <c r="I22" i="4" s="1"/>
  <c r="I23" i="4" s="1"/>
  <c r="I24" i="4" s="1"/>
  <c r="I25" i="4" s="1"/>
  <c r="K17" i="4"/>
  <c r="J17" i="4"/>
  <c r="L17" i="4" s="1"/>
  <c r="N16" i="4"/>
  <c r="P16" i="4"/>
  <c r="Q16" i="4" s="1"/>
  <c r="R16" i="4" s="1"/>
  <c r="R8" i="4"/>
  <c r="E13" i="4"/>
  <c r="E12" i="4"/>
  <c r="N5" i="4"/>
  <c r="M17" i="4" l="1"/>
  <c r="O17" i="4"/>
  <c r="N17" i="4"/>
  <c r="P17" i="4"/>
  <c r="E17" i="4"/>
  <c r="F17" i="4"/>
  <c r="E18" i="4"/>
  <c r="F18" i="4"/>
  <c r="E19" i="4"/>
  <c r="F19" i="4"/>
  <c r="E20" i="4"/>
  <c r="F20" i="4"/>
  <c r="E21" i="4"/>
  <c r="F21" i="4"/>
  <c r="E22" i="4"/>
  <c r="F22" i="4"/>
  <c r="D22" i="4"/>
  <c r="D21" i="4"/>
  <c r="D20" i="4"/>
  <c r="D19" i="4"/>
  <c r="D18" i="4"/>
  <c r="D17" i="4"/>
  <c r="D3" i="4"/>
  <c r="F3" i="4"/>
  <c r="D4" i="4"/>
  <c r="F4" i="4"/>
  <c r="D5" i="4"/>
  <c r="F5" i="4"/>
  <c r="D6" i="4"/>
  <c r="F6" i="4"/>
  <c r="D7" i="4"/>
  <c r="E7" i="4" s="1"/>
  <c r="F7" i="4"/>
  <c r="D8" i="4"/>
  <c r="E8" i="4" s="1"/>
  <c r="F8" i="4"/>
  <c r="D9" i="4"/>
  <c r="E9" i="4" s="1"/>
  <c r="F9" i="4"/>
  <c r="D10" i="4"/>
  <c r="E10" i="4" s="1"/>
  <c r="F10" i="4"/>
  <c r="D11" i="4"/>
  <c r="E11" i="4" s="1"/>
  <c r="F11" i="4"/>
  <c r="B5" i="4" l="1"/>
  <c r="Q17" i="4"/>
  <c r="R17" i="4" s="1"/>
  <c r="E3" i="4"/>
  <c r="E6" i="4"/>
  <c r="E5" i="4"/>
  <c r="E4" i="4"/>
  <c r="E14" i="4" l="1"/>
</calcChain>
</file>

<file path=xl/sharedStrings.xml><?xml version="1.0" encoding="utf-8"?>
<sst xmlns="http://schemas.openxmlformats.org/spreadsheetml/2006/main" count="77" uniqueCount="39">
  <si>
    <t>ProbWin</t>
  </si>
  <si>
    <t>Away</t>
  </si>
  <si>
    <t>Home</t>
  </si>
  <si>
    <t>Fractional</t>
  </si>
  <si>
    <t>Decimal</t>
  </si>
  <si>
    <t>MoneyLine</t>
  </si>
  <si>
    <t>Team 1</t>
  </si>
  <si>
    <t>team0</t>
  </si>
  <si>
    <t>Input</t>
  </si>
  <si>
    <t>Contract Odds</t>
  </si>
  <si>
    <t>Actual Payout</t>
  </si>
  <si>
    <t>MoneyLine Odds</t>
  </si>
  <si>
    <t>Arizona</t>
  </si>
  <si>
    <t>Chicago</t>
  </si>
  <si>
    <t>probWin</t>
  </si>
  <si>
    <t>translate to prob(win)</t>
  </si>
  <si>
    <t>New prob(win)</t>
  </si>
  <si>
    <t>translate to decimal odds</t>
  </si>
  <si>
    <t>translate to net decimal odds</t>
  </si>
  <si>
    <t>translate to net moneyline</t>
  </si>
  <si>
    <t>team[0] &lt; team[1]</t>
  </si>
  <si>
    <t>1/prob(win)</t>
  </si>
  <si>
    <t>move favorite first</t>
  </si>
  <si>
    <t xml:space="preserve"> IF decOdds&lt;2, -100/(decOdds-1); else (decOdds-1)*100</t>
  </si>
  <si>
    <t>team[0]</t>
  </si>
  <si>
    <t>team[1]</t>
  </si>
  <si>
    <t>=</t>
  </si>
  <si>
    <t>spread</t>
  </si>
  <si>
    <t>pr(fave)</t>
  </si>
  <si>
    <t>dec(fave)</t>
  </si>
  <si>
    <t>calculate spread/2</t>
  </si>
  <si>
    <t>51.2% + spread/2</t>
  </si>
  <si>
    <t>DecOdds</t>
  </si>
  <si>
    <t>GrossPayouts</t>
  </si>
  <si>
    <t>NetPayouts</t>
  </si>
  <si>
    <t>in Contract</t>
  </si>
  <si>
    <t>spreadx1000/2</t>
  </si>
  <si>
    <t>MlOdds</t>
  </si>
  <si>
    <t>1+(decOdds-1) * 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</si>
</sst>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,##0.000;[Red]#,##0.000"/>
    <numFmt numFmtId="165" formatCode="0.00%;[Red]\-0.00%"/>
    <numFmt numFmtId="166" formatCode="#,##0;[Red]#,##0"/>
    <numFmt numFmtId="167" formatCode="0.0%;[Red]\-0.0%"/>
    <numFmt numFmtId="168" formatCode="#,##0.00;[Red]#,##0.00"/>
    <numFmt numFmtId="169" formatCode="0.000"/>
    <numFmt numFmtId="170" formatCode="[$-409]m/d/yy\ h:mm\ AM/PM;@"/>
    <numFmt numFmtId="171" formatCode="###0;[Red]###0"/>
    <numFmt numFmtId="172" formatCode="0.000%"/>
    <numFmt numFmtId="173" formatCode="0E+00;[Red]0E+00"/>
    <numFmt numFmtId="174" formatCode="#,##0.0000;[Red]#,##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rgb="FFCE9178"/>
      <name val="Consolas"/>
      <family val="3"/>
    </font>
    <font>
      <sz val="11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0" fontId="1" fillId="0" borderId="0" xfId="0" applyFont="1" applyAlignment="1">
      <alignment horizontal="right"/>
    </xf>
    <xf numFmtId="169" fontId="0" fillId="0" borderId="0" xfId="0" applyNumberFormat="1"/>
    <xf numFmtId="0" fontId="0" fillId="2" borderId="0" xfId="0" applyFill="1"/>
    <xf numFmtId="169" fontId="2" fillId="0" borderId="0" xfId="1" applyNumberFormat="1"/>
    <xf numFmtId="166" fontId="1" fillId="0" borderId="4" xfId="0" applyNumberFormat="1" applyFont="1" applyBorder="1"/>
    <xf numFmtId="168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71" fontId="1" fillId="0" borderId="0" xfId="0" applyNumberFormat="1" applyFont="1"/>
    <xf numFmtId="167" fontId="0" fillId="0" borderId="0" xfId="0" applyNumberFormat="1"/>
    <xf numFmtId="171" fontId="1" fillId="0" borderId="5" xfId="0" applyNumberFormat="1" applyFont="1" applyBorder="1"/>
    <xf numFmtId="169" fontId="2" fillId="0" borderId="5" xfId="1" applyNumberFormat="1" applyBorder="1"/>
    <xf numFmtId="166" fontId="1" fillId="0" borderId="5" xfId="0" applyNumberFormat="1" applyFont="1" applyBorder="1"/>
    <xf numFmtId="166" fontId="1" fillId="0" borderId="2" xfId="0" applyNumberFormat="1" applyFont="1" applyBorder="1"/>
    <xf numFmtId="0" fontId="1" fillId="2" borderId="0" xfId="0" applyFont="1" applyFill="1" applyAlignment="1">
      <alignment horizontal="right"/>
    </xf>
    <xf numFmtId="171" fontId="3" fillId="2" borderId="1" xfId="1" applyNumberFormat="1" applyFont="1" applyFill="1" applyBorder="1"/>
    <xf numFmtId="171" fontId="3" fillId="2" borderId="3" xfId="1" applyNumberFormat="1" applyFont="1" applyFill="1" applyBorder="1"/>
    <xf numFmtId="0" fontId="4" fillId="0" borderId="0" xfId="0" applyFont="1"/>
    <xf numFmtId="164" fontId="0" fillId="0" borderId="0" xfId="0" applyNumberFormat="1"/>
    <xf numFmtId="2" fontId="0" fillId="0" borderId="0" xfId="0" applyNumberFormat="1"/>
    <xf numFmtId="0" fontId="5" fillId="0" borderId="0" xfId="0" applyFont="1" applyAlignment="1">
      <alignment vertical="center"/>
    </xf>
    <xf numFmtId="168" fontId="0" fillId="0" borderId="0" xfId="0" applyNumberFormat="1"/>
    <xf numFmtId="170" fontId="1" fillId="0" borderId="0" xfId="0" applyNumberFormat="1" applyFont="1"/>
    <xf numFmtId="166" fontId="1" fillId="2" borderId="0" xfId="0" applyNumberFormat="1" applyFont="1" applyFill="1"/>
    <xf numFmtId="166" fontId="0" fillId="0" borderId="0" xfId="0" applyNumberFormat="1"/>
    <xf numFmtId="0" fontId="0" fillId="0" borderId="0" xfId="0" applyAlignment="1">
      <alignment horizontal="right"/>
    </xf>
    <xf numFmtId="17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quotePrefix="1" applyNumberFormat="1"/>
    <xf numFmtId="0" fontId="0" fillId="0" borderId="0" xfId="0" quotePrefix="1"/>
    <xf numFmtId="166" fontId="0" fillId="0" borderId="0" xfId="0" quotePrefix="1" applyNumberFormat="1"/>
    <xf numFmtId="173" fontId="0" fillId="0" borderId="0" xfId="0" applyNumberFormat="1"/>
    <xf numFmtId="11" fontId="1" fillId="0" borderId="0" xfId="0" quotePrefix="1" applyNumberFormat="1" applyFont="1" applyAlignment="1">
      <alignment horizontal="right"/>
    </xf>
    <xf numFmtId="11" fontId="0" fillId="0" borderId="0" xfId="0" applyNumberFormat="1"/>
    <xf numFmtId="174" fontId="1" fillId="0" borderId="0" xfId="0" applyNumberFormat="1" applyFont="1"/>
    <xf numFmtId="164" fontId="1" fillId="2" borderId="0" xfId="0" applyNumberFormat="1" applyFont="1" applyFill="1"/>
    <xf numFmtId="174" fontId="1" fillId="2" borderId="0" xfId="0" applyNumberFormat="1" applyFont="1" applyFill="1"/>
    <xf numFmtId="173" fontId="1" fillId="0" borderId="0" xfId="0" applyNumberFormat="1" applyFont="1"/>
    <xf numFmtId="0" fontId="6" fillId="0" borderId="0" xfId="0" applyFont="1"/>
  </cellXfs>
  <cellStyles count="2">
    <cellStyle name="Excel Built-in Normal" xfId="1" xr:uid="{5CF1FBC3-5FF4-4C75-9E28-0C3DCCB9D487}"/>
    <cellStyle name="Normal" xfId="0" builtinId="0"/>
  </cellStyles>
  <dxfs count="0"/>
  <tableStyles count="0" defaultTableStyle="TableStyleMedium2" defaultPivotStyle="PivotStyleLight16"/>
  <colors>
    <mruColors>
      <color rgb="FFF8AAA4"/>
      <color rgb="FFFD5A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78620-0945-449A-8451-223EC56B0F9B}">
  <sheetPr codeName="Sheet5"/>
  <dimension ref="C3:N37"/>
  <sheetViews>
    <sheetView tabSelected="1" topLeftCell="A7" zoomScale="75" zoomScaleNormal="75" workbookViewId="0">
      <selection activeCell="G10" sqref="G10"/>
    </sheetView>
  </sheetViews>
  <sheetFormatPr defaultRowHeight="15" x14ac:dyDescent="0.25"/>
  <cols>
    <col min="3" max="3" width="25.5703125" customWidth="1"/>
    <col min="6" max="6" width="54.85546875" customWidth="1"/>
    <col min="7" max="7" width="24.7109375" customWidth="1"/>
    <col min="8" max="8" width="11.5703125" bestFit="1" customWidth="1"/>
    <col min="10" max="10" width="15.5703125" customWidth="1"/>
    <col min="11" max="11" width="17.85546875" customWidth="1"/>
    <col min="13" max="13" width="16.85546875" bestFit="1" customWidth="1"/>
  </cols>
  <sheetData>
    <row r="3" spans="3:13" x14ac:dyDescent="0.25">
      <c r="D3" s="7" t="s">
        <v>2</v>
      </c>
      <c r="E3" s="7" t="s">
        <v>1</v>
      </c>
      <c r="H3" s="7"/>
      <c r="I3" s="7"/>
    </row>
    <row r="4" spans="3:13" x14ac:dyDescent="0.25">
      <c r="D4" s="7" t="s">
        <v>12</v>
      </c>
      <c r="E4" s="7" t="s">
        <v>13</v>
      </c>
      <c r="H4" s="7"/>
      <c r="I4" s="7"/>
    </row>
    <row r="5" spans="3:13" x14ac:dyDescent="0.25">
      <c r="C5" s="31" t="s">
        <v>32</v>
      </c>
      <c r="D5" s="5">
        <v>4.125</v>
      </c>
      <c r="E5" s="5">
        <v>1.24875</v>
      </c>
      <c r="F5" s="3"/>
      <c r="G5" s="31"/>
      <c r="H5" s="5"/>
      <c r="I5" s="5"/>
    </row>
    <row r="7" spans="3:13" x14ac:dyDescent="0.25">
      <c r="H7">
        <f>10000000</f>
        <v>10000000</v>
      </c>
      <c r="L7">
        <f>10000000</f>
        <v>10000000</v>
      </c>
    </row>
    <row r="8" spans="3:13" x14ac:dyDescent="0.25">
      <c r="D8" t="s">
        <v>24</v>
      </c>
      <c r="E8" t="s">
        <v>25</v>
      </c>
      <c r="H8">
        <f>10000</f>
        <v>10000</v>
      </c>
      <c r="L8">
        <f>10000</f>
        <v>10000</v>
      </c>
    </row>
    <row r="9" spans="3:13" x14ac:dyDescent="0.25">
      <c r="D9" s="7" t="s">
        <v>13</v>
      </c>
      <c r="E9" s="7" t="s">
        <v>12</v>
      </c>
      <c r="H9" s="7"/>
      <c r="I9" s="7"/>
    </row>
    <row r="10" spans="3:13" x14ac:dyDescent="0.25">
      <c r="C10" s="31" t="s">
        <v>22</v>
      </c>
      <c r="D10" s="24">
        <f>E5</f>
        <v>1.24875</v>
      </c>
      <c r="E10" s="24">
        <f>D5</f>
        <v>4.125</v>
      </c>
      <c r="F10" t="s">
        <v>20</v>
      </c>
      <c r="G10" s="31"/>
      <c r="H10" s="24"/>
      <c r="I10" s="24"/>
    </row>
    <row r="11" spans="3:13" x14ac:dyDescent="0.25">
      <c r="C11" s="31"/>
      <c r="E11" s="5"/>
      <c r="F11" s="35"/>
      <c r="G11" s="31"/>
      <c r="I11" s="5"/>
    </row>
    <row r="12" spans="3:13" x14ac:dyDescent="0.25">
      <c r="C12" s="31" t="s">
        <v>15</v>
      </c>
      <c r="D12" s="4">
        <f>1/D10</f>
        <v>0.80080080080080074</v>
      </c>
      <c r="E12" s="4">
        <f>1/E10</f>
        <v>0.24242424242424243</v>
      </c>
      <c r="F12" s="4"/>
      <c r="G12" s="31" t="s">
        <v>35</v>
      </c>
      <c r="H12" s="4"/>
      <c r="I12" s="4"/>
    </row>
    <row r="13" spans="3:13" x14ac:dyDescent="0.25">
      <c r="C13" s="31" t="s">
        <v>30</v>
      </c>
      <c r="E13" s="4">
        <f>(D12-E12)/2</f>
        <v>0.27918827918827915</v>
      </c>
    </row>
    <row r="14" spans="3:13" x14ac:dyDescent="0.25">
      <c r="C14" s="32" t="s">
        <v>16</v>
      </c>
      <c r="D14" s="4">
        <f>0.512+E13</f>
        <v>0.79118827918827916</v>
      </c>
      <c r="E14" s="4">
        <f>0.512-E13</f>
        <v>0.23281172081172086</v>
      </c>
      <c r="F14" s="36" t="s">
        <v>31</v>
      </c>
      <c r="G14" s="32"/>
      <c r="H14" s="4"/>
      <c r="I14" s="44">
        <f>I15/E13</f>
        <v>999.3256192959584</v>
      </c>
    </row>
    <row r="15" spans="3:13" x14ac:dyDescent="0.25">
      <c r="C15" s="34" t="s">
        <v>17</v>
      </c>
      <c r="D15" s="5">
        <f>1/D14</f>
        <v>1.2639216559501507</v>
      </c>
      <c r="E15" s="5">
        <f>1/E14</f>
        <v>4.2953163891981125</v>
      </c>
      <c r="F15" s="36" t="s">
        <v>21</v>
      </c>
      <c r="G15" s="31" t="s">
        <v>36</v>
      </c>
      <c r="I15" s="3">
        <v>279</v>
      </c>
      <c r="K15" s="31" t="s">
        <v>36</v>
      </c>
      <c r="M15" s="2">
        <v>190</v>
      </c>
    </row>
    <row r="16" spans="3:13" x14ac:dyDescent="0.25">
      <c r="C16" s="33" t="s">
        <v>18</v>
      </c>
      <c r="D16" s="5">
        <f>1+0.95*(D15-1)</f>
        <v>1.2507255731526432</v>
      </c>
      <c r="E16" s="5">
        <f>1+0.95*(E15-1)</f>
        <v>4.1305505697382063</v>
      </c>
      <c r="F16" s="36" t="s">
        <v>38</v>
      </c>
      <c r="G16" s="33" t="s">
        <v>33</v>
      </c>
      <c r="H16" s="43">
        <f>(H7/(512+I15)-H8)/H8</f>
        <v>0.26422250316055634</v>
      </c>
      <c r="I16" s="42">
        <f>(H7/(512-I15)-H8)/H8</f>
        <v>3.2918454935622314</v>
      </c>
      <c r="J16" s="42"/>
      <c r="K16" s="33" t="s">
        <v>33</v>
      </c>
      <c r="L16" s="29">
        <f>(L7/(512+M15)-L8)</f>
        <v>4245.0142450142448</v>
      </c>
      <c r="M16" s="29">
        <f>(L7/(512-M15)-L8)</f>
        <v>21055.900621118013</v>
      </c>
    </row>
    <row r="17" spans="3:14" x14ac:dyDescent="0.25">
      <c r="C17" s="31" t="s">
        <v>19</v>
      </c>
      <c r="D17" s="2">
        <f>IF(D16&lt;2,-100/(D16-1),(D16-1)*100)</f>
        <v>-398.84244252627315</v>
      </c>
      <c r="E17" s="2">
        <f>IF(E16&lt;2,-100/(E16-1),(E16-1)*100)</f>
        <v>313.05505697382063</v>
      </c>
      <c r="F17" s="37" t="s">
        <v>23</v>
      </c>
      <c r="G17" s="31" t="s">
        <v>34</v>
      </c>
      <c r="H17" s="5">
        <f>0.95*H16</f>
        <v>0.25101137800252854</v>
      </c>
      <c r="I17" s="5">
        <f>0.95*I16</f>
        <v>3.1272532188841198</v>
      </c>
      <c r="J17" s="5"/>
      <c r="K17" s="31" t="s">
        <v>34</v>
      </c>
      <c r="L17" s="2">
        <f>0.95*L16</f>
        <v>4032.7635327635326</v>
      </c>
      <c r="M17" s="2">
        <f>0.95*M16</f>
        <v>20003.10559006211</v>
      </c>
      <c r="N17" s="30"/>
    </row>
    <row r="18" spans="3:14" x14ac:dyDescent="0.25">
      <c r="D18">
        <f>H19*0.95/10000</f>
        <v>-3.7846889952153108E-2</v>
      </c>
      <c r="G18" s="33" t="s">
        <v>32</v>
      </c>
      <c r="H18" s="5">
        <f>1+H17</f>
        <v>1.2510113780025285</v>
      </c>
      <c r="I18" s="5">
        <f>1+I17</f>
        <v>4.1272532188841193</v>
      </c>
      <c r="K18" s="33" t="s">
        <v>32</v>
      </c>
      <c r="L18" s="5">
        <f>1+L17/10000</f>
        <v>1.4032763532763532</v>
      </c>
      <c r="M18" s="5">
        <f>1+M17/10000</f>
        <v>3.0003105590062109</v>
      </c>
    </row>
    <row r="19" spans="3:14" x14ac:dyDescent="0.25">
      <c r="G19" s="31" t="s">
        <v>37</v>
      </c>
      <c r="H19" s="2">
        <f>IF(H18&lt;2,-100/(H18-1),(H18-1)*100)</f>
        <v>-398.38831528582216</v>
      </c>
      <c r="I19" s="2">
        <f>IF(I18&lt;2,-100/(I18-1),(I18-1)*100)</f>
        <v>312.72532188841194</v>
      </c>
      <c r="K19" s="31" t="s">
        <v>37</v>
      </c>
      <c r="L19" s="2">
        <f>IF(L18&lt;2,-100/(L18-1),(L18-1)*100)</f>
        <v>-247.96891557753446</v>
      </c>
      <c r="M19" s="2">
        <f>IF(M18&lt;2,-100/(M18-1),(M18-1)*100)</f>
        <v>200.03105590062108</v>
      </c>
    </row>
    <row r="20" spans="3:14" x14ac:dyDescent="0.25">
      <c r="D20" s="4"/>
      <c r="E20" s="4"/>
      <c r="F20" s="4"/>
      <c r="H20" s="5"/>
      <c r="I20" s="4"/>
      <c r="L20" s="2"/>
      <c r="M20" s="5">
        <f>M16/L8</f>
        <v>2.1055900621118013</v>
      </c>
    </row>
    <row r="22" spans="3:14" x14ac:dyDescent="0.25">
      <c r="D22" s="7" t="s">
        <v>2</v>
      </c>
      <c r="E22" s="7" t="s">
        <v>1</v>
      </c>
      <c r="H22" s="45">
        <v>496123</v>
      </c>
      <c r="L22" s="40"/>
      <c r="M22" s="40"/>
    </row>
    <row r="23" spans="3:14" x14ac:dyDescent="0.25">
      <c r="D23" s="7" t="s">
        <v>12</v>
      </c>
      <c r="E23" s="7" t="s">
        <v>13</v>
      </c>
      <c r="L23" s="40"/>
      <c r="M23" s="40"/>
    </row>
    <row r="24" spans="3:14" x14ac:dyDescent="0.25">
      <c r="C24" s="31" t="s">
        <v>32</v>
      </c>
      <c r="D24" s="5">
        <v>3</v>
      </c>
      <c r="E24" s="5">
        <v>1.403</v>
      </c>
      <c r="F24">
        <f>1-D24*E24/4.403</f>
        <v>4.4060867590279384E-2</v>
      </c>
      <c r="L24" s="40"/>
      <c r="M24" s="40"/>
    </row>
    <row r="25" spans="3:14" x14ac:dyDescent="0.25">
      <c r="G25" t="s">
        <v>26</v>
      </c>
    </row>
    <row r="27" spans="3:14" x14ac:dyDescent="0.25">
      <c r="D27" t="s">
        <v>24</v>
      </c>
      <c r="E27" t="s">
        <v>25</v>
      </c>
    </row>
    <row r="28" spans="3:14" x14ac:dyDescent="0.25">
      <c r="D28" s="7" t="s">
        <v>13</v>
      </c>
      <c r="E28" s="7" t="s">
        <v>12</v>
      </c>
    </row>
    <row r="29" spans="3:14" x14ac:dyDescent="0.25">
      <c r="C29" s="31" t="s">
        <v>22</v>
      </c>
      <c r="D29" s="24">
        <f>E24</f>
        <v>1.403</v>
      </c>
      <c r="E29" s="24">
        <f>D24</f>
        <v>3</v>
      </c>
    </row>
    <row r="30" spans="3:14" x14ac:dyDescent="0.25">
      <c r="C30" s="31"/>
      <c r="E30" s="5"/>
      <c r="F30" s="1"/>
      <c r="G30" s="1"/>
    </row>
    <row r="31" spans="3:14" x14ac:dyDescent="0.25">
      <c r="C31" s="31" t="s">
        <v>15</v>
      </c>
      <c r="D31" s="4">
        <f>1/D29</f>
        <v>0.71275837491090521</v>
      </c>
      <c r="E31" s="4">
        <f>1/E29</f>
        <v>0.33333333333333331</v>
      </c>
      <c r="F31" s="5">
        <f>D31+E31</f>
        <v>1.0460917082442385</v>
      </c>
      <c r="G31" s="5"/>
    </row>
    <row r="32" spans="3:14" x14ac:dyDescent="0.25">
      <c r="C32" s="31" t="s">
        <v>30</v>
      </c>
      <c r="E32" s="4">
        <f>(D31-E31)/2</f>
        <v>0.18971252078878595</v>
      </c>
      <c r="F32" s="5">
        <f>E31</f>
        <v>0.33333333333333331</v>
      </c>
      <c r="G32" s="5"/>
      <c r="H32" s="1"/>
    </row>
    <row r="33" spans="3:5" x14ac:dyDescent="0.25">
      <c r="C33" s="32" t="s">
        <v>16</v>
      </c>
      <c r="D33" s="4">
        <f>0.512+E32</f>
        <v>0.70171252078878599</v>
      </c>
      <c r="E33" s="4">
        <f>0.512-E32</f>
        <v>0.32228747921121403</v>
      </c>
    </row>
    <row r="34" spans="3:5" x14ac:dyDescent="0.25">
      <c r="C34" s="34" t="s">
        <v>17</v>
      </c>
      <c r="D34" s="5">
        <f>1/D33</f>
        <v>1.4250850175452376</v>
      </c>
      <c r="E34" s="5">
        <f>1/E33</f>
        <v>3.1028198875347588</v>
      </c>
    </row>
    <row r="35" spans="3:5" x14ac:dyDescent="0.25">
      <c r="C35" s="33" t="s">
        <v>18</v>
      </c>
      <c r="D35" s="5">
        <f>1+0.95*(D34-1)</f>
        <v>1.4038307666679757</v>
      </c>
      <c r="E35" s="5">
        <f>1+0.95*(E34-1)</f>
        <v>2.9976788931580209</v>
      </c>
    </row>
    <row r="36" spans="3:5" x14ac:dyDescent="0.25">
      <c r="C36" s="31" t="s">
        <v>19</v>
      </c>
      <c r="D36" s="2">
        <f>IF(D35&lt;2,-100/(D35-1),(D35-1)*100)</f>
        <v>-247.62848265649527</v>
      </c>
      <c r="E36" s="2">
        <f>IF(E35&lt;2,-100/(E35-1),(E35-1)*100)</f>
        <v>199.76788931580211</v>
      </c>
    </row>
    <row r="37" spans="3:5" x14ac:dyDescent="0.25">
      <c r="D37">
        <f>H38*0.95/10000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15ED-B762-437D-8CE3-242998BE45F8}">
  <sheetPr codeName="Sheet4"/>
  <dimension ref="A1:Z71"/>
  <sheetViews>
    <sheetView zoomScale="75" zoomScaleNormal="75" workbookViewId="0">
      <selection activeCell="C25" sqref="C25"/>
    </sheetView>
  </sheetViews>
  <sheetFormatPr defaultRowHeight="15" x14ac:dyDescent="0.25"/>
  <cols>
    <col min="3" max="3" width="11" bestFit="1" customWidth="1"/>
    <col min="4" max="4" width="16.85546875" bestFit="1" customWidth="1"/>
    <col min="5" max="5" width="18" customWidth="1"/>
    <col min="6" max="6" width="11" customWidth="1"/>
    <col min="7" max="7" width="23.140625" bestFit="1" customWidth="1"/>
    <col min="8" max="8" width="14.42578125" bestFit="1" customWidth="1"/>
    <col min="9" max="9" width="17.5703125" customWidth="1"/>
    <col min="15" max="15" width="11" bestFit="1" customWidth="1"/>
    <col min="17" max="17" width="14.7109375" customWidth="1"/>
    <col min="19" max="20" width="23.140625" bestFit="1" customWidth="1"/>
  </cols>
  <sheetData>
    <row r="1" spans="2:26" x14ac:dyDescent="0.25">
      <c r="E1" s="8"/>
      <c r="F1" s="8"/>
      <c r="I1" s="8"/>
    </row>
    <row r="2" spans="2:26" x14ac:dyDescent="0.25">
      <c r="C2" s="7" t="s">
        <v>5</v>
      </c>
      <c r="D2" s="7" t="s">
        <v>4</v>
      </c>
      <c r="E2" s="7" t="s">
        <v>0</v>
      </c>
      <c r="F2" s="7" t="s">
        <v>3</v>
      </c>
      <c r="G2" s="39">
        <v>1000000</v>
      </c>
      <c r="H2" s="40">
        <v>10000000</v>
      </c>
      <c r="I2" s="38">
        <v>100000000</v>
      </c>
      <c r="W2" s="25"/>
    </row>
    <row r="3" spans="2:26" x14ac:dyDescent="0.25">
      <c r="B3">
        <f>D3*D4/(D4+D3)</f>
        <v>0.97510373443983411</v>
      </c>
      <c r="C3">
        <v>-150</v>
      </c>
      <c r="D3" s="5">
        <f t="shared" ref="D3:D12" si="0">IF(C3&lt;0,-(100-C3)/C3,C3/100+1)</f>
        <v>1.6666666666666667</v>
      </c>
      <c r="E3" s="1">
        <f t="shared" ref="E3:E12" si="1">1/D3</f>
        <v>0.6</v>
      </c>
      <c r="F3" s="5">
        <f t="shared" ref="F3:F12" si="2">IF(C3&lt;0,-100/C3,C3/100)</f>
        <v>0.66666666666666663</v>
      </c>
      <c r="H3" s="6"/>
      <c r="I3" s="9" t="s">
        <v>8</v>
      </c>
      <c r="K3" t="s">
        <v>10</v>
      </c>
      <c r="M3" t="s">
        <v>11</v>
      </c>
      <c r="O3" t="s">
        <v>14</v>
      </c>
      <c r="W3" s="25"/>
    </row>
    <row r="4" spans="2:26" ht="15.75" thickBot="1" x14ac:dyDescent="0.3">
      <c r="C4">
        <v>135</v>
      </c>
      <c r="D4" s="5">
        <f t="shared" si="0"/>
        <v>2.35</v>
      </c>
      <c r="E4" s="1">
        <f t="shared" si="1"/>
        <v>0.42553191489361702</v>
      </c>
      <c r="F4" s="5">
        <f t="shared" si="2"/>
        <v>1.35</v>
      </c>
      <c r="G4" s="1">
        <f>E3-E4</f>
        <v>0.17446808510638295</v>
      </c>
      <c r="H4" s="6"/>
      <c r="I4" s="20" t="s">
        <v>9</v>
      </c>
      <c r="J4" s="7" t="s">
        <v>6</v>
      </c>
      <c r="K4" s="7" t="s">
        <v>7</v>
      </c>
      <c r="L4" s="7" t="s">
        <v>6</v>
      </c>
      <c r="M4" s="7" t="s">
        <v>7</v>
      </c>
      <c r="N4" s="7" t="s">
        <v>6</v>
      </c>
      <c r="W4" s="25"/>
    </row>
    <row r="5" spans="2:26" x14ac:dyDescent="0.25">
      <c r="B5">
        <f>D5*D6/(D6+D5)</f>
        <v>0.95454545454545459</v>
      </c>
      <c r="C5">
        <v>-110</v>
      </c>
      <c r="D5" s="5">
        <f t="shared" si="0"/>
        <v>1.9090909090909092</v>
      </c>
      <c r="E5" s="1">
        <f t="shared" si="1"/>
        <v>0.52380952380952384</v>
      </c>
      <c r="F5" s="5">
        <f t="shared" si="2"/>
        <v>0.90909090909090906</v>
      </c>
      <c r="G5" s="1">
        <f>G4/2</f>
        <v>8.7234042553191476E-2</v>
      </c>
      <c r="H5" s="6"/>
      <c r="I5" s="21">
        <v>6710</v>
      </c>
      <c r="J5" s="16">
        <f>INT(100000000/(I5+450)-450)</f>
        <v>13516</v>
      </c>
      <c r="K5" s="17">
        <f>I5*0.95/10000+1</f>
        <v>1.6374499999999999</v>
      </c>
      <c r="L5" s="17">
        <f>J5*0.95/10000+1</f>
        <v>2.2840199999999999</v>
      </c>
      <c r="M5" s="18">
        <f>IF(K5&lt;2,-100/(K5-1),(K5-1)*100)</f>
        <v>-156.87504902345285</v>
      </c>
      <c r="N5" s="19">
        <f>IF(L5&lt;2,-100/(L5-1),(L5-1)*100)</f>
        <v>128.40199999999999</v>
      </c>
      <c r="O5" s="4">
        <f>1/K5</f>
        <v>0.61070567040214974</v>
      </c>
      <c r="P5" s="4">
        <f>1/L5</f>
        <v>0.43782453743837618</v>
      </c>
      <c r="Q5" s="1">
        <f>P5+O5</f>
        <v>1.0485302078405259</v>
      </c>
      <c r="R5">
        <f>6+O5-P5</f>
        <v>6.1728811329637736</v>
      </c>
      <c r="S5">
        <f>1000/O5</f>
        <v>1637.4499999999998</v>
      </c>
      <c r="T5" t="s">
        <v>26</v>
      </c>
      <c r="W5" s="25"/>
    </row>
    <row r="6" spans="2:26" x14ac:dyDescent="0.25">
      <c r="C6">
        <v>-110</v>
      </c>
      <c r="D6" s="5">
        <f t="shared" si="0"/>
        <v>1.9090909090909092</v>
      </c>
      <c r="E6" s="1">
        <f t="shared" si="1"/>
        <v>0.52380952380952384</v>
      </c>
      <c r="F6" s="5">
        <f t="shared" si="2"/>
        <v>0.90909090909090906</v>
      </c>
      <c r="H6" s="6"/>
      <c r="I6" s="22">
        <v>698</v>
      </c>
      <c r="J6" s="14">
        <f>G2/(I6+45)</f>
        <v>1345.8950201884254</v>
      </c>
      <c r="K6" s="10">
        <f t="shared" ref="K6" si="3">I6*0.95/1000+1</f>
        <v>1.6631</v>
      </c>
      <c r="L6" s="10">
        <f t="shared" ref="L6:L7" si="4">J6*0.95/1000+1</f>
        <v>2.2786002691790039</v>
      </c>
      <c r="M6" s="2">
        <f t="shared" ref="M6:M8" si="5">IF(K6&lt;2,-100/(K6-1),(K6-1)*100)</f>
        <v>-150.80681646810436</v>
      </c>
      <c r="N6" s="11">
        <f t="shared" ref="N6:N8" si="6">IF(L6&lt;2,-100/(L6-1),(L6-1)*100)</f>
        <v>127.8600269179004</v>
      </c>
      <c r="O6" s="4">
        <f t="shared" ref="O6:O8" si="7">1/K6</f>
        <v>0.60128675365281703</v>
      </c>
      <c r="P6" s="4">
        <f t="shared" ref="P6:P8" si="8">1/L6</f>
        <v>0.43886591848789136</v>
      </c>
      <c r="Q6" s="1">
        <f t="shared" ref="Q6:Q8" si="9">P6+O6</f>
        <v>1.0401526721407084</v>
      </c>
    </row>
    <row r="7" spans="2:26" x14ac:dyDescent="0.25">
      <c r="C7">
        <v>159</v>
      </c>
      <c r="D7" s="5">
        <f t="shared" si="0"/>
        <v>2.59</v>
      </c>
      <c r="E7" s="1">
        <f t="shared" si="1"/>
        <v>0.38610038610038611</v>
      </c>
      <c r="F7" s="5">
        <f t="shared" si="2"/>
        <v>1.59</v>
      </c>
      <c r="H7" s="6"/>
      <c r="I7" s="22"/>
      <c r="J7" s="14"/>
      <c r="K7" s="10">
        <f>I7*0.95/1000+1</f>
        <v>1</v>
      </c>
      <c r="L7" s="10">
        <f t="shared" si="4"/>
        <v>1</v>
      </c>
      <c r="M7" s="2" t="e">
        <f t="shared" si="5"/>
        <v>#DIV/0!</v>
      </c>
      <c r="N7" s="11" t="e">
        <f t="shared" si="6"/>
        <v>#DIV/0!</v>
      </c>
      <c r="O7" s="4">
        <f t="shared" si="7"/>
        <v>1</v>
      </c>
      <c r="P7" s="4">
        <f t="shared" si="8"/>
        <v>1</v>
      </c>
      <c r="Q7" s="1">
        <f t="shared" si="9"/>
        <v>2</v>
      </c>
      <c r="V7" s="7"/>
      <c r="W7" s="7"/>
      <c r="Y7" s="7"/>
      <c r="Z7" s="7"/>
    </row>
    <row r="8" spans="2:26" x14ac:dyDescent="0.25">
      <c r="C8">
        <v>120</v>
      </c>
      <c r="D8" s="5">
        <f t="shared" si="0"/>
        <v>2.2000000000000002</v>
      </c>
      <c r="E8" s="1">
        <f t="shared" si="1"/>
        <v>0.45454545454545453</v>
      </c>
      <c r="F8" s="5">
        <f t="shared" si="2"/>
        <v>1.2</v>
      </c>
      <c r="H8" s="6"/>
      <c r="I8" s="22">
        <f>I5*10</f>
        <v>67100</v>
      </c>
      <c r="J8" s="14">
        <f>I2/(I8+450)-450</f>
        <v>1030.3849000740192</v>
      </c>
      <c r="K8" s="10">
        <f>I8*0.95/10000+1</f>
        <v>7.3745000000000003</v>
      </c>
      <c r="L8" s="10">
        <f>J8*0.95/10000+1</f>
        <v>1.0978865655070318</v>
      </c>
      <c r="M8" s="2">
        <f t="shared" si="5"/>
        <v>637.45000000000005</v>
      </c>
      <c r="N8" s="11">
        <f t="shared" si="6"/>
        <v>-1021.5906491562051</v>
      </c>
      <c r="O8" s="4">
        <f t="shared" si="7"/>
        <v>0.13560241372296428</v>
      </c>
      <c r="P8" s="4">
        <f t="shared" si="8"/>
        <v>0.91084091145443125</v>
      </c>
      <c r="Q8" s="1">
        <f t="shared" si="9"/>
        <v>1.0464433251773955</v>
      </c>
      <c r="R8" s="2">
        <f>Q8*J8/1000</f>
        <v>1.078239401046035</v>
      </c>
      <c r="S8" s="2"/>
      <c r="V8" s="6"/>
      <c r="W8" s="6"/>
      <c r="X8" s="27"/>
      <c r="Y8" s="6"/>
      <c r="Z8" s="6"/>
    </row>
    <row r="9" spans="2:26" x14ac:dyDescent="0.25">
      <c r="C9">
        <v>800</v>
      </c>
      <c r="D9" s="5">
        <f t="shared" si="0"/>
        <v>9</v>
      </c>
      <c r="E9" s="1">
        <f t="shared" si="1"/>
        <v>0.1111111111111111</v>
      </c>
      <c r="F9" s="5">
        <f t="shared" si="2"/>
        <v>8</v>
      </c>
      <c r="H9" s="6"/>
      <c r="I9" s="22">
        <v>5000</v>
      </c>
      <c r="J9" s="14">
        <f>H2/(I9+450)</f>
        <v>1834.8623853211009</v>
      </c>
      <c r="K9" s="10">
        <f t="shared" ref="K9:K10" si="10">I9*0.95/10000+1</f>
        <v>1.4750000000000001</v>
      </c>
      <c r="L9" s="10">
        <f t="shared" ref="L9:L10" si="11">J9*0.95/10000+1</f>
        <v>1.1743119266055047</v>
      </c>
      <c r="M9" s="2">
        <f t="shared" ref="M9:M10" si="12">IF(K9&lt;2,-100/(K9-1),(K9-1)*100)</f>
        <v>-210.52631578947364</v>
      </c>
      <c r="N9" s="11">
        <f t="shared" ref="N9:N10" si="13">IF(L9&lt;2,-100/(L9-1),(L9-1)*100)</f>
        <v>-573.68421052631561</v>
      </c>
      <c r="O9" s="4">
        <f t="shared" ref="O9:O10" si="14">1/K9</f>
        <v>0.67796610169491522</v>
      </c>
      <c r="P9" s="4">
        <f t="shared" ref="P9:P10" si="15">1/L9</f>
        <v>0.8515625</v>
      </c>
      <c r="Q9" s="1">
        <f t="shared" ref="Q9:Q10" si="16">P9+O9</f>
        <v>1.5295286016949152</v>
      </c>
      <c r="R9" s="2">
        <f t="shared" ref="R9:R10" si="17">Q9*J9/1000</f>
        <v>2.8064744985227805</v>
      </c>
      <c r="S9" s="2"/>
      <c r="U9" s="5"/>
      <c r="V9" s="6"/>
      <c r="W9" s="6"/>
    </row>
    <row r="10" spans="2:26" x14ac:dyDescent="0.25">
      <c r="C10">
        <v>150</v>
      </c>
      <c r="D10" s="5">
        <f t="shared" si="0"/>
        <v>2.5</v>
      </c>
      <c r="E10" s="1">
        <f t="shared" si="1"/>
        <v>0.4</v>
      </c>
      <c r="F10" s="5">
        <f t="shared" si="2"/>
        <v>1.5</v>
      </c>
      <c r="H10" s="6"/>
      <c r="I10" s="22">
        <f t="shared" ref="I10" si="18">I7*10</f>
        <v>0</v>
      </c>
      <c r="J10" s="14">
        <f t="shared" ref="J10:J17" si="19">INT(100000000/(I10+450)-450)</f>
        <v>221772</v>
      </c>
      <c r="K10" s="10">
        <f t="shared" si="10"/>
        <v>1</v>
      </c>
      <c r="L10" s="10">
        <f t="shared" si="11"/>
        <v>22.068339999999999</v>
      </c>
      <c r="M10" s="2" t="e">
        <f t="shared" si="12"/>
        <v>#DIV/0!</v>
      </c>
      <c r="N10" s="11">
        <f t="shared" si="13"/>
        <v>2106.8339999999998</v>
      </c>
      <c r="O10" s="4">
        <f t="shared" si="14"/>
        <v>1</v>
      </c>
      <c r="P10" s="4">
        <f t="shared" si="15"/>
        <v>4.5313784362575528E-2</v>
      </c>
      <c r="Q10" s="1">
        <f t="shared" si="16"/>
        <v>1.0453137843625755</v>
      </c>
      <c r="R10" s="2">
        <f t="shared" si="17"/>
        <v>231.82132858565708</v>
      </c>
      <c r="S10" s="2"/>
    </row>
    <row r="11" spans="2:26" x14ac:dyDescent="0.25">
      <c r="C11">
        <v>110</v>
      </c>
      <c r="D11" s="5">
        <f t="shared" si="0"/>
        <v>2.1</v>
      </c>
      <c r="E11" s="1">
        <f t="shared" si="1"/>
        <v>0.47619047619047616</v>
      </c>
      <c r="F11" s="5">
        <f t="shared" si="2"/>
        <v>1.1000000000000001</v>
      </c>
      <c r="H11" s="6"/>
      <c r="I11" s="22">
        <f t="shared" ref="I11:I25" si="20">I10+500</f>
        <v>500</v>
      </c>
      <c r="J11" s="14">
        <f>INT(100000000/(I11+450)-450)</f>
        <v>104813</v>
      </c>
      <c r="K11" s="10">
        <f t="shared" ref="K11:K17" si="21">I11*0.95/10000+1</f>
        <v>1.0475000000000001</v>
      </c>
      <c r="L11" s="10">
        <f t="shared" ref="L11:L17" si="22">J11*0.95/10000+1</f>
        <v>10.957234999999999</v>
      </c>
      <c r="M11" s="2">
        <f t="shared" ref="M11:M17" si="23">IF(K11&lt;2,-100/(K11-1),(K11-1)*100)</f>
        <v>-2105.2631578947326</v>
      </c>
      <c r="N11" s="11">
        <f t="shared" ref="N11:N17" si="24">IF(L11&lt;2,-100/(L11-1),(L11-1)*100)</f>
        <v>995.72349999999994</v>
      </c>
      <c r="O11" s="4">
        <f t="shared" ref="O11:O17" si="25">1/K11</f>
        <v>0.95465393794749398</v>
      </c>
      <c r="P11" s="4">
        <f t="shared" ref="P11:P17" si="26">1/L11</f>
        <v>9.1263900062378889E-2</v>
      </c>
      <c r="Q11" s="1">
        <f t="shared" ref="Q11:Q17" si="27">P11+O11</f>
        <v>1.0459178380098728</v>
      </c>
      <c r="R11" s="2">
        <f t="shared" ref="R11:R17" si="28">Q11*J11/1000</f>
        <v>109.6257863553288</v>
      </c>
      <c r="S11" s="2"/>
    </row>
    <row r="12" spans="2:26" x14ac:dyDescent="0.25">
      <c r="C12">
        <v>102</v>
      </c>
      <c r="D12" s="5">
        <f t="shared" si="0"/>
        <v>2.02</v>
      </c>
      <c r="E12" s="1">
        <f t="shared" si="1"/>
        <v>0.49504950495049505</v>
      </c>
      <c r="F12" s="5">
        <f t="shared" si="2"/>
        <v>1.02</v>
      </c>
      <c r="H12" s="6"/>
      <c r="I12" s="22">
        <f t="shared" si="20"/>
        <v>1000</v>
      </c>
      <c r="J12" s="14">
        <f t="shared" si="19"/>
        <v>68515</v>
      </c>
      <c r="K12" s="10">
        <f t="shared" si="21"/>
        <v>1.095</v>
      </c>
      <c r="L12" s="10">
        <f t="shared" si="22"/>
        <v>7.5089249999999996</v>
      </c>
      <c r="M12" s="2">
        <f t="shared" si="23"/>
        <v>-1052.6315789473688</v>
      </c>
      <c r="N12" s="11">
        <f t="shared" si="24"/>
        <v>650.89249999999993</v>
      </c>
      <c r="O12" s="4">
        <f t="shared" si="25"/>
        <v>0.91324200913242015</v>
      </c>
      <c r="P12" s="4">
        <f t="shared" si="26"/>
        <v>0.13317485525557921</v>
      </c>
      <c r="Q12" s="1">
        <f t="shared" si="27"/>
        <v>1.0464168643879994</v>
      </c>
      <c r="R12" s="2">
        <f t="shared" si="28"/>
        <v>71.695251463543784</v>
      </c>
      <c r="S12" s="2"/>
    </row>
    <row r="13" spans="2:26" x14ac:dyDescent="0.25">
      <c r="C13">
        <v>120</v>
      </c>
      <c r="D13" s="5">
        <f t="shared" ref="D13" si="29">IF(C13&lt;0,-(100-C13)/C13,C13/100+1)</f>
        <v>2.2000000000000002</v>
      </c>
      <c r="E13" s="1">
        <f t="shared" ref="E13" si="30">1/D13</f>
        <v>0.45454545454545453</v>
      </c>
      <c r="F13" s="5">
        <f t="shared" ref="F13" si="31">IF(C13&lt;0,-100/C13,C13/100)</f>
        <v>1.2</v>
      </c>
      <c r="H13" s="6"/>
      <c r="I13" s="22">
        <f t="shared" si="20"/>
        <v>1500</v>
      </c>
      <c r="J13" s="14">
        <f t="shared" si="19"/>
        <v>50832</v>
      </c>
      <c r="K13" s="10">
        <f t="shared" si="21"/>
        <v>1.1425000000000001</v>
      </c>
      <c r="L13" s="10">
        <f t="shared" si="22"/>
        <v>5.8290399999999991</v>
      </c>
      <c r="M13" s="2">
        <f t="shared" si="23"/>
        <v>-701.75438596491188</v>
      </c>
      <c r="N13" s="11">
        <f t="shared" si="24"/>
        <v>482.90399999999988</v>
      </c>
      <c r="O13" s="4">
        <f t="shared" si="25"/>
        <v>0.87527352297592997</v>
      </c>
      <c r="P13" s="4">
        <f t="shared" si="26"/>
        <v>0.17155483578771122</v>
      </c>
      <c r="Q13" s="1">
        <f t="shared" si="27"/>
        <v>1.0468283587636411</v>
      </c>
      <c r="R13" s="2">
        <f t="shared" si="28"/>
        <v>53.212379132673405</v>
      </c>
      <c r="S13" s="2"/>
    </row>
    <row r="14" spans="2:26" x14ac:dyDescent="0.25">
      <c r="C14" s="7"/>
      <c r="D14" s="12"/>
      <c r="E14" s="13">
        <f>E13+E3</f>
        <v>1.0545454545454545</v>
      </c>
      <c r="I14" s="22">
        <f t="shared" si="20"/>
        <v>2000</v>
      </c>
      <c r="J14" s="14">
        <f t="shared" si="19"/>
        <v>40366</v>
      </c>
      <c r="K14" s="10">
        <f t="shared" si="21"/>
        <v>1.19</v>
      </c>
      <c r="L14" s="10">
        <f t="shared" si="22"/>
        <v>4.8347699999999998</v>
      </c>
      <c r="M14" s="2">
        <f t="shared" si="23"/>
        <v>-526.31578947368439</v>
      </c>
      <c r="N14" s="11">
        <f t="shared" si="24"/>
        <v>383.47699999999998</v>
      </c>
      <c r="O14" s="4">
        <f t="shared" si="25"/>
        <v>0.84033613445378152</v>
      </c>
      <c r="P14" s="4">
        <f t="shared" si="26"/>
        <v>0.20683507178211166</v>
      </c>
      <c r="Q14" s="1">
        <f t="shared" si="27"/>
        <v>1.0471712062358931</v>
      </c>
      <c r="R14" s="2">
        <f t="shared" si="28"/>
        <v>42.270112910918058</v>
      </c>
      <c r="S14" s="2"/>
    </row>
    <row r="15" spans="2:26" x14ac:dyDescent="0.25">
      <c r="C15" s="7" t="s">
        <v>4</v>
      </c>
      <c r="D15" t="s">
        <v>5</v>
      </c>
      <c r="E15" t="s">
        <v>0</v>
      </c>
      <c r="F15" s="7" t="s">
        <v>3</v>
      </c>
      <c r="I15" s="22">
        <f t="shared" si="20"/>
        <v>2500</v>
      </c>
      <c r="J15" s="14">
        <f t="shared" si="19"/>
        <v>33448</v>
      </c>
      <c r="K15" s="10">
        <f t="shared" si="21"/>
        <v>1.2375</v>
      </c>
      <c r="L15" s="10">
        <f t="shared" si="22"/>
        <v>4.1775599999999997</v>
      </c>
      <c r="M15" s="2">
        <f t="shared" si="23"/>
        <v>-421.05263157894728</v>
      </c>
      <c r="N15" s="11">
        <f t="shared" si="24"/>
        <v>317.75599999999997</v>
      </c>
      <c r="O15" s="4">
        <f t="shared" si="25"/>
        <v>0.80808080808080807</v>
      </c>
      <c r="P15" s="4">
        <f t="shared" si="26"/>
        <v>0.23937418014343304</v>
      </c>
      <c r="Q15" s="1">
        <f t="shared" si="27"/>
        <v>1.0474549882242412</v>
      </c>
      <c r="R15" s="2">
        <f t="shared" si="28"/>
        <v>35.035274446124419</v>
      </c>
      <c r="S15" s="2"/>
    </row>
    <row r="16" spans="2:26" x14ac:dyDescent="0.25">
      <c r="C16">
        <v>8</v>
      </c>
      <c r="D16" s="2">
        <f t="shared" ref="D16:D22" si="32">IF(C16&lt;2,-100/(C16-1),(C16-1)*100)</f>
        <v>700</v>
      </c>
      <c r="E16" s="4">
        <f>1/C16</f>
        <v>0.125</v>
      </c>
      <c r="F16" s="5">
        <f t="shared" ref="F16:F22" si="33">IF(C16&lt;0,-100/C16,C16/100)</f>
        <v>0.08</v>
      </c>
      <c r="H16" s="2"/>
      <c r="I16" s="22">
        <f t="shared" si="20"/>
        <v>3000</v>
      </c>
      <c r="J16" s="14">
        <f t="shared" si="19"/>
        <v>28535</v>
      </c>
      <c r="K16" s="10">
        <f t="shared" si="21"/>
        <v>1.2849999999999999</v>
      </c>
      <c r="L16" s="10">
        <f t="shared" si="22"/>
        <v>3.7108249999999998</v>
      </c>
      <c r="M16" s="2">
        <f t="shared" si="23"/>
        <v>-350.87719298245622</v>
      </c>
      <c r="N16" s="11">
        <f t="shared" si="24"/>
        <v>271.08249999999998</v>
      </c>
      <c r="O16" s="4">
        <f t="shared" si="25"/>
        <v>0.77821011673151752</v>
      </c>
      <c r="P16" s="4">
        <f t="shared" si="26"/>
        <v>0.26948185376567207</v>
      </c>
      <c r="Q16" s="1">
        <f t="shared" si="27"/>
        <v>1.0476919704971897</v>
      </c>
      <c r="R16" s="2">
        <f t="shared" si="28"/>
        <v>29.89589037813731</v>
      </c>
      <c r="S16" s="2"/>
    </row>
    <row r="17" spans="1:22" x14ac:dyDescent="0.25">
      <c r="A17" s="15"/>
      <c r="C17" s="10">
        <f>C16-1</f>
        <v>7</v>
      </c>
      <c r="D17" s="2">
        <f>IF(C17&lt;2,-100/(C17-1),(C17-1)*100)</f>
        <v>600</v>
      </c>
      <c r="E17" s="4">
        <f t="shared" ref="E17:E22" si="34">1/C17</f>
        <v>0.14285714285714285</v>
      </c>
      <c r="F17" s="5">
        <f t="shared" si="33"/>
        <v>7.0000000000000007E-2</v>
      </c>
      <c r="G17" s="1"/>
      <c r="I17" s="22">
        <f t="shared" si="20"/>
        <v>3500</v>
      </c>
      <c r="J17" s="14">
        <f t="shared" si="19"/>
        <v>24866</v>
      </c>
      <c r="K17" s="10">
        <f t="shared" si="21"/>
        <v>1.3325</v>
      </c>
      <c r="L17" s="10">
        <f t="shared" si="22"/>
        <v>3.3622699999999996</v>
      </c>
      <c r="M17" s="2">
        <f t="shared" si="23"/>
        <v>-300.75187969924809</v>
      </c>
      <c r="N17" s="11">
        <f t="shared" si="24"/>
        <v>236.22699999999998</v>
      </c>
      <c r="O17" s="4">
        <f t="shared" si="25"/>
        <v>0.75046904315196994</v>
      </c>
      <c r="P17" s="4">
        <f t="shared" si="26"/>
        <v>0.29741811335793977</v>
      </c>
      <c r="Q17" s="1">
        <f t="shared" si="27"/>
        <v>1.0478871565099097</v>
      </c>
      <c r="R17" s="2">
        <f t="shared" si="28"/>
        <v>26.056762033775417</v>
      </c>
      <c r="S17" s="2"/>
      <c r="T17" s="3"/>
      <c r="U17" s="3"/>
      <c r="V17" s="3"/>
    </row>
    <row r="18" spans="1:22" x14ac:dyDescent="0.25">
      <c r="C18" s="10">
        <f t="shared" ref="C18:C22" si="35">C17-1</f>
        <v>6</v>
      </c>
      <c r="D18" s="2">
        <f t="shared" si="32"/>
        <v>500</v>
      </c>
      <c r="E18" s="4">
        <f t="shared" si="34"/>
        <v>0.16666666666666666</v>
      </c>
      <c r="F18" s="5">
        <f t="shared" si="33"/>
        <v>0.06</v>
      </c>
      <c r="G18" s="1"/>
      <c r="I18" s="22">
        <f t="shared" si="20"/>
        <v>4000</v>
      </c>
      <c r="J18" s="24"/>
      <c r="O18" s="25"/>
    </row>
    <row r="19" spans="1:22" x14ac:dyDescent="0.25">
      <c r="A19" s="15"/>
      <c r="C19" s="10">
        <f t="shared" si="35"/>
        <v>5</v>
      </c>
      <c r="D19" s="2">
        <f t="shared" si="32"/>
        <v>400</v>
      </c>
      <c r="E19" s="4">
        <f t="shared" si="34"/>
        <v>0.2</v>
      </c>
      <c r="F19" s="5">
        <f t="shared" si="33"/>
        <v>0.05</v>
      </c>
      <c r="G19" s="1"/>
      <c r="H19" s="24"/>
      <c r="I19" s="22">
        <f t="shared" si="20"/>
        <v>4500</v>
      </c>
      <c r="J19" s="6">
        <f>J9/10000</f>
        <v>0.18348623853211007</v>
      </c>
      <c r="O19" s="25"/>
      <c r="S19" s="6"/>
      <c r="T19" s="6"/>
      <c r="U19" s="6"/>
      <c r="V19" s="6"/>
    </row>
    <row r="20" spans="1:22" x14ac:dyDescent="0.25">
      <c r="C20" s="10">
        <f t="shared" si="35"/>
        <v>4</v>
      </c>
      <c r="D20" s="2">
        <f t="shared" si="32"/>
        <v>300</v>
      </c>
      <c r="E20" s="4">
        <f t="shared" si="34"/>
        <v>0.25</v>
      </c>
      <c r="F20" s="5">
        <f t="shared" si="33"/>
        <v>0.04</v>
      </c>
      <c r="G20" s="1"/>
      <c r="H20" s="24"/>
      <c r="I20" s="22">
        <f t="shared" si="20"/>
        <v>5000</v>
      </c>
      <c r="J20" s="23"/>
      <c r="K20" s="23"/>
      <c r="O20" s="25"/>
      <c r="S20" s="6"/>
      <c r="T20" s="6"/>
      <c r="U20" s="6"/>
      <c r="V20" s="6"/>
    </row>
    <row r="21" spans="1:22" x14ac:dyDescent="0.25">
      <c r="C21" s="10">
        <f t="shared" si="35"/>
        <v>3</v>
      </c>
      <c r="D21" s="2">
        <f t="shared" si="32"/>
        <v>200</v>
      </c>
      <c r="E21" s="4">
        <f t="shared" si="34"/>
        <v>0.33333333333333331</v>
      </c>
      <c r="F21" s="5">
        <f t="shared" si="33"/>
        <v>0.03</v>
      </c>
      <c r="G21" s="1"/>
      <c r="H21" s="24"/>
      <c r="I21" s="22">
        <f t="shared" si="20"/>
        <v>5500</v>
      </c>
      <c r="J21" s="23"/>
      <c r="K21" s="23"/>
      <c r="O21" s="25"/>
      <c r="S21" s="6"/>
      <c r="T21" s="6"/>
      <c r="U21" s="6"/>
      <c r="V21" s="6"/>
    </row>
    <row r="22" spans="1:22" x14ac:dyDescent="0.25">
      <c r="C22" s="10">
        <f t="shared" si="35"/>
        <v>2</v>
      </c>
      <c r="D22" s="2">
        <f t="shared" si="32"/>
        <v>100</v>
      </c>
      <c r="E22" s="4">
        <f t="shared" si="34"/>
        <v>0.5</v>
      </c>
      <c r="F22" s="5">
        <f t="shared" si="33"/>
        <v>0.02</v>
      </c>
      <c r="G22" s="1"/>
      <c r="H22" s="24"/>
      <c r="I22" s="22">
        <f t="shared" si="20"/>
        <v>6000</v>
      </c>
      <c r="J22" s="23"/>
      <c r="K22" s="23"/>
      <c r="L22">
        <f>0.511+0.08</f>
        <v>0.59099999999999997</v>
      </c>
      <c r="O22" s="26">
        <v>1E+19</v>
      </c>
      <c r="S22" s="6"/>
      <c r="T22" s="6"/>
      <c r="U22" s="6"/>
      <c r="V22" s="6"/>
    </row>
    <row r="23" spans="1:22" x14ac:dyDescent="0.25">
      <c r="A23" s="15"/>
      <c r="C23" s="10">
        <v>1.1499999999999999</v>
      </c>
      <c r="D23" s="2">
        <f t="shared" ref="D23:D24" si="36">IF(C23&lt;2,-100/(C23-1),(C23-1)*100)</f>
        <v>-666.66666666666708</v>
      </c>
      <c r="E23" s="4">
        <f t="shared" ref="E23:E24" si="37">1/C23</f>
        <v>0.86956521739130443</v>
      </c>
      <c r="F23" s="5">
        <f t="shared" ref="F23:F24" si="38">IF(C23&lt;0,-100/C23,C23/100)</f>
        <v>1.15E-2</v>
      </c>
      <c r="G23" s="1"/>
      <c r="H23" s="24"/>
      <c r="I23" s="22">
        <f t="shared" si="20"/>
        <v>6500</v>
      </c>
      <c r="J23" s="23"/>
      <c r="K23" s="23"/>
      <c r="S23" s="6"/>
      <c r="T23" s="6"/>
      <c r="U23" s="6"/>
      <c r="V23" s="6"/>
    </row>
    <row r="24" spans="1:22" x14ac:dyDescent="0.25">
      <c r="B24" s="5">
        <f>1+(C24-1)/0.95</f>
        <v>1.4242105263157896</v>
      </c>
      <c r="C24" s="10">
        <v>1.403</v>
      </c>
      <c r="D24" s="2">
        <f t="shared" si="36"/>
        <v>-248.13895781637714</v>
      </c>
      <c r="E24" s="4">
        <f t="shared" si="37"/>
        <v>0.71275837491090521</v>
      </c>
      <c r="F24" s="5">
        <f t="shared" si="38"/>
        <v>1.4030000000000001E-2</v>
      </c>
      <c r="G24" s="1"/>
      <c r="H24" s="24"/>
      <c r="I24" s="22">
        <f t="shared" si="20"/>
        <v>7000</v>
      </c>
      <c r="L24">
        <f>0.511+0.0872</f>
        <v>0.59820000000000007</v>
      </c>
      <c r="S24" s="6"/>
      <c r="T24" s="6"/>
      <c r="U24" s="6"/>
      <c r="V24" s="6"/>
    </row>
    <row r="25" spans="1:22" x14ac:dyDescent="0.25">
      <c r="B25" s="5">
        <f>1+(C25-1)/0.95</f>
        <v>3.1052631578947367</v>
      </c>
      <c r="C25" s="10">
        <v>3</v>
      </c>
      <c r="D25" s="2">
        <f t="shared" ref="D25" si="39">IF(C25&lt;2,-100/(C25-1),(C25-1)*100)</f>
        <v>200</v>
      </c>
      <c r="E25" s="4">
        <f t="shared" ref="E25" si="40">1/C25</f>
        <v>0.33333333333333331</v>
      </c>
      <c r="F25" s="5">
        <f t="shared" ref="F25" si="41">IF(C25&lt;0,-100/C25,C25/100)</f>
        <v>0.03</v>
      </c>
      <c r="G25" s="1"/>
      <c r="H25" s="24"/>
      <c r="I25" s="22">
        <f t="shared" si="20"/>
        <v>7500</v>
      </c>
      <c r="J25" s="24"/>
      <c r="L25">
        <f>1/L24</f>
        <v>1.6716817118020728</v>
      </c>
      <c r="M25">
        <f>(L25-1)*0.95</f>
        <v>0.63809762621196919</v>
      </c>
      <c r="O25" s="25"/>
    </row>
    <row r="26" spans="1:22" x14ac:dyDescent="0.25">
      <c r="B26" s="5"/>
      <c r="C26" s="10"/>
      <c r="D26" s="2"/>
      <c r="E26" s="4">
        <f>E25+E24</f>
        <v>1.0460917082442385</v>
      </c>
      <c r="F26" s="5"/>
      <c r="G26" s="1"/>
      <c r="H26" s="24"/>
      <c r="I26" s="24"/>
      <c r="O26" s="25"/>
      <c r="S26" s="6"/>
      <c r="T26" s="6"/>
      <c r="U26" s="6"/>
      <c r="V26" s="6"/>
    </row>
    <row r="27" spans="1:22" x14ac:dyDescent="0.25">
      <c r="A27">
        <v>1</v>
      </c>
      <c r="B27" s="10">
        <f>A27*(B24-1)</f>
        <v>0.42421052631578959</v>
      </c>
      <c r="C27" s="10">
        <f>B27-A28</f>
        <v>-0.57578947368421041</v>
      </c>
      <c r="D27" s="2" t="s">
        <v>26</v>
      </c>
      <c r="E27" s="4"/>
      <c r="F27" s="5" t="e">
        <f>1/E27</f>
        <v>#DIV/0!</v>
      </c>
      <c r="H27" s="2"/>
      <c r="I27" s="5"/>
      <c r="J27" s="23">
        <f>100000000/(6710+450)-450</f>
        <v>13516.480446927375</v>
      </c>
      <c r="K27" s="23">
        <f>J27/10000*0.95+1</f>
        <v>2.2840656424581005</v>
      </c>
      <c r="M27">
        <f>1-K27*K28/(K27+K28)</f>
        <v>4.6056410524794589E-2</v>
      </c>
      <c r="O27" s="25"/>
      <c r="S27" s="6"/>
      <c r="T27" s="6"/>
      <c r="U27" s="6"/>
      <c r="V27" s="6"/>
    </row>
    <row r="28" spans="1:22" x14ac:dyDescent="0.25">
      <c r="A28">
        <v>1</v>
      </c>
      <c r="B28" s="10">
        <f>A28*(B25-1)</f>
        <v>2.1052631578947367</v>
      </c>
      <c r="C28" s="10">
        <f>B28-A27</f>
        <v>1.1052631578947367</v>
      </c>
      <c r="H28" s="5">
        <f>O32/1000+1</f>
        <v>1.953056621646696</v>
      </c>
      <c r="I28" s="5"/>
      <c r="J28" s="23"/>
      <c r="K28" s="23">
        <f>1+M25</f>
        <v>1.6380976262119691</v>
      </c>
      <c r="O28" s="25"/>
      <c r="S28" s="6"/>
      <c r="T28" s="6"/>
      <c r="U28" s="6"/>
      <c r="V28" s="6"/>
    </row>
    <row r="29" spans="1:22" x14ac:dyDescent="0.25">
      <c r="B29" s="5"/>
      <c r="C29" s="10"/>
      <c r="D29" s="2"/>
      <c r="E29" s="4"/>
      <c r="F29" s="5"/>
      <c r="H29" s="2"/>
      <c r="I29" s="5"/>
    </row>
    <row r="30" spans="1:22" x14ac:dyDescent="0.25">
      <c r="B30" s="5">
        <f>B27-B28</f>
        <v>-1.6810526315789471</v>
      </c>
      <c r="C30" s="10"/>
      <c r="D30" s="2"/>
      <c r="E30" s="4"/>
      <c r="F30" s="5"/>
      <c r="H30" s="2"/>
      <c r="I30" s="5"/>
    </row>
    <row r="31" spans="1:22" x14ac:dyDescent="0.25">
      <c r="B31" s="5"/>
      <c r="C31" s="7" t="s">
        <v>5</v>
      </c>
      <c r="E31" s="7" t="s">
        <v>4</v>
      </c>
      <c r="G31" s="7" t="s">
        <v>0</v>
      </c>
      <c r="I31" s="5" t="s">
        <v>27</v>
      </c>
      <c r="J31" s="7" t="s">
        <v>28</v>
      </c>
      <c r="K31" s="2" t="s">
        <v>29</v>
      </c>
      <c r="L31" s="5"/>
      <c r="M31" t="s">
        <v>29</v>
      </c>
      <c r="N31" t="s">
        <v>28</v>
      </c>
    </row>
    <row r="32" spans="1:22" x14ac:dyDescent="0.25">
      <c r="B32" s="5"/>
      <c r="C32">
        <v>-110</v>
      </c>
      <c r="D32">
        <v>-110</v>
      </c>
      <c r="E32" s="5">
        <f>IF(C32&lt;0,-(100-C32)/C32,C32/100+1)</f>
        <v>1.9090909090909092</v>
      </c>
      <c r="F32" s="5">
        <f>IF(D32&lt;0,-(100-D32)/D32,D32/100+1)</f>
        <v>1.9090909090909092</v>
      </c>
      <c r="G32" s="1">
        <f>1/E32</f>
        <v>0.52380952380952384</v>
      </c>
      <c r="H32" s="1">
        <f>1/F32</f>
        <v>0.52380952380952384</v>
      </c>
      <c r="I32" s="4">
        <f>G32-H32</f>
        <v>0</v>
      </c>
      <c r="J32" s="41">
        <f>0.511+I32/2</f>
        <v>0.51100000000000001</v>
      </c>
      <c r="K32" s="5">
        <f>1/J32</f>
        <v>1.9569471624266144</v>
      </c>
      <c r="L32" s="5">
        <f>(K32-1)*1000</f>
        <v>956.94716242661434</v>
      </c>
      <c r="M32" s="5">
        <f>1+L32/1000</f>
        <v>1.9569471624266144</v>
      </c>
      <c r="N32" s="4">
        <f>1/M32</f>
        <v>0.51100000000000001</v>
      </c>
      <c r="O32">
        <f>1000000/(L32+45)-45</f>
        <v>953.05662164669593</v>
      </c>
      <c r="P32" s="5">
        <f>1+O32/1000</f>
        <v>1.953056621646696</v>
      </c>
      <c r="Q32" s="4">
        <f>1/P32</f>
        <v>0.51201792560261883</v>
      </c>
      <c r="R32" s="15">
        <f>N32+Q32</f>
        <v>1.0230179256026188</v>
      </c>
    </row>
    <row r="33" spans="3:20" x14ac:dyDescent="0.25">
      <c r="F33" s="5"/>
      <c r="G33" s="1"/>
      <c r="H33" s="1"/>
      <c r="I33" s="4"/>
      <c r="J33" s="41"/>
      <c r="K33" s="5"/>
      <c r="L33" s="5"/>
      <c r="M33" s="5"/>
      <c r="N33" s="4"/>
      <c r="P33" s="5"/>
      <c r="Q33" s="4"/>
      <c r="R33" s="15"/>
    </row>
    <row r="34" spans="3:20" x14ac:dyDescent="0.25">
      <c r="C34" s="6"/>
      <c r="D34" s="2"/>
      <c r="E34" s="15"/>
      <c r="F34" s="5"/>
      <c r="G34" s="1"/>
      <c r="H34" s="1"/>
      <c r="I34" s="4"/>
      <c r="J34" s="41"/>
      <c r="K34" s="5"/>
      <c r="L34" s="5"/>
      <c r="M34" s="5"/>
      <c r="N34" s="4"/>
      <c r="P34" s="5"/>
      <c r="Q34" s="4"/>
      <c r="R34" s="15"/>
    </row>
    <row r="35" spans="3:20" x14ac:dyDescent="0.25">
      <c r="C35" s="10"/>
      <c r="D35" s="2"/>
      <c r="E35" s="5">
        <v>1.667</v>
      </c>
      <c r="F35" s="5">
        <v>2.35</v>
      </c>
      <c r="G35" s="1">
        <f t="shared" ref="G35" si="42">1/E35</f>
        <v>0.59988002399520091</v>
      </c>
      <c r="H35" s="1">
        <f t="shared" ref="H35" si="43">1/F35</f>
        <v>0.42553191489361702</v>
      </c>
      <c r="I35" s="4">
        <f t="shared" ref="I35" si="44">G35-H35</f>
        <v>0.17434810910158388</v>
      </c>
      <c r="J35" s="41">
        <f t="shared" ref="J35:J54" si="45">0.511+I35/2</f>
        <v>0.59817405455079198</v>
      </c>
      <c r="K35" s="5">
        <f t="shared" ref="K35:K54" si="46">1/J35</f>
        <v>1.6717542200170574</v>
      </c>
      <c r="L35" s="5">
        <f t="shared" ref="L35:L54" si="47">(K35-1)*1000</f>
        <v>671.75422001705738</v>
      </c>
      <c r="M35" s="5">
        <f t="shared" ref="M35:M54" si="48">1+L35/1000</f>
        <v>1.6717542200170574</v>
      </c>
      <c r="N35" s="4">
        <f t="shared" ref="N35:N54" si="49">1/M35</f>
        <v>0.59817405455079198</v>
      </c>
      <c r="O35">
        <f t="shared" ref="O35" si="50">1000000/(L35+45)-45</f>
        <v>1350.1783918010303</v>
      </c>
      <c r="P35" s="5">
        <f t="shared" ref="P35:P54" si="51">1+O35/1000</f>
        <v>2.3501783918010304</v>
      </c>
      <c r="Q35" s="4">
        <f t="shared" ref="Q35:Q54" si="52">1/P35</f>
        <v>0.42549961462017455</v>
      </c>
      <c r="R35" s="15">
        <f>N35+Q35-1</f>
        <v>2.3673669170966471E-2</v>
      </c>
      <c r="S35" s="1">
        <f>G35+H35-1</f>
        <v>2.5411938888817875E-2</v>
      </c>
    </row>
    <row r="36" spans="3:20" x14ac:dyDescent="0.25">
      <c r="C36" s="10"/>
      <c r="D36" s="2"/>
      <c r="E36" s="5">
        <v>1.9367617554858934</v>
      </c>
      <c r="F36" s="5">
        <v>1.965003134796238</v>
      </c>
      <c r="G36" s="1">
        <f t="shared" ref="G36" si="53">1/E36</f>
        <v>0.51632576756923865</v>
      </c>
      <c r="H36" s="1">
        <f t="shared" ref="H36" si="54">1/F36</f>
        <v>0.508905040552872</v>
      </c>
      <c r="I36" s="4">
        <f t="shared" ref="I36" si="55">G36-H36</f>
        <v>7.4207270163666461E-3</v>
      </c>
      <c r="J36" s="41">
        <f t="shared" si="45"/>
        <v>0.51471036350818333</v>
      </c>
      <c r="K36" s="5">
        <f t="shared" si="46"/>
        <v>1.9428402280151507</v>
      </c>
      <c r="L36" s="5">
        <f t="shared" si="47"/>
        <v>942.84022801515061</v>
      </c>
      <c r="M36" s="5">
        <f t="shared" si="48"/>
        <v>1.9428402280151507</v>
      </c>
      <c r="N36" s="4">
        <f t="shared" si="49"/>
        <v>0.51471036350818333</v>
      </c>
      <c r="O36">
        <f t="shared" ref="O36" si="56">1000000/(L36+45)-45</f>
        <v>967.30945211583639</v>
      </c>
      <c r="P36" s="5">
        <f t="shared" si="51"/>
        <v>1.9673094521158365</v>
      </c>
      <c r="Q36" s="4">
        <f t="shared" si="52"/>
        <v>0.50830844071048531</v>
      </c>
      <c r="R36" s="15">
        <f>N36+Q36-1</f>
        <v>2.3018804218668532E-2</v>
      </c>
      <c r="S36" s="1">
        <f>G36+H36-1</f>
        <v>2.5230808122110648E-2</v>
      </c>
      <c r="T36" s="1"/>
    </row>
    <row r="37" spans="3:20" x14ac:dyDescent="0.25">
      <c r="C37" s="10"/>
      <c r="D37" s="2"/>
      <c r="E37" s="5">
        <v>1.8688925619834706</v>
      </c>
      <c r="F37" s="5">
        <v>1.9983636363636386</v>
      </c>
      <c r="G37" s="1">
        <f t="shared" ref="G37:G54" si="57">1/E37</f>
        <v>0.53507623730852238</v>
      </c>
      <c r="H37" s="1">
        <f t="shared" ref="H37:H54" si="58">1/F37</f>
        <v>0.50040942589391268</v>
      </c>
      <c r="I37" s="4">
        <f t="shared" ref="I37:I54" si="59">G37-H37</f>
        <v>3.46668114146097E-2</v>
      </c>
      <c r="J37" s="41">
        <f t="shared" si="45"/>
        <v>0.5283334057073048</v>
      </c>
      <c r="K37" s="5">
        <f t="shared" si="46"/>
        <v>1.8927442202168778</v>
      </c>
      <c r="L37" s="5">
        <f t="shared" si="47"/>
        <v>892.74422021687781</v>
      </c>
      <c r="M37" s="5">
        <f t="shared" si="48"/>
        <v>1.8927442202168778</v>
      </c>
      <c r="N37" s="4">
        <f t="shared" si="49"/>
        <v>0.5283334057073048</v>
      </c>
      <c r="O37">
        <f t="shared" ref="O37:O54" si="60">1000000/(L37+45)-45</f>
        <v>1021.3888706973037</v>
      </c>
      <c r="P37" s="5">
        <f t="shared" si="51"/>
        <v>2.0213888706973036</v>
      </c>
      <c r="Q37" s="4">
        <f t="shared" si="52"/>
        <v>0.49470936270418736</v>
      </c>
      <c r="R37" s="15">
        <f t="shared" ref="R37:R54" si="61">N37+Q37-1</f>
        <v>2.304276841149222E-2</v>
      </c>
      <c r="S37" s="1">
        <f t="shared" ref="S37:S53" si="62">G37+H37-1</f>
        <v>3.548566320243518E-2</v>
      </c>
      <c r="T37" s="1"/>
    </row>
    <row r="38" spans="3:20" x14ac:dyDescent="0.25">
      <c r="E38" s="5">
        <v>1.8101079136690643</v>
      </c>
      <c r="F38" s="5">
        <v>2.0676258992805785</v>
      </c>
      <c r="G38" s="1">
        <f t="shared" si="57"/>
        <v>0.55245325013413893</v>
      </c>
      <c r="H38" s="1">
        <f t="shared" si="58"/>
        <v>0.48364648573416774</v>
      </c>
      <c r="I38" s="4">
        <f t="shared" si="59"/>
        <v>6.8806764399971188E-2</v>
      </c>
      <c r="J38" s="41">
        <f t="shared" si="45"/>
        <v>0.54540338219998563</v>
      </c>
      <c r="K38" s="5">
        <f t="shared" si="46"/>
        <v>1.8335053148484608</v>
      </c>
      <c r="L38" s="5">
        <f t="shared" si="47"/>
        <v>833.50531484846078</v>
      </c>
      <c r="M38" s="5">
        <f t="shared" si="48"/>
        <v>1.8335053148484608</v>
      </c>
      <c r="N38" s="4">
        <f t="shared" si="49"/>
        <v>0.54540338219998563</v>
      </c>
      <c r="O38">
        <f t="shared" si="60"/>
        <v>1093.2970405506273</v>
      </c>
      <c r="P38" s="5">
        <f t="shared" si="51"/>
        <v>2.0932970405506275</v>
      </c>
      <c r="Q38" s="4">
        <f t="shared" si="52"/>
        <v>0.47771528867062119</v>
      </c>
      <c r="R38" s="15">
        <f t="shared" si="61"/>
        <v>2.3118670870606817E-2</v>
      </c>
      <c r="S38" s="1">
        <f t="shared" si="62"/>
        <v>3.6099735868306615E-2</v>
      </c>
      <c r="T38" s="1"/>
    </row>
    <row r="39" spans="3:20" x14ac:dyDescent="0.25">
      <c r="E39" s="5">
        <v>1.7495428571428591</v>
      </c>
      <c r="F39" s="5">
        <v>2.1669285714285702</v>
      </c>
      <c r="G39" s="1">
        <f t="shared" si="57"/>
        <v>0.57157788156906231</v>
      </c>
      <c r="H39" s="1">
        <f t="shared" si="58"/>
        <v>0.46148267791805414</v>
      </c>
      <c r="I39" s="4">
        <f t="shared" si="59"/>
        <v>0.11009520365100817</v>
      </c>
      <c r="J39" s="41">
        <f t="shared" si="45"/>
        <v>0.56604760182550407</v>
      </c>
      <c r="K39" s="5">
        <f t="shared" si="46"/>
        <v>1.7666358743946604</v>
      </c>
      <c r="L39" s="5">
        <f t="shared" si="47"/>
        <v>766.63587439466039</v>
      </c>
      <c r="M39" s="5">
        <f t="shared" si="48"/>
        <v>1.7666358743946604</v>
      </c>
      <c r="N39" s="4">
        <f t="shared" si="49"/>
        <v>0.56604760182550407</v>
      </c>
      <c r="O39">
        <f t="shared" si="60"/>
        <v>1187.0795957249013</v>
      </c>
      <c r="P39" s="5">
        <f t="shared" si="51"/>
        <v>2.1870795957249012</v>
      </c>
      <c r="Q39" s="4">
        <f t="shared" si="52"/>
        <v>0.45723072994449154</v>
      </c>
      <c r="R39" s="15">
        <f t="shared" si="61"/>
        <v>2.3278331769995608E-2</v>
      </c>
      <c r="S39" s="1">
        <f t="shared" si="62"/>
        <v>3.3060559487116503E-2</v>
      </c>
      <c r="T39" s="1"/>
    </row>
    <row r="40" spans="3:20" x14ac:dyDescent="0.25">
      <c r="D40" s="2"/>
      <c r="E40" s="5">
        <v>1.6919496402877694</v>
      </c>
      <c r="F40" s="5">
        <v>2.2670503597122313</v>
      </c>
      <c r="G40" s="1">
        <f t="shared" si="57"/>
        <v>0.59103413966264295</v>
      </c>
      <c r="H40" s="1">
        <f t="shared" si="58"/>
        <v>0.4411018024879409</v>
      </c>
      <c r="I40" s="4">
        <f t="shared" si="59"/>
        <v>0.14993233717470206</v>
      </c>
      <c r="J40" s="41">
        <f t="shared" si="45"/>
        <v>0.58596616858735107</v>
      </c>
      <c r="K40" s="5">
        <f t="shared" si="46"/>
        <v>1.7065831674391765</v>
      </c>
      <c r="L40" s="5">
        <f t="shared" si="47"/>
        <v>706.58316743917646</v>
      </c>
      <c r="M40" s="5">
        <f t="shared" si="48"/>
        <v>1.7065831674391765</v>
      </c>
      <c r="N40" s="4">
        <f t="shared" si="49"/>
        <v>0.58596616858735107</v>
      </c>
      <c r="O40">
        <f t="shared" si="60"/>
        <v>1285.5247420684514</v>
      </c>
      <c r="P40" s="5">
        <f t="shared" si="51"/>
        <v>2.2855247420684517</v>
      </c>
      <c r="Q40" s="4">
        <f t="shared" si="52"/>
        <v>0.43753628284722806</v>
      </c>
      <c r="R40" s="15">
        <f t="shared" si="61"/>
        <v>2.3502451434579186E-2</v>
      </c>
      <c r="S40" s="1">
        <f t="shared" si="62"/>
        <v>3.2135942150583796E-2</v>
      </c>
      <c r="T40" s="1"/>
    </row>
    <row r="41" spans="3:20" x14ac:dyDescent="0.25">
      <c r="D41" s="28"/>
      <c r="E41" s="5">
        <v>1.6494569536423835</v>
      </c>
      <c r="F41" s="5">
        <v>2.3545033112582781</v>
      </c>
      <c r="G41" s="1">
        <f t="shared" si="57"/>
        <v>0.60626013779369514</v>
      </c>
      <c r="H41" s="1">
        <f t="shared" si="58"/>
        <v>0.42471802660816249</v>
      </c>
      <c r="I41" s="4">
        <f t="shared" si="59"/>
        <v>0.18154211118553265</v>
      </c>
      <c r="J41" s="41">
        <f t="shared" si="45"/>
        <v>0.60177105559276634</v>
      </c>
      <c r="K41" s="5">
        <f t="shared" si="46"/>
        <v>1.6617615465319509</v>
      </c>
      <c r="L41" s="5">
        <f t="shared" si="47"/>
        <v>661.7615465319509</v>
      </c>
      <c r="M41" s="5">
        <f t="shared" si="48"/>
        <v>1.6617615465319509</v>
      </c>
      <c r="N41" s="4">
        <f t="shared" si="49"/>
        <v>0.60177105559276634</v>
      </c>
      <c r="O41">
        <f t="shared" si="60"/>
        <v>1369.9043689586083</v>
      </c>
      <c r="P41" s="5">
        <f t="shared" si="51"/>
        <v>2.3699043689586086</v>
      </c>
      <c r="Q41" s="4">
        <f t="shared" si="52"/>
        <v>0.42195795454793961</v>
      </c>
      <c r="R41" s="15">
        <f t="shared" si="61"/>
        <v>2.3729010140705942E-2</v>
      </c>
      <c r="S41" s="1">
        <f t="shared" si="62"/>
        <v>3.0978164401857633E-2</v>
      </c>
      <c r="T41" s="1"/>
    </row>
    <row r="42" spans="3:20" x14ac:dyDescent="0.25">
      <c r="E42" s="5">
        <v>1.6103789473684209</v>
      </c>
      <c r="F42" s="5">
        <v>2.4416842105263163</v>
      </c>
      <c r="G42" s="1">
        <f t="shared" si="57"/>
        <v>0.62097185363366592</v>
      </c>
      <c r="H42" s="1">
        <f t="shared" si="58"/>
        <v>0.40955337127090868</v>
      </c>
      <c r="I42" s="4">
        <f t="shared" si="59"/>
        <v>0.21141848236275723</v>
      </c>
      <c r="J42" s="41">
        <f t="shared" si="45"/>
        <v>0.6167092411813786</v>
      </c>
      <c r="K42" s="5">
        <f t="shared" si="46"/>
        <v>1.6215096729933594</v>
      </c>
      <c r="L42" s="5">
        <f t="shared" si="47"/>
        <v>621.50967299335935</v>
      </c>
      <c r="M42" s="5">
        <f t="shared" si="48"/>
        <v>1.6215096729933594</v>
      </c>
      <c r="N42" s="4">
        <f t="shared" si="49"/>
        <v>0.6167092411813786</v>
      </c>
      <c r="O42">
        <f t="shared" si="60"/>
        <v>1455.3533189682055</v>
      </c>
      <c r="P42" s="5">
        <f t="shared" si="51"/>
        <v>2.4553533189682053</v>
      </c>
      <c r="Q42" s="4">
        <f t="shared" si="52"/>
        <v>0.40727336154628146</v>
      </c>
      <c r="R42" s="15">
        <f t="shared" si="61"/>
        <v>2.3982602727659952E-2</v>
      </c>
      <c r="S42" s="1">
        <f t="shared" si="62"/>
        <v>3.0525224904574655E-2</v>
      </c>
      <c r="T42" s="1"/>
    </row>
    <row r="43" spans="3:20" x14ac:dyDescent="0.25">
      <c r="E43" s="5">
        <v>1.5737810218978072</v>
      </c>
      <c r="F43" s="5">
        <v>2.5440145985401448</v>
      </c>
      <c r="G43" s="1">
        <f t="shared" si="57"/>
        <v>0.63541241512374425</v>
      </c>
      <c r="H43" s="1">
        <f t="shared" si="58"/>
        <v>0.39307950535104602</v>
      </c>
      <c r="I43" s="4">
        <f t="shared" si="59"/>
        <v>0.24233290977269822</v>
      </c>
      <c r="J43" s="41">
        <f t="shared" si="45"/>
        <v>0.63216645488634915</v>
      </c>
      <c r="K43" s="5">
        <f t="shared" si="46"/>
        <v>1.5818618534255822</v>
      </c>
      <c r="L43" s="5">
        <f t="shared" si="47"/>
        <v>581.86185342558213</v>
      </c>
      <c r="M43" s="5">
        <f t="shared" si="48"/>
        <v>1.5818618534255822</v>
      </c>
      <c r="N43" s="4">
        <f t="shared" si="49"/>
        <v>0.63216645488634915</v>
      </c>
      <c r="O43">
        <f t="shared" si="60"/>
        <v>1550.247811835012</v>
      </c>
      <c r="P43" s="5">
        <f t="shared" si="51"/>
        <v>2.5502478118350123</v>
      </c>
      <c r="Q43" s="4">
        <f t="shared" si="52"/>
        <v>0.39211875620842401</v>
      </c>
      <c r="R43" s="15">
        <f t="shared" si="61"/>
        <v>2.4285211094773107E-2</v>
      </c>
      <c r="S43" s="1">
        <f t="shared" si="62"/>
        <v>2.8491920474790211E-2</v>
      </c>
      <c r="T43" s="1"/>
    </row>
    <row r="44" spans="3:20" x14ac:dyDescent="0.25">
      <c r="E44" s="5">
        <v>1.5446034482758622</v>
      </c>
      <c r="F44" s="5">
        <v>2.635172413793105</v>
      </c>
      <c r="G44" s="1">
        <f t="shared" si="57"/>
        <v>0.64741536160380408</v>
      </c>
      <c r="H44" s="1">
        <f t="shared" si="58"/>
        <v>0.37948181104422907</v>
      </c>
      <c r="I44" s="4">
        <f t="shared" si="59"/>
        <v>0.26793355055957502</v>
      </c>
      <c r="J44" s="41">
        <f t="shared" si="45"/>
        <v>0.64496677527978752</v>
      </c>
      <c r="K44" s="5">
        <f t="shared" si="46"/>
        <v>1.5504674633297173</v>
      </c>
      <c r="L44" s="5">
        <f t="shared" si="47"/>
        <v>550.46746332971725</v>
      </c>
      <c r="M44" s="5">
        <f t="shared" si="48"/>
        <v>1.5504674633297173</v>
      </c>
      <c r="N44" s="4">
        <f t="shared" si="49"/>
        <v>0.64496677527978752</v>
      </c>
      <c r="O44">
        <f t="shared" si="60"/>
        <v>1634.3528808580568</v>
      </c>
      <c r="P44" s="5">
        <f t="shared" si="51"/>
        <v>2.6343528808580565</v>
      </c>
      <c r="Q44" s="4">
        <f t="shared" si="52"/>
        <v>0.379599865783464</v>
      </c>
      <c r="R44" s="15">
        <f t="shared" si="61"/>
        <v>2.456664106325146E-2</v>
      </c>
      <c r="S44" s="1">
        <f t="shared" si="62"/>
        <v>2.6897172648033152E-2</v>
      </c>
      <c r="T44" s="1"/>
    </row>
    <row r="45" spans="3:20" x14ac:dyDescent="0.25">
      <c r="E45" s="5">
        <v>1.5090168067226897</v>
      </c>
      <c r="F45" s="5">
        <v>2.714033613445376</v>
      </c>
      <c r="G45" s="1">
        <f t="shared" si="57"/>
        <v>0.66268314278872631</v>
      </c>
      <c r="H45" s="1">
        <f t="shared" si="58"/>
        <v>0.36845527448369847</v>
      </c>
      <c r="I45" s="4">
        <f t="shared" si="59"/>
        <v>0.29422786830502784</v>
      </c>
      <c r="J45" s="41">
        <f t="shared" si="45"/>
        <v>0.65811393415251396</v>
      </c>
      <c r="K45" s="5">
        <f t="shared" si="46"/>
        <v>1.5194937352112894</v>
      </c>
      <c r="L45" s="5">
        <f t="shared" si="47"/>
        <v>519.49373521128939</v>
      </c>
      <c r="M45" s="5">
        <f t="shared" si="48"/>
        <v>1.5194937352112894</v>
      </c>
      <c r="N45" s="4">
        <f t="shared" si="49"/>
        <v>0.65811393415251396</v>
      </c>
      <c r="O45">
        <f t="shared" si="60"/>
        <v>1726.4988451124282</v>
      </c>
      <c r="P45" s="5">
        <f t="shared" si="51"/>
        <v>2.7264988451124283</v>
      </c>
      <c r="Q45" s="4">
        <f t="shared" si="52"/>
        <v>0.36677074035538959</v>
      </c>
      <c r="R45" s="15">
        <f t="shared" si="61"/>
        <v>2.4884674507903437E-2</v>
      </c>
      <c r="S45" s="1">
        <f t="shared" si="62"/>
        <v>3.1138417272424723E-2</v>
      </c>
      <c r="T45" s="1"/>
    </row>
    <row r="46" spans="3:20" x14ac:dyDescent="0.25">
      <c r="E46" s="5">
        <v>1.4119363295880152</v>
      </c>
      <c r="F46" s="5">
        <v>3.0917790262172193</v>
      </c>
      <c r="G46" s="1">
        <f t="shared" si="57"/>
        <v>0.70824723398950085</v>
      </c>
      <c r="H46" s="1">
        <f t="shared" si="58"/>
        <v>0.32343838014306492</v>
      </c>
      <c r="I46" s="4">
        <f t="shared" si="59"/>
        <v>0.38480885384643593</v>
      </c>
      <c r="J46" s="41">
        <f t="shared" si="45"/>
        <v>0.70340442692321803</v>
      </c>
      <c r="K46" s="5">
        <f t="shared" si="46"/>
        <v>1.4216572454258347</v>
      </c>
      <c r="L46" s="5">
        <f t="shared" si="47"/>
        <v>421.65724542583473</v>
      </c>
      <c r="M46" s="5">
        <f t="shared" si="48"/>
        <v>1.4216572454258347</v>
      </c>
      <c r="N46" s="4">
        <f t="shared" si="49"/>
        <v>0.70340442692321803</v>
      </c>
      <c r="O46">
        <f t="shared" si="60"/>
        <v>2097.900404530264</v>
      </c>
      <c r="P46" s="5">
        <f t="shared" si="51"/>
        <v>3.0979004045302641</v>
      </c>
      <c r="Q46" s="4">
        <f t="shared" si="52"/>
        <v>0.32279927351364623</v>
      </c>
      <c r="R46" s="15">
        <f t="shared" si="61"/>
        <v>2.6203700436864263E-2</v>
      </c>
      <c r="S46" s="1">
        <f t="shared" si="62"/>
        <v>3.1685614132565654E-2</v>
      </c>
      <c r="T46" s="1"/>
    </row>
    <row r="47" spans="3:20" x14ac:dyDescent="0.25">
      <c r="E47" s="5">
        <v>1.2918985915492969</v>
      </c>
      <c r="F47" s="5">
        <v>3.8295774647887364</v>
      </c>
      <c r="G47" s="1">
        <f t="shared" si="57"/>
        <v>0.77405456321518218</v>
      </c>
      <c r="H47" s="1">
        <f t="shared" si="58"/>
        <v>0.26112541375505671</v>
      </c>
      <c r="I47" s="4">
        <f t="shared" si="59"/>
        <v>0.51292914946012547</v>
      </c>
      <c r="J47" s="41">
        <f t="shared" si="45"/>
        <v>0.7674645747300628</v>
      </c>
      <c r="K47" s="5">
        <f t="shared" si="46"/>
        <v>1.3029917378945157</v>
      </c>
      <c r="L47" s="5">
        <f t="shared" si="47"/>
        <v>302.99173789451572</v>
      </c>
      <c r="M47" s="5">
        <f t="shared" si="48"/>
        <v>1.3029917378945157</v>
      </c>
      <c r="N47" s="4">
        <f t="shared" si="49"/>
        <v>0.7674645747300628</v>
      </c>
      <c r="O47">
        <f t="shared" si="60"/>
        <v>2828.6314432359395</v>
      </c>
      <c r="P47" s="5">
        <f t="shared" si="51"/>
        <v>3.8286314432359396</v>
      </c>
      <c r="Q47" s="4">
        <f t="shared" si="52"/>
        <v>0.2611899355752052</v>
      </c>
      <c r="R47" s="15">
        <f t="shared" si="61"/>
        <v>2.8654510305267999E-2</v>
      </c>
      <c r="S47" s="1">
        <f t="shared" si="62"/>
        <v>3.517997697023878E-2</v>
      </c>
      <c r="T47" s="1"/>
    </row>
    <row r="48" spans="3:20" x14ac:dyDescent="0.25">
      <c r="E48" s="5">
        <v>1.218121019108281</v>
      </c>
      <c r="F48" s="5">
        <v>4.6482165605095576</v>
      </c>
      <c r="G48" s="1">
        <f t="shared" si="57"/>
        <v>0.82093649507176614</v>
      </c>
      <c r="H48" s="1">
        <f t="shared" si="58"/>
        <v>0.21513627581292721</v>
      </c>
      <c r="I48" s="4">
        <f t="shared" si="59"/>
        <v>0.60580021925883898</v>
      </c>
      <c r="J48" s="41">
        <f t="shared" si="45"/>
        <v>0.8139001096294195</v>
      </c>
      <c r="K48" s="5">
        <f t="shared" si="46"/>
        <v>1.2286520030760464</v>
      </c>
      <c r="L48" s="5">
        <f t="shared" si="47"/>
        <v>228.65200307604638</v>
      </c>
      <c r="M48" s="5">
        <f t="shared" si="48"/>
        <v>1.2286520030760464</v>
      </c>
      <c r="N48" s="4">
        <f t="shared" si="49"/>
        <v>0.8139001096294195</v>
      </c>
      <c r="O48">
        <f t="shared" si="60"/>
        <v>3609.2761929723765</v>
      </c>
      <c r="P48" s="5">
        <f t="shared" si="51"/>
        <v>4.6092761929723771</v>
      </c>
      <c r="Q48" s="4">
        <f t="shared" si="52"/>
        <v>0.21695380318599036</v>
      </c>
      <c r="R48" s="15">
        <f t="shared" si="61"/>
        <v>3.0853912815409945E-2</v>
      </c>
      <c r="S48" s="1">
        <f t="shared" si="62"/>
        <v>3.6072770884693295E-2</v>
      </c>
      <c r="T48" s="1"/>
    </row>
    <row r="49" spans="5:20" x14ac:dyDescent="0.25">
      <c r="E49" s="5">
        <v>1.184333333333333</v>
      </c>
      <c r="F49" s="5">
        <v>5.2811111111111133</v>
      </c>
      <c r="G49" s="1">
        <f t="shared" si="57"/>
        <v>0.84435688150858457</v>
      </c>
      <c r="H49" s="1">
        <f t="shared" si="58"/>
        <v>0.18935409215232477</v>
      </c>
      <c r="I49" s="4">
        <f t="shared" si="59"/>
        <v>0.65500278935625977</v>
      </c>
      <c r="J49" s="41">
        <f t="shared" si="45"/>
        <v>0.8385013946781299</v>
      </c>
      <c r="K49" s="5">
        <f t="shared" si="46"/>
        <v>1.192603860109098</v>
      </c>
      <c r="L49" s="5">
        <f t="shared" si="47"/>
        <v>192.60386010909804</v>
      </c>
      <c r="M49" s="5">
        <f t="shared" si="48"/>
        <v>1.192603860109098</v>
      </c>
      <c r="N49" s="4">
        <f t="shared" si="49"/>
        <v>0.8385013946781299</v>
      </c>
      <c r="O49">
        <f t="shared" si="60"/>
        <v>4163.6858333902519</v>
      </c>
      <c r="P49" s="5">
        <f t="shared" si="51"/>
        <v>5.163685833390252</v>
      </c>
      <c r="Q49" s="4">
        <f t="shared" si="52"/>
        <v>0.19366011648765305</v>
      </c>
      <c r="R49" s="15">
        <f t="shared" si="61"/>
        <v>3.2161511165782919E-2</v>
      </c>
      <c r="S49" s="1">
        <f t="shared" si="62"/>
        <v>3.371097366090936E-2</v>
      </c>
      <c r="T49" s="1"/>
    </row>
    <row r="50" spans="5:20" x14ac:dyDescent="0.25">
      <c r="E50" s="5">
        <v>1.1563599999999996</v>
      </c>
      <c r="F50" s="5">
        <v>5.7472000000000003</v>
      </c>
      <c r="G50" s="1">
        <f t="shared" si="57"/>
        <v>0.86478259365595522</v>
      </c>
      <c r="H50" s="1">
        <f t="shared" si="58"/>
        <v>0.17399777282850779</v>
      </c>
      <c r="I50" s="4">
        <f t="shared" si="59"/>
        <v>0.69078482082744741</v>
      </c>
      <c r="J50" s="41">
        <f t="shared" si="45"/>
        <v>0.85639241041372371</v>
      </c>
      <c r="K50" s="5">
        <f t="shared" si="46"/>
        <v>1.1676890031252138</v>
      </c>
      <c r="L50" s="5">
        <f t="shared" si="47"/>
        <v>167.68900312521384</v>
      </c>
      <c r="M50" s="5">
        <f t="shared" si="48"/>
        <v>1.1676890031252138</v>
      </c>
      <c r="N50" s="4">
        <f t="shared" si="49"/>
        <v>0.85639241041372371</v>
      </c>
      <c r="O50">
        <f t="shared" si="60"/>
        <v>4656.7005360229277</v>
      </c>
      <c r="P50" s="5">
        <f t="shared" si="51"/>
        <v>5.6567005360229281</v>
      </c>
      <c r="Q50" s="4">
        <f t="shared" si="52"/>
        <v>0.17678149897308737</v>
      </c>
      <c r="R50" s="15">
        <f t="shared" si="61"/>
        <v>3.3173909386811085E-2</v>
      </c>
      <c r="S50" s="1">
        <f t="shared" si="62"/>
        <v>3.8780366484463036E-2</v>
      </c>
      <c r="T50" s="1"/>
    </row>
    <row r="51" spans="5:20" x14ac:dyDescent="0.25">
      <c r="E51" s="5">
        <v>1.1331025641025645</v>
      </c>
      <c r="F51" s="5">
        <v>6.569230769230769</v>
      </c>
      <c r="G51" s="1">
        <f t="shared" si="57"/>
        <v>0.88253264239324725</v>
      </c>
      <c r="H51" s="1">
        <f t="shared" si="58"/>
        <v>0.1522248243559719</v>
      </c>
      <c r="I51" s="4">
        <f t="shared" si="59"/>
        <v>0.73030781803727529</v>
      </c>
      <c r="J51" s="41">
        <f t="shared" si="45"/>
        <v>0.87615390901863766</v>
      </c>
      <c r="K51" s="5">
        <f t="shared" si="46"/>
        <v>1.1413519813203594</v>
      </c>
      <c r="L51" s="5">
        <f t="shared" si="47"/>
        <v>141.35198132035941</v>
      </c>
      <c r="M51" s="5">
        <f t="shared" si="48"/>
        <v>1.1413519813203594</v>
      </c>
      <c r="N51" s="4">
        <f t="shared" si="49"/>
        <v>0.87615390901863766</v>
      </c>
      <c r="O51">
        <f t="shared" si="60"/>
        <v>5321.1892560234746</v>
      </c>
      <c r="P51" s="5">
        <f t="shared" si="51"/>
        <v>6.3211892560234748</v>
      </c>
      <c r="Q51" s="4">
        <f t="shared" si="52"/>
        <v>0.15819807942739539</v>
      </c>
      <c r="R51" s="15">
        <f t="shared" si="61"/>
        <v>3.4351988446033044E-2</v>
      </c>
      <c r="S51" s="1">
        <f t="shared" si="62"/>
        <v>3.4757466749219201E-2</v>
      </c>
      <c r="T51" s="1"/>
    </row>
    <row r="52" spans="5:20" x14ac:dyDescent="0.25">
      <c r="E52" s="5">
        <v>1.1188571428571432</v>
      </c>
      <c r="F52" s="5">
        <v>6.8407142857142844</v>
      </c>
      <c r="G52" s="1">
        <f t="shared" si="57"/>
        <v>0.89376915219611819</v>
      </c>
      <c r="H52" s="1">
        <f t="shared" si="58"/>
        <v>0.14618356479064429</v>
      </c>
      <c r="I52" s="4">
        <f t="shared" si="59"/>
        <v>0.74758558740547387</v>
      </c>
      <c r="J52" s="41">
        <f t="shared" si="45"/>
        <v>0.88479279370273689</v>
      </c>
      <c r="K52" s="5">
        <f t="shared" si="46"/>
        <v>1.1302081200448488</v>
      </c>
      <c r="L52" s="5">
        <f t="shared" si="47"/>
        <v>130.20812004484884</v>
      </c>
      <c r="M52" s="5">
        <f t="shared" si="48"/>
        <v>1.1302081200448488</v>
      </c>
      <c r="N52" s="4">
        <f t="shared" si="49"/>
        <v>0.88479279370273689</v>
      </c>
      <c r="O52">
        <f t="shared" si="60"/>
        <v>5662.4980300229545</v>
      </c>
      <c r="P52" s="5">
        <f t="shared" si="51"/>
        <v>6.6624980300229542</v>
      </c>
      <c r="Q52" s="4">
        <f t="shared" si="52"/>
        <v>0.15009385301034825</v>
      </c>
      <c r="R52" s="15">
        <f t="shared" si="61"/>
        <v>3.4886646713085057E-2</v>
      </c>
      <c r="S52" s="1">
        <f t="shared" si="62"/>
        <v>3.9952716986762393E-2</v>
      </c>
      <c r="T52" s="1"/>
    </row>
    <row r="53" spans="5:20" x14ac:dyDescent="0.25">
      <c r="E53" s="5">
        <v>1.1049354838709677</v>
      </c>
      <c r="F53" s="5">
        <v>7.3932258064516114</v>
      </c>
      <c r="G53" s="1">
        <f t="shared" si="57"/>
        <v>0.90503021633141623</v>
      </c>
      <c r="H53" s="1">
        <f t="shared" si="58"/>
        <v>0.13525895545180858</v>
      </c>
      <c r="I53" s="4">
        <f t="shared" si="59"/>
        <v>0.76977126087960768</v>
      </c>
      <c r="J53" s="41">
        <f t="shared" si="45"/>
        <v>0.89588563043980385</v>
      </c>
      <c r="K53" s="5">
        <f t="shared" si="46"/>
        <v>1.1162139072473847</v>
      </c>
      <c r="L53" s="5">
        <f t="shared" si="47"/>
        <v>116.21390724738467</v>
      </c>
      <c r="M53" s="5">
        <f t="shared" si="48"/>
        <v>1.1162139072473847</v>
      </c>
      <c r="N53" s="4">
        <f t="shared" si="49"/>
        <v>0.89588563043980385</v>
      </c>
      <c r="O53">
        <f t="shared" si="60"/>
        <v>6157.9387977396273</v>
      </c>
      <c r="P53" s="5">
        <f t="shared" si="51"/>
        <v>7.1579387977396269</v>
      </c>
      <c r="Q53" s="4">
        <f t="shared" si="52"/>
        <v>0.13970502238937632</v>
      </c>
      <c r="R53" s="15">
        <f t="shared" si="61"/>
        <v>3.5590652829180058E-2</v>
      </c>
      <c r="S53" s="1">
        <f t="shared" si="62"/>
        <v>4.0289171783224775E-2</v>
      </c>
      <c r="T53" s="1"/>
    </row>
    <row r="54" spans="5:20" x14ac:dyDescent="0.25">
      <c r="E54" s="5">
        <v>1.909</v>
      </c>
      <c r="F54" s="5">
        <v>1.909</v>
      </c>
      <c r="G54" s="1">
        <f t="shared" si="57"/>
        <v>0.52383446830801461</v>
      </c>
      <c r="H54" s="1">
        <f t="shared" si="58"/>
        <v>0.52383446830801461</v>
      </c>
      <c r="I54" s="4">
        <f t="shared" si="59"/>
        <v>0</v>
      </c>
      <c r="J54" s="41">
        <f t="shared" si="45"/>
        <v>0.51100000000000001</v>
      </c>
      <c r="K54" s="5">
        <f t="shared" si="46"/>
        <v>1.9569471624266144</v>
      </c>
      <c r="L54" s="5">
        <f t="shared" si="47"/>
        <v>956.94716242661434</v>
      </c>
      <c r="M54" s="5">
        <f t="shared" si="48"/>
        <v>1.9569471624266144</v>
      </c>
      <c r="N54" s="4">
        <f t="shared" si="49"/>
        <v>0.51100000000000001</v>
      </c>
      <c r="O54">
        <f t="shared" si="60"/>
        <v>953.05662164669593</v>
      </c>
      <c r="P54" s="5">
        <f t="shared" si="51"/>
        <v>1.953056621646696</v>
      </c>
      <c r="Q54" s="4">
        <f t="shared" si="52"/>
        <v>0.51201792560261883</v>
      </c>
      <c r="R54" s="15">
        <f t="shared" si="61"/>
        <v>2.3017925602618838E-2</v>
      </c>
      <c r="S54" s="1">
        <f>G54+H54-1</f>
        <v>4.7668936616029223E-2</v>
      </c>
      <c r="T54" s="1"/>
    </row>
    <row r="71" spans="12:12" x14ac:dyDescent="0.25">
      <c r="L7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OddsAlgorithm</vt:lpstr>
      <vt:lpstr>MLtoDEC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Falkenstein</cp:lastModifiedBy>
  <dcterms:created xsi:type="dcterms:W3CDTF">2021-08-18T18:19:25Z</dcterms:created>
  <dcterms:modified xsi:type="dcterms:W3CDTF">2023-11-06T22:52:00Z</dcterms:modified>
</cp:coreProperties>
</file>