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ric\Documents\Github\sporteth\docs\"/>
    </mc:Choice>
  </mc:AlternateContent>
  <xr:revisionPtr revIDLastSave="0" documentId="13_ncr:1_{5DB358D8-820F-4868-AA7B-20F1C0F0F2E7}" xr6:coauthVersionLast="47" xr6:coauthVersionMax="47" xr10:uidLastSave="{00000000-0000-0000-0000-000000000000}"/>
  <bookViews>
    <workbookView xWindow="-120" yWindow="-120" windowWidth="29040" windowHeight="15720" tabRatio="763" activeTab="4" xr2:uid="{00000000-000D-0000-FFFF-FFFF00000000}"/>
  </bookViews>
  <sheets>
    <sheet name="test1BasicMargining" sheetId="1" r:id="rId1"/>
    <sheet name="test2Redemptions" sheetId="24" r:id="rId2"/>
    <sheet name="test4LpRevRewards" sheetId="20" r:id="rId3"/>
    <sheet name="test5OracleRevenue" sheetId="29" r:id="rId4"/>
    <sheet name="test6betLimits" sheetId="34" r:id="rId5"/>
  </sheets>
  <definedNames>
    <definedName name="_xlnm.Print_Area" localSheetId="0">test1BasicMargining!$R$36:$S$41</definedName>
    <definedName name="_xlnm.Print_Area" localSheetId="4">test6betLimits!$O$36:$P$41</definedName>
    <definedName name="solver_adj" localSheetId="4" hidden="1">test6betLimits!$J$7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1" localSheetId="4" hidden="1">test6betLimits!$J$4</definedName>
    <definedName name="solver_lhs2" localSheetId="4" hidden="1">test6betLimits!$J$4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test6betLimits!$U$7</definedName>
    <definedName name="solver_pre" localSheetId="4" hidden="1">0.0000001</definedName>
    <definedName name="solver_rbv" localSheetId="4" hidden="1">1</definedName>
    <definedName name="solver_rel1" localSheetId="4" hidden="1">3</definedName>
    <definedName name="solver_rel2" localSheetId="4" hidden="1">3</definedName>
    <definedName name="solver_rhs1" localSheetId="4" hidden="1">60000</definedName>
    <definedName name="solver_rhs2" localSheetId="4" hidden="1">60000</definedName>
    <definedName name="solver_rlx" localSheetId="4" hidden="1">1</definedName>
    <definedName name="solver_rsd" localSheetId="4" hidden="1">0</definedName>
    <definedName name="solver_scl" localSheetId="4" hidden="1">1</definedName>
    <definedName name="solver_sho" localSheetId="4" hidden="1">1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3</definedName>
    <definedName name="solver_val" localSheetId="4" hidden="1">60000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7" i="29" l="1"/>
  <c r="F35" i="34" l="1"/>
  <c r="F34" i="34"/>
  <c r="F33" i="34"/>
  <c r="F32" i="34"/>
  <c r="F31" i="34"/>
  <c r="F30" i="34"/>
  <c r="F29" i="34"/>
  <c r="F28" i="34"/>
  <c r="F27" i="34"/>
  <c r="F26" i="34"/>
  <c r="F25" i="34"/>
  <c r="F24" i="34"/>
  <c r="F23" i="34"/>
  <c r="F22" i="34"/>
  <c r="F21" i="34"/>
  <c r="F20" i="34"/>
  <c r="F19" i="34"/>
  <c r="F18" i="34"/>
  <c r="F17" i="34"/>
  <c r="F16" i="34"/>
  <c r="F15" i="34"/>
  <c r="F14" i="34"/>
  <c r="F13" i="34"/>
  <c r="F12" i="34"/>
  <c r="F11" i="34"/>
  <c r="F10" i="34"/>
  <c r="F9" i="34"/>
  <c r="F8" i="34"/>
  <c r="F7" i="34"/>
  <c r="F6" i="34"/>
  <c r="F5" i="34"/>
  <c r="F4" i="34"/>
  <c r="D5" i="34"/>
  <c r="L8" i="34" s="1"/>
  <c r="D6" i="34"/>
  <c r="L9" i="34" s="1"/>
  <c r="D7" i="34"/>
  <c r="L10" i="34" s="1"/>
  <c r="D8" i="34"/>
  <c r="L11" i="34" s="1"/>
  <c r="D9" i="34"/>
  <c r="L12" i="34" s="1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24" i="34"/>
  <c r="D25" i="34"/>
  <c r="D26" i="34"/>
  <c r="D27" i="34"/>
  <c r="D28" i="34"/>
  <c r="D29" i="34"/>
  <c r="D30" i="34"/>
  <c r="D31" i="34"/>
  <c r="D32" i="34"/>
  <c r="D33" i="34"/>
  <c r="D34" i="34"/>
  <c r="D35" i="34"/>
  <c r="D4" i="34"/>
  <c r="L7" i="34" s="1"/>
  <c r="T52" i="29"/>
  <c r="T51" i="29"/>
  <c r="T41" i="29"/>
  <c r="T40" i="29"/>
  <c r="T39" i="29"/>
  <c r="T38" i="29"/>
  <c r="T24" i="29"/>
  <c r="T23" i="29"/>
  <c r="T22" i="29"/>
  <c r="T21" i="29"/>
  <c r="U7" i="29"/>
  <c r="U9" i="29"/>
  <c r="J12" i="29"/>
  <c r="T7" i="29"/>
  <c r="T9" i="29"/>
  <c r="T8" i="29"/>
  <c r="D4" i="24"/>
  <c r="K4" i="24" s="1"/>
  <c r="L4" i="24" s="1"/>
  <c r="K6" i="24"/>
  <c r="L6" i="24" s="1"/>
  <c r="E5" i="24"/>
  <c r="E6" i="24"/>
  <c r="K12" i="24" s="1"/>
  <c r="L12" i="24" s="1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D5" i="24"/>
  <c r="K5" i="24" s="1"/>
  <c r="L5" i="24" s="1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E4" i="24"/>
  <c r="K11" i="24" s="1"/>
  <c r="L11" i="24" s="1"/>
  <c r="F6" i="1"/>
  <c r="G10" i="1"/>
  <c r="F12" i="1"/>
  <c r="F13" i="1"/>
  <c r="G16" i="1"/>
  <c r="F18" i="1"/>
  <c r="F19" i="1"/>
  <c r="G22" i="1"/>
  <c r="F24" i="1"/>
  <c r="F25" i="1"/>
  <c r="G28" i="1"/>
  <c r="F30" i="1"/>
  <c r="F31" i="1"/>
  <c r="G34" i="1"/>
  <c r="G4" i="1"/>
  <c r="E5" i="1"/>
  <c r="O12" i="1" s="1"/>
  <c r="O18" i="1"/>
  <c r="O13" i="1"/>
  <c r="E8" i="1"/>
  <c r="G8" i="1" s="1"/>
  <c r="E9" i="1"/>
  <c r="G9" i="1" s="1"/>
  <c r="E10" i="1"/>
  <c r="E11" i="1"/>
  <c r="G11" i="1" s="1"/>
  <c r="E12" i="1"/>
  <c r="G12" i="1" s="1"/>
  <c r="E13" i="1"/>
  <c r="G13" i="1" s="1"/>
  <c r="E14" i="1"/>
  <c r="G14" i="1" s="1"/>
  <c r="E15" i="1"/>
  <c r="G15" i="1" s="1"/>
  <c r="E16" i="1"/>
  <c r="E17" i="1"/>
  <c r="G17" i="1" s="1"/>
  <c r="E18" i="1"/>
  <c r="G18" i="1" s="1"/>
  <c r="E19" i="1"/>
  <c r="G19" i="1" s="1"/>
  <c r="E20" i="1"/>
  <c r="G20" i="1" s="1"/>
  <c r="E21" i="1"/>
  <c r="G21" i="1" s="1"/>
  <c r="E22" i="1"/>
  <c r="E23" i="1"/>
  <c r="G23" i="1" s="1"/>
  <c r="E24" i="1"/>
  <c r="G24" i="1" s="1"/>
  <c r="E25" i="1"/>
  <c r="G25" i="1" s="1"/>
  <c r="E26" i="1"/>
  <c r="G26" i="1" s="1"/>
  <c r="E27" i="1"/>
  <c r="G27" i="1" s="1"/>
  <c r="E28" i="1"/>
  <c r="E29" i="1"/>
  <c r="G29" i="1" s="1"/>
  <c r="E30" i="1"/>
  <c r="G30" i="1" s="1"/>
  <c r="E31" i="1"/>
  <c r="G31" i="1" s="1"/>
  <c r="E32" i="1"/>
  <c r="G32" i="1" s="1"/>
  <c r="E33" i="1"/>
  <c r="G33" i="1" s="1"/>
  <c r="E34" i="1"/>
  <c r="E35" i="1"/>
  <c r="G35" i="1" s="1"/>
  <c r="D8" i="1"/>
  <c r="F8" i="1" s="1"/>
  <c r="D9" i="1"/>
  <c r="F9" i="1" s="1"/>
  <c r="D10" i="1"/>
  <c r="F10" i="1" s="1"/>
  <c r="D11" i="1"/>
  <c r="F11" i="1" s="1"/>
  <c r="D12" i="1"/>
  <c r="D13" i="1"/>
  <c r="D14" i="1"/>
  <c r="F14" i="1" s="1"/>
  <c r="D15" i="1"/>
  <c r="F15" i="1" s="1"/>
  <c r="D16" i="1"/>
  <c r="F16" i="1" s="1"/>
  <c r="D17" i="1"/>
  <c r="F17" i="1" s="1"/>
  <c r="D18" i="1"/>
  <c r="D19" i="1"/>
  <c r="D20" i="1"/>
  <c r="F20" i="1" s="1"/>
  <c r="D21" i="1"/>
  <c r="F21" i="1" s="1"/>
  <c r="D22" i="1"/>
  <c r="F22" i="1" s="1"/>
  <c r="D23" i="1"/>
  <c r="F23" i="1" s="1"/>
  <c r="D24" i="1"/>
  <c r="D25" i="1"/>
  <c r="D26" i="1"/>
  <c r="F26" i="1" s="1"/>
  <c r="D27" i="1"/>
  <c r="F27" i="1" s="1"/>
  <c r="D28" i="1"/>
  <c r="F28" i="1" s="1"/>
  <c r="D29" i="1"/>
  <c r="F29" i="1" s="1"/>
  <c r="D30" i="1"/>
  <c r="D31" i="1"/>
  <c r="D32" i="1"/>
  <c r="F32" i="1" s="1"/>
  <c r="D33" i="1"/>
  <c r="F33" i="1" s="1"/>
  <c r="D34" i="1"/>
  <c r="F34" i="1" s="1"/>
  <c r="D35" i="1"/>
  <c r="F35" i="1" s="1"/>
  <c r="E6" i="1"/>
  <c r="G6" i="1" s="1"/>
  <c r="E7" i="1"/>
  <c r="G7" i="1" s="1"/>
  <c r="D5" i="1"/>
  <c r="H5" i="1" s="1"/>
  <c r="D6" i="1"/>
  <c r="O20" i="1" s="1"/>
  <c r="D7" i="1"/>
  <c r="F7" i="1" s="1"/>
  <c r="E4" i="1"/>
  <c r="D4" i="1"/>
  <c r="H4" i="1" s="1"/>
  <c r="N9" i="34" l="1"/>
  <c r="M9" i="34"/>
  <c r="M10" i="34"/>
  <c r="N10" i="34"/>
  <c r="M11" i="34"/>
  <c r="N11" i="34"/>
  <c r="M12" i="34"/>
  <c r="N12" i="34"/>
  <c r="T18" i="1"/>
  <c r="U18" i="1"/>
  <c r="M7" i="34"/>
  <c r="O19" i="1"/>
  <c r="O25" i="1"/>
  <c r="O26" i="1"/>
  <c r="O27" i="1"/>
  <c r="O4" i="1"/>
  <c r="F4" i="1"/>
  <c r="O6" i="1"/>
  <c r="G5" i="1"/>
  <c r="O11" i="1"/>
  <c r="F5" i="1"/>
  <c r="H11" i="1"/>
  <c r="H12" i="1"/>
  <c r="H7" i="1"/>
  <c r="H10" i="1"/>
  <c r="H6" i="1"/>
  <c r="H9" i="1"/>
  <c r="U25" i="1" l="1"/>
  <c r="U26" i="1" s="1"/>
  <c r="U27" i="1" s="1"/>
  <c r="T25" i="1"/>
  <c r="T26" i="1" s="1"/>
  <c r="T27" i="1" s="1"/>
  <c r="U19" i="1"/>
  <c r="U20" i="1" s="1"/>
  <c r="T19" i="1"/>
  <c r="T20" i="1" s="1"/>
  <c r="T11" i="1"/>
  <c r="T12" i="1" s="1"/>
  <c r="T13" i="1" s="1"/>
  <c r="U11" i="1"/>
  <c r="U12" i="1" s="1"/>
  <c r="U13" i="1" s="1"/>
  <c r="U4" i="1"/>
  <c r="T4" i="1"/>
  <c r="Q4" i="1"/>
  <c r="P4" i="1"/>
  <c r="L5" i="34"/>
  <c r="Q5" i="34" s="1"/>
  <c r="O5" i="34"/>
  <c r="T5" i="34" s="1"/>
  <c r="P5" i="34"/>
  <c r="W5" i="34"/>
  <c r="U47" i="1"/>
  <c r="N5" i="34" l="1"/>
  <c r="M5" i="34"/>
  <c r="Q25" i="1"/>
  <c r="P25" i="1"/>
  <c r="Q26" i="1"/>
  <c r="P26" i="1"/>
  <c r="Q20" i="1"/>
  <c r="P20" i="1"/>
  <c r="Q27" i="1"/>
  <c r="P27" i="1"/>
  <c r="Q19" i="1"/>
  <c r="P19" i="1"/>
  <c r="Q11" i="1"/>
  <c r="P11" i="1"/>
  <c r="Q12" i="1"/>
  <c r="P12" i="1"/>
  <c r="Q13" i="1"/>
  <c r="P13" i="1"/>
  <c r="P18" i="1"/>
  <c r="Q18" i="1"/>
  <c r="H35" i="1"/>
  <c r="H34" i="1"/>
  <c r="H22" i="1"/>
  <c r="H29" i="1"/>
  <c r="H33" i="1"/>
  <c r="H21" i="1"/>
  <c r="H23" i="1"/>
  <c r="H32" i="1"/>
  <c r="H20" i="1"/>
  <c r="H8" i="1"/>
  <c r="H27" i="1"/>
  <c r="H31" i="1"/>
  <c r="H19" i="1"/>
  <c r="H24" i="1"/>
  <c r="H30" i="1"/>
  <c r="H18" i="1"/>
  <c r="H17" i="1"/>
  <c r="H16" i="1"/>
  <c r="H28" i="1"/>
  <c r="H15" i="1"/>
  <c r="H26" i="1"/>
  <c r="H14" i="1"/>
  <c r="H25" i="1"/>
  <c r="H13" i="1"/>
  <c r="O6" i="34"/>
  <c r="S5" i="34" l="1"/>
  <c r="U5" i="34" s="1"/>
  <c r="V5" i="34" s="1"/>
  <c r="W6" i="34" l="1"/>
  <c r="W7" i="34" s="1"/>
  <c r="W8" i="34" s="1"/>
  <c r="W9" i="34" s="1"/>
  <c r="W10" i="34" s="1"/>
  <c r="W11" i="34" s="1"/>
  <c r="W12" i="34" s="1"/>
  <c r="P6" i="34"/>
  <c r="P7" i="34" s="1"/>
  <c r="P8" i="34" s="1"/>
  <c r="P9" i="34" s="1"/>
  <c r="P10" i="34" s="1"/>
  <c r="P11" i="34" s="1"/>
  <c r="P12" i="34" s="1"/>
  <c r="Z3" i="34"/>
  <c r="C14" i="20"/>
  <c r="G8" i="20"/>
  <c r="H8" i="20" s="1"/>
  <c r="G7" i="20"/>
  <c r="H7" i="20" s="1"/>
  <c r="D8" i="20"/>
  <c r="E8" i="20" s="1"/>
  <c r="D7" i="20"/>
  <c r="M8" i="34" l="1"/>
  <c r="L6" i="34"/>
  <c r="O7" i="34"/>
  <c r="O8" i="34" s="1"/>
  <c r="O9" i="34" s="1"/>
  <c r="O10" i="34" s="1"/>
  <c r="O11" i="34" s="1"/>
  <c r="O12" i="34" s="1"/>
  <c r="D14" i="20"/>
  <c r="E7" i="20"/>
  <c r="N8" i="34"/>
  <c r="N7" i="34"/>
  <c r="E14" i="20"/>
  <c r="D45" i="29"/>
  <c r="I29" i="29"/>
  <c r="Q29" i="29" s="1"/>
  <c r="D29" i="29"/>
  <c r="I28" i="29"/>
  <c r="Q28" i="29" s="1"/>
  <c r="I27" i="29"/>
  <c r="Q27" i="29" s="1"/>
  <c r="D27" i="29"/>
  <c r="I26" i="29"/>
  <c r="O26" i="29" s="1"/>
  <c r="I25" i="29"/>
  <c r="P25" i="29" s="1"/>
  <c r="D25" i="29"/>
  <c r="I24" i="29"/>
  <c r="P24" i="29" s="1"/>
  <c r="I23" i="29"/>
  <c r="Q23" i="29" s="1"/>
  <c r="D23" i="29"/>
  <c r="I22" i="29"/>
  <c r="Q22" i="29" s="1"/>
  <c r="I21" i="29"/>
  <c r="Q21" i="29" s="1"/>
  <c r="D21" i="29"/>
  <c r="I20" i="29"/>
  <c r="I58" i="29"/>
  <c r="Q58" i="29" s="1"/>
  <c r="I57" i="29"/>
  <c r="Q57" i="29" s="1"/>
  <c r="I56" i="29"/>
  <c r="Q56" i="29" s="1"/>
  <c r="D56" i="29"/>
  <c r="I55" i="29"/>
  <c r="Q55" i="29" s="1"/>
  <c r="I54" i="29"/>
  <c r="Q54" i="29" s="1"/>
  <c r="D54" i="29"/>
  <c r="I53" i="29"/>
  <c r="P53" i="29" s="1"/>
  <c r="I52" i="29"/>
  <c r="Q52" i="29" s="1"/>
  <c r="D52" i="29"/>
  <c r="I51" i="29"/>
  <c r="P51" i="29" s="1"/>
  <c r="I50" i="29"/>
  <c r="P50" i="29" s="1"/>
  <c r="D50" i="29"/>
  <c r="I49" i="29"/>
  <c r="F23" i="20"/>
  <c r="G23" i="20"/>
  <c r="H23" i="20"/>
  <c r="C20" i="20"/>
  <c r="I8" i="20"/>
  <c r="I7" i="20"/>
  <c r="G10" i="20"/>
  <c r="R6" i="34" l="1"/>
  <c r="T6" i="34" s="1"/>
  <c r="Q6" i="34"/>
  <c r="M6" i="34"/>
  <c r="N6" i="34"/>
  <c r="M21" i="29"/>
  <c r="M23" i="29"/>
  <c r="M52" i="29"/>
  <c r="M27" i="29"/>
  <c r="O23" i="29"/>
  <c r="K23" i="29" s="1"/>
  <c r="Q24" i="29"/>
  <c r="M54" i="29"/>
  <c r="Q26" i="29"/>
  <c r="O54" i="29"/>
  <c r="K54" i="29" s="1"/>
  <c r="P26" i="29"/>
  <c r="L50" i="29"/>
  <c r="P54" i="29"/>
  <c r="L54" i="29" s="1"/>
  <c r="Q53" i="29"/>
  <c r="Q51" i="29"/>
  <c r="O24" i="29"/>
  <c r="P28" i="29"/>
  <c r="M29" i="29"/>
  <c r="L25" i="29"/>
  <c r="O53" i="29"/>
  <c r="R53" i="29" s="1"/>
  <c r="O25" i="29"/>
  <c r="K25" i="29" s="1"/>
  <c r="O29" i="29"/>
  <c r="K29" i="29" s="1"/>
  <c r="J21" i="29"/>
  <c r="J23" i="29" s="1"/>
  <c r="Q25" i="29"/>
  <c r="M25" i="29" s="1"/>
  <c r="O22" i="29"/>
  <c r="P22" i="29"/>
  <c r="P23" i="29"/>
  <c r="L23" i="29" s="1"/>
  <c r="O27" i="29"/>
  <c r="P27" i="29"/>
  <c r="L27" i="29" s="1"/>
  <c r="O21" i="29"/>
  <c r="P21" i="29"/>
  <c r="L21" i="29" s="1"/>
  <c r="P29" i="29"/>
  <c r="O28" i="29"/>
  <c r="P52" i="29"/>
  <c r="L52" i="29" s="1"/>
  <c r="M56" i="29"/>
  <c r="O52" i="29"/>
  <c r="K52" i="29" s="1"/>
  <c r="J50" i="29"/>
  <c r="O51" i="29"/>
  <c r="Q50" i="29"/>
  <c r="M50" i="29" s="1"/>
  <c r="P58" i="29"/>
  <c r="P57" i="29"/>
  <c r="O57" i="29"/>
  <c r="O56" i="29"/>
  <c r="K56" i="29" s="1"/>
  <c r="O55" i="29"/>
  <c r="P56" i="29"/>
  <c r="L56" i="29" s="1"/>
  <c r="P55" i="29"/>
  <c r="O50" i="29"/>
  <c r="O58" i="29"/>
  <c r="J8" i="20"/>
  <c r="J7" i="20"/>
  <c r="I45" i="29"/>
  <c r="P45" i="29" s="1"/>
  <c r="I44" i="29"/>
  <c r="Q44" i="29" s="1"/>
  <c r="I43" i="29"/>
  <c r="Q43" i="29" s="1"/>
  <c r="D43" i="29"/>
  <c r="I42" i="29"/>
  <c r="O42" i="29" s="1"/>
  <c r="I41" i="29"/>
  <c r="D41" i="29"/>
  <c r="I40" i="29"/>
  <c r="Q40" i="29" s="1"/>
  <c r="I39" i="29"/>
  <c r="D39" i="29"/>
  <c r="I38" i="29"/>
  <c r="Q38" i="29" s="1"/>
  <c r="I37" i="29"/>
  <c r="D37" i="29"/>
  <c r="I36" i="29"/>
  <c r="D23" i="20"/>
  <c r="E23" i="20"/>
  <c r="C21" i="20"/>
  <c r="C24" i="20" s="1"/>
  <c r="E10" i="20"/>
  <c r="E15" i="20" s="1"/>
  <c r="F14" i="20" s="1"/>
  <c r="D10" i="20"/>
  <c r="Q7" i="34" l="1"/>
  <c r="Q8" i="34" s="1"/>
  <c r="Q9" i="34" s="1"/>
  <c r="Q10" i="34" s="1"/>
  <c r="S6" i="34"/>
  <c r="J51" i="29"/>
  <c r="J52" i="29"/>
  <c r="R51" i="29"/>
  <c r="Q37" i="29"/>
  <c r="J37" i="29"/>
  <c r="J38" i="29" s="1"/>
  <c r="P39" i="29"/>
  <c r="L39" i="29" s="1"/>
  <c r="L46" i="29" s="1"/>
  <c r="O41" i="29"/>
  <c r="K41" i="29" s="1"/>
  <c r="D15" i="20"/>
  <c r="D12" i="20"/>
  <c r="R24" i="29"/>
  <c r="R7" i="34"/>
  <c r="R8" i="34" s="1"/>
  <c r="G14" i="20"/>
  <c r="H14" i="20"/>
  <c r="I14" i="20" s="1"/>
  <c r="J14" i="20" s="1"/>
  <c r="D11" i="20"/>
  <c r="R26" i="29"/>
  <c r="R54" i="29"/>
  <c r="R57" i="29"/>
  <c r="J53" i="29"/>
  <c r="R28" i="29"/>
  <c r="J22" i="29"/>
  <c r="R23" i="29"/>
  <c r="R25" i="29"/>
  <c r="D58" i="29"/>
  <c r="R27" i="29"/>
  <c r="K27" i="29"/>
  <c r="R22" i="29"/>
  <c r="R29" i="29"/>
  <c r="L29" i="29"/>
  <c r="R21" i="29"/>
  <c r="K21" i="29"/>
  <c r="J24" i="29"/>
  <c r="J25" i="29"/>
  <c r="Q42" i="29"/>
  <c r="Q39" i="29"/>
  <c r="M39" i="29" s="1"/>
  <c r="R52" i="29"/>
  <c r="P41" i="29"/>
  <c r="L41" i="29" s="1"/>
  <c r="P42" i="29"/>
  <c r="Q41" i="29"/>
  <c r="M41" i="29" s="1"/>
  <c r="R55" i="29"/>
  <c r="R58" i="29"/>
  <c r="R56" i="29"/>
  <c r="R50" i="29"/>
  <c r="K50" i="29"/>
  <c r="O40" i="29"/>
  <c r="P40" i="29"/>
  <c r="O43" i="29"/>
  <c r="K43" i="29" s="1"/>
  <c r="P37" i="29"/>
  <c r="L37" i="29" s="1"/>
  <c r="O45" i="29"/>
  <c r="Q45" i="29"/>
  <c r="R45" i="29" s="1"/>
  <c r="O39" i="29"/>
  <c r="K39" i="29" s="1"/>
  <c r="P43" i="29"/>
  <c r="L43" i="29" s="1"/>
  <c r="O37" i="29"/>
  <c r="K37" i="29" s="1"/>
  <c r="M37" i="29"/>
  <c r="M43" i="29"/>
  <c r="O38" i="29"/>
  <c r="P38" i="29"/>
  <c r="P44" i="29"/>
  <c r="O44" i="29"/>
  <c r="E11" i="20"/>
  <c r="E12" i="20"/>
  <c r="S10" i="34" l="1"/>
  <c r="Q11" i="34"/>
  <c r="T8" i="34"/>
  <c r="R9" i="34"/>
  <c r="R10" i="34" s="1"/>
  <c r="S9" i="34"/>
  <c r="S7" i="34"/>
  <c r="T25" i="29"/>
  <c r="L58" i="29"/>
  <c r="K58" i="29"/>
  <c r="S8" i="34"/>
  <c r="J39" i="29"/>
  <c r="U6" i="34"/>
  <c r="V6" i="34" s="1"/>
  <c r="T7" i="34"/>
  <c r="R42" i="29"/>
  <c r="R43" i="29"/>
  <c r="J54" i="29"/>
  <c r="R39" i="29"/>
  <c r="J26" i="29"/>
  <c r="J27" i="29"/>
  <c r="K45" i="29"/>
  <c r="M58" i="29"/>
  <c r="R41" i="29"/>
  <c r="R40" i="29"/>
  <c r="R44" i="29"/>
  <c r="R37" i="29"/>
  <c r="L45" i="29"/>
  <c r="M45" i="29"/>
  <c r="R38" i="29"/>
  <c r="N22" i="24"/>
  <c r="T10" i="34" l="1"/>
  <c r="U10" i="34" s="1"/>
  <c r="R11" i="34"/>
  <c r="S11" i="34"/>
  <c r="Q12" i="34"/>
  <c r="S12" i="34" s="1"/>
  <c r="T9" i="34"/>
  <c r="U9" i="34" s="1"/>
  <c r="U7" i="34"/>
  <c r="V7" i="34" s="1"/>
  <c r="J55" i="29"/>
  <c r="J56" i="29"/>
  <c r="U8" i="34"/>
  <c r="J40" i="29"/>
  <c r="J41" i="29"/>
  <c r="V51" i="1"/>
  <c r="T42" i="29"/>
  <c r="J28" i="29"/>
  <c r="J29" i="29"/>
  <c r="T11" i="34" l="1"/>
  <c r="U11" i="34" s="1"/>
  <c r="R12" i="34"/>
  <c r="T12" i="34" s="1"/>
  <c r="U12" i="34" s="1"/>
  <c r="J58" i="29"/>
  <c r="V8" i="34"/>
  <c r="V9" i="34" s="1"/>
  <c r="V10" i="34" s="1"/>
  <c r="J43" i="29"/>
  <c r="J42" i="29"/>
  <c r="V41" i="1"/>
  <c r="J30" i="29"/>
  <c r="T54" i="29" l="1"/>
  <c r="T53" i="29"/>
  <c r="V11" i="34"/>
  <c r="V12" i="34" s="1"/>
  <c r="T55" i="29"/>
  <c r="J59" i="29"/>
  <c r="J44" i="29"/>
  <c r="J45" i="29"/>
  <c r="J46" i="29" s="1"/>
  <c r="O6" i="24"/>
  <c r="N5" i="24" l="1"/>
  <c r="O5" i="24" s="1"/>
  <c r="O17" i="24" s="1"/>
  <c r="U38" i="1" l="1"/>
  <c r="I14" i="29" l="1"/>
  <c r="I13" i="29"/>
  <c r="O13" i="29" s="1"/>
  <c r="I12" i="29"/>
  <c r="I11" i="29"/>
  <c r="Q11" i="29" s="1"/>
  <c r="I10" i="29"/>
  <c r="I9" i="29"/>
  <c r="O9" i="29" s="1"/>
  <c r="I8" i="29"/>
  <c r="I7" i="29"/>
  <c r="I6" i="29"/>
  <c r="J6" i="29" s="1"/>
  <c r="I5" i="29"/>
  <c r="F10" i="20"/>
  <c r="F11" i="20" s="1"/>
  <c r="C10" i="20"/>
  <c r="P7" i="29" l="1"/>
  <c r="O7" i="29"/>
  <c r="D17" i="20"/>
  <c r="E17" i="20" s="1"/>
  <c r="E21" i="20" s="1"/>
  <c r="D18" i="20"/>
  <c r="E18" i="20" s="1"/>
  <c r="C15" i="20"/>
  <c r="J8" i="29"/>
  <c r="J10" i="29" s="1"/>
  <c r="Q10" i="29"/>
  <c r="M10" i="29" s="1"/>
  <c r="Q14" i="29"/>
  <c r="M14" i="29" s="1"/>
  <c r="F15" i="20"/>
  <c r="O12" i="29"/>
  <c r="K12" i="29" s="1"/>
  <c r="R13" i="29"/>
  <c r="F12" i="20"/>
  <c r="O8" i="29"/>
  <c r="K8" i="29" s="1"/>
  <c r="P13" i="29"/>
  <c r="Q13" i="29"/>
  <c r="P8" i="29"/>
  <c r="L8" i="29" s="1"/>
  <c r="Q8" i="29"/>
  <c r="M8" i="29" s="1"/>
  <c r="O11" i="29"/>
  <c r="P11" i="29"/>
  <c r="Q6" i="29"/>
  <c r="M6" i="29" s="1"/>
  <c r="P6" i="29"/>
  <c r="L6" i="29" s="1"/>
  <c r="O6" i="29"/>
  <c r="K6" i="29" s="1"/>
  <c r="P10" i="29"/>
  <c r="L10" i="29" s="1"/>
  <c r="J7" i="29"/>
  <c r="P12" i="29"/>
  <c r="O14" i="29"/>
  <c r="K14" i="29" s="1"/>
  <c r="Q12" i="29"/>
  <c r="M12" i="29" s="1"/>
  <c r="P14" i="29"/>
  <c r="Q7" i="29"/>
  <c r="P9" i="29"/>
  <c r="Q9" i="29"/>
  <c r="O10" i="29"/>
  <c r="K10" i="29" s="1"/>
  <c r="J14" i="29" l="1"/>
  <c r="U8" i="29" s="1"/>
  <c r="F16" i="20"/>
  <c r="R9" i="29"/>
  <c r="R11" i="29"/>
  <c r="D20" i="20"/>
  <c r="F18" i="20"/>
  <c r="G18" i="20" s="1"/>
  <c r="D22" i="20"/>
  <c r="R8" i="29"/>
  <c r="R10" i="29"/>
  <c r="R7" i="29"/>
  <c r="R6" i="29"/>
  <c r="R12" i="29"/>
  <c r="R14" i="29"/>
  <c r="J9" i="29"/>
  <c r="U10" i="29" l="1"/>
  <c r="F22" i="20"/>
  <c r="F17" i="20"/>
  <c r="E20" i="20"/>
  <c r="G15" i="20"/>
  <c r="H9" i="20" s="1"/>
  <c r="G11" i="20"/>
  <c r="G12" i="20"/>
  <c r="E22" i="20"/>
  <c r="J11" i="29"/>
  <c r="G17" i="20" l="1"/>
  <c r="I9" i="20"/>
  <c r="H10" i="20"/>
  <c r="J9" i="20"/>
  <c r="F21" i="20"/>
  <c r="F24" i="20" s="1"/>
  <c r="F20" i="20"/>
  <c r="H18" i="20"/>
  <c r="G22" i="20"/>
  <c r="G21" i="20" l="1"/>
  <c r="G24" i="20" s="1"/>
  <c r="H17" i="20"/>
  <c r="I17" i="20" s="1"/>
  <c r="J17" i="20" s="1"/>
  <c r="G20" i="20"/>
  <c r="H22" i="20"/>
  <c r="J10" i="20"/>
  <c r="H12" i="20"/>
  <c r="H15" i="20"/>
  <c r="H11" i="20"/>
  <c r="I10" i="20"/>
  <c r="I13" i="20" l="1"/>
  <c r="I18" i="20"/>
  <c r="J18" i="20" s="1"/>
  <c r="I19" i="20"/>
  <c r="J19" i="20" s="1"/>
  <c r="J11" i="20"/>
  <c r="J12" i="20"/>
  <c r="J15" i="20"/>
  <c r="I12" i="20"/>
  <c r="I11" i="20"/>
  <c r="I15" i="20"/>
  <c r="H21" i="20"/>
  <c r="H24" i="20" s="1"/>
  <c r="H20" i="20"/>
  <c r="J13" i="20"/>
  <c r="I23" i="20" l="1"/>
  <c r="J23" i="20"/>
  <c r="I21" i="20"/>
  <c r="I20" i="20"/>
  <c r="I22" i="20"/>
  <c r="J22" i="20"/>
  <c r="N12" i="24"/>
  <c r="O12" i="24" s="1"/>
  <c r="O15" i="24"/>
  <c r="N11" i="24"/>
  <c r="I24" i="20" l="1"/>
  <c r="J21" i="20"/>
  <c r="J24" i="20" s="1"/>
  <c r="J20" i="20"/>
  <c r="O11" i="24"/>
  <c r="N27" i="24"/>
  <c r="N28" i="24" s="1"/>
  <c r="N24" i="24"/>
  <c r="N25" i="24" s="1"/>
  <c r="O16" i="24"/>
  <c r="N26" i="24" l="1"/>
  <c r="A5" i="24" l="1"/>
  <c r="A6" i="24"/>
  <c r="A7" i="24"/>
  <c r="A8" i="24"/>
  <c r="A9" i="24"/>
  <c r="A4" i="24"/>
  <c r="A29" i="24" l="1"/>
  <c r="A31" i="24"/>
  <c r="A11" i="24"/>
  <c r="A32" i="24"/>
  <c r="A33" i="24"/>
  <c r="A22" i="24"/>
  <c r="A34" i="24"/>
  <c r="A12" i="24"/>
  <c r="A35" i="24"/>
  <c r="A14" i="24"/>
  <c r="A24" i="24"/>
  <c r="A25" i="24"/>
  <c r="A13" i="24"/>
  <c r="A16" i="24"/>
  <c r="A26" i="24"/>
  <c r="A21" i="24"/>
  <c r="A15" i="24"/>
  <c r="A17" i="24"/>
  <c r="A18" i="24"/>
  <c r="A19" i="24"/>
  <c r="A27" i="24"/>
  <c r="A30" i="24"/>
  <c r="A23" i="24"/>
  <c r="A10" i="24"/>
  <c r="A20" i="24"/>
  <c r="A28" i="24"/>
  <c r="L5" i="1" l="1"/>
  <c r="O5" i="1" s="1"/>
  <c r="S25" i="1"/>
  <c r="S26" i="1" s="1"/>
  <c r="S27" i="1" s="1"/>
  <c r="R25" i="1"/>
  <c r="R26" i="1" s="1"/>
  <c r="R27" i="1" s="1"/>
  <c r="S18" i="1"/>
  <c r="S19" i="1" s="1"/>
  <c r="S20" i="1" s="1"/>
  <c r="R18" i="1"/>
  <c r="R19" i="1" s="1"/>
  <c r="R20" i="1" s="1"/>
  <c r="S11" i="1"/>
  <c r="S12" i="1" s="1"/>
  <c r="S13" i="1" s="1"/>
  <c r="R11" i="1"/>
  <c r="R12" i="1" s="1"/>
  <c r="R13" i="1" s="1"/>
  <c r="R4" i="1"/>
  <c r="S4" i="1"/>
  <c r="Z4" i="1"/>
  <c r="Z5" i="1" s="1"/>
  <c r="Z6" i="1" s="1"/>
  <c r="U5" i="1" l="1"/>
  <c r="U6" i="1" s="1"/>
  <c r="T5" i="1"/>
  <c r="T6" i="1" s="1"/>
  <c r="R5" i="1"/>
  <c r="R6" i="1" s="1"/>
  <c r="W18" i="1"/>
  <c r="V13" i="1"/>
  <c r="S5" i="1"/>
  <c r="S6" i="1" s="1"/>
  <c r="Z11" i="1"/>
  <c r="Z12" i="1" s="1"/>
  <c r="Z13" i="1" s="1"/>
  <c r="Z18" i="1" s="1"/>
  <c r="Z19" i="1" s="1"/>
  <c r="Z20" i="1" s="1"/>
  <c r="Z25" i="1" s="1"/>
  <c r="Z26" i="1" s="1"/>
  <c r="Z27" i="1" s="1"/>
  <c r="W20" i="1" l="1"/>
  <c r="V18" i="1"/>
  <c r="X18" i="1" s="1"/>
  <c r="V11" i="1"/>
  <c r="W11" i="1"/>
  <c r="W12" i="1"/>
  <c r="V19" i="1" l="1"/>
  <c r="W19" i="1"/>
  <c r="W25" i="1"/>
  <c r="X11" i="1"/>
  <c r="V26" i="1"/>
  <c r="W26" i="1"/>
  <c r="V25" i="1"/>
  <c r="V12" i="1"/>
  <c r="X12" i="1" s="1"/>
  <c r="X19" i="1" l="1"/>
  <c r="X26" i="1"/>
  <c r="X25" i="1"/>
  <c r="W13" i="1"/>
  <c r="W27" i="1"/>
  <c r="V20" i="1"/>
  <c r="X20" i="1" s="1"/>
  <c r="V27" i="1"/>
  <c r="X13" i="1" l="1"/>
  <c r="X27" i="1"/>
  <c r="L12" i="29" l="1"/>
  <c r="J13" i="29" l="1"/>
  <c r="T10" i="29" l="1"/>
  <c r="L14" i="29"/>
  <c r="J15" i="29" l="1"/>
  <c r="D21" i="20" l="1"/>
  <c r="D24" i="20" s="1"/>
  <c r="E24" i="20"/>
  <c r="Q6" i="1" l="1"/>
  <c r="P6" i="1"/>
  <c r="Q5" i="1"/>
  <c r="V42" i="1" s="1"/>
  <c r="P5" i="1"/>
  <c r="V4" i="1"/>
  <c r="W4" i="1"/>
  <c r="X4" i="1" l="1"/>
  <c r="Y4" i="1" s="1"/>
  <c r="V5" i="1"/>
  <c r="W5" i="1"/>
  <c r="V50" i="1"/>
  <c r="X5" i="1" l="1"/>
  <c r="Y5" i="1" s="1"/>
  <c r="O47" i="1"/>
  <c r="V45" i="1" s="1"/>
  <c r="O39" i="1"/>
  <c r="O40" i="1" s="1"/>
  <c r="V40" i="1" s="1"/>
  <c r="V48" i="1" l="1"/>
  <c r="V6" i="1"/>
  <c r="O48" i="1"/>
  <c r="O49" i="1" s="1"/>
  <c r="V49" i="1" s="1"/>
  <c r="W6" i="1"/>
  <c r="O38" i="1"/>
  <c r="V36" i="1" s="1"/>
  <c r="V39" i="1"/>
  <c r="V52" i="1" l="1"/>
  <c r="V43" i="1"/>
  <c r="X6" i="1"/>
  <c r="Y6" i="1" l="1"/>
  <c r="Y11" i="1" s="1"/>
  <c r="Y12" i="1" s="1"/>
  <c r="Y13" i="1" s="1"/>
  <c r="Y18" i="1" s="1"/>
  <c r="Y19" i="1" s="1"/>
  <c r="Y20" i="1" s="1"/>
  <c r="Y25" i="1" s="1"/>
  <c r="Y26" i="1" s="1"/>
  <c r="Y27" i="1" s="1"/>
  <c r="U37" i="1"/>
  <c r="U46" i="1"/>
</calcChain>
</file>

<file path=xl/sharedStrings.xml><?xml version="1.0" encoding="utf-8"?>
<sst xmlns="http://schemas.openxmlformats.org/spreadsheetml/2006/main" count="467" uniqueCount="169">
  <si>
    <t>Net</t>
  </si>
  <si>
    <t>NFL:ARI:LAC</t>
  </si>
  <si>
    <t>NFL:BAL:MIA</t>
  </si>
  <si>
    <t>NFL:BUF:MIN</t>
  </si>
  <si>
    <t>NFL:CAR:NE</t>
  </si>
  <si>
    <t>NFL:CHI:NO</t>
  </si>
  <si>
    <t>NFL:CIN:NYG</t>
  </si>
  <si>
    <t>NFL:CLE:NYJ</t>
  </si>
  <si>
    <t>NFL:DAL:OAK</t>
  </si>
  <si>
    <t>NFL:DEN:PHI</t>
  </si>
  <si>
    <t>NFL:DET:PIT</t>
  </si>
  <si>
    <t>NFL:GB:SEA</t>
  </si>
  <si>
    <t>NFL:HOU:SF</t>
  </si>
  <si>
    <t>NFL:IND:TB</t>
  </si>
  <si>
    <t>NFL:JAX:TEN</t>
  </si>
  <si>
    <t>NFL:KC:WSH</t>
  </si>
  <si>
    <t>UFC:Holloway:Kattar</t>
  </si>
  <si>
    <t>UFC:Ponzinibbio:Li</t>
  </si>
  <si>
    <t>UFC:Kelleher:Simon</t>
  </si>
  <si>
    <t>UFC:Hernandez:Vieria</t>
  </si>
  <si>
    <t>UFC:Akhemedov:Breese</t>
  </si>
  <si>
    <t>Odds</t>
  </si>
  <si>
    <t>Bet0</t>
  </si>
  <si>
    <t>Bet1</t>
  </si>
  <si>
    <t>Pay0</t>
  </si>
  <si>
    <t>Pay1</t>
  </si>
  <si>
    <t>Match</t>
  </si>
  <si>
    <t>HomeBet</t>
  </si>
  <si>
    <t>AwayBet</t>
  </si>
  <si>
    <t>HomeWin</t>
  </si>
  <si>
    <t>AwayWin</t>
  </si>
  <si>
    <t>MaxLiab</t>
  </si>
  <si>
    <t>Start</t>
  </si>
  <si>
    <t>-</t>
  </si>
  <si>
    <t>To Oracle</t>
  </si>
  <si>
    <t>Test of Oracle Revenue Mechanism</t>
  </si>
  <si>
    <t>Pre Settle</t>
  </si>
  <si>
    <t>Basic Test of Bet and margin processing, from time of bet to settlement</t>
  </si>
  <si>
    <t>Test that Redemptions are correctly processed</t>
  </si>
  <si>
    <t>gas used</t>
  </si>
  <si>
    <t>Acct2</t>
  </si>
  <si>
    <t>confirm Oracle token holders who deposit in Oracle contract receive appropriate revenue</t>
  </si>
  <si>
    <t>Results</t>
  </si>
  <si>
    <t>Winner</t>
  </si>
  <si>
    <t>tie</t>
  </si>
  <si>
    <t>tx cost</t>
  </si>
  <si>
    <t>acct2</t>
  </si>
  <si>
    <t>acct3</t>
  </si>
  <si>
    <t>Odds0</t>
  </si>
  <si>
    <t>Account0</t>
  </si>
  <si>
    <t>TotTokens</t>
  </si>
  <si>
    <t>LiqPool</t>
  </si>
  <si>
    <t>Epoch</t>
  </si>
  <si>
    <t>Payout</t>
  </si>
  <si>
    <t>OracleRev</t>
  </si>
  <si>
    <t>PerPeriod Oracle Revenue</t>
  </si>
  <si>
    <t>% Oracle Ownership</t>
  </si>
  <si>
    <t>BettorPool</t>
  </si>
  <si>
    <t>BookieLocked</t>
  </si>
  <si>
    <t>payoff</t>
  </si>
  <si>
    <t>bookiePool</t>
  </si>
  <si>
    <t>acct</t>
  </si>
  <si>
    <t>winner</t>
  </si>
  <si>
    <t>Winnings</t>
  </si>
  <si>
    <t>initial</t>
  </si>
  <si>
    <t>CumulativeGrossPayOut</t>
  </si>
  <si>
    <t>CumulativeBet</t>
  </si>
  <si>
    <t>BetKBalance</t>
  </si>
  <si>
    <t>Account1</t>
  </si>
  <si>
    <t>Account2</t>
  </si>
  <si>
    <t>account</t>
  </si>
  <si>
    <t>bookieCapital</t>
  </si>
  <si>
    <t>ethinBettingK</t>
  </si>
  <si>
    <t>totShares</t>
  </si>
  <si>
    <t>acct0Shares</t>
  </si>
  <si>
    <t>acct1Shares</t>
  </si>
  <si>
    <t>eth/share</t>
  </si>
  <si>
    <t>acct3shares</t>
  </si>
  <si>
    <t>acct0eth</t>
  </si>
  <si>
    <t>acct1eth</t>
  </si>
  <si>
    <t>acct3eth</t>
  </si>
  <si>
    <t>Period</t>
  </si>
  <si>
    <t>TokensOut</t>
  </si>
  <si>
    <t>Total payoff to bettors</t>
  </si>
  <si>
    <t>Total outflow to Bettors</t>
  </si>
  <si>
    <t>Account3</t>
  </si>
  <si>
    <t>Post Settle&amp;Remption</t>
  </si>
  <si>
    <t>1pre</t>
  </si>
  <si>
    <t>2pre</t>
  </si>
  <si>
    <t>3pre</t>
  </si>
  <si>
    <t>4pre</t>
  </si>
  <si>
    <t>5pre</t>
  </si>
  <si>
    <t>6exit</t>
  </si>
  <si>
    <t>Acct0</t>
  </si>
  <si>
    <t>Acct1</t>
  </si>
  <si>
    <t>Brute Force</t>
  </si>
  <si>
    <t>Contract Formula</t>
  </si>
  <si>
    <t>OracleFee</t>
  </si>
  <si>
    <t>margin[0]</t>
  </si>
  <si>
    <t>margin[1]</t>
  </si>
  <si>
    <t>margin[2]</t>
  </si>
  <si>
    <t>funder</t>
  </si>
  <si>
    <t>pick</t>
  </si>
  <si>
    <t>Bet</t>
  </si>
  <si>
    <t>Oracle Fee</t>
  </si>
  <si>
    <t>BettingK eth Balance</t>
  </si>
  <si>
    <t>gas price (gwei)</t>
  </si>
  <si>
    <t>initial Depo (finney/10)</t>
  </si>
  <si>
    <t>After Trading</t>
  </si>
  <si>
    <t>post-settle/post redeem</t>
  </si>
  <si>
    <t>Total Payout</t>
  </si>
  <si>
    <t>0&amp;1</t>
  </si>
  <si>
    <t>under[1]</t>
  </si>
  <si>
    <t>fave[0]</t>
  </si>
  <si>
    <t>OracleKBalance</t>
  </si>
  <si>
    <t>CFL: Mich: OhioState</t>
  </si>
  <si>
    <t>CFL: Minn : Illinois</t>
  </si>
  <si>
    <t>CFL: MiamiU: Florida</t>
  </si>
  <si>
    <t>CFL: USC: UCLA</t>
  </si>
  <si>
    <t>CFL: Alabama: Auburn</t>
  </si>
  <si>
    <t>CFL: ArizonaSt: UofAriz</t>
  </si>
  <si>
    <t>CFL: PennState: Indiana</t>
  </si>
  <si>
    <t>CFL: Texas: TexasA&amp;M</t>
  </si>
  <si>
    <t>CFL: Utah: BYU</t>
  </si>
  <si>
    <t>CFL: Rutgers: VirgTech</t>
  </si>
  <si>
    <t>CFL: Georgia: Clemson</t>
  </si>
  <si>
    <t>post-settle/preredeem</t>
  </si>
  <si>
    <t>acct2 increase After WD</t>
  </si>
  <si>
    <t>Acct2BalInConract</t>
  </si>
  <si>
    <t>acct0Tokens</t>
  </si>
  <si>
    <t>acct1Tokens</t>
  </si>
  <si>
    <t>acct3Tokens</t>
  </si>
  <si>
    <t>settle1</t>
  </si>
  <si>
    <t>settle2</t>
  </si>
  <si>
    <t>settle3</t>
  </si>
  <si>
    <t>deposit</t>
  </si>
  <si>
    <t>settle4</t>
  </si>
  <si>
    <t>settle 5</t>
  </si>
  <si>
    <t>withdraw all</t>
  </si>
  <si>
    <t>init</t>
  </si>
  <si>
    <t>acct0TokensChg</t>
  </si>
  <si>
    <t>TotalTokens</t>
  </si>
  <si>
    <t>acct1TokenChg</t>
  </si>
  <si>
    <t>acct3TokenChg</t>
  </si>
  <si>
    <t>Base</t>
  </si>
  <si>
    <t>withdraw</t>
  </si>
  <si>
    <t>B: withdraw in middle</t>
  </si>
  <si>
    <t>c: deposit in middle</t>
  </si>
  <si>
    <t>C</t>
  </si>
  <si>
    <t>B</t>
  </si>
  <si>
    <t>A</t>
  </si>
  <si>
    <t>D</t>
  </si>
  <si>
    <t>OracleRev(0.1avax)</t>
  </si>
  <si>
    <t>betLost</t>
  </si>
  <si>
    <t>test1-B</t>
  </si>
  <si>
    <t>test1winner</t>
  </si>
  <si>
    <t>test1B winner</t>
  </si>
  <si>
    <t>Test</t>
  </si>
  <si>
    <t>Oracle Rev</t>
  </si>
  <si>
    <t>account1 votes 11 times over 14 possibilities</t>
  </si>
  <si>
    <t>Acct1 voted 11 out of 14 times</t>
  </si>
  <si>
    <t>probSpread/2</t>
  </si>
  <si>
    <t>payout</t>
  </si>
  <si>
    <t>Payoutx1e4</t>
  </si>
  <si>
    <t>DecOdds</t>
  </si>
  <si>
    <t>fave</t>
  </si>
  <si>
    <t>dog</t>
  </si>
  <si>
    <t>test1-A</t>
  </si>
  <si>
    <t>withdrawals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</si>
</sst>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164" formatCode="0.00%;[Red]\-0.00%"/>
    <numFmt numFmtId="165" formatCode="#,##0;[Red]#,##0"/>
    <numFmt numFmtId="166" formatCode="#,##0.0;[Red]#,##0.0"/>
    <numFmt numFmtId="167" formatCode="#,##0.00;[Red]#,##0.00"/>
    <numFmt numFmtId="168" formatCode="##0.00;[Red]\-##0.00"/>
    <numFmt numFmtId="169" formatCode="0.000"/>
    <numFmt numFmtId="170" formatCode="#,##0.000;[Red]#,##0.000"/>
    <numFmt numFmtId="171" formatCode="#,##0.0000;[Red]#,##0.0000"/>
    <numFmt numFmtId="172" formatCode="#,##0.000000;[Red]#,##0.000000"/>
    <numFmt numFmtId="173" formatCode="0%;[Red]\-0%"/>
    <numFmt numFmtId="174" formatCode="#0.00;[Red]#0.00"/>
    <numFmt numFmtId="175" formatCode="#0.000;[Red]#0.000"/>
    <numFmt numFmtId="176" formatCode="0.00_);[Red]\(0.00\)"/>
    <numFmt numFmtId="177" formatCode="###0;[Red]###0"/>
    <numFmt numFmtId="178" formatCode="#,##0.00000;[Red]#,##0.00000"/>
    <numFmt numFmtId="179" formatCode="0.0000"/>
    <numFmt numFmtId="180" formatCode="0E+00;[Red]0E+00"/>
    <numFmt numFmtId="181" formatCode="0.000E+00;[Red]0.000E+00"/>
    <numFmt numFmtId="182" formatCode="[$-409]m/d/yy\ h:mm\ AM/PM;@"/>
    <numFmt numFmtId="183" formatCode="0.00E+00;[Red]0.00E+00"/>
    <numFmt numFmtId="184" formatCode="m/d/yy"/>
    <numFmt numFmtId="185" formatCode="0.0000E+00;[Red]0.0000E+00"/>
    <numFmt numFmtId="186" formatCode="0.0"/>
    <numFmt numFmtId="187" formatCode="#,##0.0000000000000;[Red]#,##0.0000000000000"/>
    <numFmt numFmtId="188" formatCode="0.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Arial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CE9178"/>
      <name val="Consolas"/>
      <family val="3"/>
    </font>
    <font>
      <sz val="8"/>
      <color rgb="FF959BAD"/>
      <name val="Segoe UI"/>
      <family val="2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Open Sans"/>
      <family val="2"/>
    </font>
    <font>
      <b/>
      <sz val="11"/>
      <name val="Calibri"/>
      <family val="2"/>
      <scheme val="minor"/>
    </font>
    <font>
      <sz val="11"/>
      <color rgb="FFB5CEA8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11" fillId="6" borderId="0" applyNumberFormat="0" applyBorder="0" applyAlignment="0" applyProtection="0"/>
  </cellStyleXfs>
  <cellXfs count="3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7" fontId="1" fillId="0" borderId="0" xfId="0" applyNumberFormat="1" applyFont="1"/>
    <xf numFmtId="165" fontId="1" fillId="0" borderId="0" xfId="0" applyNumberFormat="1" applyFont="1"/>
    <xf numFmtId="0" fontId="3" fillId="0" borderId="0" xfId="0" applyFont="1"/>
    <xf numFmtId="168" fontId="1" fillId="0" borderId="0" xfId="0" applyNumberFormat="1" applyFont="1"/>
    <xf numFmtId="168" fontId="1" fillId="0" borderId="0" xfId="0" applyNumberFormat="1" applyFont="1" applyAlignment="1">
      <alignment horizontal="right"/>
    </xf>
    <xf numFmtId="166" fontId="1" fillId="0" borderId="0" xfId="0" applyNumberFormat="1" applyFont="1"/>
    <xf numFmtId="16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69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right"/>
    </xf>
    <xf numFmtId="167" fontId="0" fillId="0" borderId="0" xfId="0" applyNumberFormat="1"/>
    <xf numFmtId="168" fontId="0" fillId="0" borderId="0" xfId="0" applyNumberFormat="1"/>
    <xf numFmtId="171" fontId="1" fillId="0" borderId="0" xfId="0" applyNumberFormat="1" applyFont="1"/>
    <xf numFmtId="171" fontId="0" fillId="0" borderId="0" xfId="0" applyNumberFormat="1"/>
    <xf numFmtId="173" fontId="1" fillId="0" borderId="0" xfId="0" applyNumberFormat="1" applyFont="1"/>
    <xf numFmtId="165" fontId="0" fillId="0" borderId="0" xfId="0" applyNumberFormat="1"/>
    <xf numFmtId="174" fontId="1" fillId="0" borderId="0" xfId="0" applyNumberFormat="1" applyFont="1"/>
    <xf numFmtId="175" fontId="1" fillId="0" borderId="0" xfId="0" applyNumberFormat="1" applyFont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5" fillId="3" borderId="4" xfId="3" applyBorder="1"/>
    <xf numFmtId="0" fontId="5" fillId="3" borderId="3" xfId="3" applyBorder="1"/>
    <xf numFmtId="0" fontId="0" fillId="0" borderId="5" xfId="0" applyBorder="1"/>
    <xf numFmtId="177" fontId="1" fillId="0" borderId="0" xfId="0" applyNumberFormat="1" applyFont="1"/>
    <xf numFmtId="176" fontId="0" fillId="0" borderId="0" xfId="0" applyNumberFormat="1"/>
    <xf numFmtId="165" fontId="1" fillId="0" borderId="0" xfId="0" applyNumberFormat="1" applyFont="1" applyAlignment="1">
      <alignment horizontal="right"/>
    </xf>
    <xf numFmtId="170" fontId="1" fillId="0" borderId="0" xfId="0" applyNumberFormat="1" applyFont="1"/>
    <xf numFmtId="170" fontId="0" fillId="0" borderId="0" xfId="0" applyNumberFormat="1"/>
    <xf numFmtId="178" fontId="0" fillId="0" borderId="0" xfId="0" applyNumberFormat="1"/>
    <xf numFmtId="165" fontId="1" fillId="0" borderId="7" xfId="0" applyNumberFormat="1" applyFont="1" applyBorder="1"/>
    <xf numFmtId="165" fontId="1" fillId="0" borderId="2" xfId="0" applyNumberFormat="1" applyFont="1" applyBorder="1"/>
    <xf numFmtId="165" fontId="1" fillId="0" borderId="4" xfId="0" applyNumberFormat="1" applyFont="1" applyBorder="1"/>
    <xf numFmtId="165" fontId="1" fillId="0" borderId="8" xfId="0" applyNumberFormat="1" applyFont="1" applyBorder="1"/>
    <xf numFmtId="178" fontId="1" fillId="0" borderId="0" xfId="0" applyNumberFormat="1" applyFont="1"/>
    <xf numFmtId="11" fontId="0" fillId="0" borderId="0" xfId="0" applyNumberFormat="1"/>
    <xf numFmtId="170" fontId="1" fillId="5" borderId="0" xfId="0" applyNumberFormat="1" applyFont="1" applyFill="1"/>
    <xf numFmtId="0" fontId="8" fillId="0" borderId="0" xfId="0" applyFont="1" applyAlignment="1">
      <alignment vertical="center"/>
    </xf>
    <xf numFmtId="0" fontId="9" fillId="0" borderId="0" xfId="0" applyFont="1"/>
    <xf numFmtId="2" fontId="0" fillId="0" borderId="0" xfId="0" applyNumberFormat="1"/>
    <xf numFmtId="180" fontId="1" fillId="0" borderId="0" xfId="0" applyNumberFormat="1" applyFont="1"/>
    <xf numFmtId="180" fontId="0" fillId="0" borderId="0" xfId="0" applyNumberFormat="1"/>
    <xf numFmtId="181" fontId="1" fillId="0" borderId="0" xfId="0" applyNumberFormat="1" applyFont="1"/>
    <xf numFmtId="0" fontId="0" fillId="0" borderId="0" xfId="0" quotePrefix="1"/>
    <xf numFmtId="172" fontId="0" fillId="0" borderId="0" xfId="0" applyNumberFormat="1"/>
    <xf numFmtId="169" fontId="5" fillId="3" borderId="0" xfId="3" applyNumberFormat="1"/>
    <xf numFmtId="0" fontId="8" fillId="0" borderId="5" xfId="0" applyFont="1" applyBorder="1" applyAlignment="1">
      <alignment vertical="center"/>
    </xf>
    <xf numFmtId="0" fontId="0" fillId="0" borderId="12" xfId="0" applyBorder="1"/>
    <xf numFmtId="165" fontId="1" fillId="0" borderId="13" xfId="0" applyNumberFormat="1" applyFont="1" applyBorder="1"/>
    <xf numFmtId="181" fontId="1" fillId="0" borderId="8" xfId="0" applyNumberFormat="1" applyFont="1" applyBorder="1"/>
    <xf numFmtId="11" fontId="1" fillId="0" borderId="0" xfId="0" applyNumberFormat="1" applyFont="1"/>
    <xf numFmtId="165" fontId="4" fillId="2" borderId="8" xfId="2" applyNumberFormat="1" applyBorder="1"/>
    <xf numFmtId="181" fontId="4" fillId="2" borderId="6" xfId="2" applyNumberFormat="1" applyBorder="1"/>
    <xf numFmtId="167" fontId="4" fillId="2" borderId="8" xfId="2" applyNumberFormat="1" applyBorder="1"/>
    <xf numFmtId="167" fontId="4" fillId="2" borderId="6" xfId="2" applyNumberFormat="1" applyBorder="1"/>
    <xf numFmtId="181" fontId="4" fillId="2" borderId="2" xfId="2" applyNumberFormat="1" applyBorder="1"/>
    <xf numFmtId="167" fontId="4" fillId="2" borderId="7" xfId="2" applyNumberFormat="1" applyBorder="1"/>
    <xf numFmtId="167" fontId="4" fillId="2" borderId="2" xfId="2" applyNumberFormat="1" applyBorder="1"/>
    <xf numFmtId="14" fontId="0" fillId="0" borderId="0" xfId="0" applyNumberFormat="1"/>
    <xf numFmtId="182" fontId="0" fillId="0" borderId="0" xfId="0" applyNumberFormat="1" applyAlignment="1">
      <alignment horizontal="right"/>
    </xf>
    <xf numFmtId="0" fontId="12" fillId="0" borderId="0" xfId="0" applyFont="1"/>
    <xf numFmtId="182" fontId="1" fillId="0" borderId="0" xfId="0" applyNumberFormat="1" applyFont="1" applyAlignment="1">
      <alignment horizontal="right"/>
    </xf>
    <xf numFmtId="167" fontId="1" fillId="0" borderId="13" xfId="0" applyNumberFormat="1" applyFont="1" applyBorder="1"/>
    <xf numFmtId="183" fontId="1" fillId="0" borderId="8" xfId="0" applyNumberFormat="1" applyFont="1" applyBorder="1"/>
    <xf numFmtId="170" fontId="1" fillId="5" borderId="14" xfId="0" applyNumberFormat="1" applyFont="1" applyFill="1" applyBorder="1"/>
    <xf numFmtId="0" fontId="4" fillId="2" borderId="0" xfId="2"/>
    <xf numFmtId="0" fontId="4" fillId="2" borderId="1" xfId="2" applyBorder="1" applyAlignment="1">
      <alignment horizontal="right"/>
    </xf>
    <xf numFmtId="165" fontId="4" fillId="2" borderId="7" xfId="2" applyNumberFormat="1" applyBorder="1"/>
    <xf numFmtId="0" fontId="4" fillId="2" borderId="7" xfId="2" applyBorder="1"/>
    <xf numFmtId="0" fontId="4" fillId="2" borderId="2" xfId="2" applyBorder="1"/>
    <xf numFmtId="0" fontId="4" fillId="2" borderId="0" xfId="2" applyAlignment="1">
      <alignment horizontal="right"/>
    </xf>
    <xf numFmtId="0" fontId="4" fillId="2" borderId="0" xfId="2" applyNumberFormat="1" applyAlignment="1">
      <alignment horizontal="right"/>
    </xf>
    <xf numFmtId="170" fontId="4" fillId="2" borderId="0" xfId="2" applyNumberFormat="1"/>
    <xf numFmtId="0" fontId="4" fillId="2" borderId="5" xfId="2" applyBorder="1" applyAlignment="1">
      <alignment horizontal="right"/>
    </xf>
    <xf numFmtId="173" fontId="4" fillId="2" borderId="0" xfId="2" applyNumberFormat="1"/>
    <xf numFmtId="165" fontId="4" fillId="2" borderId="0" xfId="2" applyNumberFormat="1"/>
    <xf numFmtId="171" fontId="4" fillId="2" borderId="0" xfId="2" applyNumberFormat="1"/>
    <xf numFmtId="166" fontId="4" fillId="2" borderId="0" xfId="2" applyNumberFormat="1"/>
    <xf numFmtId="181" fontId="4" fillId="2" borderId="0" xfId="2" applyNumberFormat="1"/>
    <xf numFmtId="0" fontId="5" fillId="3" borderId="0" xfId="3"/>
    <xf numFmtId="0" fontId="5" fillId="3" borderId="0" xfId="3" applyAlignment="1">
      <alignment horizontal="right"/>
    </xf>
    <xf numFmtId="0" fontId="5" fillId="3" borderId="0" xfId="3" applyNumberFormat="1" applyAlignment="1">
      <alignment horizontal="right"/>
    </xf>
    <xf numFmtId="0" fontId="5" fillId="3" borderId="1" xfId="3" applyBorder="1" applyAlignment="1">
      <alignment horizontal="right"/>
    </xf>
    <xf numFmtId="165" fontId="5" fillId="3" borderId="7" xfId="3" applyNumberFormat="1" applyBorder="1"/>
    <xf numFmtId="181" fontId="5" fillId="3" borderId="2" xfId="3" applyNumberFormat="1" applyBorder="1"/>
    <xf numFmtId="0" fontId="5" fillId="3" borderId="7" xfId="3" applyBorder="1"/>
    <xf numFmtId="0" fontId="5" fillId="3" borderId="2" xfId="3" applyBorder="1"/>
    <xf numFmtId="170" fontId="5" fillId="3" borderId="0" xfId="3" applyNumberFormat="1"/>
    <xf numFmtId="0" fontId="5" fillId="3" borderId="5" xfId="3" applyBorder="1" applyAlignment="1">
      <alignment horizontal="right"/>
    </xf>
    <xf numFmtId="165" fontId="5" fillId="3" borderId="8" xfId="3" applyNumberFormat="1" applyBorder="1"/>
    <xf numFmtId="181" fontId="5" fillId="3" borderId="6" xfId="3" applyNumberFormat="1" applyBorder="1"/>
    <xf numFmtId="167" fontId="5" fillId="3" borderId="8" xfId="3" applyNumberFormat="1" applyBorder="1"/>
    <xf numFmtId="167" fontId="5" fillId="3" borderId="6" xfId="3" applyNumberFormat="1" applyBorder="1"/>
    <xf numFmtId="173" fontId="5" fillId="3" borderId="0" xfId="3" applyNumberFormat="1"/>
    <xf numFmtId="165" fontId="5" fillId="3" borderId="0" xfId="3" applyNumberFormat="1"/>
    <xf numFmtId="171" fontId="5" fillId="3" borderId="0" xfId="3" applyNumberFormat="1"/>
    <xf numFmtId="166" fontId="5" fillId="3" borderId="0" xfId="3" applyNumberFormat="1"/>
    <xf numFmtId="167" fontId="5" fillId="3" borderId="7" xfId="3" applyNumberFormat="1" applyBorder="1"/>
    <xf numFmtId="167" fontId="5" fillId="3" borderId="2" xfId="3" applyNumberFormat="1" applyBorder="1"/>
    <xf numFmtId="167" fontId="5" fillId="3" borderId="0" xfId="3" applyNumberFormat="1"/>
    <xf numFmtId="181" fontId="5" fillId="3" borderId="0" xfId="3" applyNumberFormat="1"/>
    <xf numFmtId="0" fontId="0" fillId="7" borderId="0" xfId="0" applyFill="1"/>
    <xf numFmtId="165" fontId="1" fillId="7" borderId="0" xfId="0" applyNumberFormat="1" applyFont="1" applyFill="1"/>
    <xf numFmtId="167" fontId="1" fillId="7" borderId="0" xfId="0" applyNumberFormat="1" applyFont="1" applyFill="1"/>
    <xf numFmtId="0" fontId="1" fillId="7" borderId="0" xfId="0" applyFont="1" applyFill="1" applyAlignment="1">
      <alignment horizontal="right"/>
    </xf>
    <xf numFmtId="177" fontId="1" fillId="7" borderId="0" xfId="0" applyNumberFormat="1" applyFont="1" applyFill="1"/>
    <xf numFmtId="170" fontId="1" fillId="7" borderId="0" xfId="0" applyNumberFormat="1" applyFont="1" applyFill="1"/>
    <xf numFmtId="175" fontId="1" fillId="7" borderId="0" xfId="0" applyNumberFormat="1" applyFont="1" applyFill="1"/>
    <xf numFmtId="0" fontId="1" fillId="7" borderId="1" xfId="0" applyFont="1" applyFill="1" applyBorder="1" applyAlignment="1">
      <alignment horizontal="right"/>
    </xf>
    <xf numFmtId="165" fontId="7" fillId="7" borderId="7" xfId="3" applyNumberFormat="1" applyFont="1" applyFill="1" applyBorder="1"/>
    <xf numFmtId="165" fontId="1" fillId="7" borderId="7" xfId="0" applyNumberFormat="1" applyFont="1" applyFill="1" applyBorder="1"/>
    <xf numFmtId="181" fontId="1" fillId="7" borderId="2" xfId="0" applyNumberFormat="1" applyFont="1" applyFill="1" applyBorder="1"/>
    <xf numFmtId="0" fontId="0" fillId="7" borderId="7" xfId="0" applyFill="1" applyBorder="1"/>
    <xf numFmtId="0" fontId="0" fillId="7" borderId="2" xfId="0" applyFill="1" applyBorder="1"/>
    <xf numFmtId="0" fontId="1" fillId="7" borderId="5" xfId="0" applyFont="1" applyFill="1" applyBorder="1" applyAlignment="1">
      <alignment horizontal="right"/>
    </xf>
    <xf numFmtId="165" fontId="7" fillId="7" borderId="8" xfId="3" applyNumberFormat="1" applyFont="1" applyFill="1" applyBorder="1"/>
    <xf numFmtId="165" fontId="1" fillId="7" borderId="8" xfId="0" applyNumberFormat="1" applyFont="1" applyFill="1" applyBorder="1"/>
    <xf numFmtId="173" fontId="1" fillId="7" borderId="0" xfId="0" applyNumberFormat="1" applyFont="1" applyFill="1"/>
    <xf numFmtId="173" fontId="0" fillId="7" borderId="0" xfId="0" applyNumberFormat="1" applyFill="1"/>
    <xf numFmtId="166" fontId="1" fillId="7" borderId="0" xfId="0" applyNumberFormat="1" applyFont="1" applyFill="1"/>
    <xf numFmtId="171" fontId="1" fillId="7" borderId="0" xfId="0" applyNumberFormat="1" applyFont="1" applyFill="1"/>
    <xf numFmtId="181" fontId="1" fillId="7" borderId="0" xfId="0" applyNumberFormat="1" applyFont="1" applyFill="1"/>
    <xf numFmtId="0" fontId="1" fillId="8" borderId="0" xfId="0" applyFont="1" applyFill="1"/>
    <xf numFmtId="0" fontId="0" fillId="8" borderId="0" xfId="0" applyFill="1"/>
    <xf numFmtId="0" fontId="1" fillId="8" borderId="0" xfId="0" applyFont="1" applyFill="1" applyAlignment="1">
      <alignment horizontal="right"/>
    </xf>
    <xf numFmtId="175" fontId="1" fillId="8" borderId="0" xfId="0" applyNumberFormat="1" applyFont="1" applyFill="1"/>
    <xf numFmtId="181" fontId="1" fillId="8" borderId="0" xfId="0" applyNumberFormat="1" applyFont="1" applyFill="1"/>
    <xf numFmtId="0" fontId="1" fillId="8" borderId="1" xfId="0" applyFont="1" applyFill="1" applyBorder="1" applyAlignment="1">
      <alignment horizontal="right"/>
    </xf>
    <xf numFmtId="165" fontId="1" fillId="8" borderId="7" xfId="0" applyNumberFormat="1" applyFont="1" applyFill="1" applyBorder="1"/>
    <xf numFmtId="181" fontId="1" fillId="8" borderId="2" xfId="0" applyNumberFormat="1" applyFont="1" applyFill="1" applyBorder="1"/>
    <xf numFmtId="0" fontId="0" fillId="8" borderId="1" xfId="0" applyFill="1" applyBorder="1"/>
    <xf numFmtId="0" fontId="0" fillId="8" borderId="7" xfId="0" applyFill="1" applyBorder="1"/>
    <xf numFmtId="0" fontId="0" fillId="8" borderId="2" xfId="0" applyFill="1" applyBorder="1"/>
    <xf numFmtId="170" fontId="1" fillId="8" borderId="0" xfId="0" applyNumberFormat="1" applyFont="1" applyFill="1"/>
    <xf numFmtId="0" fontId="1" fillId="8" borderId="5" xfId="0" applyFont="1" applyFill="1" applyBorder="1" applyAlignment="1">
      <alignment horizontal="right"/>
    </xf>
    <xf numFmtId="165" fontId="1" fillId="8" borderId="8" xfId="0" applyNumberFormat="1" applyFont="1" applyFill="1" applyBorder="1"/>
    <xf numFmtId="181" fontId="1" fillId="8" borderId="6" xfId="0" applyNumberFormat="1" applyFont="1" applyFill="1" applyBorder="1"/>
    <xf numFmtId="173" fontId="1" fillId="8" borderId="0" xfId="0" applyNumberFormat="1" applyFont="1" applyFill="1"/>
    <xf numFmtId="173" fontId="0" fillId="8" borderId="0" xfId="0" applyNumberFormat="1" applyFill="1"/>
    <xf numFmtId="166" fontId="1" fillId="8" borderId="0" xfId="0" applyNumberFormat="1" applyFont="1" applyFill="1"/>
    <xf numFmtId="165" fontId="1" fillId="8" borderId="0" xfId="0" applyNumberFormat="1" applyFont="1" applyFill="1"/>
    <xf numFmtId="167" fontId="1" fillId="8" borderId="0" xfId="0" applyNumberFormat="1" applyFont="1" applyFill="1"/>
    <xf numFmtId="167" fontId="0" fillId="8" borderId="0" xfId="0" applyNumberFormat="1" applyFill="1"/>
    <xf numFmtId="0" fontId="0" fillId="9" borderId="0" xfId="0" applyFill="1"/>
    <xf numFmtId="0" fontId="1" fillId="9" borderId="0" xfId="0" applyFont="1" applyFill="1" applyAlignment="1">
      <alignment horizontal="right"/>
    </xf>
    <xf numFmtId="165" fontId="1" fillId="9" borderId="0" xfId="0" applyNumberFormat="1" applyFont="1" applyFill="1"/>
    <xf numFmtId="0" fontId="0" fillId="9" borderId="1" xfId="0" applyFill="1" applyBorder="1"/>
    <xf numFmtId="167" fontId="1" fillId="9" borderId="2" xfId="0" applyNumberFormat="1" applyFont="1" applyFill="1" applyBorder="1"/>
    <xf numFmtId="0" fontId="1" fillId="9" borderId="0" xfId="0" applyFont="1" applyFill="1"/>
    <xf numFmtId="167" fontId="0" fillId="9" borderId="0" xfId="0" applyNumberFormat="1" applyFill="1"/>
    <xf numFmtId="165" fontId="0" fillId="9" borderId="0" xfId="0" applyNumberFormat="1" applyFill="1"/>
    <xf numFmtId="183" fontId="1" fillId="0" borderId="0" xfId="0" applyNumberFormat="1" applyFont="1"/>
    <xf numFmtId="0" fontId="14" fillId="0" borderId="0" xfId="0" applyFont="1" applyAlignment="1">
      <alignment vertical="center"/>
    </xf>
    <xf numFmtId="167" fontId="1" fillId="0" borderId="0" xfId="0" quotePrefix="1" applyNumberFormat="1" applyFont="1"/>
    <xf numFmtId="184" fontId="1" fillId="0" borderId="0" xfId="0" applyNumberFormat="1" applyFont="1"/>
    <xf numFmtId="0" fontId="0" fillId="0" borderId="9" xfId="0" applyBorder="1"/>
    <xf numFmtId="0" fontId="0" fillId="0" borderId="11" xfId="0" applyBorder="1"/>
    <xf numFmtId="0" fontId="0" fillId="0" borderId="10" xfId="0" applyBorder="1"/>
    <xf numFmtId="167" fontId="6" fillId="2" borderId="0" xfId="2" applyNumberFormat="1" applyFont="1"/>
    <xf numFmtId="185" fontId="1" fillId="0" borderId="8" xfId="0" applyNumberFormat="1" applyFont="1" applyBorder="1"/>
    <xf numFmtId="186" fontId="1" fillId="0" borderId="0" xfId="0" applyNumberFormat="1" applyFont="1"/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169" fontId="6" fillId="2" borderId="7" xfId="2" applyNumberFormat="1" applyFont="1" applyBorder="1"/>
    <xf numFmtId="169" fontId="6" fillId="2" borderId="8" xfId="2" applyNumberFormat="1" applyFont="1" applyBorder="1"/>
    <xf numFmtId="0" fontId="4" fillId="2" borderId="3" xfId="2" applyBorder="1" applyAlignment="1">
      <alignment horizontal="right"/>
    </xf>
    <xf numFmtId="165" fontId="4" fillId="2" borderId="0" xfId="2" applyNumberFormat="1" applyBorder="1"/>
    <xf numFmtId="0" fontId="1" fillId="7" borderId="3" xfId="0" applyFont="1" applyFill="1" applyBorder="1" applyAlignment="1">
      <alignment horizontal="right"/>
    </xf>
    <xf numFmtId="165" fontId="7" fillId="7" borderId="0" xfId="3" applyNumberFormat="1" applyFont="1" applyFill="1" applyBorder="1"/>
    <xf numFmtId="181" fontId="1" fillId="8" borderId="4" xfId="0" applyNumberFormat="1" applyFont="1" applyFill="1" applyBorder="1"/>
    <xf numFmtId="167" fontId="4" fillId="2" borderId="9" xfId="2" applyNumberFormat="1" applyBorder="1"/>
    <xf numFmtId="165" fontId="4" fillId="10" borderId="7" xfId="2" applyNumberFormat="1" applyFill="1" applyBorder="1"/>
    <xf numFmtId="165" fontId="4" fillId="11" borderId="7" xfId="2" applyNumberFormat="1" applyFill="1" applyBorder="1"/>
    <xf numFmtId="165" fontId="4" fillId="11" borderId="0" xfId="2" applyNumberFormat="1" applyFill="1" applyBorder="1"/>
    <xf numFmtId="165" fontId="4" fillId="11" borderId="8" xfId="2" applyNumberFormat="1" applyFill="1" applyBorder="1"/>
    <xf numFmtId="165" fontId="11" fillId="12" borderId="7" xfId="4" applyNumberFormat="1" applyFill="1" applyBorder="1"/>
    <xf numFmtId="169" fontId="1" fillId="0" borderId="0" xfId="0" applyNumberFormat="1" applyFont="1"/>
    <xf numFmtId="169" fontId="1" fillId="0" borderId="0" xfId="0" applyNumberFormat="1" applyFont="1" applyAlignment="1">
      <alignment horizontal="right"/>
    </xf>
    <xf numFmtId="169" fontId="5" fillId="0" borderId="0" xfId="3" applyNumberFormat="1" applyFill="1"/>
    <xf numFmtId="0" fontId="13" fillId="0" borderId="3" xfId="0" applyFont="1" applyBorder="1" applyAlignment="1">
      <alignment horizontal="right"/>
    </xf>
    <xf numFmtId="0" fontId="13" fillId="0" borderId="4" xfId="0" applyFont="1" applyBorder="1" applyAlignment="1">
      <alignment horizontal="right"/>
    </xf>
    <xf numFmtId="0" fontId="13" fillId="0" borderId="0" xfId="0" applyFont="1" applyAlignment="1">
      <alignment horizontal="right"/>
    </xf>
    <xf numFmtId="0" fontId="10" fillId="0" borderId="0" xfId="0" applyFont="1"/>
    <xf numFmtId="169" fontId="10" fillId="0" borderId="3" xfId="0" applyNumberFormat="1" applyFont="1" applyBorder="1"/>
    <xf numFmtId="169" fontId="10" fillId="0" borderId="4" xfId="0" applyNumberFormat="1" applyFont="1" applyBorder="1"/>
    <xf numFmtId="169" fontId="10" fillId="0" borderId="0" xfId="0" applyNumberFormat="1" applyFont="1"/>
    <xf numFmtId="169" fontId="13" fillId="0" borderId="3" xfId="0" applyNumberFormat="1" applyFont="1" applyBorder="1" applyAlignment="1">
      <alignment horizontal="right"/>
    </xf>
    <xf numFmtId="169" fontId="13" fillId="0" borderId="4" xfId="0" applyNumberFormat="1" applyFont="1" applyBorder="1" applyAlignment="1">
      <alignment horizontal="right"/>
    </xf>
    <xf numFmtId="169" fontId="13" fillId="0" borderId="0" xfId="0" applyNumberFormat="1" applyFont="1" applyAlignment="1">
      <alignment horizontal="right"/>
    </xf>
    <xf numFmtId="169" fontId="10" fillId="0" borderId="0" xfId="3" applyNumberFormat="1" applyFont="1" applyFill="1"/>
    <xf numFmtId="169" fontId="10" fillId="0" borderId="5" xfId="0" applyNumberFormat="1" applyFont="1" applyBorder="1"/>
    <xf numFmtId="169" fontId="10" fillId="0" borderId="6" xfId="0" applyNumberFormat="1" applyFont="1" applyBorder="1"/>
    <xf numFmtId="0" fontId="10" fillId="0" borderId="3" xfId="0" applyFont="1" applyBorder="1"/>
    <xf numFmtId="0" fontId="10" fillId="0" borderId="4" xfId="0" applyFont="1" applyBorder="1"/>
    <xf numFmtId="0" fontId="11" fillId="6" borderId="3" xfId="4" applyBorder="1"/>
    <xf numFmtId="0" fontId="11" fillId="6" borderId="4" xfId="4" applyBorder="1"/>
    <xf numFmtId="0" fontId="11" fillId="6" borderId="5" xfId="4" applyBorder="1"/>
    <xf numFmtId="0" fontId="11" fillId="6" borderId="6" xfId="4" applyBorder="1"/>
    <xf numFmtId="0" fontId="0" fillId="14" borderId="0" xfId="0" applyFill="1"/>
    <xf numFmtId="0" fontId="1" fillId="14" borderId="0" xfId="0" applyFont="1" applyFill="1"/>
    <xf numFmtId="167" fontId="10" fillId="14" borderId="1" xfId="2" applyNumberFormat="1" applyFont="1" applyFill="1" applyBorder="1"/>
    <xf numFmtId="167" fontId="0" fillId="14" borderId="7" xfId="0" applyNumberFormat="1" applyFill="1" applyBorder="1"/>
    <xf numFmtId="169" fontId="0" fillId="14" borderId="2" xfId="0" applyNumberFormat="1" applyFill="1" applyBorder="1"/>
    <xf numFmtId="170" fontId="0" fillId="14" borderId="0" xfId="0" applyNumberFormat="1" applyFill="1"/>
    <xf numFmtId="167" fontId="0" fillId="14" borderId="3" xfId="0" applyNumberFormat="1" applyFill="1" applyBorder="1"/>
    <xf numFmtId="167" fontId="13" fillId="14" borderId="0" xfId="2" applyNumberFormat="1" applyFont="1" applyFill="1" applyBorder="1"/>
    <xf numFmtId="169" fontId="0" fillId="14" borderId="4" xfId="0" applyNumberFormat="1" applyFill="1" applyBorder="1"/>
    <xf numFmtId="165" fontId="0" fillId="14" borderId="0" xfId="0" applyNumberFormat="1" applyFill="1"/>
    <xf numFmtId="0" fontId="0" fillId="14" borderId="1" xfId="0" applyFill="1" applyBorder="1"/>
    <xf numFmtId="0" fontId="0" fillId="14" borderId="7" xfId="0" applyFill="1" applyBorder="1" applyAlignment="1">
      <alignment horizontal="right"/>
    </xf>
    <xf numFmtId="167" fontId="1" fillId="14" borderId="2" xfId="0" applyNumberFormat="1" applyFont="1" applyFill="1" applyBorder="1"/>
    <xf numFmtId="165" fontId="1" fillId="14" borderId="0" xfId="0" applyNumberFormat="1" applyFont="1" applyFill="1"/>
    <xf numFmtId="167" fontId="10" fillId="14" borderId="3" xfId="2" applyNumberFormat="1" applyFont="1" applyFill="1" applyBorder="1"/>
    <xf numFmtId="167" fontId="0" fillId="14" borderId="0" xfId="0" applyNumberFormat="1" applyFill="1"/>
    <xf numFmtId="2" fontId="0" fillId="14" borderId="0" xfId="0" applyNumberFormat="1" applyFill="1"/>
    <xf numFmtId="0" fontId="0" fillId="14" borderId="3" xfId="0" applyFill="1" applyBorder="1"/>
    <xf numFmtId="0" fontId="0" fillId="14" borderId="0" xfId="0" applyFill="1" applyAlignment="1">
      <alignment horizontal="right"/>
    </xf>
    <xf numFmtId="166" fontId="1" fillId="14" borderId="4" xfId="0" applyNumberFormat="1" applyFont="1" applyFill="1" applyBorder="1"/>
    <xf numFmtId="0" fontId="0" fillId="14" borderId="5" xfId="0" applyFill="1" applyBorder="1"/>
    <xf numFmtId="0" fontId="0" fillId="14" borderId="8" xfId="0" applyFill="1" applyBorder="1" applyAlignment="1">
      <alignment horizontal="right"/>
    </xf>
    <xf numFmtId="166" fontId="1" fillId="14" borderId="6" xfId="0" applyNumberFormat="1" applyFont="1" applyFill="1" applyBorder="1"/>
    <xf numFmtId="166" fontId="0" fillId="14" borderId="0" xfId="0" applyNumberFormat="1" applyFill="1"/>
    <xf numFmtId="167" fontId="10" fillId="14" borderId="5" xfId="2" applyNumberFormat="1" applyFont="1" applyFill="1" applyBorder="1"/>
    <xf numFmtId="167" fontId="0" fillId="14" borderId="8" xfId="0" applyNumberFormat="1" applyFill="1" applyBorder="1"/>
    <xf numFmtId="169" fontId="0" fillId="14" borderId="6" xfId="0" applyNumberFormat="1" applyFill="1" applyBorder="1"/>
    <xf numFmtId="167" fontId="10" fillId="9" borderId="1" xfId="2" applyNumberFormat="1" applyFont="1" applyFill="1" applyBorder="1"/>
    <xf numFmtId="167" fontId="0" fillId="9" borderId="7" xfId="0" applyNumberFormat="1" applyFill="1" applyBorder="1"/>
    <xf numFmtId="169" fontId="0" fillId="9" borderId="2" xfId="0" applyNumberFormat="1" applyFill="1" applyBorder="1"/>
    <xf numFmtId="167" fontId="0" fillId="9" borderId="3" xfId="0" applyNumberFormat="1" applyFill="1" applyBorder="1"/>
    <xf numFmtId="167" fontId="13" fillId="9" borderId="0" xfId="2" applyNumberFormat="1" applyFont="1" applyFill="1" applyBorder="1"/>
    <xf numFmtId="169" fontId="0" fillId="9" borderId="4" xfId="0" applyNumberFormat="1" applyFill="1" applyBorder="1"/>
    <xf numFmtId="0" fontId="0" fillId="9" borderId="7" xfId="0" applyFill="1" applyBorder="1" applyAlignment="1">
      <alignment horizontal="right"/>
    </xf>
    <xf numFmtId="167" fontId="10" fillId="9" borderId="3" xfId="2" applyNumberFormat="1" applyFont="1" applyFill="1" applyBorder="1"/>
    <xf numFmtId="0" fontId="0" fillId="9" borderId="3" xfId="0" applyFill="1" applyBorder="1"/>
    <xf numFmtId="0" fontId="0" fillId="9" borderId="0" xfId="0" applyFill="1" applyAlignment="1">
      <alignment horizontal="right"/>
    </xf>
    <xf numFmtId="166" fontId="1" fillId="9" borderId="4" xfId="0" applyNumberFormat="1" applyFont="1" applyFill="1" applyBorder="1"/>
    <xf numFmtId="0" fontId="0" fillId="9" borderId="5" xfId="0" applyFill="1" applyBorder="1"/>
    <xf numFmtId="0" fontId="0" fillId="9" borderId="8" xfId="0" applyFill="1" applyBorder="1" applyAlignment="1">
      <alignment horizontal="right"/>
    </xf>
    <xf numFmtId="166" fontId="1" fillId="9" borderId="6" xfId="0" applyNumberFormat="1" applyFont="1" applyFill="1" applyBorder="1"/>
    <xf numFmtId="172" fontId="0" fillId="9" borderId="0" xfId="0" applyNumberFormat="1" applyFill="1"/>
    <xf numFmtId="179" fontId="0" fillId="9" borderId="0" xfId="0" applyNumberFormat="1" applyFill="1"/>
    <xf numFmtId="166" fontId="0" fillId="9" borderId="0" xfId="0" applyNumberFormat="1" applyFill="1"/>
    <xf numFmtId="167" fontId="10" fillId="9" borderId="5" xfId="2" applyNumberFormat="1" applyFont="1" applyFill="1" applyBorder="1"/>
    <xf numFmtId="167" fontId="0" fillId="9" borderId="8" xfId="0" applyNumberFormat="1" applyFill="1" applyBorder="1"/>
    <xf numFmtId="169" fontId="0" fillId="9" borderId="6" xfId="0" applyNumberFormat="1" applyFill="1" applyBorder="1"/>
    <xf numFmtId="0" fontId="4" fillId="2" borderId="3" xfId="2" applyBorder="1"/>
    <xf numFmtId="165" fontId="1" fillId="0" borderId="6" xfId="0" applyNumberFormat="1" applyFont="1" applyBorder="1"/>
    <xf numFmtId="165" fontId="1" fillId="13" borderId="7" xfId="0" applyNumberFormat="1" applyFont="1" applyFill="1" applyBorder="1"/>
    <xf numFmtId="165" fontId="1" fillId="5" borderId="2" xfId="0" applyNumberFormat="1" applyFont="1" applyFill="1" applyBorder="1"/>
    <xf numFmtId="165" fontId="1" fillId="5" borderId="4" xfId="0" applyNumberFormat="1" applyFont="1" applyFill="1" applyBorder="1"/>
    <xf numFmtId="165" fontId="1" fillId="5" borderId="6" xfId="0" applyNumberFormat="1" applyFont="1" applyFill="1" applyBorder="1"/>
    <xf numFmtId="165" fontId="1" fillId="7" borderId="0" xfId="0" applyNumberFormat="1" applyFont="1" applyFill="1" applyAlignment="1">
      <alignment horizontal="right"/>
    </xf>
    <xf numFmtId="0" fontId="0" fillId="8" borderId="0" xfId="0" applyFill="1" applyAlignment="1">
      <alignment horizontal="right"/>
    </xf>
    <xf numFmtId="167" fontId="1" fillId="0" borderId="0" xfId="0" applyNumberFormat="1" applyFont="1" applyAlignment="1">
      <alignment horizontal="right"/>
    </xf>
    <xf numFmtId="171" fontId="1" fillId="8" borderId="5" xfId="0" applyNumberFormat="1" applyFont="1" applyFill="1" applyBorder="1"/>
    <xf numFmtId="187" fontId="0" fillId="8" borderId="0" xfId="0" applyNumberFormat="1" applyFill="1"/>
    <xf numFmtId="187" fontId="0" fillId="0" borderId="0" xfId="0" applyNumberFormat="1"/>
    <xf numFmtId="167" fontId="0" fillId="7" borderId="0" xfId="0" applyNumberFormat="1" applyFill="1"/>
    <xf numFmtId="181" fontId="1" fillId="5" borderId="2" xfId="0" applyNumberFormat="1" applyFont="1" applyFill="1" applyBorder="1"/>
    <xf numFmtId="0" fontId="5" fillId="3" borderId="3" xfId="3" applyBorder="1" applyAlignment="1">
      <alignment horizontal="right"/>
    </xf>
    <xf numFmtId="165" fontId="5" fillId="3" borderId="0" xfId="3" applyNumberFormat="1" applyBorder="1"/>
    <xf numFmtId="181" fontId="5" fillId="3" borderId="4" xfId="3" applyNumberFormat="1" applyBorder="1"/>
    <xf numFmtId="170" fontId="5" fillId="3" borderId="8" xfId="3" applyNumberFormat="1" applyBorder="1"/>
    <xf numFmtId="170" fontId="5" fillId="3" borderId="7" xfId="3" applyNumberFormat="1" applyBorder="1"/>
    <xf numFmtId="165" fontId="11" fillId="12" borderId="0" xfId="4" applyNumberFormat="1" applyFill="1" applyBorder="1"/>
    <xf numFmtId="165" fontId="4" fillId="10" borderId="0" xfId="2" applyNumberFormat="1" applyFill="1" applyBorder="1"/>
    <xf numFmtId="181" fontId="4" fillId="2" borderId="4" xfId="2" applyNumberFormat="1" applyBorder="1"/>
    <xf numFmtId="165" fontId="11" fillId="12" borderId="8" xfId="4" applyNumberFormat="1" applyFill="1" applyBorder="1"/>
    <xf numFmtId="165" fontId="4" fillId="10" borderId="8" xfId="2" applyNumberFormat="1" applyFill="1" applyBorder="1"/>
    <xf numFmtId="165" fontId="1" fillId="0" borderId="3" xfId="0" applyNumberFormat="1" applyFont="1" applyBorder="1"/>
    <xf numFmtId="165" fontId="7" fillId="3" borderId="4" xfId="3" applyNumberFormat="1" applyFont="1" applyBorder="1"/>
    <xf numFmtId="165" fontId="1" fillId="4" borderId="0" xfId="0" applyNumberFormat="1" applyFont="1" applyFill="1"/>
    <xf numFmtId="165" fontId="1" fillId="5" borderId="0" xfId="0" applyNumberFormat="1" applyFont="1" applyFill="1"/>
    <xf numFmtId="165" fontId="1" fillId="5" borderId="3" xfId="0" applyNumberFormat="1" applyFont="1" applyFill="1" applyBorder="1"/>
    <xf numFmtId="186" fontId="10" fillId="0" borderId="0" xfId="0" applyNumberFormat="1" applyFont="1"/>
    <xf numFmtId="188" fontId="0" fillId="0" borderId="0" xfId="0" applyNumberFormat="1"/>
    <xf numFmtId="171" fontId="1" fillId="7" borderId="8" xfId="0" applyNumberFormat="1" applyFont="1" applyFill="1" applyBorder="1"/>
    <xf numFmtId="171" fontId="1" fillId="7" borderId="6" xfId="0" applyNumberFormat="1" applyFont="1" applyFill="1" applyBorder="1"/>
    <xf numFmtId="171" fontId="1" fillId="7" borderId="7" xfId="0" applyNumberFormat="1" applyFont="1" applyFill="1" applyBorder="1"/>
    <xf numFmtId="171" fontId="1" fillId="7" borderId="2" xfId="0" applyNumberFormat="1" applyFont="1" applyFill="1" applyBorder="1"/>
    <xf numFmtId="171" fontId="1" fillId="8" borderId="8" xfId="0" applyNumberFormat="1" applyFont="1" applyFill="1" applyBorder="1"/>
    <xf numFmtId="171" fontId="1" fillId="8" borderId="6" xfId="0" applyNumberFormat="1" applyFont="1" applyFill="1" applyBorder="1"/>
    <xf numFmtId="171" fontId="1" fillId="8" borderId="1" xfId="0" applyNumberFormat="1" applyFont="1" applyFill="1" applyBorder="1"/>
    <xf numFmtId="171" fontId="1" fillId="8" borderId="7" xfId="0" applyNumberFormat="1" applyFont="1" applyFill="1" applyBorder="1"/>
    <xf numFmtId="171" fontId="1" fillId="8" borderId="2" xfId="0" applyNumberFormat="1" applyFont="1" applyFill="1" applyBorder="1"/>
    <xf numFmtId="170" fontId="5" fillId="3" borderId="9" xfId="3" applyNumberFormat="1" applyBorder="1"/>
    <xf numFmtId="170" fontId="5" fillId="3" borderId="11" xfId="3" applyNumberFormat="1" applyBorder="1"/>
    <xf numFmtId="170" fontId="5" fillId="3" borderId="10" xfId="3" applyNumberFormat="1" applyBorder="1"/>
    <xf numFmtId="170" fontId="1" fillId="7" borderId="9" xfId="0" applyNumberFormat="1" applyFont="1" applyFill="1" applyBorder="1"/>
    <xf numFmtId="170" fontId="1" fillId="7" borderId="11" xfId="0" applyNumberFormat="1" applyFont="1" applyFill="1" applyBorder="1"/>
    <xf numFmtId="170" fontId="1" fillId="7" borderId="10" xfId="0" applyNumberFormat="1" applyFont="1" applyFill="1" applyBorder="1"/>
    <xf numFmtId="170" fontId="1" fillId="8" borderId="9" xfId="0" applyNumberFormat="1" applyFont="1" applyFill="1" applyBorder="1"/>
    <xf numFmtId="170" fontId="1" fillId="8" borderId="11" xfId="0" applyNumberFormat="1" applyFont="1" applyFill="1" applyBorder="1"/>
    <xf numFmtId="170" fontId="1" fillId="8" borderId="10" xfId="0" applyNumberFormat="1" applyFont="1" applyFill="1" applyBorder="1"/>
    <xf numFmtId="165" fontId="1" fillId="15" borderId="0" xfId="0" applyNumberFormat="1" applyFont="1" applyFill="1"/>
    <xf numFmtId="165" fontId="1" fillId="15" borderId="1" xfId="0" applyNumberFormat="1" applyFont="1" applyFill="1" applyBorder="1"/>
    <xf numFmtId="165" fontId="1" fillId="15" borderId="2" xfId="0" applyNumberFormat="1" applyFont="1" applyFill="1" applyBorder="1"/>
    <xf numFmtId="165" fontId="1" fillId="15" borderId="3" xfId="0" applyNumberFormat="1" applyFont="1" applyFill="1" applyBorder="1"/>
    <xf numFmtId="165" fontId="1" fillId="15" borderId="4" xfId="0" applyNumberFormat="1" applyFont="1" applyFill="1" applyBorder="1"/>
    <xf numFmtId="165" fontId="1" fillId="15" borderId="5" xfId="0" applyNumberFormat="1" applyFont="1" applyFill="1" applyBorder="1"/>
    <xf numFmtId="165" fontId="1" fillId="15" borderId="6" xfId="0" applyNumberFormat="1" applyFont="1" applyFill="1" applyBorder="1"/>
    <xf numFmtId="167" fontId="1" fillId="15" borderId="0" xfId="0" applyNumberFormat="1" applyFont="1" applyFill="1"/>
    <xf numFmtId="165" fontId="1" fillId="15" borderId="7" xfId="0" applyNumberFormat="1" applyFont="1" applyFill="1" applyBorder="1"/>
    <xf numFmtId="0" fontId="1" fillId="0" borderId="2" xfId="0" applyFont="1" applyBorder="1"/>
    <xf numFmtId="0" fontId="1" fillId="0" borderId="4" xfId="0" applyFont="1" applyBorder="1"/>
    <xf numFmtId="165" fontId="1" fillId="15" borderId="8" xfId="0" applyNumberFormat="1" applyFont="1" applyFill="1" applyBorder="1"/>
    <xf numFmtId="0" fontId="0" fillId="0" borderId="6" xfId="0" applyBorder="1"/>
    <xf numFmtId="167" fontId="4" fillId="2" borderId="11" xfId="2" applyNumberFormat="1" applyBorder="1"/>
    <xf numFmtId="167" fontId="4" fillId="2" borderId="10" xfId="2" applyNumberFormat="1" applyBorder="1"/>
    <xf numFmtId="167" fontId="4" fillId="2" borderId="0" xfId="2" applyNumberFormat="1"/>
    <xf numFmtId="165" fontId="1" fillId="15" borderId="0" xfId="0" applyNumberFormat="1" applyFont="1" applyFill="1" applyBorder="1"/>
  </cellXfs>
  <cellStyles count="5">
    <cellStyle name="Bad" xfId="2" builtinId="27"/>
    <cellStyle name="Good" xfId="3" builtinId="26"/>
    <cellStyle name="Neutral" xfId="4" builtinId="28"/>
    <cellStyle name="Normal" xfId="0" builtinId="0"/>
    <cellStyle name="Normal 2" xfId="1" xr:uid="{A9035D68-A862-4108-AECE-CE414096C5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Z52"/>
  <sheetViews>
    <sheetView zoomScale="75" zoomScaleNormal="75" workbookViewId="0">
      <selection activeCell="T36" sqref="T36"/>
    </sheetView>
  </sheetViews>
  <sheetFormatPr defaultRowHeight="15" x14ac:dyDescent="0.25"/>
  <cols>
    <col min="2" max="2" width="6.7109375" customWidth="1"/>
    <col min="3" max="3" width="25.5703125" customWidth="1"/>
    <col min="4" max="4" width="16.85546875" bestFit="1" customWidth="1"/>
    <col min="5" max="8" width="9.140625" customWidth="1"/>
    <col min="9" max="9" width="11.42578125" customWidth="1"/>
    <col min="13" max="13" width="13" customWidth="1"/>
    <col min="15" max="17" width="13.28515625" customWidth="1"/>
    <col min="18" max="18" width="16.7109375" customWidth="1"/>
    <col min="19" max="19" width="15.5703125" customWidth="1"/>
    <col min="20" max="20" width="22.85546875" customWidth="1"/>
    <col min="21" max="21" width="11.140625" customWidth="1"/>
    <col min="22" max="22" width="16.5703125" customWidth="1"/>
    <col min="23" max="24" width="15" customWidth="1"/>
    <col min="25" max="25" width="17.140625" customWidth="1"/>
    <col min="26" max="26" width="14.85546875" customWidth="1"/>
    <col min="27" max="28" width="11.42578125" customWidth="1"/>
    <col min="29" max="34" width="12" customWidth="1"/>
    <col min="35" max="35" width="12" bestFit="1" customWidth="1"/>
    <col min="36" max="36" width="12.5703125" bestFit="1" customWidth="1"/>
    <col min="37" max="37" width="11.42578125" customWidth="1"/>
    <col min="43" max="43" width="12" bestFit="1" customWidth="1"/>
    <col min="45" max="45" width="10.5703125" bestFit="1" customWidth="1"/>
    <col min="51" max="51" width="12" bestFit="1" customWidth="1"/>
    <col min="53" max="53" width="10.5703125" bestFit="1" customWidth="1"/>
  </cols>
  <sheetData>
    <row r="1" spans="2:26" x14ac:dyDescent="0.25">
      <c r="C1" s="1" t="s">
        <v>37</v>
      </c>
      <c r="M1" s="23"/>
      <c r="N1" s="24"/>
      <c r="P1" s="23"/>
      <c r="Q1" s="24"/>
    </row>
    <row r="2" spans="2:26" x14ac:dyDescent="0.25">
      <c r="D2" s="3" t="s">
        <v>163</v>
      </c>
      <c r="F2" t="s">
        <v>164</v>
      </c>
      <c r="M2" s="25" t="s">
        <v>0</v>
      </c>
      <c r="N2" s="26"/>
      <c r="O2" s="2"/>
      <c r="P2" s="25" t="s">
        <v>59</v>
      </c>
      <c r="Q2" s="26"/>
      <c r="R2" s="2" t="s">
        <v>66</v>
      </c>
      <c r="S2" s="2"/>
      <c r="T2" s="2" t="s">
        <v>65</v>
      </c>
      <c r="U2" s="2"/>
      <c r="X2" s="2" t="s">
        <v>32</v>
      </c>
    </row>
    <row r="3" spans="2:26" ht="15.75" thickBot="1" x14ac:dyDescent="0.3">
      <c r="D3" s="2" t="s">
        <v>113</v>
      </c>
      <c r="E3" s="2" t="s">
        <v>112</v>
      </c>
      <c r="F3" s="2" t="s">
        <v>113</v>
      </c>
      <c r="G3" s="2" t="s">
        <v>112</v>
      </c>
      <c r="H3" s="2"/>
      <c r="I3" s="2" t="s">
        <v>161</v>
      </c>
      <c r="J3" s="2" t="s">
        <v>61</v>
      </c>
      <c r="K3" s="2" t="s">
        <v>62</v>
      </c>
      <c r="L3" s="2" t="s">
        <v>26</v>
      </c>
      <c r="M3" s="25" t="s">
        <v>27</v>
      </c>
      <c r="N3" s="26" t="s">
        <v>28</v>
      </c>
      <c r="O3" s="2" t="s">
        <v>162</v>
      </c>
      <c r="P3" s="25" t="s">
        <v>24</v>
      </c>
      <c r="Q3" s="26" t="s">
        <v>25</v>
      </c>
      <c r="R3" s="2" t="s">
        <v>22</v>
      </c>
      <c r="S3" s="2" t="s">
        <v>23</v>
      </c>
      <c r="T3" s="2" t="s">
        <v>24</v>
      </c>
      <c r="U3" s="2" t="s">
        <v>25</v>
      </c>
      <c r="V3" s="2" t="s">
        <v>29</v>
      </c>
      <c r="W3" s="2" t="s">
        <v>30</v>
      </c>
      <c r="X3" s="2" t="s">
        <v>31</v>
      </c>
      <c r="Y3" s="2" t="s">
        <v>58</v>
      </c>
      <c r="Z3" s="2" t="s">
        <v>57</v>
      </c>
    </row>
    <row r="4" spans="2:26" x14ac:dyDescent="0.25">
      <c r="B4">
        <v>0</v>
      </c>
      <c r="C4" t="s">
        <v>1</v>
      </c>
      <c r="D4" s="304">
        <f>10000000/(512+I4)-10000</f>
        <v>9120.4588910133825</v>
      </c>
      <c r="E4" s="305">
        <f>10000000/(512-I4)-10000</f>
        <v>9960.0798403193621</v>
      </c>
      <c r="F4" s="310">
        <f>D4/10000+1</f>
        <v>1.9120458891013383</v>
      </c>
      <c r="G4" s="310">
        <f>E4/10000+1</f>
        <v>1.9960079840319362</v>
      </c>
      <c r="H4" s="303">
        <f t="shared" ref="H4:H35" si="0">1000*ABS(1/(D4/10000+1)-1/(E4/10000+1))/2</f>
        <v>11.000000000000011</v>
      </c>
      <c r="I4" s="303">
        <v>11</v>
      </c>
      <c r="J4">
        <v>2</v>
      </c>
      <c r="K4">
        <v>1</v>
      </c>
      <c r="L4">
        <v>0</v>
      </c>
      <c r="M4" s="254">
        <v>1</v>
      </c>
      <c r="N4" s="29">
        <v>0</v>
      </c>
      <c r="O4" s="194">
        <f ca="1">OFFSET(IF(M4&gt;0,D$4,E$4),L4,0)/10000</f>
        <v>0.91204588910133821</v>
      </c>
      <c r="P4" s="192">
        <f t="shared" ref="P4:Q6" ca="1" si="1">($O4*M4)</f>
        <v>0.91204588910133821</v>
      </c>
      <c r="Q4" s="193">
        <f t="shared" ca="1" si="1"/>
        <v>0</v>
      </c>
      <c r="R4" s="194">
        <f>M4</f>
        <v>1</v>
      </c>
      <c r="S4" s="194">
        <f>N4</f>
        <v>0</v>
      </c>
      <c r="T4" s="11">
        <f ca="1">(M4*$O4)</f>
        <v>0.91204588910133821</v>
      </c>
      <c r="U4" s="11">
        <f ca="1">(N4*$O4)</f>
        <v>0</v>
      </c>
      <c r="V4" s="185">
        <f ca="1">T4-S4</f>
        <v>0.91204588910133821</v>
      </c>
      <c r="W4" s="185">
        <f ca="1">U4-R4</f>
        <v>-1</v>
      </c>
      <c r="X4" s="185">
        <f ca="1">MAX(0,V4:W4)</f>
        <v>0.91204588910133821</v>
      </c>
      <c r="Y4" s="185">
        <f ca="1">X4</f>
        <v>0.91204588910133821</v>
      </c>
      <c r="Z4" s="185">
        <f>SUM(M4:N4)</f>
        <v>1</v>
      </c>
    </row>
    <row r="5" spans="2:26" x14ac:dyDescent="0.25">
      <c r="B5">
        <v>1</v>
      </c>
      <c r="C5" t="s">
        <v>16</v>
      </c>
      <c r="D5" s="306">
        <f t="shared" ref="D5:D35" si="2">10000000/(512+I5)-10000</f>
        <v>5037.5939849624065</v>
      </c>
      <c r="E5" s="307">
        <f>10000000/(512-I5)-10000</f>
        <v>17855.153203342619</v>
      </c>
      <c r="F5" s="310">
        <f t="shared" ref="F5:F35" si="3">D5/10000+1</f>
        <v>1.5037593984962405</v>
      </c>
      <c r="G5" s="310">
        <f t="shared" ref="G5:G35" si="4">E5/10000+1</f>
        <v>2.785515320334262</v>
      </c>
      <c r="H5" s="303">
        <f t="shared" si="0"/>
        <v>153.00000000000003</v>
      </c>
      <c r="I5" s="303">
        <v>153</v>
      </c>
      <c r="J5">
        <v>3</v>
      </c>
      <c r="K5">
        <v>1</v>
      </c>
      <c r="L5">
        <f>L4</f>
        <v>0</v>
      </c>
      <c r="M5" s="254">
        <v>0</v>
      </c>
      <c r="N5" s="29">
        <v>2</v>
      </c>
      <c r="O5" s="194">
        <f ca="1">OFFSET(IF(M5&gt;0,D$4,E$4),L5,0)/10000</f>
        <v>0.99600798403193624</v>
      </c>
      <c r="P5" s="192">
        <f t="shared" ca="1" si="1"/>
        <v>0</v>
      </c>
      <c r="Q5" s="193">
        <f t="shared" ca="1" si="1"/>
        <v>1.9920159680638725</v>
      </c>
      <c r="R5" s="194">
        <f>M5+R4</f>
        <v>1</v>
      </c>
      <c r="S5" s="194">
        <f>N5+S4</f>
        <v>2</v>
      </c>
      <c r="T5" s="11">
        <f ca="1">(M5*O5)+T4</f>
        <v>0.91204588910133821</v>
      </c>
      <c r="U5" s="11">
        <f ca="1">(N5*O5)+U4</f>
        <v>1.9920159680638725</v>
      </c>
      <c r="V5" s="185">
        <f ca="1">T5-S5</f>
        <v>-1.0879541108986617</v>
      </c>
      <c r="W5" s="185">
        <f ca="1">U5-R5</f>
        <v>0.99201596806387249</v>
      </c>
      <c r="X5" s="185">
        <f t="shared" ref="X5" ca="1" si="5">MAX(0,V5:W5)</f>
        <v>0.99201596806387249</v>
      </c>
      <c r="Y5" s="185">
        <f ca="1">Y4+(X5-X4)</f>
        <v>0.99201596806387249</v>
      </c>
      <c r="Z5" s="185">
        <f>SUM(M5:N5)+Z4</f>
        <v>3</v>
      </c>
    </row>
    <row r="6" spans="2:26" x14ac:dyDescent="0.25">
      <c r="B6">
        <v>2</v>
      </c>
      <c r="C6" t="s">
        <v>2</v>
      </c>
      <c r="D6" s="306">
        <f t="shared" si="2"/>
        <v>6339.8692810457524</v>
      </c>
      <c r="E6" s="307">
        <f t="shared" ref="E6:E35" si="6">10000000/(512-I6)-10000</f>
        <v>14271.844660194176</v>
      </c>
      <c r="F6" s="310">
        <f t="shared" si="3"/>
        <v>1.6339869281045751</v>
      </c>
      <c r="G6" s="310">
        <f t="shared" si="4"/>
        <v>2.4271844660194173</v>
      </c>
      <c r="H6" s="303">
        <f t="shared" si="0"/>
        <v>99.999999999999972</v>
      </c>
      <c r="I6" s="303">
        <v>100</v>
      </c>
      <c r="J6">
        <v>2</v>
      </c>
      <c r="K6">
        <v>1</v>
      </c>
      <c r="L6">
        <v>0</v>
      </c>
      <c r="M6" s="254">
        <v>1</v>
      </c>
      <c r="N6" s="29">
        <v>0</v>
      </c>
      <c r="O6" s="194">
        <f ca="1">OFFSET(IF(M6&gt;0,D$4,E$4),L6,0)/10000</f>
        <v>0.91204588910133821</v>
      </c>
      <c r="P6" s="192">
        <f t="shared" ca="1" si="1"/>
        <v>0.91204588910133821</v>
      </c>
      <c r="Q6" s="193">
        <f t="shared" ca="1" si="1"/>
        <v>0</v>
      </c>
      <c r="R6" s="194">
        <f>M6+R5</f>
        <v>2</v>
      </c>
      <c r="S6" s="194">
        <f>N6+S5</f>
        <v>2</v>
      </c>
      <c r="T6" s="11">
        <f ca="1">(M6*O6)+T5</f>
        <v>1.8240917782026764</v>
      </c>
      <c r="U6" s="11">
        <f ca="1">(N6*O6)+U5</f>
        <v>1.9920159680638725</v>
      </c>
      <c r="V6" s="185">
        <f ca="1">T6-S6</f>
        <v>-0.17590822179732357</v>
      </c>
      <c r="W6" s="185">
        <f ca="1">U6-R6</f>
        <v>-7.9840319361275114E-3</v>
      </c>
      <c r="X6" s="185">
        <f ca="1">MAX(0,V6:W6)</f>
        <v>0</v>
      </c>
      <c r="Y6" s="185">
        <f ca="1">Y5+(X6-X5)</f>
        <v>0</v>
      </c>
      <c r="Z6" s="185">
        <f>SUM(M6:N6)+Z5</f>
        <v>4</v>
      </c>
    </row>
    <row r="7" spans="2:26" x14ac:dyDescent="0.25">
      <c r="B7">
        <v>3</v>
      </c>
      <c r="C7" t="s">
        <v>3</v>
      </c>
      <c r="D7" s="306">
        <f t="shared" si="2"/>
        <v>6977.9286926994901</v>
      </c>
      <c r="E7" s="307">
        <f t="shared" si="6"/>
        <v>12988.505747126437</v>
      </c>
      <c r="F7" s="310">
        <f t="shared" si="3"/>
        <v>1.6977928692699491</v>
      </c>
      <c r="G7" s="310">
        <f t="shared" si="4"/>
        <v>2.2988505747126435</v>
      </c>
      <c r="H7" s="303">
        <f t="shared" si="0"/>
        <v>76.999999999999957</v>
      </c>
      <c r="I7" s="303">
        <v>77</v>
      </c>
      <c r="M7" s="201"/>
      <c r="N7" s="202"/>
      <c r="O7" s="191"/>
      <c r="P7" s="192"/>
      <c r="Q7" s="193"/>
      <c r="R7" s="194"/>
      <c r="S7" s="194"/>
      <c r="T7" s="11"/>
      <c r="U7" s="11"/>
      <c r="V7" s="185"/>
      <c r="W7" s="185"/>
      <c r="X7" s="185"/>
      <c r="Y7" s="185"/>
      <c r="Z7" s="185"/>
    </row>
    <row r="8" spans="2:26" x14ac:dyDescent="0.25">
      <c r="B8">
        <v>4</v>
      </c>
      <c r="C8" t="s">
        <v>4</v>
      </c>
      <c r="D8" s="306">
        <f t="shared" si="2"/>
        <v>8796.9924812030076</v>
      </c>
      <c r="E8" s="307">
        <f t="shared" si="6"/>
        <v>10325.203252032519</v>
      </c>
      <c r="F8" s="310">
        <f t="shared" si="3"/>
        <v>1.8796992481203008</v>
      </c>
      <c r="G8" s="310">
        <f t="shared" si="4"/>
        <v>2.0325203252032518</v>
      </c>
      <c r="H8" s="303">
        <f t="shared" si="0"/>
        <v>19.999999999999989</v>
      </c>
      <c r="I8" s="303">
        <v>20</v>
      </c>
      <c r="M8" s="201"/>
      <c r="N8" s="202"/>
      <c r="O8" s="191"/>
      <c r="P8" s="192"/>
      <c r="Q8" s="193"/>
      <c r="R8" s="194"/>
      <c r="S8" s="194"/>
      <c r="T8" s="11"/>
      <c r="U8" s="11"/>
      <c r="V8" s="185"/>
      <c r="W8" s="185"/>
      <c r="X8" s="185"/>
      <c r="Y8" s="185"/>
      <c r="Z8" s="185"/>
    </row>
    <row r="9" spans="2:26" x14ac:dyDescent="0.25">
      <c r="B9">
        <v>5</v>
      </c>
      <c r="C9" t="s">
        <v>5</v>
      </c>
      <c r="D9" s="306">
        <f t="shared" si="2"/>
        <v>9531.25</v>
      </c>
      <c r="E9" s="307">
        <f t="shared" si="6"/>
        <v>9531.25</v>
      </c>
      <c r="F9" s="310">
        <f t="shared" si="3"/>
        <v>1.953125</v>
      </c>
      <c r="G9" s="310">
        <f t="shared" si="4"/>
        <v>1.953125</v>
      </c>
      <c r="H9" s="303">
        <f t="shared" si="0"/>
        <v>0</v>
      </c>
      <c r="I9" s="303">
        <v>0</v>
      </c>
      <c r="M9" s="201"/>
      <c r="N9" s="202"/>
      <c r="O9" s="191"/>
      <c r="P9" s="192"/>
      <c r="Q9" s="193"/>
      <c r="R9" s="194"/>
      <c r="S9" s="194"/>
      <c r="T9" s="11"/>
      <c r="U9" s="11"/>
      <c r="V9" s="185"/>
      <c r="W9" s="185"/>
      <c r="X9" s="185"/>
      <c r="Y9" s="185"/>
      <c r="Z9" s="185"/>
    </row>
    <row r="10" spans="2:26" x14ac:dyDescent="0.25">
      <c r="B10">
        <v>6</v>
      </c>
      <c r="C10" t="s">
        <v>6</v>
      </c>
      <c r="D10" s="306">
        <f t="shared" si="2"/>
        <v>9531.25</v>
      </c>
      <c r="E10" s="307">
        <f t="shared" si="6"/>
        <v>9531.25</v>
      </c>
      <c r="F10" s="310">
        <f t="shared" si="3"/>
        <v>1.953125</v>
      </c>
      <c r="G10" s="310">
        <f t="shared" si="4"/>
        <v>1.953125</v>
      </c>
      <c r="H10" s="303">
        <f t="shared" si="0"/>
        <v>0</v>
      </c>
      <c r="I10" s="303">
        <v>0</v>
      </c>
      <c r="L10" s="2" t="s">
        <v>26</v>
      </c>
      <c r="M10" s="188" t="s">
        <v>27</v>
      </c>
      <c r="N10" s="189" t="s">
        <v>28</v>
      </c>
      <c r="O10" s="190" t="s">
        <v>21</v>
      </c>
      <c r="P10" s="195" t="s">
        <v>24</v>
      </c>
      <c r="Q10" s="196" t="s">
        <v>25</v>
      </c>
      <c r="R10" s="197" t="s">
        <v>22</v>
      </c>
      <c r="S10" s="197" t="s">
        <v>23</v>
      </c>
      <c r="T10" s="186" t="s">
        <v>24</v>
      </c>
      <c r="U10" s="186" t="s">
        <v>25</v>
      </c>
      <c r="V10" s="186" t="s">
        <v>29</v>
      </c>
      <c r="W10" s="186" t="s">
        <v>30</v>
      </c>
      <c r="X10" s="186" t="s">
        <v>31</v>
      </c>
      <c r="Y10" s="186" t="s">
        <v>58</v>
      </c>
      <c r="Z10" s="186" t="s">
        <v>57</v>
      </c>
    </row>
    <row r="11" spans="2:26" x14ac:dyDescent="0.25">
      <c r="B11">
        <v>7</v>
      </c>
      <c r="C11" t="s">
        <v>7</v>
      </c>
      <c r="D11" s="306">
        <f t="shared" si="2"/>
        <v>9531.25</v>
      </c>
      <c r="E11" s="307">
        <f t="shared" si="6"/>
        <v>9531.25</v>
      </c>
      <c r="F11" s="310">
        <f t="shared" si="3"/>
        <v>1.953125</v>
      </c>
      <c r="G11" s="310">
        <f t="shared" si="4"/>
        <v>1.953125</v>
      </c>
      <c r="H11" s="303">
        <f t="shared" si="0"/>
        <v>0</v>
      </c>
      <c r="I11" s="303">
        <v>0</v>
      </c>
      <c r="J11">
        <v>2</v>
      </c>
      <c r="K11">
        <v>1</v>
      </c>
      <c r="L11">
        <v>1</v>
      </c>
      <c r="M11" s="254">
        <v>1</v>
      </c>
      <c r="N11" s="29">
        <v>0</v>
      </c>
      <c r="O11" s="283">
        <f ca="1">OFFSET(IF(M11&gt;0,D$4,E$4),L11,0)/10000</f>
        <v>0.50375939849624063</v>
      </c>
      <c r="P11" s="192">
        <f t="shared" ref="P11:Q13" ca="1" si="7">($O11*M11)</f>
        <v>0.50375939849624063</v>
      </c>
      <c r="Q11" s="193">
        <f t="shared" ca="1" si="7"/>
        <v>0</v>
      </c>
      <c r="R11" s="194">
        <f>M11</f>
        <v>1</v>
      </c>
      <c r="S11" s="194">
        <f>N11</f>
        <v>0</v>
      </c>
      <c r="T11" s="11">
        <f ca="1">(M11*O11)</f>
        <v>0.50375939849624063</v>
      </c>
      <c r="U11" s="11">
        <f ca="1">(N11*O11)</f>
        <v>0</v>
      </c>
      <c r="V11" s="185">
        <f ca="1">T11-S11</f>
        <v>0.50375939849624063</v>
      </c>
      <c r="W11" s="185">
        <f ca="1">U11-R11</f>
        <v>-1</v>
      </c>
      <c r="X11" s="185">
        <f ca="1">MAX(0,V11:W11)</f>
        <v>0.50375939849624063</v>
      </c>
      <c r="Y11" s="185">
        <f ca="1">X11+Y6</f>
        <v>0.50375939849624063</v>
      </c>
      <c r="Z11" s="185">
        <f>SUM(M11:N11)+Z6</f>
        <v>5</v>
      </c>
    </row>
    <row r="12" spans="2:26" x14ac:dyDescent="0.25">
      <c r="B12">
        <v>8</v>
      </c>
      <c r="C12" t="s">
        <v>8</v>
      </c>
      <c r="D12" s="306">
        <f t="shared" si="2"/>
        <v>9531.25</v>
      </c>
      <c r="E12" s="307">
        <f t="shared" si="6"/>
        <v>9531.25</v>
      </c>
      <c r="F12" s="310">
        <f t="shared" si="3"/>
        <v>1.953125</v>
      </c>
      <c r="G12" s="310">
        <f t="shared" si="4"/>
        <v>1.953125</v>
      </c>
      <c r="H12" s="303">
        <f t="shared" si="0"/>
        <v>0</v>
      </c>
      <c r="I12" s="303">
        <v>0</v>
      </c>
      <c r="J12">
        <v>3</v>
      </c>
      <c r="K12">
        <v>1</v>
      </c>
      <c r="L12">
        <v>1</v>
      </c>
      <c r="M12" s="254">
        <v>0</v>
      </c>
      <c r="N12" s="29">
        <v>2</v>
      </c>
      <c r="O12" s="283">
        <f ca="1">OFFSET(IF(M12&gt;0,D$4,E$4),L12,0)/10000</f>
        <v>1.785515320334262</v>
      </c>
      <c r="P12" s="192">
        <f t="shared" ca="1" si="7"/>
        <v>0</v>
      </c>
      <c r="Q12" s="193">
        <f t="shared" ca="1" si="7"/>
        <v>3.5710306406685239</v>
      </c>
      <c r="R12" s="194">
        <f>M12+R11</f>
        <v>1</v>
      </c>
      <c r="S12" s="194">
        <f>N12+S11</f>
        <v>2</v>
      </c>
      <c r="T12" s="11">
        <f ca="1">(M12*O12)+T11</f>
        <v>0.50375939849624063</v>
      </c>
      <c r="U12" s="11">
        <f ca="1">(N12*O12)+U11</f>
        <v>3.5710306406685239</v>
      </c>
      <c r="V12" s="185">
        <f ca="1">T12-S12</f>
        <v>-1.4962406015037595</v>
      </c>
      <c r="W12" s="185">
        <f ca="1">U12-R12</f>
        <v>2.5710306406685239</v>
      </c>
      <c r="X12" s="185">
        <f t="shared" ref="X12:X13" ca="1" si="8">MAX(0,V12:W12)</f>
        <v>2.5710306406685239</v>
      </c>
      <c r="Y12" s="185">
        <f ca="1">Y11+(X12-X11)</f>
        <v>2.5710306406685239</v>
      </c>
      <c r="Z12" s="185">
        <f>SUM(M12:N12)+Z11</f>
        <v>7</v>
      </c>
    </row>
    <row r="13" spans="2:26" x14ac:dyDescent="0.25">
      <c r="B13">
        <v>9</v>
      </c>
      <c r="C13" t="s">
        <v>9</v>
      </c>
      <c r="D13" s="306">
        <f t="shared" si="2"/>
        <v>8796.9924812030076</v>
      </c>
      <c r="E13" s="307">
        <f t="shared" si="6"/>
        <v>10325.203252032519</v>
      </c>
      <c r="F13" s="310">
        <f t="shared" si="3"/>
        <v>1.8796992481203008</v>
      </c>
      <c r="G13" s="310">
        <f t="shared" si="4"/>
        <v>2.0325203252032518</v>
      </c>
      <c r="H13" s="303">
        <f t="shared" si="0"/>
        <v>19.999999999999989</v>
      </c>
      <c r="I13" s="303">
        <v>20</v>
      </c>
      <c r="J13">
        <v>2</v>
      </c>
      <c r="K13">
        <v>1</v>
      </c>
      <c r="L13">
        <v>1</v>
      </c>
      <c r="M13" s="254">
        <v>1</v>
      </c>
      <c r="N13" s="29">
        <v>0</v>
      </c>
      <c r="O13" s="283">
        <f ca="1">OFFSET(IF(M13&gt;0,D$4,E$4),L13,0)/10000</f>
        <v>0.50375939849624063</v>
      </c>
      <c r="P13" s="192">
        <f t="shared" ca="1" si="7"/>
        <v>0.50375939849624063</v>
      </c>
      <c r="Q13" s="193">
        <f t="shared" ca="1" si="7"/>
        <v>0</v>
      </c>
      <c r="R13" s="194">
        <f>M13+R12</f>
        <v>2</v>
      </c>
      <c r="S13" s="194">
        <f>N13+S12</f>
        <v>2</v>
      </c>
      <c r="T13" s="11">
        <f ca="1">(M13*O13)+T12</f>
        <v>1.0075187969924813</v>
      </c>
      <c r="U13" s="11">
        <f ca="1">(N13*O13)+U12</f>
        <v>3.5710306406685239</v>
      </c>
      <c r="V13" s="185">
        <f ca="1">T13-S13</f>
        <v>-0.99248120300751874</v>
      </c>
      <c r="W13" s="185">
        <f ca="1">U13-R13</f>
        <v>1.5710306406685239</v>
      </c>
      <c r="X13" s="185">
        <f t="shared" ca="1" si="8"/>
        <v>1.5710306406685239</v>
      </c>
      <c r="Y13" s="185">
        <f ca="1">Y12+(X13-X12)</f>
        <v>1.5710306406685239</v>
      </c>
      <c r="Z13" s="185">
        <f>SUM(M13:N13)+Z12</f>
        <v>8</v>
      </c>
    </row>
    <row r="14" spans="2:26" x14ac:dyDescent="0.25">
      <c r="B14">
        <v>10</v>
      </c>
      <c r="C14" t="s">
        <v>10</v>
      </c>
      <c r="D14" s="306">
        <f t="shared" si="2"/>
        <v>8796.9924812030076</v>
      </c>
      <c r="E14" s="307">
        <f t="shared" si="6"/>
        <v>10325.203252032519</v>
      </c>
      <c r="F14" s="310">
        <f t="shared" si="3"/>
        <v>1.8796992481203008</v>
      </c>
      <c r="G14" s="310">
        <f t="shared" si="4"/>
        <v>2.0325203252032518</v>
      </c>
      <c r="H14" s="303">
        <f t="shared" si="0"/>
        <v>19.999999999999989</v>
      </c>
      <c r="I14" s="303">
        <v>20</v>
      </c>
      <c r="M14" s="201"/>
      <c r="N14" s="202"/>
      <c r="O14" s="191"/>
      <c r="P14" s="192"/>
      <c r="Q14" s="193"/>
      <c r="R14" s="194"/>
      <c r="S14" s="194"/>
      <c r="T14" s="11"/>
      <c r="U14" s="11"/>
      <c r="V14" s="185"/>
      <c r="W14" s="185"/>
      <c r="X14" s="185"/>
      <c r="Y14" s="185"/>
      <c r="Z14" s="185"/>
    </row>
    <row r="15" spans="2:26" x14ac:dyDescent="0.25">
      <c r="B15">
        <v>11</v>
      </c>
      <c r="C15" t="s">
        <v>11</v>
      </c>
      <c r="D15" s="306">
        <f t="shared" si="2"/>
        <v>8796.9924812030076</v>
      </c>
      <c r="E15" s="307">
        <f t="shared" si="6"/>
        <v>10325.203252032519</v>
      </c>
      <c r="F15" s="310">
        <f t="shared" si="3"/>
        <v>1.8796992481203008</v>
      </c>
      <c r="G15" s="310">
        <f t="shared" si="4"/>
        <v>2.0325203252032518</v>
      </c>
      <c r="H15" s="303">
        <f t="shared" si="0"/>
        <v>19.999999999999989</v>
      </c>
      <c r="I15" s="303">
        <v>20</v>
      </c>
      <c r="M15" s="201"/>
      <c r="N15" s="202"/>
      <c r="O15" s="191"/>
      <c r="P15" s="192"/>
      <c r="Q15" s="193"/>
      <c r="R15" s="194"/>
      <c r="S15" s="198"/>
      <c r="T15" s="11"/>
      <c r="U15" s="11"/>
      <c r="V15" s="185"/>
      <c r="W15" s="185"/>
      <c r="X15" s="185" t="s">
        <v>33</v>
      </c>
      <c r="Y15" s="185"/>
      <c r="Z15" s="185"/>
    </row>
    <row r="16" spans="2:26" x14ac:dyDescent="0.25">
      <c r="B16">
        <v>12</v>
      </c>
      <c r="C16" t="s">
        <v>12</v>
      </c>
      <c r="D16" s="306">
        <f t="shared" si="2"/>
        <v>8796.9924812030076</v>
      </c>
      <c r="E16" s="307">
        <f t="shared" si="6"/>
        <v>10325.203252032519</v>
      </c>
      <c r="F16" s="310">
        <f t="shared" si="3"/>
        <v>1.8796992481203008</v>
      </c>
      <c r="G16" s="310">
        <f t="shared" si="4"/>
        <v>2.0325203252032518</v>
      </c>
      <c r="H16" s="303">
        <f t="shared" si="0"/>
        <v>19.999999999999989</v>
      </c>
      <c r="I16" s="303">
        <v>20</v>
      </c>
      <c r="M16" s="201"/>
      <c r="N16" s="202"/>
      <c r="O16" s="191"/>
      <c r="P16" s="192"/>
      <c r="Q16" s="193"/>
      <c r="R16" s="194"/>
      <c r="S16" s="194"/>
      <c r="T16" s="11"/>
      <c r="U16" s="11"/>
      <c r="V16" s="185"/>
      <c r="W16" s="185"/>
      <c r="X16" s="185"/>
      <c r="Y16" s="185"/>
      <c r="Z16" s="185"/>
    </row>
    <row r="17" spans="2:26" x14ac:dyDescent="0.25">
      <c r="B17">
        <v>13</v>
      </c>
      <c r="C17" t="s">
        <v>13</v>
      </c>
      <c r="D17" s="306">
        <f t="shared" si="2"/>
        <v>8796.9924812030076</v>
      </c>
      <c r="E17" s="307">
        <f t="shared" si="6"/>
        <v>10325.203252032519</v>
      </c>
      <c r="F17" s="310">
        <f t="shared" si="3"/>
        <v>1.8796992481203008</v>
      </c>
      <c r="G17" s="310">
        <f t="shared" si="4"/>
        <v>2.0325203252032518</v>
      </c>
      <c r="H17" s="303">
        <f t="shared" si="0"/>
        <v>19.999999999999989</v>
      </c>
      <c r="I17" s="303">
        <v>20</v>
      </c>
      <c r="L17" s="2" t="s">
        <v>26</v>
      </c>
      <c r="M17" s="188" t="s">
        <v>27</v>
      </c>
      <c r="N17" s="189" t="s">
        <v>28</v>
      </c>
      <c r="O17" s="190" t="s">
        <v>21</v>
      </c>
      <c r="P17" s="195" t="s">
        <v>24</v>
      </c>
      <c r="Q17" s="196" t="s">
        <v>25</v>
      </c>
      <c r="R17" s="197" t="s">
        <v>22</v>
      </c>
      <c r="S17" s="197" t="s">
        <v>23</v>
      </c>
      <c r="T17" s="186" t="s">
        <v>24</v>
      </c>
      <c r="U17" s="186" t="s">
        <v>25</v>
      </c>
      <c r="V17" s="186" t="s">
        <v>29</v>
      </c>
      <c r="W17" s="186" t="s">
        <v>30</v>
      </c>
      <c r="X17" s="186" t="s">
        <v>31</v>
      </c>
      <c r="Y17" s="186" t="s">
        <v>58</v>
      </c>
      <c r="Z17" s="186" t="s">
        <v>57</v>
      </c>
    </row>
    <row r="18" spans="2:26" x14ac:dyDescent="0.25">
      <c r="B18">
        <v>14</v>
      </c>
      <c r="C18" t="s">
        <v>14</v>
      </c>
      <c r="D18" s="306">
        <f t="shared" si="2"/>
        <v>8796.9924812030076</v>
      </c>
      <c r="E18" s="307">
        <f t="shared" si="6"/>
        <v>10325.203252032519</v>
      </c>
      <c r="F18" s="310">
        <f t="shared" si="3"/>
        <v>1.8796992481203008</v>
      </c>
      <c r="G18" s="310">
        <f t="shared" si="4"/>
        <v>2.0325203252032518</v>
      </c>
      <c r="H18" s="303">
        <f t="shared" si="0"/>
        <v>19.999999999999989</v>
      </c>
      <c r="I18" s="303">
        <v>20</v>
      </c>
      <c r="J18">
        <v>2</v>
      </c>
      <c r="K18">
        <v>0</v>
      </c>
      <c r="L18">
        <v>2</v>
      </c>
      <c r="M18" s="30">
        <v>1</v>
      </c>
      <c r="N18" s="202">
        <v>0</v>
      </c>
      <c r="O18" s="283">
        <f ca="1">OFFSET(IF(M18&gt;0,D$4,E$4),L18,0)/10000</f>
        <v>0.63398692810457524</v>
      </c>
      <c r="P18" s="192">
        <f t="shared" ref="P18:Q20" ca="1" si="9">($O18*M18)</f>
        <v>0.63398692810457524</v>
      </c>
      <c r="Q18" s="193">
        <f t="shared" ca="1" si="9"/>
        <v>0</v>
      </c>
      <c r="R18" s="194">
        <f>M18</f>
        <v>1</v>
      </c>
      <c r="S18" s="194">
        <f>N18</f>
        <v>0</v>
      </c>
      <c r="T18" s="11">
        <f ca="1">(M18*O18)</f>
        <v>0.63398692810457524</v>
      </c>
      <c r="U18" s="11">
        <f ca="1">(N18*O18)</f>
        <v>0</v>
      </c>
      <c r="V18" s="185">
        <f ca="1">T18-S18</f>
        <v>0.63398692810457524</v>
      </c>
      <c r="W18" s="185">
        <f ca="1">U18-R18</f>
        <v>-1</v>
      </c>
      <c r="X18" s="185">
        <f ca="1">MAX(0,V18:W18)</f>
        <v>0.63398692810457524</v>
      </c>
      <c r="Y18" s="185">
        <f ca="1">X18+Y13</f>
        <v>2.2050175687730991</v>
      </c>
      <c r="Z18" s="185">
        <f>SUM(M18:N18)+Z13</f>
        <v>9</v>
      </c>
    </row>
    <row r="19" spans="2:26" x14ac:dyDescent="0.25">
      <c r="B19">
        <v>15</v>
      </c>
      <c r="C19" t="s">
        <v>15</v>
      </c>
      <c r="D19" s="306">
        <f t="shared" si="2"/>
        <v>8796.9924812030076</v>
      </c>
      <c r="E19" s="307">
        <f t="shared" si="6"/>
        <v>10325.203252032519</v>
      </c>
      <c r="F19" s="310">
        <f t="shared" si="3"/>
        <v>1.8796992481203008</v>
      </c>
      <c r="G19" s="310">
        <f t="shared" si="4"/>
        <v>2.0325203252032518</v>
      </c>
      <c r="H19" s="303">
        <f t="shared" si="0"/>
        <v>19.999999999999989</v>
      </c>
      <c r="I19" s="303">
        <v>20</v>
      </c>
      <c r="J19">
        <v>3</v>
      </c>
      <c r="K19">
        <v>0</v>
      </c>
      <c r="L19">
        <v>2</v>
      </c>
      <c r="M19" s="30">
        <v>0</v>
      </c>
      <c r="N19" s="202">
        <v>2</v>
      </c>
      <c r="O19" s="283">
        <f ca="1">OFFSET(IF(M19&gt;0,D$4,E$4),L19,0)/10000</f>
        <v>1.4271844660194175</v>
      </c>
      <c r="P19" s="192">
        <f t="shared" ca="1" si="9"/>
        <v>0</v>
      </c>
      <c r="Q19" s="193">
        <f t="shared" ca="1" si="9"/>
        <v>2.854368932038835</v>
      </c>
      <c r="R19" s="194">
        <f>M19+R18</f>
        <v>1</v>
      </c>
      <c r="S19" s="194">
        <f>N19+S18</f>
        <v>2</v>
      </c>
      <c r="T19" s="11">
        <f ca="1">(M19*O19)+T18</f>
        <v>0.63398692810457524</v>
      </c>
      <c r="U19" s="11">
        <f ca="1">(N19*O19)+U18</f>
        <v>2.854368932038835</v>
      </c>
      <c r="V19" s="185">
        <f ca="1">T19-S19</f>
        <v>-1.3660130718954249</v>
      </c>
      <c r="W19" s="185">
        <f ca="1">U19-R19</f>
        <v>1.854368932038835</v>
      </c>
      <c r="X19" s="185">
        <f t="shared" ref="X19" ca="1" si="10">MAX(0,V19:W19)</f>
        <v>1.854368932038835</v>
      </c>
      <c r="Y19" s="185">
        <f ca="1">Y18+(X19-X18)</f>
        <v>3.425399572707359</v>
      </c>
      <c r="Z19" s="185">
        <f>SUM(M19:N19)+Z18</f>
        <v>11</v>
      </c>
    </row>
    <row r="20" spans="2:26" x14ac:dyDescent="0.25">
      <c r="B20">
        <v>16</v>
      </c>
      <c r="C20" t="s">
        <v>16</v>
      </c>
      <c r="D20" s="306">
        <f t="shared" si="2"/>
        <v>8796.9924812030076</v>
      </c>
      <c r="E20" s="307">
        <f t="shared" si="6"/>
        <v>10325.203252032519</v>
      </c>
      <c r="F20" s="310">
        <f t="shared" si="3"/>
        <v>1.8796992481203008</v>
      </c>
      <c r="G20" s="310">
        <f t="shared" si="4"/>
        <v>2.0325203252032518</v>
      </c>
      <c r="H20" s="303">
        <f t="shared" si="0"/>
        <v>19.999999999999989</v>
      </c>
      <c r="I20" s="303">
        <v>20</v>
      </c>
      <c r="J20">
        <v>2</v>
      </c>
      <c r="K20">
        <v>0</v>
      </c>
      <c r="L20">
        <v>2</v>
      </c>
      <c r="M20" s="30">
        <v>1</v>
      </c>
      <c r="N20" s="202">
        <v>0</v>
      </c>
      <c r="O20" s="283">
        <f ca="1">OFFSET(IF(M20&gt;0,D$4,E$4),L20,0)/10000</f>
        <v>0.63398692810457524</v>
      </c>
      <c r="P20" s="192">
        <f t="shared" ca="1" si="9"/>
        <v>0.63398692810457524</v>
      </c>
      <c r="Q20" s="193">
        <f t="shared" ca="1" si="9"/>
        <v>0</v>
      </c>
      <c r="R20" s="194">
        <f>M20+R19</f>
        <v>2</v>
      </c>
      <c r="S20" s="194">
        <f>N20+S19</f>
        <v>2</v>
      </c>
      <c r="T20" s="11">
        <f ca="1">(M20*O20)+T19</f>
        <v>1.2679738562091505</v>
      </c>
      <c r="U20" s="11">
        <f ca="1">(N20*O20)+U19</f>
        <v>2.854368932038835</v>
      </c>
      <c r="V20" s="185">
        <f ca="1">T20-S20</f>
        <v>-0.73202614379084952</v>
      </c>
      <c r="W20" s="185">
        <f ca="1">U20-R20</f>
        <v>0.85436893203883502</v>
      </c>
      <c r="X20" s="185">
        <f ca="1">MAX(0,V20:W20)</f>
        <v>0.85436893203883502</v>
      </c>
      <c r="Y20" s="185">
        <f ca="1">Y19+(X20-X19)</f>
        <v>2.425399572707359</v>
      </c>
      <c r="Z20" s="185">
        <f>SUM(M20:N20)+Z19</f>
        <v>12</v>
      </c>
    </row>
    <row r="21" spans="2:26" x14ac:dyDescent="0.25">
      <c r="B21">
        <v>17</v>
      </c>
      <c r="C21" t="s">
        <v>17</v>
      </c>
      <c r="D21" s="306">
        <f t="shared" si="2"/>
        <v>8796.9924812030076</v>
      </c>
      <c r="E21" s="307">
        <f t="shared" si="6"/>
        <v>10325.203252032519</v>
      </c>
      <c r="F21" s="310">
        <f t="shared" si="3"/>
        <v>1.8796992481203008</v>
      </c>
      <c r="G21" s="310">
        <f t="shared" si="4"/>
        <v>2.0325203252032518</v>
      </c>
      <c r="H21" s="303">
        <f t="shared" si="0"/>
        <v>19.999999999999989</v>
      </c>
      <c r="I21" s="303">
        <v>20</v>
      </c>
      <c r="M21" s="201"/>
      <c r="N21" s="202"/>
      <c r="O21" s="191"/>
      <c r="P21" s="192"/>
      <c r="Q21" s="193"/>
      <c r="R21" s="194"/>
      <c r="S21" s="194"/>
      <c r="T21" s="11"/>
      <c r="U21" s="11"/>
      <c r="V21" s="185"/>
      <c r="W21" s="185"/>
      <c r="X21" s="185"/>
      <c r="Y21" s="185"/>
      <c r="Z21" s="185"/>
    </row>
    <row r="22" spans="2:26" x14ac:dyDescent="0.25">
      <c r="B22">
        <v>18</v>
      </c>
      <c r="C22" t="s">
        <v>18</v>
      </c>
      <c r="D22" s="306">
        <f t="shared" si="2"/>
        <v>8796.9924812030076</v>
      </c>
      <c r="E22" s="307">
        <f t="shared" si="6"/>
        <v>10325.203252032519</v>
      </c>
      <c r="F22" s="310">
        <f t="shared" si="3"/>
        <v>1.8796992481203008</v>
      </c>
      <c r="G22" s="310">
        <f t="shared" si="4"/>
        <v>2.0325203252032518</v>
      </c>
      <c r="H22" s="303">
        <f t="shared" si="0"/>
        <v>19.999999999999989</v>
      </c>
      <c r="I22" s="303">
        <v>20</v>
      </c>
      <c r="M22" s="201"/>
      <c r="N22" s="202"/>
      <c r="O22" s="191"/>
      <c r="P22" s="192"/>
      <c r="Q22" s="193"/>
      <c r="R22" s="194"/>
      <c r="S22" s="194"/>
      <c r="T22" s="11"/>
      <c r="U22" s="187"/>
      <c r="V22" s="185"/>
      <c r="W22" s="185"/>
      <c r="X22" s="185"/>
      <c r="Y22" s="185"/>
      <c r="Z22" s="185"/>
    </row>
    <row r="23" spans="2:26" x14ac:dyDescent="0.25">
      <c r="B23">
        <v>19</v>
      </c>
      <c r="C23" t="s">
        <v>19</v>
      </c>
      <c r="D23" s="306">
        <f t="shared" si="2"/>
        <v>8796.9924812030076</v>
      </c>
      <c r="E23" s="307">
        <f t="shared" si="6"/>
        <v>10325.203252032519</v>
      </c>
      <c r="F23" s="310">
        <f t="shared" si="3"/>
        <v>1.8796992481203008</v>
      </c>
      <c r="G23" s="310">
        <f t="shared" si="4"/>
        <v>2.0325203252032518</v>
      </c>
      <c r="H23" s="303">
        <f t="shared" si="0"/>
        <v>19.999999999999989</v>
      </c>
      <c r="I23" s="303">
        <v>20</v>
      </c>
      <c r="M23" s="201"/>
      <c r="N23" s="202"/>
      <c r="O23" s="191"/>
      <c r="P23" s="192"/>
      <c r="Q23" s="193"/>
      <c r="R23" s="194"/>
      <c r="S23" s="194"/>
      <c r="T23" s="11"/>
      <c r="U23" s="11"/>
      <c r="V23" s="185"/>
      <c r="W23" s="185"/>
      <c r="X23" s="186"/>
      <c r="Y23" s="185"/>
      <c r="Z23" s="185"/>
    </row>
    <row r="24" spans="2:26" x14ac:dyDescent="0.25">
      <c r="B24">
        <v>20</v>
      </c>
      <c r="C24" t="s">
        <v>20</v>
      </c>
      <c r="D24" s="306">
        <f t="shared" si="2"/>
        <v>8796.9924812030076</v>
      </c>
      <c r="E24" s="307">
        <f t="shared" si="6"/>
        <v>10325.203252032519</v>
      </c>
      <c r="F24" s="310">
        <f t="shared" si="3"/>
        <v>1.8796992481203008</v>
      </c>
      <c r="G24" s="310">
        <f t="shared" si="4"/>
        <v>2.0325203252032518</v>
      </c>
      <c r="H24" s="303">
        <f t="shared" si="0"/>
        <v>19.999999999999989</v>
      </c>
      <c r="I24" s="303">
        <v>20</v>
      </c>
      <c r="L24" s="2" t="s">
        <v>26</v>
      </c>
      <c r="M24" s="188" t="s">
        <v>27</v>
      </c>
      <c r="N24" s="189" t="s">
        <v>28</v>
      </c>
      <c r="O24" s="190" t="s">
        <v>21</v>
      </c>
      <c r="P24" s="195" t="s">
        <v>24</v>
      </c>
      <c r="Q24" s="196" t="s">
        <v>25</v>
      </c>
      <c r="R24" s="197" t="s">
        <v>22</v>
      </c>
      <c r="S24" s="197" t="s">
        <v>23</v>
      </c>
      <c r="T24" s="186" t="s">
        <v>24</v>
      </c>
      <c r="U24" s="186" t="s">
        <v>25</v>
      </c>
      <c r="V24" s="186" t="s">
        <v>29</v>
      </c>
      <c r="W24" s="186" t="s">
        <v>30</v>
      </c>
      <c r="X24" s="186" t="s">
        <v>31</v>
      </c>
      <c r="Y24" s="186" t="s">
        <v>58</v>
      </c>
      <c r="Z24" s="186" t="s">
        <v>57</v>
      </c>
    </row>
    <row r="25" spans="2:26" x14ac:dyDescent="0.25">
      <c r="B25">
        <v>21</v>
      </c>
      <c r="C25" t="s">
        <v>115</v>
      </c>
      <c r="D25" s="306">
        <f t="shared" si="2"/>
        <v>8796.9924812030076</v>
      </c>
      <c r="E25" s="307">
        <f t="shared" si="6"/>
        <v>10325.203252032519</v>
      </c>
      <c r="F25" s="310">
        <f t="shared" si="3"/>
        <v>1.8796992481203008</v>
      </c>
      <c r="G25" s="310">
        <f t="shared" si="4"/>
        <v>2.0325203252032518</v>
      </c>
      <c r="H25" s="303">
        <f t="shared" si="0"/>
        <v>19.999999999999989</v>
      </c>
      <c r="I25" s="303">
        <v>20</v>
      </c>
      <c r="J25">
        <v>2</v>
      </c>
      <c r="K25" t="s">
        <v>111</v>
      </c>
      <c r="L25">
        <v>3</v>
      </c>
      <c r="M25" s="203">
        <v>1</v>
      </c>
      <c r="N25" s="204"/>
      <c r="O25" s="283">
        <f ca="1">OFFSET(IF(M25&gt;0,D$4,E$4),L25,0)/10000</f>
        <v>0.69779286926994899</v>
      </c>
      <c r="P25" s="192">
        <f t="shared" ref="P25:Q27" ca="1" si="11">($O25*M25)</f>
        <v>0.69779286926994899</v>
      </c>
      <c r="Q25" s="193">
        <f t="shared" ca="1" si="11"/>
        <v>0</v>
      </c>
      <c r="R25" s="194">
        <f>M25</f>
        <v>1</v>
      </c>
      <c r="S25" s="194">
        <f>N25</f>
        <v>0</v>
      </c>
      <c r="T25" s="11">
        <f ca="1">(M25*O25)</f>
        <v>0.69779286926994899</v>
      </c>
      <c r="U25" s="11">
        <f ca="1">(N25*O25)</f>
        <v>0</v>
      </c>
      <c r="V25" s="185">
        <f ca="1">T25-S25</f>
        <v>0.69779286926994899</v>
      </c>
      <c r="W25" s="185">
        <f ca="1">U25-R25</f>
        <v>-1</v>
      </c>
      <c r="X25" s="185">
        <f ca="1">MAX(0,V25:W25)</f>
        <v>0.69779286926994899</v>
      </c>
      <c r="Y25" s="185">
        <f ca="1">X25+Y20</f>
        <v>3.1231924419773081</v>
      </c>
      <c r="Z25" s="185">
        <f>SUM(M25:N25)+Z20</f>
        <v>13</v>
      </c>
    </row>
    <row r="26" spans="2:26" x14ac:dyDescent="0.25">
      <c r="B26">
        <v>22</v>
      </c>
      <c r="C26" t="s">
        <v>116</v>
      </c>
      <c r="D26" s="306">
        <f t="shared" si="2"/>
        <v>8018.0180180180178</v>
      </c>
      <c r="E26" s="307">
        <f t="shared" si="6"/>
        <v>11321.961620469083</v>
      </c>
      <c r="F26" s="310">
        <f t="shared" si="3"/>
        <v>1.8018018018018018</v>
      </c>
      <c r="G26" s="310">
        <f t="shared" si="4"/>
        <v>2.1321961620469083</v>
      </c>
      <c r="H26" s="303">
        <f t="shared" si="0"/>
        <v>42.999999999999986</v>
      </c>
      <c r="I26" s="303">
        <v>43</v>
      </c>
      <c r="J26">
        <v>2</v>
      </c>
      <c r="L26">
        <v>3</v>
      </c>
      <c r="M26" s="203">
        <v>1</v>
      </c>
      <c r="N26" s="204"/>
      <c r="O26" s="283">
        <f ca="1">OFFSET(IF(M26&gt;0,D$4,E$4),L26,0)/10000</f>
        <v>0.69779286926994899</v>
      </c>
      <c r="P26" s="192">
        <f t="shared" ca="1" si="11"/>
        <v>0.69779286926994899</v>
      </c>
      <c r="Q26" s="193">
        <f t="shared" ca="1" si="11"/>
        <v>0</v>
      </c>
      <c r="R26" s="194">
        <f>M26+R25</f>
        <v>2</v>
      </c>
      <c r="S26" s="194">
        <f>N26+S25</f>
        <v>0</v>
      </c>
      <c r="T26" s="11">
        <f ca="1">(M26*O26)+T25</f>
        <v>1.395585738539898</v>
      </c>
      <c r="U26" s="11">
        <f ca="1">(N26*O26)+U25</f>
        <v>0</v>
      </c>
      <c r="V26" s="185">
        <f ca="1">T26-S26</f>
        <v>1.395585738539898</v>
      </c>
      <c r="W26" s="185">
        <f ca="1">U26-R26</f>
        <v>-2</v>
      </c>
      <c r="X26" s="185">
        <f t="shared" ref="X26" ca="1" si="12">MAX(0,V26:W26)</f>
        <v>1.395585738539898</v>
      </c>
      <c r="Y26" s="185">
        <f ca="1">Y25+(X26-X25)</f>
        <v>3.8209853112472572</v>
      </c>
      <c r="Z26" s="185">
        <f>SUM(M26:N26)+Z25</f>
        <v>14</v>
      </c>
    </row>
    <row r="27" spans="2:26" ht="15.75" thickBot="1" x14ac:dyDescent="0.3">
      <c r="B27">
        <v>23</v>
      </c>
      <c r="C27" t="s">
        <v>117</v>
      </c>
      <c r="D27" s="306">
        <f t="shared" si="2"/>
        <v>8796.9924812030076</v>
      </c>
      <c r="E27" s="307">
        <f t="shared" si="6"/>
        <v>10325.203252032519</v>
      </c>
      <c r="F27" s="310">
        <f t="shared" si="3"/>
        <v>1.8796992481203008</v>
      </c>
      <c r="G27" s="310">
        <f t="shared" si="4"/>
        <v>2.0325203252032518</v>
      </c>
      <c r="H27" s="303">
        <f t="shared" si="0"/>
        <v>19.999999999999989</v>
      </c>
      <c r="I27" s="303">
        <v>20</v>
      </c>
      <c r="J27">
        <v>3</v>
      </c>
      <c r="L27">
        <v>3</v>
      </c>
      <c r="M27" s="205"/>
      <c r="N27" s="206">
        <v>1</v>
      </c>
      <c r="O27" s="283">
        <f ca="1">OFFSET(IF(M27&gt;0,D$4,E$4),L27,0)/10000</f>
        <v>1.2988505747126438</v>
      </c>
      <c r="P27" s="199">
        <f t="shared" ca="1" si="11"/>
        <v>0</v>
      </c>
      <c r="Q27" s="200">
        <f t="shared" ca="1" si="11"/>
        <v>1.2988505747126438</v>
      </c>
      <c r="R27" s="198">
        <f>M27+R26</f>
        <v>2</v>
      </c>
      <c r="S27" s="198">
        <f>N27+S26</f>
        <v>1</v>
      </c>
      <c r="T27" s="11">
        <f ca="1">(M27*O27)+T26</f>
        <v>1.395585738539898</v>
      </c>
      <c r="U27" s="11">
        <f ca="1">(N27*O27)+U26</f>
        <v>1.2988505747126438</v>
      </c>
      <c r="V27" s="185">
        <f ca="1">T27-S27</f>
        <v>0.39558573853989798</v>
      </c>
      <c r="W27" s="185">
        <f ca="1">U27-R27</f>
        <v>-0.70114942528735624</v>
      </c>
      <c r="X27" s="185">
        <f ca="1">MAX(0,V27:W27)</f>
        <v>0.39558573853989798</v>
      </c>
      <c r="Y27" s="185">
        <f ca="1">Y26+(X27-X26)</f>
        <v>2.8209853112472572</v>
      </c>
      <c r="Z27" s="185">
        <f>SUM(M27:N27)+Z26</f>
        <v>15</v>
      </c>
    </row>
    <row r="28" spans="2:26" x14ac:dyDescent="0.25">
      <c r="B28">
        <v>24</v>
      </c>
      <c r="C28" t="s">
        <v>118</v>
      </c>
      <c r="D28" s="306">
        <f t="shared" si="2"/>
        <v>8796.9924812030076</v>
      </c>
      <c r="E28" s="307">
        <f t="shared" si="6"/>
        <v>10325.203252032519</v>
      </c>
      <c r="F28" s="310">
        <f t="shared" si="3"/>
        <v>1.8796992481203008</v>
      </c>
      <c r="G28" s="310">
        <f t="shared" si="4"/>
        <v>2.0325203252032518</v>
      </c>
      <c r="H28" s="303">
        <f t="shared" si="0"/>
        <v>19.999999999999989</v>
      </c>
      <c r="I28" s="303">
        <v>20</v>
      </c>
      <c r="M28" s="191"/>
      <c r="N28" s="191"/>
      <c r="O28" s="191"/>
      <c r="P28" s="191"/>
      <c r="Q28" s="191"/>
      <c r="R28" s="191"/>
      <c r="S28" s="191"/>
      <c r="V28" s="1"/>
      <c r="W28" s="1"/>
      <c r="X28" s="1"/>
      <c r="Y28" s="1"/>
      <c r="Z28" s="1"/>
    </row>
    <row r="29" spans="2:26" x14ac:dyDescent="0.25">
      <c r="B29">
        <v>25</v>
      </c>
      <c r="C29" t="s">
        <v>119</v>
      </c>
      <c r="D29" s="306">
        <f t="shared" si="2"/>
        <v>8796.9924812030076</v>
      </c>
      <c r="E29" s="307">
        <f t="shared" si="6"/>
        <v>10325.203252032519</v>
      </c>
      <c r="F29" s="310">
        <f t="shared" si="3"/>
        <v>1.8796992481203008</v>
      </c>
      <c r="G29" s="310">
        <f t="shared" si="4"/>
        <v>2.0325203252032518</v>
      </c>
      <c r="H29" s="303">
        <f t="shared" si="0"/>
        <v>19.999999999999989</v>
      </c>
      <c r="I29" s="303">
        <v>20</v>
      </c>
      <c r="X29" t="s">
        <v>42</v>
      </c>
      <c r="Y29" s="6"/>
      <c r="Z29" s="1"/>
    </row>
    <row r="30" spans="2:26" x14ac:dyDescent="0.25">
      <c r="B30">
        <v>26</v>
      </c>
      <c r="C30" t="s">
        <v>120</v>
      </c>
      <c r="D30" s="306">
        <f t="shared" si="2"/>
        <v>8796.9924812030076</v>
      </c>
      <c r="E30" s="307">
        <f t="shared" si="6"/>
        <v>10325.203252032519</v>
      </c>
      <c r="F30" s="310">
        <f t="shared" si="3"/>
        <v>1.8796992481203008</v>
      </c>
      <c r="G30" s="310">
        <f t="shared" si="4"/>
        <v>2.0325203252032518</v>
      </c>
      <c r="H30" s="303">
        <f t="shared" si="0"/>
        <v>19.999999999999989</v>
      </c>
      <c r="I30" s="303">
        <v>20</v>
      </c>
      <c r="K30" s="46"/>
      <c r="M30" s="4"/>
      <c r="W30" s="2" t="s">
        <v>26</v>
      </c>
      <c r="X30" s="2" t="s">
        <v>155</v>
      </c>
      <c r="Y30" s="6" t="s">
        <v>156</v>
      </c>
      <c r="Z30" s="1"/>
    </row>
    <row r="31" spans="2:26" x14ac:dyDescent="0.25">
      <c r="B31">
        <v>27</v>
      </c>
      <c r="C31" t="s">
        <v>125</v>
      </c>
      <c r="D31" s="306">
        <f t="shared" si="2"/>
        <v>8796.9924812030076</v>
      </c>
      <c r="E31" s="307">
        <f t="shared" si="6"/>
        <v>10325.203252032519</v>
      </c>
      <c r="F31" s="310">
        <f t="shared" si="3"/>
        <v>1.8796992481203008</v>
      </c>
      <c r="G31" s="310">
        <f t="shared" si="4"/>
        <v>2.0325203252032518</v>
      </c>
      <c r="H31" s="303">
        <f t="shared" si="0"/>
        <v>19.999999999999989</v>
      </c>
      <c r="I31" s="303">
        <v>20</v>
      </c>
      <c r="M31" s="3"/>
      <c r="N31" s="2"/>
      <c r="O31" s="2"/>
      <c r="P31" s="2"/>
      <c r="Q31" s="2"/>
      <c r="R31" s="2"/>
      <c r="T31" s="262"/>
      <c r="U31" s="7"/>
      <c r="V31" s="7"/>
      <c r="W31" s="2">
        <v>0</v>
      </c>
      <c r="X31">
        <v>1</v>
      </c>
      <c r="Y31">
        <v>0</v>
      </c>
    </row>
    <row r="32" spans="2:26" x14ac:dyDescent="0.25">
      <c r="B32">
        <v>28</v>
      </c>
      <c r="C32" t="s">
        <v>121</v>
      </c>
      <c r="D32" s="306">
        <f t="shared" si="2"/>
        <v>8796.9924812030076</v>
      </c>
      <c r="E32" s="307">
        <f t="shared" si="6"/>
        <v>10325.203252032519</v>
      </c>
      <c r="F32" s="310">
        <f t="shared" si="3"/>
        <v>1.8796992481203008</v>
      </c>
      <c r="G32" s="310">
        <f t="shared" si="4"/>
        <v>2.0325203252032518</v>
      </c>
      <c r="H32" s="303">
        <f t="shared" si="0"/>
        <v>19.999999999999989</v>
      </c>
      <c r="I32" s="303">
        <v>20</v>
      </c>
      <c r="O32" s="1"/>
      <c r="P32" s="1"/>
      <c r="Q32" s="1"/>
      <c r="R32" s="1"/>
      <c r="T32" s="4"/>
      <c r="U32" s="6"/>
      <c r="V32" s="6"/>
      <c r="W32" s="2">
        <v>1</v>
      </c>
      <c r="X32">
        <v>1</v>
      </c>
      <c r="Y32">
        <v>0</v>
      </c>
    </row>
    <row r="33" spans="2:25" x14ac:dyDescent="0.25">
      <c r="B33">
        <v>29</v>
      </c>
      <c r="C33" t="s">
        <v>122</v>
      </c>
      <c r="D33" s="306">
        <f t="shared" si="2"/>
        <v>8796.9924812030076</v>
      </c>
      <c r="E33" s="307">
        <f t="shared" si="6"/>
        <v>10325.203252032519</v>
      </c>
      <c r="F33" s="310">
        <f t="shared" si="3"/>
        <v>1.8796992481203008</v>
      </c>
      <c r="G33" s="310">
        <f t="shared" si="4"/>
        <v>2.0325203252032518</v>
      </c>
      <c r="H33" s="303">
        <f t="shared" si="0"/>
        <v>19.999999999999989</v>
      </c>
      <c r="I33" s="303">
        <v>20</v>
      </c>
      <c r="O33" s="1"/>
      <c r="P33" s="1"/>
      <c r="Q33" s="1"/>
      <c r="R33" s="1"/>
      <c r="S33" s="1"/>
      <c r="V33" s="6"/>
      <c r="W33" s="2">
        <v>2</v>
      </c>
      <c r="X33">
        <v>0</v>
      </c>
      <c r="Y33">
        <v>2</v>
      </c>
    </row>
    <row r="34" spans="2:25" x14ac:dyDescent="0.25">
      <c r="B34">
        <v>30</v>
      </c>
      <c r="C34" t="s">
        <v>123</v>
      </c>
      <c r="D34" s="306">
        <f t="shared" si="2"/>
        <v>8796.9924812030076</v>
      </c>
      <c r="E34" s="307">
        <f t="shared" si="6"/>
        <v>10325.203252032519</v>
      </c>
      <c r="F34" s="310">
        <f t="shared" si="3"/>
        <v>1.8796992481203008</v>
      </c>
      <c r="G34" s="310">
        <f t="shared" si="4"/>
        <v>2.0325203252032518</v>
      </c>
      <c r="H34" s="303">
        <f t="shared" si="0"/>
        <v>19.999999999999989</v>
      </c>
      <c r="I34" s="303">
        <v>20</v>
      </c>
      <c r="O34" s="1"/>
      <c r="P34" s="1"/>
      <c r="Q34" s="1"/>
      <c r="R34" s="1"/>
      <c r="T34" s="6"/>
      <c r="U34" s="6"/>
      <c r="V34" s="6"/>
      <c r="W34" s="2">
        <v>3</v>
      </c>
      <c r="X34" s="2">
        <v>2</v>
      </c>
      <c r="Y34">
        <v>1</v>
      </c>
    </row>
    <row r="35" spans="2:25" ht="15.75" thickBot="1" x14ac:dyDescent="0.3">
      <c r="B35">
        <v>31</v>
      </c>
      <c r="C35" t="s">
        <v>124</v>
      </c>
      <c r="D35" s="308">
        <f t="shared" si="2"/>
        <v>8796.9924812030076</v>
      </c>
      <c r="E35" s="309">
        <f t="shared" si="6"/>
        <v>10325.203252032519</v>
      </c>
      <c r="F35" s="310">
        <f t="shared" si="3"/>
        <v>1.8796992481203008</v>
      </c>
      <c r="G35" s="310">
        <f t="shared" si="4"/>
        <v>2.0325203252032518</v>
      </c>
      <c r="H35" s="303">
        <f t="shared" si="0"/>
        <v>19.999999999999989</v>
      </c>
      <c r="I35" s="303">
        <v>20</v>
      </c>
      <c r="M35" s="151"/>
      <c r="N35" s="151"/>
      <c r="O35" s="156"/>
      <c r="P35" s="156"/>
      <c r="Q35" s="156"/>
      <c r="R35" s="156"/>
      <c r="S35" s="151"/>
      <c r="T35" s="153" t="s">
        <v>64</v>
      </c>
      <c r="U35" s="152" t="s">
        <v>36</v>
      </c>
      <c r="V35" s="152" t="s">
        <v>86</v>
      </c>
      <c r="W35" s="151"/>
      <c r="X35" s="151"/>
    </row>
    <row r="36" spans="2:25" x14ac:dyDescent="0.25">
      <c r="M36" s="151"/>
      <c r="N36" s="151"/>
      <c r="O36" s="156"/>
      <c r="P36" s="156"/>
      <c r="Q36" s="156"/>
      <c r="R36" s="156" t="s">
        <v>98</v>
      </c>
      <c r="S36" s="156" t="s">
        <v>60</v>
      </c>
      <c r="T36" s="234">
        <v>30</v>
      </c>
      <c r="U36" s="235">
        <v>30</v>
      </c>
      <c r="V36" s="236">
        <f ca="1">(U36+U38-O38)</f>
        <v>29.168979535058455</v>
      </c>
      <c r="W36" s="151"/>
      <c r="X36" s="158" t="s">
        <v>167</v>
      </c>
    </row>
    <row r="37" spans="2:25" ht="15.75" thickBot="1" x14ac:dyDescent="0.3">
      <c r="C37" s="45"/>
      <c r="M37" s="151"/>
      <c r="N37" s="151"/>
      <c r="O37" s="151"/>
      <c r="P37" s="156"/>
      <c r="Q37" s="156"/>
      <c r="R37" s="156" t="s">
        <v>99</v>
      </c>
      <c r="S37" s="156" t="s">
        <v>58</v>
      </c>
      <c r="T37" s="237">
        <v>0</v>
      </c>
      <c r="U37" s="238">
        <f ca="1">X27+X20+X13+X6</f>
        <v>2.8209853112472567</v>
      </c>
      <c r="V37" s="239">
        <v>0</v>
      </c>
      <c r="W37" s="151"/>
      <c r="X37" s="158"/>
    </row>
    <row r="38" spans="2:25" x14ac:dyDescent="0.25">
      <c r="M38" s="154"/>
      <c r="N38" s="240" t="s">
        <v>84</v>
      </c>
      <c r="O38" s="155">
        <f ca="1">$S$6+$U$6+$S$13+$U$13+$R$20+$T$20+$R$27+$S$27</f>
        <v>15.831020464941547</v>
      </c>
      <c r="P38" s="153"/>
      <c r="Q38" s="156"/>
      <c r="R38" s="156" t="s">
        <v>100</v>
      </c>
      <c r="S38" s="156" t="s">
        <v>57</v>
      </c>
      <c r="T38" s="241">
        <v>0</v>
      </c>
      <c r="U38" s="157">
        <f>SUM(M4:N28)</f>
        <v>15</v>
      </c>
      <c r="V38" s="239">
        <v>0</v>
      </c>
      <c r="W38" s="151"/>
      <c r="X38" s="158"/>
    </row>
    <row r="39" spans="2:25" x14ac:dyDescent="0.25">
      <c r="C39" s="2"/>
      <c r="D39" s="2"/>
      <c r="M39" s="242"/>
      <c r="N39" s="243" t="s">
        <v>83</v>
      </c>
      <c r="O39" s="244">
        <f ca="1">+$U$6+$U$13+$T$20</f>
        <v>6.8310204649415462</v>
      </c>
      <c r="P39" s="156"/>
      <c r="Q39" s="156"/>
      <c r="R39" s="156"/>
      <c r="S39" s="156" t="s">
        <v>114</v>
      </c>
      <c r="T39" s="241">
        <v>0</v>
      </c>
      <c r="U39" s="157">
        <v>0</v>
      </c>
      <c r="V39" s="239">
        <f ca="1">(U6+U13+T20)*0.05</f>
        <v>0.34155102324707731</v>
      </c>
      <c r="W39" s="151"/>
      <c r="X39" s="158"/>
    </row>
    <row r="40" spans="2:25" ht="15.75" thickBot="1" x14ac:dyDescent="0.3">
      <c r="B40" s="1"/>
      <c r="C40" s="1"/>
      <c r="D40" s="2"/>
      <c r="M40" s="245"/>
      <c r="N40" s="246" t="s">
        <v>34</v>
      </c>
      <c r="O40" s="247">
        <f ca="1">0.05*O39</f>
        <v>0.34155102324707731</v>
      </c>
      <c r="P40" s="156"/>
      <c r="Q40" s="156"/>
      <c r="R40" s="156"/>
      <c r="S40" s="156" t="s">
        <v>67</v>
      </c>
      <c r="T40" s="241">
        <v>50</v>
      </c>
      <c r="U40" s="157">
        <v>50</v>
      </c>
      <c r="V40" s="239">
        <f ca="1">U40-O40</f>
        <v>49.658448976752922</v>
      </c>
      <c r="W40" s="151"/>
      <c r="X40" s="248"/>
      <c r="Y40" s="52"/>
    </row>
    <row r="41" spans="2:25" x14ac:dyDescent="0.25">
      <c r="B41" s="1"/>
      <c r="C41" s="1"/>
      <c r="D41" s="10"/>
      <c r="M41" s="151"/>
      <c r="N41" s="151"/>
      <c r="O41" s="151"/>
      <c r="P41" s="151"/>
      <c r="Q41" s="156"/>
      <c r="R41" s="153"/>
      <c r="S41" s="156" t="s">
        <v>69</v>
      </c>
      <c r="T41" s="241">
        <v>10</v>
      </c>
      <c r="U41" s="157">
        <v>2</v>
      </c>
      <c r="V41" s="239">
        <f ca="1">(0.95*(P18+P20)-M6-M4-M11-M13+T41)</f>
        <v>7.204575163398693</v>
      </c>
      <c r="W41" s="249"/>
      <c r="X41" s="151"/>
    </row>
    <row r="42" spans="2:25" ht="17.25" thickBot="1" x14ac:dyDescent="0.35">
      <c r="B42" s="1"/>
      <c r="D42" s="68"/>
      <c r="M42" s="151"/>
      <c r="N42" s="151"/>
      <c r="O42" s="250"/>
      <c r="P42" s="151"/>
      <c r="Q42" s="156"/>
      <c r="R42" s="153"/>
      <c r="S42" s="156" t="s">
        <v>85</v>
      </c>
      <c r="T42" s="251">
        <v>10</v>
      </c>
      <c r="U42" s="252">
        <v>3</v>
      </c>
      <c r="V42" s="253">
        <f ca="1">(T42+(Q5+Q12)*0.95-N19)</f>
        <v>13.284894278295777</v>
      </c>
      <c r="W42" s="151"/>
      <c r="X42" s="151"/>
      <c r="Y42" s="20"/>
    </row>
    <row r="43" spans="2:25" x14ac:dyDescent="0.25">
      <c r="B43" s="1"/>
      <c r="C43" s="1"/>
      <c r="Q43" s="1"/>
      <c r="V43" s="15">
        <f ca="1">SUM(V36:V42)</f>
        <v>99.658448976752922</v>
      </c>
      <c r="W43" s="20"/>
    </row>
    <row r="44" spans="2:25" ht="15.75" thickBot="1" x14ac:dyDescent="0.3">
      <c r="B44" s="1"/>
      <c r="C44" s="1"/>
      <c r="O44" s="1"/>
      <c r="P44" s="1"/>
      <c r="Q44" s="1"/>
      <c r="R44" s="1"/>
      <c r="T44" s="4" t="s">
        <v>64</v>
      </c>
      <c r="U44" s="2" t="s">
        <v>36</v>
      </c>
      <c r="V44" s="2" t="s">
        <v>86</v>
      </c>
      <c r="W44" s="20"/>
    </row>
    <row r="45" spans="2:25" x14ac:dyDescent="0.25">
      <c r="B45" s="1"/>
      <c r="C45" s="1"/>
      <c r="D45" s="4"/>
      <c r="M45" s="207"/>
      <c r="N45" s="207"/>
      <c r="O45" s="208"/>
      <c r="P45" s="208"/>
      <c r="Q45" s="208"/>
      <c r="R45" s="208" t="s">
        <v>98</v>
      </c>
      <c r="S45" s="208" t="s">
        <v>60</v>
      </c>
      <c r="T45" s="209">
        <v>30</v>
      </c>
      <c r="U45" s="210">
        <v>30</v>
      </c>
      <c r="V45" s="211">
        <f ca="1">(U45+U47-O47)</f>
        <v>31.869538850092198</v>
      </c>
      <c r="W45" s="207"/>
      <c r="X45" s="212" t="s">
        <v>154</v>
      </c>
    </row>
    <row r="46" spans="2:25" ht="15.75" thickBot="1" x14ac:dyDescent="0.3">
      <c r="B46" s="1"/>
      <c r="C46" s="1"/>
      <c r="M46" s="207"/>
      <c r="N46" s="207"/>
      <c r="O46" s="207"/>
      <c r="P46" s="208"/>
      <c r="Q46" s="208"/>
      <c r="R46" s="208" t="s">
        <v>99</v>
      </c>
      <c r="S46" s="208" t="s">
        <v>58</v>
      </c>
      <c r="T46" s="213">
        <v>0</v>
      </c>
      <c r="U46" s="214">
        <f ca="1">X27+X20+X13+X6</f>
        <v>2.8209853112472567</v>
      </c>
      <c r="V46" s="215">
        <v>0</v>
      </c>
      <c r="W46" s="216"/>
      <c r="X46" s="212"/>
    </row>
    <row r="47" spans="2:25" x14ac:dyDescent="0.25">
      <c r="B47" s="1"/>
      <c r="C47" s="1"/>
      <c r="M47" s="217"/>
      <c r="N47" s="218" t="s">
        <v>84</v>
      </c>
      <c r="O47" s="219">
        <f ca="1">R6+T6+R13+T13+S20+R20+S27+U27</f>
        <v>13.1304611499078</v>
      </c>
      <c r="P47" s="220"/>
      <c r="Q47" s="208"/>
      <c r="R47" s="208" t="s">
        <v>100</v>
      </c>
      <c r="S47" s="208" t="s">
        <v>57</v>
      </c>
      <c r="T47" s="221">
        <v>0</v>
      </c>
      <c r="U47" s="222">
        <f>SUM(M4:N28)</f>
        <v>15</v>
      </c>
      <c r="V47" s="215">
        <v>0</v>
      </c>
      <c r="W47" s="223"/>
      <c r="X47" s="212"/>
    </row>
    <row r="48" spans="2:25" x14ac:dyDescent="0.25">
      <c r="M48" s="224"/>
      <c r="N48" s="225" t="s">
        <v>83</v>
      </c>
      <c r="O48" s="226">
        <f ca="1">+T6+T13+U27</f>
        <v>4.1304611499078012</v>
      </c>
      <c r="P48" s="208"/>
      <c r="Q48" s="208"/>
      <c r="R48" s="208"/>
      <c r="S48" s="208" t="s">
        <v>114</v>
      </c>
      <c r="T48" s="221">
        <v>0</v>
      </c>
      <c r="U48" s="222">
        <v>0</v>
      </c>
      <c r="V48" s="215">
        <f ca="1">(T6+T13+U27)*0.05</f>
        <v>0.20652305749539007</v>
      </c>
      <c r="W48" s="207"/>
      <c r="X48" s="212"/>
    </row>
    <row r="49" spans="13:24" ht="15.75" thickBot="1" x14ac:dyDescent="0.3">
      <c r="M49" s="227"/>
      <c r="N49" s="228" t="s">
        <v>34</v>
      </c>
      <c r="O49" s="229">
        <f ca="1">0.05*O48</f>
        <v>0.20652305749539007</v>
      </c>
      <c r="P49" s="208"/>
      <c r="Q49" s="208"/>
      <c r="R49" s="208"/>
      <c r="S49" s="208" t="s">
        <v>67</v>
      </c>
      <c r="T49" s="221">
        <v>50</v>
      </c>
      <c r="U49" s="222">
        <v>50</v>
      </c>
      <c r="V49" s="215">
        <f ca="1">U49-O49</f>
        <v>49.793476942504611</v>
      </c>
      <c r="W49" s="207"/>
      <c r="X49" s="212"/>
    </row>
    <row r="50" spans="13:24" x14ac:dyDescent="0.25">
      <c r="M50" s="207"/>
      <c r="N50" s="207"/>
      <c r="O50" s="207"/>
      <c r="P50" s="207"/>
      <c r="Q50" s="208"/>
      <c r="R50" s="220"/>
      <c r="S50" s="208" t="s">
        <v>69</v>
      </c>
      <c r="T50" s="221">
        <v>10</v>
      </c>
      <c r="U50" s="222">
        <v>2</v>
      </c>
      <c r="V50" s="215">
        <f ca="1">(0.95*(P4+P6+P11+P13)-M25-M26+T50)</f>
        <v>10.6900300464354</v>
      </c>
      <c r="W50" s="207"/>
      <c r="X50" s="212"/>
    </row>
    <row r="51" spans="13:24" ht="15.75" thickBot="1" x14ac:dyDescent="0.3">
      <c r="M51" s="207"/>
      <c r="N51" s="207"/>
      <c r="O51" s="230"/>
      <c r="P51" s="207"/>
      <c r="Q51" s="208"/>
      <c r="R51" s="220"/>
      <c r="S51" s="208" t="s">
        <v>85</v>
      </c>
      <c r="T51" s="231">
        <v>10</v>
      </c>
      <c r="U51" s="232">
        <v>3</v>
      </c>
      <c r="V51" s="233">
        <f ca="1">(T51+(Q27)*0.95-N5-N12)</f>
        <v>7.233908045977012</v>
      </c>
      <c r="W51" s="207"/>
      <c r="X51" s="212"/>
    </row>
    <row r="52" spans="13:24" x14ac:dyDescent="0.25">
      <c r="Q52" s="1"/>
      <c r="V52" s="15">
        <f ca="1">SUM(V45:V51)</f>
        <v>99.793476942504611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A6C5E-91EE-4299-8FE0-BE203C94C1B8}">
  <sheetPr codeName="Sheet9"/>
  <dimension ref="A1:AA45"/>
  <sheetViews>
    <sheetView zoomScale="75" zoomScaleNormal="75" workbookViewId="0">
      <selection activeCell="L16" sqref="L16"/>
    </sheetView>
  </sheetViews>
  <sheetFormatPr defaultRowHeight="15" x14ac:dyDescent="0.25"/>
  <cols>
    <col min="3" max="3" width="25.5703125" customWidth="1"/>
    <col min="4" max="4" width="16.85546875" bestFit="1" customWidth="1"/>
    <col min="5" max="5" width="9.140625" customWidth="1"/>
    <col min="6" max="6" width="14.7109375" customWidth="1"/>
    <col min="7" max="7" width="11.85546875" customWidth="1"/>
    <col min="9" max="9" width="13.42578125" customWidth="1"/>
    <col min="10" max="10" width="13" customWidth="1"/>
    <col min="11" max="11" width="13.28515625" customWidth="1"/>
    <col min="12" max="12" width="16.7109375" customWidth="1"/>
    <col min="13" max="13" width="23.5703125" customWidth="1"/>
    <col min="14" max="14" width="16.85546875" customWidth="1"/>
    <col min="15" max="15" width="23.7109375" bestFit="1" customWidth="1"/>
    <col min="16" max="16" width="20.5703125" customWidth="1"/>
    <col min="17" max="17" width="18.5703125" customWidth="1"/>
    <col min="18" max="18" width="15" customWidth="1"/>
    <col min="19" max="19" width="17.140625" customWidth="1"/>
    <col min="20" max="20" width="12.7109375" customWidth="1"/>
    <col min="21" max="21" width="11.28515625" customWidth="1"/>
    <col min="22" max="22" width="12.140625" customWidth="1"/>
    <col min="23" max="23" width="14.7109375" customWidth="1"/>
    <col min="24" max="24" width="11" customWidth="1"/>
    <col min="26" max="28" width="10.28515625" bestFit="1" customWidth="1"/>
    <col min="29" max="31" width="11.42578125" customWidth="1"/>
    <col min="32" max="37" width="12" customWidth="1"/>
    <col min="38" max="38" width="12" bestFit="1" customWidth="1"/>
    <col min="39" max="39" width="12.5703125" bestFit="1" customWidth="1"/>
    <col min="40" max="40" width="11.42578125" customWidth="1"/>
    <col min="46" max="46" width="12" bestFit="1" customWidth="1"/>
    <col min="48" max="48" width="10.5703125" bestFit="1" customWidth="1"/>
    <col min="54" max="54" width="12" bestFit="1" customWidth="1"/>
    <col min="56" max="56" width="10.5703125" bestFit="1" customWidth="1"/>
  </cols>
  <sheetData>
    <row r="1" spans="1:27" x14ac:dyDescent="0.25">
      <c r="C1" s="1" t="s">
        <v>38</v>
      </c>
    </row>
    <row r="2" spans="1:27" x14ac:dyDescent="0.25">
      <c r="I2" t="s">
        <v>0</v>
      </c>
      <c r="J2" t="s">
        <v>0</v>
      </c>
    </row>
    <row r="3" spans="1:27" ht="15.75" thickBot="1" x14ac:dyDescent="0.3">
      <c r="D3" s="2" t="s">
        <v>165</v>
      </c>
      <c r="E3" s="2" t="s">
        <v>166</v>
      </c>
      <c r="F3" t="s">
        <v>161</v>
      </c>
      <c r="G3" s="2" t="s">
        <v>70</v>
      </c>
      <c r="H3" s="2" t="s">
        <v>26</v>
      </c>
      <c r="I3" s="2" t="s">
        <v>102</v>
      </c>
      <c r="J3" s="2" t="s">
        <v>103</v>
      </c>
      <c r="K3" s="2" t="s">
        <v>21</v>
      </c>
      <c r="L3" s="2" t="s">
        <v>63</v>
      </c>
      <c r="M3" s="2" t="s">
        <v>43</v>
      </c>
      <c r="N3" s="2" t="s">
        <v>97</v>
      </c>
      <c r="O3" s="2" t="s">
        <v>110</v>
      </c>
      <c r="S3" s="2"/>
      <c r="T3" s="2"/>
      <c r="U3" s="2"/>
      <c r="V3" s="2"/>
      <c r="W3" s="2"/>
      <c r="Z3" s="2"/>
      <c r="AA3" s="2"/>
    </row>
    <row r="4" spans="1:27" x14ac:dyDescent="0.25">
      <c r="A4">
        <f t="shared" ref="A4:A35" si="0">INT(100000/(1+D4/1000))</f>
        <v>14285</v>
      </c>
      <c r="B4">
        <v>0</v>
      </c>
      <c r="C4" t="s">
        <v>1</v>
      </c>
      <c r="D4" s="304">
        <f t="shared" ref="D4:D35" si="1">10000000/(512+F4)-10000</f>
        <v>6000</v>
      </c>
      <c r="E4" s="311">
        <f t="shared" ref="E4:E35" si="2">10000000/(512-F4)-10000</f>
        <v>15062.656641604011</v>
      </c>
      <c r="F4" s="312">
        <v>113</v>
      </c>
      <c r="G4">
        <v>3</v>
      </c>
      <c r="H4">
        <v>0</v>
      </c>
      <c r="I4">
        <v>0</v>
      </c>
      <c r="J4">
        <v>10000</v>
      </c>
      <c r="K4" s="20">
        <f>D4</f>
        <v>6000</v>
      </c>
      <c r="L4">
        <f>J4*K4/10000</f>
        <v>6000</v>
      </c>
      <c r="M4" t="b">
        <v>0</v>
      </c>
      <c r="N4">
        <v>0</v>
      </c>
      <c r="O4">
        <v>0</v>
      </c>
      <c r="S4" s="6"/>
      <c r="T4" s="6"/>
      <c r="U4" s="6"/>
      <c r="V4" s="6"/>
      <c r="W4" s="6"/>
      <c r="X4" s="6"/>
    </row>
    <row r="5" spans="1:27" x14ac:dyDescent="0.25">
      <c r="A5">
        <f t="shared" si="0"/>
        <v>11454</v>
      </c>
      <c r="B5">
        <v>1</v>
      </c>
      <c r="C5" t="s">
        <v>16</v>
      </c>
      <c r="D5" s="306">
        <f t="shared" si="1"/>
        <v>7730.4964539007087</v>
      </c>
      <c r="E5" s="303">
        <f t="shared" si="2"/>
        <v>11739.130434782608</v>
      </c>
      <c r="F5" s="313">
        <v>52</v>
      </c>
      <c r="G5">
        <v>3</v>
      </c>
      <c r="H5">
        <v>1</v>
      </c>
      <c r="I5">
        <v>0</v>
      </c>
      <c r="J5">
        <v>10000</v>
      </c>
      <c r="K5" s="20">
        <f>D5</f>
        <v>7730.4964539007087</v>
      </c>
      <c r="L5">
        <f>J5*K5/10000</f>
        <v>7730.4964539007078</v>
      </c>
      <c r="M5" t="b">
        <v>1</v>
      </c>
      <c r="N5" s="3">
        <f>L5*0.05</f>
        <v>386.52482269503543</v>
      </c>
      <c r="O5" s="20">
        <f>L5-N5+J5</f>
        <v>17343.971631205673</v>
      </c>
      <c r="S5" s="6"/>
      <c r="T5" s="6"/>
      <c r="U5" s="6"/>
      <c r="V5" s="6"/>
      <c r="W5" s="6"/>
      <c r="X5" s="6"/>
    </row>
    <row r="6" spans="1:27" x14ac:dyDescent="0.25">
      <c r="A6">
        <f t="shared" si="0"/>
        <v>15375</v>
      </c>
      <c r="B6">
        <v>2</v>
      </c>
      <c r="C6" t="s">
        <v>2</v>
      </c>
      <c r="D6" s="306">
        <f t="shared" si="1"/>
        <v>5503.8759689922481</v>
      </c>
      <c r="E6" s="303">
        <f t="shared" si="2"/>
        <v>16385.224274406333</v>
      </c>
      <c r="F6" s="313">
        <v>133</v>
      </c>
      <c r="G6">
        <v>3</v>
      </c>
      <c r="H6">
        <v>3</v>
      </c>
      <c r="I6">
        <v>1</v>
      </c>
      <c r="J6">
        <v>10000</v>
      </c>
      <c r="K6" s="20">
        <f>E7</f>
        <v>9646.3654223968551</v>
      </c>
      <c r="L6">
        <f>J6*K6/10000</f>
        <v>9646.3654223968551</v>
      </c>
      <c r="M6" t="s">
        <v>44</v>
      </c>
      <c r="N6">
        <v>0</v>
      </c>
      <c r="O6">
        <f>J6</f>
        <v>10000</v>
      </c>
      <c r="T6" s="6"/>
      <c r="U6" s="6"/>
      <c r="V6" s="6"/>
      <c r="W6" s="6"/>
      <c r="X6" s="6"/>
    </row>
    <row r="7" spans="1:27" x14ac:dyDescent="0.25">
      <c r="A7">
        <f t="shared" si="0"/>
        <v>9599</v>
      </c>
      <c r="B7">
        <v>3</v>
      </c>
      <c r="C7" t="s">
        <v>3</v>
      </c>
      <c r="D7" s="306">
        <f t="shared" si="1"/>
        <v>9417.4757281553393</v>
      </c>
      <c r="E7" s="303">
        <f t="shared" si="2"/>
        <v>9646.3654223968551</v>
      </c>
      <c r="F7" s="313">
        <v>3</v>
      </c>
      <c r="T7" s="6"/>
      <c r="U7" s="6"/>
      <c r="V7" s="6"/>
      <c r="W7" s="6"/>
      <c r="X7" s="6"/>
    </row>
    <row r="8" spans="1:27" x14ac:dyDescent="0.25">
      <c r="A8">
        <f t="shared" si="0"/>
        <v>9599</v>
      </c>
      <c r="B8">
        <v>4</v>
      </c>
      <c r="C8" t="s">
        <v>4</v>
      </c>
      <c r="D8" s="306">
        <f t="shared" si="1"/>
        <v>9417.4757281553393</v>
      </c>
      <c r="E8" s="303">
        <f t="shared" si="2"/>
        <v>9646.3654223968551</v>
      </c>
      <c r="F8" s="313">
        <v>3</v>
      </c>
      <c r="S8" s="6"/>
      <c r="T8" s="2"/>
      <c r="U8" s="2"/>
      <c r="V8" s="6"/>
      <c r="W8" s="6"/>
      <c r="X8" s="6"/>
    </row>
    <row r="9" spans="1:27" x14ac:dyDescent="0.25">
      <c r="A9">
        <f t="shared" si="0"/>
        <v>9988</v>
      </c>
      <c r="B9">
        <v>5</v>
      </c>
      <c r="C9" t="s">
        <v>5</v>
      </c>
      <c r="D9" s="306">
        <f t="shared" si="1"/>
        <v>9011.4068441064628</v>
      </c>
      <c r="E9" s="303">
        <f t="shared" si="2"/>
        <v>10080.321285140562</v>
      </c>
      <c r="F9" s="313">
        <v>14</v>
      </c>
      <c r="O9" s="11"/>
      <c r="S9" s="6"/>
      <c r="T9" s="6"/>
      <c r="U9" s="6"/>
      <c r="V9" s="6"/>
      <c r="W9" s="6"/>
      <c r="X9" s="6"/>
    </row>
    <row r="10" spans="1:27" x14ac:dyDescent="0.25">
      <c r="A10">
        <f t="shared" si="0"/>
        <v>11371</v>
      </c>
      <c r="B10">
        <v>6</v>
      </c>
      <c r="C10" t="s">
        <v>6</v>
      </c>
      <c r="D10" s="306">
        <f t="shared" si="1"/>
        <v>7793.5943060498212</v>
      </c>
      <c r="E10" s="303">
        <f t="shared" si="2"/>
        <v>11645.021645021647</v>
      </c>
      <c r="F10" s="313">
        <v>50</v>
      </c>
      <c r="G10" s="2" t="s">
        <v>70</v>
      </c>
      <c r="H10" s="2" t="s">
        <v>26</v>
      </c>
      <c r="I10" s="2" t="s">
        <v>102</v>
      </c>
      <c r="J10" s="2" t="s">
        <v>103</v>
      </c>
      <c r="K10" s="2" t="s">
        <v>21</v>
      </c>
      <c r="L10" s="2" t="s">
        <v>63</v>
      </c>
      <c r="M10" s="2" t="s">
        <v>43</v>
      </c>
      <c r="N10" s="2" t="s">
        <v>97</v>
      </c>
      <c r="O10" s="2" t="s">
        <v>110</v>
      </c>
      <c r="S10" s="2"/>
      <c r="T10" s="6"/>
      <c r="U10" s="6"/>
      <c r="V10" s="6"/>
      <c r="W10" s="6"/>
      <c r="X10" s="6"/>
      <c r="Z10" s="2"/>
      <c r="AA10" s="2"/>
    </row>
    <row r="11" spans="1:27" x14ac:dyDescent="0.25">
      <c r="A11">
        <f t="shared" si="0"/>
        <v>10207</v>
      </c>
      <c r="B11">
        <v>7</v>
      </c>
      <c r="C11" t="s">
        <v>7</v>
      </c>
      <c r="D11" s="306">
        <f t="shared" si="1"/>
        <v>8796.9924812030076</v>
      </c>
      <c r="E11" s="303">
        <f t="shared" si="2"/>
        <v>10325.203252032519</v>
      </c>
      <c r="F11" s="313">
        <v>20</v>
      </c>
      <c r="G11">
        <v>2</v>
      </c>
      <c r="H11">
        <v>0</v>
      </c>
      <c r="I11">
        <v>1</v>
      </c>
      <c r="J11">
        <v>10000</v>
      </c>
      <c r="K11" s="20">
        <f>E4</f>
        <v>15062.656641604011</v>
      </c>
      <c r="L11">
        <f>K11/10000*J11</f>
        <v>15062.656641604011</v>
      </c>
      <c r="M11" t="b">
        <v>1</v>
      </c>
      <c r="N11" s="3">
        <f>L11*0.05</f>
        <v>753.13283208020061</v>
      </c>
      <c r="O11" s="15">
        <f>L11-N11+J11</f>
        <v>24309.523809523809</v>
      </c>
      <c r="S11" s="6"/>
      <c r="T11" s="6"/>
      <c r="U11" s="6"/>
      <c r="V11" s="6"/>
      <c r="W11" s="6"/>
      <c r="X11" s="6"/>
    </row>
    <row r="12" spans="1:27" x14ac:dyDescent="0.25">
      <c r="A12">
        <f t="shared" si="0"/>
        <v>10735</v>
      </c>
      <c r="B12">
        <v>8</v>
      </c>
      <c r="C12" t="s">
        <v>8</v>
      </c>
      <c r="D12" s="306">
        <f t="shared" si="1"/>
        <v>8315.0183150183148</v>
      </c>
      <c r="E12" s="303">
        <f t="shared" si="2"/>
        <v>10920.50209205021</v>
      </c>
      <c r="F12" s="313">
        <v>34</v>
      </c>
      <c r="G12">
        <v>2</v>
      </c>
      <c r="H12">
        <v>2</v>
      </c>
      <c r="I12">
        <v>1</v>
      </c>
      <c r="J12">
        <v>10000</v>
      </c>
      <c r="K12" s="20">
        <f>E6</f>
        <v>16385.224274406333</v>
      </c>
      <c r="L12">
        <f>K12/10000*J12</f>
        <v>16385.224274406333</v>
      </c>
      <c r="M12" t="b">
        <v>1</v>
      </c>
      <c r="N12" s="3">
        <f>(L12*0.05)</f>
        <v>819.26121372031673</v>
      </c>
      <c r="O12">
        <f t="shared" ref="O12" si="3">L12-N12+J12</f>
        <v>25565.963060686016</v>
      </c>
      <c r="S12" s="6"/>
      <c r="T12" s="6"/>
      <c r="U12" s="6"/>
      <c r="V12" s="6"/>
      <c r="W12" s="6"/>
      <c r="X12" s="6"/>
    </row>
    <row r="13" spans="1:27" x14ac:dyDescent="0.25">
      <c r="A13">
        <f t="shared" si="0"/>
        <v>9495</v>
      </c>
      <c r="B13">
        <v>9</v>
      </c>
      <c r="C13" t="s">
        <v>9</v>
      </c>
      <c r="D13" s="306">
        <f t="shared" si="1"/>
        <v>9531.25</v>
      </c>
      <c r="E13" s="303">
        <f t="shared" si="2"/>
        <v>9531.25</v>
      </c>
      <c r="F13" s="313">
        <v>0</v>
      </c>
      <c r="O13" s="4"/>
      <c r="S13" s="6"/>
      <c r="T13" s="6"/>
      <c r="U13" s="6"/>
      <c r="V13" s="6"/>
      <c r="W13" s="6"/>
      <c r="X13" s="6"/>
    </row>
    <row r="14" spans="1:27" x14ac:dyDescent="0.25">
      <c r="A14">
        <f t="shared" si="0"/>
        <v>10581</v>
      </c>
      <c r="B14">
        <v>10</v>
      </c>
      <c r="C14" t="s">
        <v>10</v>
      </c>
      <c r="D14" s="306">
        <f t="shared" si="1"/>
        <v>8450.1845018450185</v>
      </c>
      <c r="E14" s="303">
        <f t="shared" si="2"/>
        <v>10746.887966804978</v>
      </c>
      <c r="F14" s="313">
        <v>30</v>
      </c>
      <c r="N14" s="2" t="s">
        <v>107</v>
      </c>
      <c r="O14" s="2" t="s">
        <v>108</v>
      </c>
      <c r="S14" s="6"/>
      <c r="T14" s="7"/>
      <c r="U14" s="7"/>
      <c r="V14" s="6"/>
      <c r="W14" s="6"/>
    </row>
    <row r="15" spans="1:27" x14ac:dyDescent="0.25">
      <c r="A15">
        <f t="shared" si="0"/>
        <v>10430</v>
      </c>
      <c r="B15">
        <v>11</v>
      </c>
      <c r="C15" t="s">
        <v>11</v>
      </c>
      <c r="D15" s="306">
        <f t="shared" si="1"/>
        <v>8587.3605947955402</v>
      </c>
      <c r="E15" s="303">
        <f t="shared" si="2"/>
        <v>10576.1316872428</v>
      </c>
      <c r="F15" s="313">
        <v>26</v>
      </c>
      <c r="I15" s="45"/>
      <c r="J15" s="45"/>
      <c r="L15" s="37"/>
      <c r="M15" t="s">
        <v>101</v>
      </c>
      <c r="N15" s="4">
        <v>300000</v>
      </c>
      <c r="O15" s="4">
        <f>N15+SUM(J4:J12)-J5-J6-J11-J12-L11-L12</f>
        <v>278552.11908398964</v>
      </c>
      <c r="S15" s="6"/>
      <c r="T15" s="6"/>
      <c r="U15" s="6"/>
      <c r="V15" s="7"/>
      <c r="W15" s="6"/>
    </row>
    <row r="16" spans="1:27" x14ac:dyDescent="0.25">
      <c r="A16">
        <f t="shared" si="0"/>
        <v>9530</v>
      </c>
      <c r="B16">
        <v>12</v>
      </c>
      <c r="C16" t="s">
        <v>12</v>
      </c>
      <c r="D16" s="306">
        <f t="shared" si="1"/>
        <v>9493.1773879142311</v>
      </c>
      <c r="E16" s="303">
        <f t="shared" si="2"/>
        <v>9569.4716242661452</v>
      </c>
      <c r="F16" s="313">
        <v>1</v>
      </c>
      <c r="M16" t="s">
        <v>46</v>
      </c>
      <c r="N16" s="4">
        <v>20000</v>
      </c>
      <c r="O16" s="3">
        <f>INT(N16+L11+L12-N11-N12)</f>
        <v>49875</v>
      </c>
      <c r="S16" s="7"/>
      <c r="T16" s="6"/>
      <c r="U16" s="6"/>
      <c r="V16" s="6"/>
      <c r="W16" s="6"/>
    </row>
    <row r="17" spans="1:27" x14ac:dyDescent="0.25">
      <c r="A17">
        <f t="shared" si="0"/>
        <v>10244</v>
      </c>
      <c r="B17">
        <v>13</v>
      </c>
      <c r="C17" t="s">
        <v>13</v>
      </c>
      <c r="D17" s="306">
        <f t="shared" si="1"/>
        <v>8761.7260787992491</v>
      </c>
      <c r="E17" s="303">
        <f t="shared" si="2"/>
        <v>10366.598778004074</v>
      </c>
      <c r="F17" s="313">
        <v>21</v>
      </c>
      <c r="I17" s="4"/>
      <c r="J17" s="1"/>
      <c r="K17" s="1"/>
      <c r="M17" t="s">
        <v>47</v>
      </c>
      <c r="N17" s="4">
        <v>30000</v>
      </c>
      <c r="O17" s="4">
        <f>N17-J4-J5-J6+O5+O6</f>
        <v>27343.971631205673</v>
      </c>
      <c r="S17" s="6"/>
      <c r="T17" s="6"/>
      <c r="U17" s="6"/>
      <c r="V17" s="6"/>
      <c r="W17" s="6"/>
      <c r="Z17" s="2"/>
      <c r="AA17" s="2"/>
    </row>
    <row r="18" spans="1:27" x14ac:dyDescent="0.25">
      <c r="A18">
        <f t="shared" si="0"/>
        <v>10355</v>
      </c>
      <c r="B18">
        <v>14</v>
      </c>
      <c r="C18" t="s">
        <v>14</v>
      </c>
      <c r="D18" s="306">
        <f t="shared" si="1"/>
        <v>8656.7164179104475</v>
      </c>
      <c r="E18" s="303">
        <f t="shared" si="2"/>
        <v>10491.803278688523</v>
      </c>
      <c r="F18" s="313">
        <v>24</v>
      </c>
      <c r="J18" s="1"/>
      <c r="K18" s="1"/>
      <c r="M18" s="45"/>
      <c r="S18" s="6"/>
      <c r="T18" s="6"/>
      <c r="U18" s="6"/>
      <c r="V18" s="6"/>
      <c r="W18" s="6"/>
      <c r="X18" s="7"/>
    </row>
    <row r="19" spans="1:27" x14ac:dyDescent="0.25">
      <c r="A19">
        <f t="shared" si="0"/>
        <v>9704</v>
      </c>
      <c r="B19">
        <v>15</v>
      </c>
      <c r="C19" t="s">
        <v>15</v>
      </c>
      <c r="D19" s="306">
        <f t="shared" si="1"/>
        <v>9305.0193050193047</v>
      </c>
      <c r="E19" s="303">
        <f t="shared" si="2"/>
        <v>9762.845849802372</v>
      </c>
      <c r="F19" s="313">
        <v>6</v>
      </c>
      <c r="J19" s="45"/>
      <c r="K19" s="1"/>
      <c r="M19" s="45"/>
      <c r="N19" s="4"/>
      <c r="O19" s="4"/>
      <c r="S19" s="6"/>
      <c r="T19" s="6"/>
      <c r="U19" s="6"/>
      <c r="W19" s="6"/>
      <c r="X19" s="6"/>
    </row>
    <row r="20" spans="1:27" x14ac:dyDescent="0.25">
      <c r="A20">
        <f t="shared" si="0"/>
        <v>11290</v>
      </c>
      <c r="B20">
        <v>16</v>
      </c>
      <c r="C20" t="s">
        <v>16</v>
      </c>
      <c r="D20" s="306">
        <f t="shared" si="1"/>
        <v>7857.1428571428587</v>
      </c>
      <c r="E20" s="303">
        <f t="shared" si="2"/>
        <v>11551.724137931036</v>
      </c>
      <c r="F20" s="313">
        <v>48</v>
      </c>
      <c r="J20" s="17"/>
      <c r="M20" t="s">
        <v>106</v>
      </c>
      <c r="N20">
        <v>200</v>
      </c>
      <c r="O20" s="43">
        <v>1000000000</v>
      </c>
      <c r="S20" s="6"/>
      <c r="T20" s="7"/>
      <c r="U20" s="7"/>
      <c r="W20" s="6"/>
      <c r="X20" s="6"/>
    </row>
    <row r="21" spans="1:27" x14ac:dyDescent="0.25">
      <c r="A21">
        <f t="shared" si="0"/>
        <v>9634</v>
      </c>
      <c r="B21">
        <v>17</v>
      </c>
      <c r="C21" t="s">
        <v>17</v>
      </c>
      <c r="D21" s="306">
        <f t="shared" si="1"/>
        <v>9379.8449612403092</v>
      </c>
      <c r="E21" s="303">
        <f t="shared" si="2"/>
        <v>9685.039370078739</v>
      </c>
      <c r="F21" s="313">
        <v>4</v>
      </c>
      <c r="J21" s="17"/>
      <c r="M21" t="s">
        <v>39</v>
      </c>
      <c r="N21" s="4">
        <v>33574</v>
      </c>
      <c r="S21" s="6"/>
      <c r="T21" s="6"/>
      <c r="U21" s="6"/>
      <c r="W21" s="6"/>
      <c r="X21" s="6"/>
    </row>
    <row r="22" spans="1:27" x14ac:dyDescent="0.25">
      <c r="A22">
        <f t="shared" si="0"/>
        <v>10735</v>
      </c>
      <c r="B22">
        <v>18</v>
      </c>
      <c r="C22" t="s">
        <v>18</v>
      </c>
      <c r="D22" s="306">
        <f t="shared" si="1"/>
        <v>8315.0183150183148</v>
      </c>
      <c r="E22" s="303">
        <f t="shared" si="2"/>
        <v>10920.50209205021</v>
      </c>
      <c r="F22" s="313">
        <v>34</v>
      </c>
      <c r="G22" s="2"/>
      <c r="J22" s="17"/>
      <c r="M22" t="s">
        <v>45</v>
      </c>
      <c r="N22" s="42">
        <f>N21*N20*O20/O22</f>
        <v>6.7147999999999999E-3</v>
      </c>
      <c r="O22" s="43">
        <v>1E+18</v>
      </c>
      <c r="S22" s="7"/>
      <c r="X22" s="6"/>
    </row>
    <row r="23" spans="1:27" x14ac:dyDescent="0.25">
      <c r="A23">
        <f t="shared" si="0"/>
        <v>10097</v>
      </c>
      <c r="B23">
        <v>19</v>
      </c>
      <c r="C23" t="s">
        <v>19</v>
      </c>
      <c r="D23" s="306">
        <f t="shared" si="1"/>
        <v>8903.5916824196611</v>
      </c>
      <c r="E23" s="303">
        <f t="shared" si="2"/>
        <v>10202.020202020201</v>
      </c>
      <c r="F23" s="313">
        <v>17</v>
      </c>
      <c r="J23" s="17"/>
      <c r="K23" s="284"/>
      <c r="M23" s="3"/>
      <c r="S23" s="6"/>
      <c r="T23" s="2"/>
      <c r="U23" s="13"/>
      <c r="V23" s="7"/>
      <c r="X23" s="6"/>
    </row>
    <row r="24" spans="1:27" x14ac:dyDescent="0.25">
      <c r="A24">
        <f t="shared" si="0"/>
        <v>9809</v>
      </c>
      <c r="B24">
        <v>20</v>
      </c>
      <c r="C24" t="s">
        <v>20</v>
      </c>
      <c r="D24" s="306">
        <f t="shared" si="1"/>
        <v>9193.857965451054</v>
      </c>
      <c r="E24" s="303">
        <f t="shared" si="2"/>
        <v>9880.7157057654076</v>
      </c>
      <c r="F24" s="313">
        <v>9</v>
      </c>
      <c r="J24" s="17"/>
      <c r="M24" t="s">
        <v>104</v>
      </c>
      <c r="N24" s="53">
        <f>(N11+N12+N5)/10000</f>
        <v>0.19589188684955527</v>
      </c>
      <c r="S24" s="33"/>
      <c r="T24" s="6"/>
      <c r="U24" s="6"/>
      <c r="V24" s="6"/>
      <c r="X24" s="6"/>
      <c r="Z24" s="2"/>
      <c r="AA24" s="2"/>
    </row>
    <row r="25" spans="1:27" x14ac:dyDescent="0.25">
      <c r="A25">
        <f t="shared" si="0"/>
        <v>9916</v>
      </c>
      <c r="B25">
        <v>21</v>
      </c>
      <c r="C25" t="s">
        <v>115</v>
      </c>
      <c r="D25" s="306">
        <f t="shared" si="1"/>
        <v>9083.9694656488537</v>
      </c>
      <c r="E25" s="303">
        <f t="shared" si="2"/>
        <v>10000</v>
      </c>
      <c r="F25" s="313">
        <v>12</v>
      </c>
      <c r="J25" s="17"/>
      <c r="M25" t="s">
        <v>105</v>
      </c>
      <c r="N25" s="11">
        <f>(N17+N16+N15)/10000-N24</f>
        <v>34.804108113150441</v>
      </c>
      <c r="O25" t="s">
        <v>126</v>
      </c>
      <c r="T25" s="3"/>
      <c r="U25" s="3"/>
      <c r="V25" s="6"/>
      <c r="X25" s="6"/>
    </row>
    <row r="26" spans="1:27" x14ac:dyDescent="0.25">
      <c r="A26">
        <f t="shared" si="0"/>
        <v>10097</v>
      </c>
      <c r="B26">
        <v>22</v>
      </c>
      <c r="C26" t="s">
        <v>116</v>
      </c>
      <c r="D26" s="306">
        <f t="shared" si="1"/>
        <v>8903.5916824196611</v>
      </c>
      <c r="E26" s="303">
        <f t="shared" si="2"/>
        <v>10202.020202020201</v>
      </c>
      <c r="F26" s="313">
        <v>17</v>
      </c>
      <c r="M26" t="s">
        <v>105</v>
      </c>
      <c r="N26" s="53">
        <f>N25-O16/10000</f>
        <v>29.816608113150441</v>
      </c>
      <c r="O26" t="s">
        <v>109</v>
      </c>
      <c r="S26" s="16"/>
      <c r="T26" s="3"/>
      <c r="U26" s="3"/>
      <c r="V26" s="6"/>
      <c r="W26" s="7"/>
    </row>
    <row r="27" spans="1:27" x14ac:dyDescent="0.25">
      <c r="A27">
        <f t="shared" si="0"/>
        <v>10024</v>
      </c>
      <c r="B27">
        <v>23</v>
      </c>
      <c r="C27" t="s">
        <v>117</v>
      </c>
      <c r="D27" s="306">
        <f t="shared" si="1"/>
        <v>8975.3320683111961</v>
      </c>
      <c r="E27" s="303">
        <f t="shared" si="2"/>
        <v>10120.724346076458</v>
      </c>
      <c r="F27" s="313">
        <v>15</v>
      </c>
      <c r="M27" s="8" t="s">
        <v>128</v>
      </c>
      <c r="N27" s="11">
        <f>(N16-J11-J12+O11+O12)/10000</f>
        <v>4.9875486870209826</v>
      </c>
      <c r="S27" s="16"/>
      <c r="T27" s="6"/>
      <c r="U27" s="6"/>
      <c r="W27" s="6"/>
    </row>
    <row r="28" spans="1:27" x14ac:dyDescent="0.25">
      <c r="A28">
        <f t="shared" si="0"/>
        <v>10244</v>
      </c>
      <c r="B28">
        <v>24</v>
      </c>
      <c r="C28" t="s">
        <v>118</v>
      </c>
      <c r="D28" s="306">
        <f t="shared" si="1"/>
        <v>8761.7260787992491</v>
      </c>
      <c r="E28" s="303">
        <f t="shared" si="2"/>
        <v>10366.598778004074</v>
      </c>
      <c r="F28" s="313">
        <v>21</v>
      </c>
      <c r="L28" s="3"/>
      <c r="M28" t="s">
        <v>127</v>
      </c>
      <c r="N28" s="53">
        <f>N27-N22</f>
        <v>4.9808338870209825</v>
      </c>
      <c r="T28" s="3"/>
      <c r="U28" s="3"/>
      <c r="W28" s="6"/>
    </row>
    <row r="29" spans="1:27" x14ac:dyDescent="0.25">
      <c r="A29">
        <f t="shared" si="0"/>
        <v>10392</v>
      </c>
      <c r="B29">
        <v>25</v>
      </c>
      <c r="C29" t="s">
        <v>119</v>
      </c>
      <c r="D29" s="306">
        <f t="shared" si="1"/>
        <v>8621.9739292364975</v>
      </c>
      <c r="E29" s="303">
        <f t="shared" si="2"/>
        <v>10533.880903490761</v>
      </c>
      <c r="F29" s="313">
        <v>25</v>
      </c>
      <c r="N29" s="37"/>
      <c r="T29" s="3"/>
      <c r="U29" s="3"/>
      <c r="W29" s="6"/>
    </row>
    <row r="30" spans="1:27" x14ac:dyDescent="0.25">
      <c r="A30">
        <f t="shared" si="0"/>
        <v>9530</v>
      </c>
      <c r="B30">
        <v>26</v>
      </c>
      <c r="C30" t="s">
        <v>120</v>
      </c>
      <c r="D30" s="306">
        <f t="shared" si="1"/>
        <v>9493.1773879142311</v>
      </c>
      <c r="E30" s="303">
        <f t="shared" si="2"/>
        <v>9569.4716242661452</v>
      </c>
      <c r="F30" s="313">
        <v>1</v>
      </c>
      <c r="K30" s="12"/>
      <c r="X30" s="6"/>
    </row>
    <row r="31" spans="1:27" x14ac:dyDescent="0.25">
      <c r="A31">
        <f t="shared" si="0"/>
        <v>10133</v>
      </c>
      <c r="B31">
        <v>27</v>
      </c>
      <c r="C31" t="s">
        <v>125</v>
      </c>
      <c r="D31" s="306">
        <f t="shared" si="1"/>
        <v>8867.9245283018863</v>
      </c>
      <c r="E31" s="303">
        <f t="shared" si="2"/>
        <v>10242.914979757086</v>
      </c>
      <c r="F31" s="313">
        <v>18</v>
      </c>
      <c r="M31" s="48"/>
      <c r="T31" s="9"/>
      <c r="Z31" s="2"/>
      <c r="AA31" s="2"/>
    </row>
    <row r="32" spans="1:27" x14ac:dyDescent="0.25">
      <c r="A32">
        <f t="shared" si="0"/>
        <v>9599</v>
      </c>
      <c r="B32">
        <v>28</v>
      </c>
      <c r="C32" t="s">
        <v>121</v>
      </c>
      <c r="D32" s="306">
        <f t="shared" si="1"/>
        <v>9417.4757281553393</v>
      </c>
      <c r="E32" s="303">
        <f t="shared" si="2"/>
        <v>9646.3654223968551</v>
      </c>
      <c r="F32" s="313">
        <v>3</v>
      </c>
      <c r="M32" s="48"/>
      <c r="O32" s="1"/>
      <c r="T32" s="9"/>
    </row>
    <row r="33" spans="1:23" x14ac:dyDescent="0.25">
      <c r="A33">
        <f t="shared" si="0"/>
        <v>10281</v>
      </c>
      <c r="B33">
        <v>29</v>
      </c>
      <c r="C33" t="s">
        <v>122</v>
      </c>
      <c r="D33" s="306">
        <f t="shared" si="1"/>
        <v>8726.5917602996269</v>
      </c>
      <c r="E33" s="303">
        <f t="shared" si="2"/>
        <v>10408.163265306124</v>
      </c>
      <c r="F33" s="313">
        <v>22</v>
      </c>
      <c r="I33" s="1"/>
      <c r="J33" s="1"/>
      <c r="K33" s="10"/>
      <c r="L33" s="14"/>
      <c r="O33" s="1"/>
      <c r="T33" s="3"/>
    </row>
    <row r="34" spans="1:23" x14ac:dyDescent="0.25">
      <c r="A34">
        <f t="shared" si="0"/>
        <v>10468</v>
      </c>
      <c r="B34">
        <v>30</v>
      </c>
      <c r="C34" t="s">
        <v>123</v>
      </c>
      <c r="D34" s="306">
        <f t="shared" si="1"/>
        <v>8552.8756957328369</v>
      </c>
      <c r="E34" s="303">
        <f t="shared" si="2"/>
        <v>10618.556701030928</v>
      </c>
      <c r="F34" s="313">
        <v>27</v>
      </c>
      <c r="I34" s="1"/>
      <c r="J34" s="1"/>
      <c r="K34" s="10"/>
      <c r="L34" s="14"/>
      <c r="O34" s="2"/>
      <c r="T34" s="3"/>
    </row>
    <row r="35" spans="1:23" ht="15.75" thickBot="1" x14ac:dyDescent="0.3">
      <c r="A35">
        <f t="shared" si="0"/>
        <v>9495</v>
      </c>
      <c r="B35">
        <v>31</v>
      </c>
      <c r="C35" t="s">
        <v>124</v>
      </c>
      <c r="D35" s="308">
        <f t="shared" si="1"/>
        <v>9531.25</v>
      </c>
      <c r="E35" s="314">
        <f t="shared" si="2"/>
        <v>9531.25</v>
      </c>
      <c r="F35" s="315"/>
      <c r="I35" s="1"/>
      <c r="J35" s="1"/>
      <c r="K35" s="10"/>
      <c r="L35" s="1"/>
      <c r="T35" s="3"/>
      <c r="U35" s="6"/>
      <c r="V35" s="6"/>
    </row>
    <row r="36" spans="1:23" x14ac:dyDescent="0.25">
      <c r="I36" s="1"/>
      <c r="J36" s="1"/>
      <c r="K36" s="10"/>
      <c r="L36" s="1"/>
      <c r="T36" s="3"/>
    </row>
    <row r="37" spans="1:23" x14ac:dyDescent="0.25">
      <c r="I37" s="1"/>
      <c r="J37" s="1"/>
      <c r="K37" s="2"/>
      <c r="L37" s="1"/>
      <c r="T37" s="3"/>
    </row>
    <row r="38" spans="1:23" x14ac:dyDescent="0.25">
      <c r="W38" s="6"/>
    </row>
    <row r="39" spans="1:23" x14ac:dyDescent="0.25">
      <c r="K39" s="9"/>
      <c r="L39" s="9"/>
    </row>
    <row r="40" spans="1:23" x14ac:dyDescent="0.25">
      <c r="K40" s="1"/>
      <c r="L40" s="8"/>
    </row>
    <row r="41" spans="1:23" x14ac:dyDescent="0.25">
      <c r="K41" s="1"/>
      <c r="L41" s="8"/>
    </row>
    <row r="42" spans="1:23" x14ac:dyDescent="0.25">
      <c r="K42" s="1"/>
      <c r="L42" s="8"/>
    </row>
    <row r="43" spans="1:23" x14ac:dyDescent="0.25">
      <c r="K43" s="1"/>
      <c r="L43" s="8"/>
    </row>
    <row r="44" spans="1:23" x14ac:dyDescent="0.25">
      <c r="I44" s="4"/>
      <c r="K44" s="1"/>
      <c r="L44" s="8"/>
    </row>
    <row r="45" spans="1:23" x14ac:dyDescent="0.25">
      <c r="D45" s="4"/>
      <c r="K45" s="2"/>
      <c r="L45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CD9A8-F3D2-400D-982F-614074AF76AB}">
  <sheetPr codeName="Sheet8"/>
  <dimension ref="B2:T44"/>
  <sheetViews>
    <sheetView zoomScale="75" zoomScaleNormal="75" workbookViewId="0">
      <selection activeCell="J27" sqref="J27"/>
    </sheetView>
  </sheetViews>
  <sheetFormatPr defaultRowHeight="15" x14ac:dyDescent="0.25"/>
  <cols>
    <col min="2" max="4" width="15.7109375" customWidth="1"/>
    <col min="5" max="5" width="18.42578125" customWidth="1"/>
    <col min="6" max="11" width="15.7109375" customWidth="1"/>
    <col min="12" max="15" width="25.140625" customWidth="1"/>
    <col min="16" max="17" width="17.7109375" bestFit="1" customWidth="1"/>
    <col min="18" max="18" width="13.42578125" bestFit="1" customWidth="1"/>
    <col min="19" max="19" width="17.7109375" bestFit="1" customWidth="1"/>
    <col min="20" max="20" width="17.7109375" style="3" bestFit="1" customWidth="1"/>
    <col min="21" max="21" width="11" customWidth="1"/>
    <col min="22" max="22" width="11.85546875" customWidth="1"/>
  </cols>
  <sheetData>
    <row r="2" spans="2:20" x14ac:dyDescent="0.25">
      <c r="B2" s="4"/>
      <c r="T2"/>
    </row>
    <row r="3" spans="2:20" x14ac:dyDescent="0.25">
      <c r="B3" t="s">
        <v>81</v>
      </c>
      <c r="C3" t="s">
        <v>139</v>
      </c>
      <c r="D3" s="2" t="s">
        <v>132</v>
      </c>
      <c r="E3" s="2" t="s">
        <v>133</v>
      </c>
      <c r="F3" s="2" t="s">
        <v>168</v>
      </c>
      <c r="G3" s="2" t="s">
        <v>134</v>
      </c>
      <c r="H3" s="2" t="s">
        <v>135</v>
      </c>
      <c r="I3" s="2" t="s">
        <v>136</v>
      </c>
      <c r="J3" s="2" t="s">
        <v>137</v>
      </c>
      <c r="K3" s="2" t="s">
        <v>138</v>
      </c>
      <c r="T3"/>
    </row>
    <row r="4" spans="2:20" x14ac:dyDescent="0.25">
      <c r="P4" s="20"/>
      <c r="T4"/>
    </row>
    <row r="5" spans="2:20" x14ac:dyDescent="0.25">
      <c r="B5" t="s">
        <v>72</v>
      </c>
      <c r="C5">
        <v>0</v>
      </c>
      <c r="P5" s="20"/>
      <c r="T5"/>
    </row>
    <row r="6" spans="2:20" ht="15.75" thickBot="1" x14ac:dyDescent="0.3">
      <c r="B6" t="s">
        <v>52</v>
      </c>
      <c r="C6" s="4">
        <v>1</v>
      </c>
      <c r="D6" s="4">
        <v>2</v>
      </c>
      <c r="E6" s="4">
        <v>3</v>
      </c>
      <c r="F6" s="4"/>
      <c r="G6" s="4">
        <v>4</v>
      </c>
      <c r="H6" s="4">
        <v>12.85</v>
      </c>
      <c r="I6" s="4">
        <v>5</v>
      </c>
      <c r="J6" s="4">
        <v>6</v>
      </c>
      <c r="K6" s="4"/>
      <c r="T6"/>
    </row>
    <row r="7" spans="2:20" x14ac:dyDescent="0.25">
      <c r="B7" s="23" t="s">
        <v>74</v>
      </c>
      <c r="C7" s="38">
        <v>600000</v>
      </c>
      <c r="D7" s="38">
        <f>C7</f>
        <v>600000</v>
      </c>
      <c r="E7" s="38">
        <f>D7</f>
        <v>600000</v>
      </c>
      <c r="F7" s="38">
        <v>500000</v>
      </c>
      <c r="G7" s="38">
        <f>F7</f>
        <v>500000</v>
      </c>
      <c r="H7" s="38">
        <f>G7</f>
        <v>500000</v>
      </c>
      <c r="I7" s="38">
        <f>H7</f>
        <v>500000</v>
      </c>
      <c r="J7" s="39">
        <f>H7</f>
        <v>500000</v>
      </c>
      <c r="K7" s="19"/>
      <c r="T7"/>
    </row>
    <row r="8" spans="2:20" x14ac:dyDescent="0.25">
      <c r="B8" s="27" t="s">
        <v>75</v>
      </c>
      <c r="C8" s="4">
        <v>400000</v>
      </c>
      <c r="D8" s="4">
        <f>C8</f>
        <v>400000</v>
      </c>
      <c r="E8" s="4">
        <f>D8</f>
        <v>400000</v>
      </c>
      <c r="F8" s="4">
        <v>350000</v>
      </c>
      <c r="G8" s="4">
        <f>F8</f>
        <v>350000</v>
      </c>
      <c r="H8" s="4">
        <f>G8</f>
        <v>350000</v>
      </c>
      <c r="I8" s="4">
        <f t="shared" ref="I8:I9" si="0">H8</f>
        <v>350000</v>
      </c>
      <c r="J8" s="40">
        <f t="shared" ref="J8:J9" si="1">H8</f>
        <v>350000</v>
      </c>
      <c r="K8" s="19"/>
      <c r="T8"/>
    </row>
    <row r="9" spans="2:20" ht="15.75" thickBot="1" x14ac:dyDescent="0.3">
      <c r="B9" s="31" t="s">
        <v>77</v>
      </c>
      <c r="C9" s="41"/>
      <c r="D9" s="41"/>
      <c r="E9" s="41"/>
      <c r="F9" s="41"/>
      <c r="G9" s="41"/>
      <c r="H9" s="41">
        <f>INT(H13/G15)</f>
        <v>172588</v>
      </c>
      <c r="I9" s="41">
        <f t="shared" si="0"/>
        <v>172588</v>
      </c>
      <c r="J9" s="255">
        <f t="shared" si="1"/>
        <v>172588</v>
      </c>
      <c r="K9" s="19"/>
      <c r="T9"/>
    </row>
    <row r="10" spans="2:20" ht="15.75" thickBot="1" x14ac:dyDescent="0.3">
      <c r="B10" s="31" t="s">
        <v>73</v>
      </c>
      <c r="C10" s="41">
        <f t="shared" ref="C10:J10" si="2">SUM(C7:C9)</f>
        <v>1000000</v>
      </c>
      <c r="D10" s="41">
        <f t="shared" si="2"/>
        <v>1000000</v>
      </c>
      <c r="E10" s="41">
        <f t="shared" si="2"/>
        <v>1000000</v>
      </c>
      <c r="F10" s="41">
        <f t="shared" si="2"/>
        <v>850000</v>
      </c>
      <c r="G10" s="41">
        <f t="shared" si="2"/>
        <v>850000</v>
      </c>
      <c r="H10" s="41">
        <f t="shared" si="2"/>
        <v>1022588</v>
      </c>
      <c r="I10" s="41">
        <f t="shared" si="2"/>
        <v>1022588</v>
      </c>
      <c r="J10" s="41">
        <f t="shared" si="2"/>
        <v>1022588</v>
      </c>
      <c r="T10"/>
    </row>
    <row r="11" spans="2:20" x14ac:dyDescent="0.25">
      <c r="B11" s="27" t="s">
        <v>78</v>
      </c>
      <c r="C11" s="3">
        <v>60</v>
      </c>
      <c r="D11" s="3">
        <f>D7/D10*D14</f>
        <v>63</v>
      </c>
      <c r="E11" s="3">
        <f t="shared" ref="E11:J11" si="3">E7/E10*E14</f>
        <v>66</v>
      </c>
      <c r="F11" s="3">
        <f>F7/F10*F14</f>
        <v>55</v>
      </c>
      <c r="G11" s="3">
        <f t="shared" si="3"/>
        <v>57.941176470588239</v>
      </c>
      <c r="H11" s="3">
        <f t="shared" si="3"/>
        <v>57.941223640410414</v>
      </c>
      <c r="I11" s="3">
        <f t="shared" si="3"/>
        <v>60.386001009204101</v>
      </c>
      <c r="J11" s="44">
        <f t="shared" si="3"/>
        <v>62.830778377997788</v>
      </c>
      <c r="K11" s="169" t="s">
        <v>78</v>
      </c>
      <c r="P11" s="20"/>
      <c r="T11"/>
    </row>
    <row r="12" spans="2:20" x14ac:dyDescent="0.25">
      <c r="B12" s="27" t="s">
        <v>79</v>
      </c>
      <c r="C12" s="3">
        <v>40</v>
      </c>
      <c r="D12" s="3">
        <f>D8/D10*D14</f>
        <v>42</v>
      </c>
      <c r="E12" s="3">
        <f t="shared" ref="E12:J12" si="4">E8/E10*E14</f>
        <v>44</v>
      </c>
      <c r="F12" s="3">
        <f t="shared" si="4"/>
        <v>38.5</v>
      </c>
      <c r="G12" s="3">
        <f t="shared" si="4"/>
        <v>40.558823529411761</v>
      </c>
      <c r="H12" s="3">
        <f t="shared" si="4"/>
        <v>40.558856548287281</v>
      </c>
      <c r="I12" s="3">
        <f t="shared" si="4"/>
        <v>42.270200706442864</v>
      </c>
      <c r="J12" s="44">
        <f t="shared" si="4"/>
        <v>43.981544864598447</v>
      </c>
      <c r="K12" s="170" t="s">
        <v>79</v>
      </c>
      <c r="P12" s="20"/>
      <c r="T12"/>
    </row>
    <row r="13" spans="2:20" ht="15.75" thickBot="1" x14ac:dyDescent="0.3">
      <c r="B13" s="55" t="s">
        <v>80</v>
      </c>
      <c r="C13" s="70"/>
      <c r="D13" s="70"/>
      <c r="E13" s="70"/>
      <c r="F13" s="70"/>
      <c r="G13" s="70"/>
      <c r="H13" s="70">
        <v>20</v>
      </c>
      <c r="I13" s="70">
        <f>I9/I10*I14</f>
        <v>20.843798284353035</v>
      </c>
      <c r="J13" s="72">
        <f>J9/J10*J14</f>
        <v>21.687676757403764</v>
      </c>
      <c r="K13" s="171" t="s">
        <v>80</v>
      </c>
      <c r="P13" s="20"/>
      <c r="T13"/>
    </row>
    <row r="14" spans="2:20" x14ac:dyDescent="0.25">
      <c r="B14" s="27" t="s">
        <v>71</v>
      </c>
      <c r="C14" s="3">
        <f>SUM(C11:C13)</f>
        <v>100</v>
      </c>
      <c r="D14" s="3">
        <f>C14+D16</f>
        <v>105</v>
      </c>
      <c r="E14" s="3">
        <f>D14+E16</f>
        <v>110</v>
      </c>
      <c r="F14" s="35">
        <f>E14+(F7-E7)*E15+(F8-E8)*E15</f>
        <v>93.5</v>
      </c>
      <c r="G14" s="35">
        <f>F14+G16</f>
        <v>98.5</v>
      </c>
      <c r="H14" s="35">
        <f>G14+H13</f>
        <v>118.5</v>
      </c>
      <c r="I14" s="35">
        <f>H14+I16</f>
        <v>123.5</v>
      </c>
      <c r="J14" s="35">
        <f>I14+J16</f>
        <v>128.5</v>
      </c>
      <c r="L14" s="36"/>
      <c r="T14"/>
    </row>
    <row r="15" spans="2:20" ht="15.75" thickBot="1" x14ac:dyDescent="0.3">
      <c r="B15" s="31" t="s">
        <v>76</v>
      </c>
      <c r="C15" s="71">
        <f>C14/C10</f>
        <v>1E-4</v>
      </c>
      <c r="D15" s="167">
        <f>D14/D10</f>
        <v>1.05E-4</v>
      </c>
      <c r="E15" s="71">
        <f t="shared" ref="E15" si="5">E14/E10</f>
        <v>1.1E-4</v>
      </c>
      <c r="F15" s="71">
        <f>F14/F10</f>
        <v>1.1E-4</v>
      </c>
      <c r="G15" s="71">
        <f>G14/G10</f>
        <v>1.1588235294117647E-4</v>
      </c>
      <c r="H15" s="71">
        <f>H14/H10</f>
        <v>1.1588244728082082E-4</v>
      </c>
      <c r="I15" s="71">
        <f>I14/I10</f>
        <v>1.207720020184082E-4</v>
      </c>
      <c r="J15" s="71">
        <f>J14/J10</f>
        <v>1.2566155675599558E-4</v>
      </c>
      <c r="T15"/>
    </row>
    <row r="16" spans="2:20" ht="15.75" thickBot="1" x14ac:dyDescent="0.3">
      <c r="B16" s="27" t="s">
        <v>153</v>
      </c>
      <c r="C16" s="4"/>
      <c r="D16" s="168">
        <v>5</v>
      </c>
      <c r="E16" s="168">
        <v>5</v>
      </c>
      <c r="F16" s="168">
        <f t="shared" ref="F16" si="6">F15/E15-1</f>
        <v>0</v>
      </c>
      <c r="G16" s="168">
        <v>5</v>
      </c>
      <c r="H16" s="168">
        <v>0</v>
      </c>
      <c r="I16" s="168">
        <v>5</v>
      </c>
      <c r="J16" s="168">
        <v>5</v>
      </c>
      <c r="R16" s="51"/>
      <c r="T16"/>
    </row>
    <row r="17" spans="2:20" x14ac:dyDescent="0.25">
      <c r="B17" s="23" t="s">
        <v>129</v>
      </c>
      <c r="C17" s="38">
        <v>0</v>
      </c>
      <c r="D17" s="38">
        <f>C7/C10*30000000+C17</f>
        <v>18000000</v>
      </c>
      <c r="E17" s="38">
        <f>0*D7/D10*30000000+D17</f>
        <v>18000000</v>
      </c>
      <c r="F17" s="38">
        <f>E17</f>
        <v>18000000</v>
      </c>
      <c r="G17" s="38">
        <f>G7/G10*30000000+F17</f>
        <v>35647058.823529407</v>
      </c>
      <c r="H17" s="38">
        <f>G17</f>
        <v>35647058.823529407</v>
      </c>
      <c r="I17" s="256">
        <f>H17</f>
        <v>35647058.823529407</v>
      </c>
      <c r="J17" s="257">
        <f>I17</f>
        <v>35647058.823529407</v>
      </c>
      <c r="K17" s="163" t="s">
        <v>129</v>
      </c>
      <c r="L17" s="4"/>
      <c r="P17" s="20"/>
      <c r="R17" s="51"/>
      <c r="T17"/>
    </row>
    <row r="18" spans="2:20" x14ac:dyDescent="0.25">
      <c r="B18" s="27" t="s">
        <v>130</v>
      </c>
      <c r="C18" s="4"/>
      <c r="D18" s="4">
        <f>C18+C8/C10*30000000</f>
        <v>12000000</v>
      </c>
      <c r="E18" s="4">
        <f>D18+0*D8/D10*30000000</f>
        <v>12000000</v>
      </c>
      <c r="F18" s="4">
        <f>E18</f>
        <v>12000000</v>
      </c>
      <c r="G18" s="4">
        <f>F18+G8/G10*30000000</f>
        <v>24352941.176470585</v>
      </c>
      <c r="H18" s="4">
        <f>G18</f>
        <v>24352941.176470585</v>
      </c>
      <c r="I18" s="4">
        <f>H18+I8/I10*30000000</f>
        <v>34621006.125404075</v>
      </c>
      <c r="J18" s="258">
        <f>I18</f>
        <v>34621006.125404075</v>
      </c>
      <c r="K18" s="164" t="s">
        <v>130</v>
      </c>
      <c r="L18" s="4"/>
      <c r="P18" s="20"/>
      <c r="T18"/>
    </row>
    <row r="19" spans="2:20" ht="15.75" thickBot="1" x14ac:dyDescent="0.3">
      <c r="B19" s="31" t="s">
        <v>131</v>
      </c>
      <c r="C19" s="41"/>
      <c r="D19" s="41"/>
      <c r="E19" s="41"/>
      <c r="F19" s="41"/>
      <c r="G19" s="41"/>
      <c r="H19" s="41"/>
      <c r="I19" s="41">
        <f>INT(I9)/I10*30000000</f>
        <v>5063270.8383043809</v>
      </c>
      <c r="J19" s="259">
        <f>I19</f>
        <v>5063270.8383043809</v>
      </c>
      <c r="K19" s="165" t="s">
        <v>131</v>
      </c>
      <c r="L19" s="4"/>
      <c r="T19"/>
    </row>
    <row r="20" spans="2:20" ht="15.75" thickBot="1" x14ac:dyDescent="0.3">
      <c r="B20" s="31" t="s">
        <v>141</v>
      </c>
      <c r="C20" s="41">
        <f>SUM(C17:C19)</f>
        <v>0</v>
      </c>
      <c r="D20" s="41">
        <f t="shared" ref="D20:J20" si="7">SUM(D17:D19)</f>
        <v>30000000</v>
      </c>
      <c r="E20" s="41">
        <f t="shared" si="7"/>
        <v>30000000</v>
      </c>
      <c r="F20" s="41">
        <f t="shared" si="7"/>
        <v>30000000</v>
      </c>
      <c r="G20" s="41">
        <f t="shared" si="7"/>
        <v>59999999.999999993</v>
      </c>
      <c r="H20" s="41">
        <f t="shared" si="7"/>
        <v>59999999.999999993</v>
      </c>
      <c r="I20" s="41">
        <f t="shared" si="7"/>
        <v>75331335.787237868</v>
      </c>
      <c r="J20" s="41">
        <f t="shared" si="7"/>
        <v>75331335.787237868</v>
      </c>
      <c r="L20" s="4"/>
      <c r="T20"/>
    </row>
    <row r="21" spans="2:20" x14ac:dyDescent="0.25">
      <c r="B21" s="23" t="s">
        <v>140</v>
      </c>
      <c r="C21" s="38">
        <f>C17</f>
        <v>0</v>
      </c>
      <c r="D21" s="38">
        <f>D17-C17</f>
        <v>18000000</v>
      </c>
      <c r="E21" s="38">
        <f>E17-D17</f>
        <v>0</v>
      </c>
      <c r="F21" s="38">
        <f t="shared" ref="F21:F23" si="8">F17-E17</f>
        <v>0</v>
      </c>
      <c r="G21" s="38">
        <f t="shared" ref="G21:G23" si="9">G17-F17</f>
        <v>17647058.823529407</v>
      </c>
      <c r="H21" s="38">
        <f t="shared" ref="H21:H23" si="10">H17-G17</f>
        <v>0</v>
      </c>
      <c r="I21" s="38">
        <f t="shared" ref="I21:I23" si="11">I17-H17</f>
        <v>0</v>
      </c>
      <c r="J21" s="38">
        <f t="shared" ref="J21:J23" si="12">J17-I17</f>
        <v>0</v>
      </c>
      <c r="T21"/>
    </row>
    <row r="22" spans="2:20" x14ac:dyDescent="0.25">
      <c r="B22" s="27" t="s">
        <v>142</v>
      </c>
      <c r="C22" s="4">
        <v>0</v>
      </c>
      <c r="D22" s="4">
        <f t="shared" ref="D22:E22" si="13">D18-C18</f>
        <v>12000000</v>
      </c>
      <c r="E22" s="4">
        <f t="shared" si="13"/>
        <v>0</v>
      </c>
      <c r="F22" s="4">
        <f t="shared" si="8"/>
        <v>0</v>
      </c>
      <c r="G22" s="4">
        <f t="shared" si="9"/>
        <v>12352941.176470585</v>
      </c>
      <c r="H22" s="4">
        <f t="shared" si="10"/>
        <v>0</v>
      </c>
      <c r="I22" s="4">
        <f t="shared" si="11"/>
        <v>10268064.94893349</v>
      </c>
      <c r="J22" s="4">
        <f t="shared" si="12"/>
        <v>0</v>
      </c>
      <c r="T22"/>
    </row>
    <row r="23" spans="2:20" x14ac:dyDescent="0.25">
      <c r="B23" s="55" t="s">
        <v>143</v>
      </c>
      <c r="C23" s="56"/>
      <c r="D23" s="56">
        <f t="shared" ref="D23:E23" si="14">D19-C19</f>
        <v>0</v>
      </c>
      <c r="E23" s="56">
        <f t="shared" si="14"/>
        <v>0</v>
      </c>
      <c r="F23" s="56">
        <f t="shared" si="8"/>
        <v>0</v>
      </c>
      <c r="G23" s="56">
        <f t="shared" si="9"/>
        <v>0</v>
      </c>
      <c r="H23" s="56">
        <f t="shared" si="10"/>
        <v>0</v>
      </c>
      <c r="I23" s="56">
        <f t="shared" si="11"/>
        <v>5063270.8383043809</v>
      </c>
      <c r="J23" s="56">
        <f t="shared" si="12"/>
        <v>0</v>
      </c>
      <c r="T23"/>
    </row>
    <row r="24" spans="2:20" ht="15.75" thickBot="1" x14ac:dyDescent="0.3">
      <c r="B24" s="54"/>
      <c r="C24" s="41">
        <f>SUM(C21:C23)</f>
        <v>0</v>
      </c>
      <c r="D24" s="57">
        <f t="shared" ref="D24:J24" si="15">SUM(D21:D23)</f>
        <v>30000000</v>
      </c>
      <c r="E24" s="57">
        <f>SUM(E21:E23)</f>
        <v>0</v>
      </c>
      <c r="F24" s="57">
        <f t="shared" si="15"/>
        <v>0</v>
      </c>
      <c r="G24" s="57">
        <f t="shared" ref="G24" si="16">SUM(G21:G23)</f>
        <v>29999999.999999993</v>
      </c>
      <c r="H24" s="57">
        <f t="shared" si="15"/>
        <v>0</v>
      </c>
      <c r="I24" s="57">
        <f t="shared" si="15"/>
        <v>15331335.787237871</v>
      </c>
      <c r="J24" s="57">
        <f t="shared" si="15"/>
        <v>0</v>
      </c>
      <c r="T24"/>
    </row>
    <row r="25" spans="2:20" x14ac:dyDescent="0.25">
      <c r="B25" s="43"/>
      <c r="C25" s="4"/>
      <c r="D25" s="4"/>
      <c r="E25" s="4"/>
      <c r="F25" s="4"/>
      <c r="G25" s="4"/>
      <c r="H25" s="4"/>
      <c r="I25" s="4"/>
      <c r="J25" s="4"/>
      <c r="T25"/>
    </row>
    <row r="26" spans="2:20" x14ac:dyDescent="0.25">
      <c r="B26" s="43"/>
      <c r="C26" s="4"/>
      <c r="D26" s="3"/>
      <c r="E26" s="45"/>
      <c r="F26" s="3"/>
      <c r="G26" s="3"/>
      <c r="H26" s="3"/>
      <c r="I26" s="4"/>
      <c r="J26" s="161"/>
      <c r="T26"/>
    </row>
    <row r="27" spans="2:20" x14ac:dyDescent="0.25">
      <c r="C27" s="4"/>
      <c r="D27" s="4"/>
      <c r="E27" s="162"/>
      <c r="F27" s="19"/>
      <c r="G27" s="4"/>
      <c r="H27" s="4"/>
      <c r="I27" s="4"/>
      <c r="J27" s="4"/>
      <c r="T27"/>
    </row>
    <row r="28" spans="2:20" x14ac:dyDescent="0.25">
      <c r="C28" s="3"/>
      <c r="D28" s="3"/>
      <c r="E28" s="3"/>
      <c r="F28" s="19"/>
      <c r="G28" s="160"/>
      <c r="H28" s="3"/>
      <c r="I28" s="4"/>
      <c r="J28" s="4"/>
      <c r="T28"/>
    </row>
    <row r="29" spans="2:20" ht="16.5" x14ac:dyDescent="0.3">
      <c r="B29" s="43"/>
      <c r="C29" s="4"/>
      <c r="D29" s="4"/>
      <c r="E29" s="1"/>
      <c r="F29" s="19"/>
      <c r="G29" s="35"/>
      <c r="H29" s="68"/>
      <c r="I29" s="4"/>
      <c r="J29" s="4"/>
      <c r="T29"/>
    </row>
    <row r="30" spans="2:20" x14ac:dyDescent="0.25">
      <c r="B30" s="58"/>
      <c r="C30" s="162"/>
      <c r="D30" s="4"/>
      <c r="E30" s="3"/>
      <c r="F30" s="19"/>
      <c r="G30" s="8"/>
      <c r="H30" s="4"/>
      <c r="I30" s="4"/>
      <c r="K30" s="8"/>
      <c r="T30"/>
    </row>
    <row r="31" spans="2:20" x14ac:dyDescent="0.25">
      <c r="C31" s="4"/>
      <c r="D31" s="4"/>
      <c r="E31" s="48"/>
      <c r="F31" s="19"/>
      <c r="G31" s="35"/>
      <c r="H31" s="4"/>
      <c r="I31" s="4"/>
      <c r="T31"/>
    </row>
    <row r="32" spans="2:20" x14ac:dyDescent="0.25">
      <c r="B32" s="43"/>
      <c r="C32" s="4"/>
      <c r="D32" s="4"/>
      <c r="E32" s="4"/>
      <c r="F32" s="19"/>
      <c r="G32" s="35"/>
      <c r="H32" s="4"/>
      <c r="I32" s="4"/>
      <c r="J32" s="4"/>
      <c r="K32" s="20"/>
      <c r="T32"/>
    </row>
    <row r="33" spans="2:20" x14ac:dyDescent="0.25">
      <c r="C33" s="4"/>
      <c r="D33" s="4"/>
      <c r="E33" s="162"/>
      <c r="F33" s="19"/>
      <c r="G33" s="160"/>
      <c r="H33" s="4"/>
      <c r="I33" s="4"/>
      <c r="T33"/>
    </row>
    <row r="34" spans="2:20" x14ac:dyDescent="0.25">
      <c r="B34" s="4"/>
      <c r="C34" s="4"/>
      <c r="D34" s="4"/>
      <c r="E34" s="4"/>
      <c r="F34" s="19"/>
      <c r="G34" s="35"/>
      <c r="H34" s="4"/>
      <c r="I34" s="4"/>
    </row>
    <row r="35" spans="2:20" x14ac:dyDescent="0.25">
      <c r="D35" s="32"/>
      <c r="E35" s="162"/>
      <c r="F35" s="35"/>
      <c r="G35" s="35"/>
      <c r="J35" s="3"/>
    </row>
    <row r="36" spans="2:20" x14ac:dyDescent="0.25">
      <c r="F36" s="35"/>
      <c r="G36" s="35"/>
      <c r="I36" s="4"/>
      <c r="J36" s="4"/>
    </row>
    <row r="37" spans="2:20" x14ac:dyDescent="0.25">
      <c r="B37" s="49"/>
      <c r="I37" s="4"/>
    </row>
    <row r="42" spans="2:20" x14ac:dyDescent="0.25">
      <c r="B42" s="4"/>
    </row>
    <row r="43" spans="2:20" x14ac:dyDescent="0.25">
      <c r="B43" s="4"/>
    </row>
    <row r="44" spans="2:20" x14ac:dyDescent="0.25">
      <c r="B4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C9CB9-2A86-4AEB-8D2D-B9964CF528A2}">
  <sheetPr codeName="Sheet12"/>
  <dimension ref="B1:V121"/>
  <sheetViews>
    <sheetView zoomScale="75" zoomScaleNormal="75" workbookViewId="0">
      <selection activeCell="F7" sqref="F7"/>
    </sheetView>
  </sheetViews>
  <sheetFormatPr defaultRowHeight="15" x14ac:dyDescent="0.25"/>
  <cols>
    <col min="2" max="2" width="11.5703125" bestFit="1" customWidth="1"/>
    <col min="3" max="3" width="13.28515625" customWidth="1"/>
    <col min="4" max="4" width="17.85546875" customWidth="1"/>
    <col min="5" max="5" width="14.5703125" bestFit="1" customWidth="1"/>
    <col min="6" max="6" width="12" customWidth="1"/>
    <col min="7" max="12" width="10.7109375" customWidth="1"/>
    <col min="13" max="13" width="13.85546875" bestFit="1" customWidth="1"/>
    <col min="14" max="14" width="7.85546875" style="12" customWidth="1"/>
    <col min="15" max="16" width="9.28515625" bestFit="1" customWidth="1"/>
    <col min="17" max="17" width="10.28515625" customWidth="1"/>
    <col min="18" max="18" width="11.7109375" customWidth="1"/>
    <col min="19" max="19" width="15.5703125" customWidth="1"/>
    <col min="20" max="20" width="15.85546875" customWidth="1"/>
    <col min="21" max="21" width="20" bestFit="1" customWidth="1"/>
    <col min="22" max="22" width="9.140625" style="2"/>
    <col min="23" max="23" width="16.85546875" bestFit="1" customWidth="1"/>
  </cols>
  <sheetData>
    <row r="1" spans="2:22" x14ac:dyDescent="0.25">
      <c r="B1" s="1" t="s">
        <v>35</v>
      </c>
      <c r="F1" s="45"/>
    </row>
    <row r="2" spans="2:22" x14ac:dyDescent="0.25">
      <c r="D2" s="4"/>
      <c r="E2" t="s">
        <v>144</v>
      </c>
      <c r="K2" t="s">
        <v>55</v>
      </c>
      <c r="O2" t="s">
        <v>56</v>
      </c>
    </row>
    <row r="3" spans="2:22" x14ac:dyDescent="0.25">
      <c r="B3" s="1" t="s">
        <v>41</v>
      </c>
      <c r="D3" s="20"/>
      <c r="U3" s="43">
        <v>1000000</v>
      </c>
    </row>
    <row r="4" spans="2:22" ht="15.75" thickBot="1" x14ac:dyDescent="0.3">
      <c r="C4" s="2" t="s">
        <v>53</v>
      </c>
      <c r="D4" s="2" t="s">
        <v>152</v>
      </c>
      <c r="E4" s="2" t="s">
        <v>52</v>
      </c>
      <c r="F4" s="2" t="s">
        <v>93</v>
      </c>
      <c r="G4" s="2" t="s">
        <v>94</v>
      </c>
      <c r="H4" s="2" t="s">
        <v>40</v>
      </c>
      <c r="I4" s="2" t="s">
        <v>50</v>
      </c>
      <c r="J4" s="2" t="s">
        <v>51</v>
      </c>
      <c r="K4" s="2" t="s">
        <v>93</v>
      </c>
      <c r="L4" s="2" t="s">
        <v>94</v>
      </c>
      <c r="M4" s="2" t="s">
        <v>40</v>
      </c>
      <c r="N4" s="2" t="s">
        <v>157</v>
      </c>
      <c r="O4" s="2" t="s">
        <v>49</v>
      </c>
      <c r="P4" s="2" t="s">
        <v>68</v>
      </c>
      <c r="Q4" s="2" t="s">
        <v>69</v>
      </c>
      <c r="R4" s="2"/>
      <c r="T4" s="2" t="s">
        <v>95</v>
      </c>
      <c r="U4" s="2" t="s">
        <v>96</v>
      </c>
    </row>
    <row r="5" spans="2:22" s="73" customFormat="1" x14ac:dyDescent="0.25">
      <c r="B5" s="73">
        <v>1</v>
      </c>
      <c r="E5" s="74" t="s">
        <v>87</v>
      </c>
      <c r="F5" s="184">
        <v>150</v>
      </c>
      <c r="G5" s="180">
        <v>125</v>
      </c>
      <c r="H5" s="75">
        <v>0</v>
      </c>
      <c r="I5" s="75">
        <f>SUM(F5:H5)</f>
        <v>275</v>
      </c>
      <c r="J5" s="63">
        <v>0</v>
      </c>
      <c r="K5" s="76"/>
      <c r="L5" s="76"/>
      <c r="M5" s="77"/>
      <c r="N5" s="78" t="s">
        <v>150</v>
      </c>
      <c r="S5" s="78" t="s">
        <v>82</v>
      </c>
      <c r="T5" s="78" t="s">
        <v>97</v>
      </c>
      <c r="U5" s="78"/>
      <c r="V5" s="79"/>
    </row>
    <row r="6" spans="2:22" s="73" customFormat="1" ht="15.75" thickBot="1" x14ac:dyDescent="0.3">
      <c r="C6" s="80">
        <v>2</v>
      </c>
      <c r="D6" s="80">
        <v>0.1</v>
      </c>
      <c r="E6" s="174">
        <v>1</v>
      </c>
      <c r="F6" s="273">
        <v>150</v>
      </c>
      <c r="G6" s="274">
        <v>125</v>
      </c>
      <c r="H6" s="175">
        <v>0</v>
      </c>
      <c r="I6" s="175">
        <f t="shared" ref="I6:I14" si="0">SUM(F6:H6)</f>
        <v>275</v>
      </c>
      <c r="J6" s="275">
        <f>(D6*1000000000000/(I6*1000000))</f>
        <v>363.63636363636363</v>
      </c>
      <c r="K6" s="173">
        <f>(O6*$D6)</f>
        <v>5.4545454545454543E-2</v>
      </c>
      <c r="L6" s="61">
        <f>P6*$D6</f>
        <v>4.5454545454545456E-2</v>
      </c>
      <c r="M6" s="62">
        <f>Q6*$D6</f>
        <v>0</v>
      </c>
      <c r="N6" s="78" t="s">
        <v>150</v>
      </c>
      <c r="O6" s="82">
        <f>F6/$I6</f>
        <v>0.54545454545454541</v>
      </c>
      <c r="P6" s="82">
        <f>G6/$I6</f>
        <v>0.45454545454545453</v>
      </c>
      <c r="Q6" s="82">
        <f>H6/$I6</f>
        <v>0</v>
      </c>
      <c r="R6" s="82">
        <f>SUM(O6:Q6)</f>
        <v>1</v>
      </c>
      <c r="S6" s="83"/>
      <c r="U6" s="84"/>
      <c r="V6" s="79"/>
    </row>
    <row r="7" spans="2:22" s="73" customFormat="1" x14ac:dyDescent="0.25">
      <c r="B7" s="73">
        <v>2</v>
      </c>
      <c r="C7" s="85"/>
      <c r="D7" s="80"/>
      <c r="E7" s="74" t="s">
        <v>88</v>
      </c>
      <c r="F7" s="184">
        <v>150</v>
      </c>
      <c r="G7" s="180">
        <v>125</v>
      </c>
      <c r="H7" s="75">
        <v>0</v>
      </c>
      <c r="I7" s="75">
        <f t="shared" si="0"/>
        <v>275</v>
      </c>
      <c r="J7" s="63">
        <f>J6</f>
        <v>363.63636363636363</v>
      </c>
      <c r="K7" s="172"/>
      <c r="L7" s="64"/>
      <c r="M7" s="65"/>
      <c r="N7" s="78" t="s">
        <v>150</v>
      </c>
      <c r="O7" s="82">
        <f>F7/$I7</f>
        <v>0.54545454545454541</v>
      </c>
      <c r="P7" s="82">
        <f t="shared" ref="O7:Q14" si="1">G7/$I7</f>
        <v>0.45454545454545453</v>
      </c>
      <c r="Q7" s="82">
        <f t="shared" si="1"/>
        <v>0</v>
      </c>
      <c r="R7" s="82">
        <f t="shared" ref="R7:R14" si="2">SUM(O7:Q7)</f>
        <v>1</v>
      </c>
      <c r="S7" s="83">
        <v>125</v>
      </c>
      <c r="T7" s="179">
        <f>(L6+L8+L10+L12)</f>
        <v>0.15757575757575756</v>
      </c>
      <c r="U7" s="166">
        <f>S7*INT((J12-J5))/U$3</f>
        <v>0.1575</v>
      </c>
      <c r="V7" s="79"/>
    </row>
    <row r="8" spans="2:22" s="73" customFormat="1" ht="15.75" thickBot="1" x14ac:dyDescent="0.3">
      <c r="C8" s="80">
        <v>2</v>
      </c>
      <c r="D8" s="80">
        <v>0.1</v>
      </c>
      <c r="E8" s="81">
        <v>2</v>
      </c>
      <c r="F8" s="276">
        <v>150</v>
      </c>
      <c r="G8" s="277">
        <v>125</v>
      </c>
      <c r="H8" s="59">
        <v>0</v>
      </c>
      <c r="I8" s="59">
        <f t="shared" si="0"/>
        <v>275</v>
      </c>
      <c r="J8" s="60">
        <f>(D8*1000000000000/(I8*1000000))+J6</f>
        <v>727.27272727272725</v>
      </c>
      <c r="K8" s="173">
        <f>(O8*$D8)</f>
        <v>5.4545454545454543E-2</v>
      </c>
      <c r="L8" s="61">
        <f>P8*$D8</f>
        <v>4.5454545454545456E-2</v>
      </c>
      <c r="M8" s="62">
        <f>Q8*$D8</f>
        <v>0</v>
      </c>
      <c r="N8" s="78" t="s">
        <v>150</v>
      </c>
      <c r="O8" s="82">
        <f t="shared" si="1"/>
        <v>0.54545454545454541</v>
      </c>
      <c r="P8" s="82">
        <f t="shared" si="1"/>
        <v>0.45454545454545453</v>
      </c>
      <c r="Q8" s="82">
        <f t="shared" si="1"/>
        <v>0</v>
      </c>
      <c r="R8" s="82">
        <f t="shared" si="2"/>
        <v>1</v>
      </c>
      <c r="S8" s="83">
        <v>150</v>
      </c>
      <c r="T8" s="316">
        <f>SUM(K6:K14)</f>
        <v>0.24909090909090911</v>
      </c>
      <c r="U8" s="166">
        <f>S8*((J14-J5))/U3</f>
        <v>0.24909090909090911</v>
      </c>
      <c r="V8" s="79"/>
    </row>
    <row r="9" spans="2:22" s="73" customFormat="1" ht="15.75" thickBot="1" x14ac:dyDescent="0.3">
      <c r="B9" s="73">
        <v>3</v>
      </c>
      <c r="C9" s="85"/>
      <c r="D9" s="80"/>
      <c r="E9" s="174" t="s">
        <v>89</v>
      </c>
      <c r="F9" s="273">
        <v>150</v>
      </c>
      <c r="G9" s="274">
        <v>125</v>
      </c>
      <c r="H9" s="182">
        <v>100</v>
      </c>
      <c r="I9" s="175">
        <f t="shared" si="0"/>
        <v>375</v>
      </c>
      <c r="J9" s="275">
        <f>J8</f>
        <v>727.27272727272725</v>
      </c>
      <c r="K9" s="172"/>
      <c r="L9" s="64"/>
      <c r="M9" s="65"/>
      <c r="N9" s="78" t="s">
        <v>150</v>
      </c>
      <c r="O9" s="82">
        <f t="shared" si="1"/>
        <v>0.4</v>
      </c>
      <c r="P9" s="82">
        <f t="shared" si="1"/>
        <v>0.33333333333333331</v>
      </c>
      <c r="Q9" s="82">
        <f t="shared" si="1"/>
        <v>0.26666666666666666</v>
      </c>
      <c r="R9" s="82">
        <f t="shared" si="2"/>
        <v>1</v>
      </c>
      <c r="S9" s="83">
        <v>100</v>
      </c>
      <c r="T9" s="317">
        <f>(M10+M12+M14)</f>
        <v>9.3333333333333351E-2</v>
      </c>
      <c r="U9" s="166">
        <f>S9*INT((J14-J8))/U3</f>
        <v>9.3299999999999994E-2</v>
      </c>
      <c r="V9" s="79"/>
    </row>
    <row r="10" spans="2:22" s="73" customFormat="1" ht="15.75" thickBot="1" x14ac:dyDescent="0.3">
      <c r="C10" s="80">
        <v>2</v>
      </c>
      <c r="D10" s="80">
        <v>0.1</v>
      </c>
      <c r="E10" s="174">
        <v>3</v>
      </c>
      <c r="F10" s="273">
        <v>150</v>
      </c>
      <c r="G10" s="274">
        <v>125</v>
      </c>
      <c r="H10" s="182">
        <v>100</v>
      </c>
      <c r="I10" s="175">
        <f t="shared" si="0"/>
        <v>375</v>
      </c>
      <c r="J10" s="275">
        <f>(D10*1000000000000/(I10*1000000))+J8</f>
        <v>993.93939393939399</v>
      </c>
      <c r="K10" s="173">
        <f>(O10*$D10)</f>
        <v>4.0000000000000008E-2</v>
      </c>
      <c r="L10" s="61">
        <f>P10*$D10</f>
        <v>3.3333333333333333E-2</v>
      </c>
      <c r="M10" s="62">
        <f>Q10*$D10</f>
        <v>2.6666666666666668E-2</v>
      </c>
      <c r="N10" s="78" t="s">
        <v>150</v>
      </c>
      <c r="O10" s="82">
        <f t="shared" si="1"/>
        <v>0.4</v>
      </c>
      <c r="P10" s="82">
        <f t="shared" si="1"/>
        <v>0.33333333333333331</v>
      </c>
      <c r="Q10" s="82">
        <f t="shared" si="1"/>
        <v>0.26666666666666666</v>
      </c>
      <c r="R10" s="82">
        <f t="shared" si="2"/>
        <v>1</v>
      </c>
      <c r="S10" s="83"/>
      <c r="T10" s="84">
        <f>SUM(T6:T9)</f>
        <v>0.5</v>
      </c>
      <c r="U10" s="318">
        <f>SUM(U6:U9)</f>
        <v>0.49989090909090911</v>
      </c>
      <c r="V10" s="79"/>
    </row>
    <row r="11" spans="2:22" s="73" customFormat="1" x14ac:dyDescent="0.25">
      <c r="B11" s="73">
        <v>4</v>
      </c>
      <c r="C11" s="85"/>
      <c r="D11" s="80"/>
      <c r="E11" s="74" t="s">
        <v>90</v>
      </c>
      <c r="F11" s="184">
        <v>150</v>
      </c>
      <c r="G11" s="180">
        <v>125</v>
      </c>
      <c r="H11" s="181">
        <v>100</v>
      </c>
      <c r="I11" s="75">
        <f t="shared" si="0"/>
        <v>375</v>
      </c>
      <c r="J11" s="63">
        <f>J10</f>
        <v>993.93939393939399</v>
      </c>
      <c r="K11" s="172"/>
      <c r="L11" s="64"/>
      <c r="M11" s="65"/>
      <c r="N11" s="78" t="s">
        <v>150</v>
      </c>
      <c r="O11" s="82">
        <f t="shared" si="1"/>
        <v>0.4</v>
      </c>
      <c r="P11" s="82">
        <f t="shared" si="1"/>
        <v>0.33333333333333331</v>
      </c>
      <c r="Q11" s="82">
        <f t="shared" si="1"/>
        <v>0.26666666666666666</v>
      </c>
      <c r="R11" s="82">
        <f t="shared" si="2"/>
        <v>1</v>
      </c>
      <c r="V11" s="79"/>
    </row>
    <row r="12" spans="2:22" s="73" customFormat="1" ht="15.75" thickBot="1" x14ac:dyDescent="0.3">
      <c r="C12" s="80">
        <v>2</v>
      </c>
      <c r="D12" s="80">
        <v>0.1</v>
      </c>
      <c r="E12" s="81">
        <v>4</v>
      </c>
      <c r="F12" s="276">
        <v>150</v>
      </c>
      <c r="G12" s="277">
        <v>125</v>
      </c>
      <c r="H12" s="183">
        <v>100</v>
      </c>
      <c r="I12" s="59">
        <f t="shared" si="0"/>
        <v>375</v>
      </c>
      <c r="J12" s="60">
        <f>(D12*1000000000000/(I12*1000000))+J10</f>
        <v>1260.6060606060607</v>
      </c>
      <c r="K12" s="173">
        <f>(O12*$D12)</f>
        <v>4.0000000000000008E-2</v>
      </c>
      <c r="L12" s="61">
        <f>P12*$D12</f>
        <v>3.3333333333333333E-2</v>
      </c>
      <c r="M12" s="62">
        <f>Q12*$D12</f>
        <v>2.6666666666666668E-2</v>
      </c>
      <c r="N12" s="78" t="s">
        <v>150</v>
      </c>
      <c r="O12" s="82">
        <f t="shared" si="1"/>
        <v>0.4</v>
      </c>
      <c r="P12" s="82">
        <f t="shared" si="1"/>
        <v>0.33333333333333331</v>
      </c>
      <c r="Q12" s="82">
        <f t="shared" si="1"/>
        <v>0.26666666666666666</v>
      </c>
      <c r="R12" s="82">
        <f t="shared" si="2"/>
        <v>1</v>
      </c>
      <c r="T12" s="85"/>
      <c r="V12" s="79"/>
    </row>
    <row r="13" spans="2:22" s="73" customFormat="1" x14ac:dyDescent="0.25">
      <c r="B13" s="73">
        <v>5</v>
      </c>
      <c r="C13" s="85"/>
      <c r="D13" s="80"/>
      <c r="E13" s="174" t="s">
        <v>91</v>
      </c>
      <c r="F13" s="273">
        <v>150</v>
      </c>
      <c r="G13" s="175">
        <v>0</v>
      </c>
      <c r="H13" s="182">
        <v>100</v>
      </c>
      <c r="I13" s="175">
        <f t="shared" si="0"/>
        <v>250</v>
      </c>
      <c r="J13" s="275">
        <f>J12</f>
        <v>1260.6060606060607</v>
      </c>
      <c r="K13" s="172"/>
      <c r="L13" s="64"/>
      <c r="M13" s="65"/>
      <c r="N13" s="78" t="s">
        <v>150</v>
      </c>
      <c r="O13" s="82">
        <f t="shared" si="1"/>
        <v>0.6</v>
      </c>
      <c r="P13" s="82">
        <f t="shared" si="1"/>
        <v>0</v>
      </c>
      <c r="Q13" s="82">
        <f t="shared" si="1"/>
        <v>0.4</v>
      </c>
      <c r="R13" s="82">
        <f t="shared" si="2"/>
        <v>1</v>
      </c>
      <c r="V13" s="79"/>
    </row>
    <row r="14" spans="2:22" s="73" customFormat="1" ht="15.75" thickBot="1" x14ac:dyDescent="0.3">
      <c r="C14" s="80">
        <v>2</v>
      </c>
      <c r="D14" s="80">
        <v>0.1</v>
      </c>
      <c r="E14" s="81">
        <v>5</v>
      </c>
      <c r="F14" s="276">
        <v>150</v>
      </c>
      <c r="G14" s="59">
        <v>0</v>
      </c>
      <c r="H14" s="183">
        <v>100</v>
      </c>
      <c r="I14" s="59">
        <f t="shared" si="0"/>
        <v>250</v>
      </c>
      <c r="J14" s="60">
        <f>(D14*1000000000000/(I14*1000000))+J12</f>
        <v>1660.6060606060607</v>
      </c>
      <c r="K14" s="173">
        <f>(O14*$D14)</f>
        <v>0.06</v>
      </c>
      <c r="L14" s="61">
        <f>P14*$D14</f>
        <v>0</v>
      </c>
      <c r="M14" s="62">
        <f>Q14*$D14</f>
        <v>4.0000000000000008E-2</v>
      </c>
      <c r="N14" s="78" t="s">
        <v>150</v>
      </c>
      <c r="O14" s="82">
        <f t="shared" si="1"/>
        <v>0.6</v>
      </c>
      <c r="P14" s="82">
        <f t="shared" si="1"/>
        <v>0</v>
      </c>
      <c r="Q14" s="82">
        <f t="shared" si="1"/>
        <v>0.4</v>
      </c>
      <c r="R14" s="82">
        <f t="shared" si="2"/>
        <v>1</v>
      </c>
      <c r="T14" s="80"/>
      <c r="V14" s="79"/>
    </row>
    <row r="15" spans="2:22" s="73" customFormat="1" x14ac:dyDescent="0.25">
      <c r="B15" s="73">
        <v>6</v>
      </c>
      <c r="C15" s="85"/>
      <c r="D15" s="80"/>
      <c r="E15" s="78" t="s">
        <v>92</v>
      </c>
      <c r="F15" s="83">
        <v>0</v>
      </c>
      <c r="G15" s="83">
        <v>0</v>
      </c>
      <c r="H15" s="83">
        <v>0</v>
      </c>
      <c r="I15" s="83">
        <v>0</v>
      </c>
      <c r="J15" s="86">
        <f>J14</f>
        <v>1660.6060606060607</v>
      </c>
      <c r="N15" s="78" t="s">
        <v>150</v>
      </c>
      <c r="V15" s="79"/>
    </row>
    <row r="16" spans="2:22" x14ac:dyDescent="0.25">
      <c r="B16" s="1"/>
      <c r="C16" s="8"/>
      <c r="D16" s="35"/>
      <c r="E16" s="2"/>
      <c r="F16" s="4"/>
      <c r="G16" s="4"/>
      <c r="H16" s="4"/>
      <c r="I16" s="4"/>
      <c r="J16" s="50"/>
      <c r="K16" s="11"/>
    </row>
    <row r="17" spans="2:22" x14ac:dyDescent="0.25">
      <c r="B17" s="1"/>
      <c r="C17" t="s">
        <v>146</v>
      </c>
      <c r="E17" t="s">
        <v>145</v>
      </c>
      <c r="G17" s="45">
        <v>100000000000000</v>
      </c>
      <c r="K17" t="s">
        <v>55</v>
      </c>
      <c r="O17" t="s">
        <v>56</v>
      </c>
    </row>
    <row r="19" spans="2:22" s="87" customFormat="1" ht="15.75" thickBot="1" x14ac:dyDescent="0.3">
      <c r="C19" s="88" t="s">
        <v>53</v>
      </c>
      <c r="D19" s="88" t="s">
        <v>54</v>
      </c>
      <c r="E19" s="88" t="s">
        <v>52</v>
      </c>
      <c r="F19" s="88" t="s">
        <v>93</v>
      </c>
      <c r="G19" s="88" t="s">
        <v>94</v>
      </c>
      <c r="H19" s="88" t="s">
        <v>40</v>
      </c>
      <c r="I19" s="88" t="s">
        <v>50</v>
      </c>
      <c r="J19" s="88" t="s">
        <v>51</v>
      </c>
      <c r="K19" s="88" t="s">
        <v>93</v>
      </c>
      <c r="L19" s="88" t="s">
        <v>94</v>
      </c>
      <c r="M19" s="88" t="s">
        <v>40</v>
      </c>
      <c r="N19" s="88" t="s">
        <v>149</v>
      </c>
      <c r="O19" s="88" t="s">
        <v>49</v>
      </c>
      <c r="P19" s="88" t="s">
        <v>68</v>
      </c>
      <c r="Q19" s="88" t="s">
        <v>69</v>
      </c>
      <c r="R19" s="88"/>
      <c r="T19" s="88" t="s">
        <v>95</v>
      </c>
      <c r="U19" s="88"/>
      <c r="V19" s="89"/>
    </row>
    <row r="20" spans="2:22" s="87" customFormat="1" ht="15.75" thickBot="1" x14ac:dyDescent="0.3">
      <c r="E20" s="90" t="s">
        <v>87</v>
      </c>
      <c r="F20" s="91">
        <v>150</v>
      </c>
      <c r="G20" s="91">
        <v>125</v>
      </c>
      <c r="H20" s="91">
        <v>0</v>
      </c>
      <c r="I20" s="91">
        <f>SUM(F20:H20)</f>
        <v>275</v>
      </c>
      <c r="J20" s="92">
        <v>0</v>
      </c>
      <c r="K20" s="93"/>
      <c r="L20" s="93"/>
      <c r="M20" s="94"/>
      <c r="N20" s="88" t="s">
        <v>149</v>
      </c>
      <c r="S20" s="88" t="s">
        <v>82</v>
      </c>
      <c r="T20" s="88" t="s">
        <v>97</v>
      </c>
      <c r="U20" s="88"/>
      <c r="V20" s="89"/>
    </row>
    <row r="21" spans="2:22" s="87" customFormat="1" ht="15.75" thickBot="1" x14ac:dyDescent="0.3">
      <c r="C21" s="95">
        <v>2</v>
      </c>
      <c r="D21" s="95">
        <f>C21*0.05</f>
        <v>0.1</v>
      </c>
      <c r="E21" s="268">
        <v>1</v>
      </c>
      <c r="F21" s="269">
        <v>150</v>
      </c>
      <c r="G21" s="269">
        <v>125</v>
      </c>
      <c r="H21" s="269">
        <v>0</v>
      </c>
      <c r="I21" s="269">
        <f t="shared" ref="I21:I29" si="3">SUM(F21:H21)</f>
        <v>275</v>
      </c>
      <c r="J21" s="270">
        <f>D21/I21</f>
        <v>3.6363636363636367E-4</v>
      </c>
      <c r="K21" s="99">
        <f>O21*$D21</f>
        <v>5.4545454545454543E-2</v>
      </c>
      <c r="L21" s="99">
        <f>P21*$D21</f>
        <v>4.5454545454545456E-2</v>
      </c>
      <c r="M21" s="100">
        <f>Q21*$D21</f>
        <v>0</v>
      </c>
      <c r="N21" s="88" t="s">
        <v>149</v>
      </c>
      <c r="O21" s="101">
        <f>F21/$I21</f>
        <v>0.54545454545454541</v>
      </c>
      <c r="P21" s="101">
        <f>G21/$I21</f>
        <v>0.45454545454545453</v>
      </c>
      <c r="Q21" s="101">
        <f>H21/$I21</f>
        <v>0</v>
      </c>
      <c r="R21" s="101">
        <f>SUM(O21:Q21)</f>
        <v>1</v>
      </c>
      <c r="S21" s="102">
        <v>50</v>
      </c>
      <c r="T21" s="294">
        <f>(K21+K23+K25)</f>
        <v>0.14909090909090911</v>
      </c>
      <c r="U21" s="103"/>
      <c r="V21" s="89"/>
    </row>
    <row r="22" spans="2:22" s="87" customFormat="1" x14ac:dyDescent="0.25">
      <c r="C22" s="104"/>
      <c r="D22" s="104"/>
      <c r="E22" s="90" t="s">
        <v>88</v>
      </c>
      <c r="F22" s="91">
        <v>150</v>
      </c>
      <c r="G22" s="91">
        <v>125</v>
      </c>
      <c r="H22" s="91">
        <v>0</v>
      </c>
      <c r="I22" s="91">
        <f t="shared" si="3"/>
        <v>275</v>
      </c>
      <c r="J22" s="92">
        <f>J21</f>
        <v>3.6363636363636367E-4</v>
      </c>
      <c r="K22" s="105"/>
      <c r="L22" s="105"/>
      <c r="M22" s="106"/>
      <c r="N22" s="88" t="s">
        <v>149</v>
      </c>
      <c r="O22" s="101">
        <f t="shared" ref="O22:O29" si="4">F22/$I22</f>
        <v>0.54545454545454541</v>
      </c>
      <c r="P22" s="101">
        <f t="shared" ref="P22:P29" si="5">G22/$I22</f>
        <v>0.45454545454545453</v>
      </c>
      <c r="Q22" s="101">
        <f t="shared" ref="Q22:Q29" si="6">H22/$I22</f>
        <v>0</v>
      </c>
      <c r="R22" s="101">
        <f t="shared" ref="R22:R29" si="7">SUM(O22:Q22)</f>
        <v>1</v>
      </c>
      <c r="S22" s="102">
        <v>125</v>
      </c>
      <c r="T22" s="295">
        <f>(L21+L23+L25+L27)</f>
        <v>0.1627039627039627</v>
      </c>
      <c r="U22" s="103"/>
      <c r="V22" s="89"/>
    </row>
    <row r="23" spans="2:22" s="87" customFormat="1" ht="15.75" thickBot="1" x14ac:dyDescent="0.3">
      <c r="C23" s="95">
        <v>2</v>
      </c>
      <c r="D23" s="95">
        <f>C23*0.05</f>
        <v>0.1</v>
      </c>
      <c r="E23" s="268">
        <v>2</v>
      </c>
      <c r="F23" s="269">
        <v>150</v>
      </c>
      <c r="G23" s="269">
        <v>125</v>
      </c>
      <c r="H23" s="269">
        <v>0</v>
      </c>
      <c r="I23" s="269">
        <f t="shared" si="3"/>
        <v>275</v>
      </c>
      <c r="J23" s="270">
        <f>D23/I23+J21</f>
        <v>7.2727272727272734E-4</v>
      </c>
      <c r="K23" s="99">
        <f>O23*$D23</f>
        <v>5.4545454545454543E-2</v>
      </c>
      <c r="L23" s="99">
        <f>P23*$D23</f>
        <v>4.5454545454545456E-2</v>
      </c>
      <c r="M23" s="100">
        <f>Q23*$D23</f>
        <v>0</v>
      </c>
      <c r="N23" s="88" t="s">
        <v>149</v>
      </c>
      <c r="O23" s="101">
        <f t="shared" si="4"/>
        <v>0.54545454545454541</v>
      </c>
      <c r="P23" s="101">
        <f t="shared" si="5"/>
        <v>0.45454545454545453</v>
      </c>
      <c r="Q23" s="101">
        <f t="shared" si="6"/>
        <v>0</v>
      </c>
      <c r="R23" s="101">
        <f t="shared" si="7"/>
        <v>1</v>
      </c>
      <c r="S23" s="102">
        <v>100</v>
      </c>
      <c r="T23" s="295">
        <f>(K27+K29)</f>
        <v>8.0769230769230774E-2</v>
      </c>
      <c r="U23" s="103"/>
      <c r="V23" s="89"/>
    </row>
    <row r="24" spans="2:22" s="87" customFormat="1" ht="15.75" thickBot="1" x14ac:dyDescent="0.3">
      <c r="C24" s="104"/>
      <c r="D24" s="104"/>
      <c r="E24" s="90" t="s">
        <v>89</v>
      </c>
      <c r="F24" s="91">
        <v>150</v>
      </c>
      <c r="G24" s="91">
        <v>125</v>
      </c>
      <c r="H24" s="91">
        <v>100</v>
      </c>
      <c r="I24" s="91">
        <f t="shared" si="3"/>
        <v>375</v>
      </c>
      <c r="J24" s="92">
        <f>J23</f>
        <v>7.2727272727272734E-4</v>
      </c>
      <c r="K24" s="105"/>
      <c r="L24" s="105"/>
      <c r="M24" s="106"/>
      <c r="N24" s="88" t="s">
        <v>149</v>
      </c>
      <c r="O24" s="101">
        <f t="shared" si="4"/>
        <v>0.4</v>
      </c>
      <c r="P24" s="101">
        <f t="shared" si="5"/>
        <v>0.33333333333333331</v>
      </c>
      <c r="Q24" s="101">
        <f t="shared" si="6"/>
        <v>0.26666666666666666</v>
      </c>
      <c r="R24" s="101">
        <f t="shared" si="7"/>
        <v>1</v>
      </c>
      <c r="S24" s="102">
        <v>100</v>
      </c>
      <c r="T24" s="296">
        <f>(M25+M27+M29)</f>
        <v>0.10743589743589745</v>
      </c>
      <c r="U24" s="103"/>
      <c r="V24" s="89"/>
    </row>
    <row r="25" spans="2:22" s="87" customFormat="1" ht="15.75" thickBot="1" x14ac:dyDescent="0.3">
      <c r="C25" s="95">
        <v>2</v>
      </c>
      <c r="D25" s="95">
        <f>C25*0.05</f>
        <v>0.1</v>
      </c>
      <c r="E25" s="96">
        <v>3</v>
      </c>
      <c r="F25" s="97">
        <v>150</v>
      </c>
      <c r="G25" s="97">
        <v>125</v>
      </c>
      <c r="H25" s="97">
        <v>100</v>
      </c>
      <c r="I25" s="97">
        <f t="shared" si="3"/>
        <v>375</v>
      </c>
      <c r="J25" s="98">
        <f>D25/I25+J23</f>
        <v>9.9393939393939402E-4</v>
      </c>
      <c r="K25" s="99">
        <f>O25*$D25</f>
        <v>4.0000000000000008E-2</v>
      </c>
      <c r="L25" s="99">
        <f>P25*$D25</f>
        <v>3.3333333333333333E-2</v>
      </c>
      <c r="M25" s="100">
        <f>Q25*$D25</f>
        <v>2.6666666666666668E-2</v>
      </c>
      <c r="N25" s="88" t="s">
        <v>149</v>
      </c>
      <c r="O25" s="101">
        <f t="shared" si="4"/>
        <v>0.4</v>
      </c>
      <c r="P25" s="101">
        <f t="shared" si="5"/>
        <v>0.33333333333333331</v>
      </c>
      <c r="Q25" s="101">
        <f t="shared" si="6"/>
        <v>0.26666666666666666</v>
      </c>
      <c r="R25" s="101">
        <f t="shared" si="7"/>
        <v>1</v>
      </c>
      <c r="S25" s="102"/>
      <c r="T25" s="103">
        <f>SUM(T21:T24)</f>
        <v>0.5</v>
      </c>
      <c r="U25" s="107"/>
      <c r="V25" s="89"/>
    </row>
    <row r="26" spans="2:22" s="87" customFormat="1" x14ac:dyDescent="0.25">
      <c r="C26" s="104"/>
      <c r="D26" s="104"/>
      <c r="E26" s="268" t="s">
        <v>90</v>
      </c>
      <c r="F26" s="269">
        <v>100</v>
      </c>
      <c r="G26" s="269">
        <v>125</v>
      </c>
      <c r="H26" s="269">
        <v>100</v>
      </c>
      <c r="I26" s="269">
        <f t="shared" si="3"/>
        <v>325</v>
      </c>
      <c r="J26" s="270">
        <f>J25</f>
        <v>9.9393939393939402E-4</v>
      </c>
      <c r="K26" s="105"/>
      <c r="L26" s="105"/>
      <c r="M26" s="106"/>
      <c r="N26" s="88" t="s">
        <v>149</v>
      </c>
      <c r="O26" s="101">
        <f t="shared" si="4"/>
        <v>0.30769230769230771</v>
      </c>
      <c r="P26" s="101">
        <f t="shared" si="5"/>
        <v>0.38461538461538464</v>
      </c>
      <c r="Q26" s="101">
        <f t="shared" si="6"/>
        <v>0.30769230769230771</v>
      </c>
      <c r="R26" s="101">
        <f t="shared" si="7"/>
        <v>1</v>
      </c>
      <c r="V26" s="89"/>
    </row>
    <row r="27" spans="2:22" s="87" customFormat="1" ht="15.75" thickBot="1" x14ac:dyDescent="0.3">
      <c r="C27" s="95">
        <v>2</v>
      </c>
      <c r="D27" s="95">
        <f>C27*0.05</f>
        <v>0.1</v>
      </c>
      <c r="E27" s="268">
        <v>4</v>
      </c>
      <c r="F27" s="269">
        <v>100</v>
      </c>
      <c r="G27" s="269">
        <v>125</v>
      </c>
      <c r="H27" s="269">
        <v>100</v>
      </c>
      <c r="I27" s="269">
        <f t="shared" si="3"/>
        <v>325</v>
      </c>
      <c r="J27" s="270">
        <f>(D27)/I27+J25</f>
        <v>1.3016317016317017E-3</v>
      </c>
      <c r="K27" s="271">
        <f>O27*$D27</f>
        <v>3.0769230769230771E-2</v>
      </c>
      <c r="L27" s="99">
        <f>P27*$D27</f>
        <v>3.8461538461538464E-2</v>
      </c>
      <c r="M27" s="100">
        <f>Q27*$D27</f>
        <v>3.0769230769230771E-2</v>
      </c>
      <c r="N27" s="88" t="s">
        <v>149</v>
      </c>
      <c r="O27" s="101">
        <f t="shared" si="4"/>
        <v>0.30769230769230771</v>
      </c>
      <c r="P27" s="101">
        <f t="shared" si="5"/>
        <v>0.38461538461538464</v>
      </c>
      <c r="Q27" s="101">
        <f t="shared" si="6"/>
        <v>0.30769230769230771</v>
      </c>
      <c r="R27" s="101">
        <f t="shared" si="7"/>
        <v>1</v>
      </c>
      <c r="V27" s="89"/>
    </row>
    <row r="28" spans="2:22" s="87" customFormat="1" x14ac:dyDescent="0.25">
      <c r="C28" s="104"/>
      <c r="D28" s="104"/>
      <c r="E28" s="90" t="s">
        <v>91</v>
      </c>
      <c r="F28" s="91">
        <v>100</v>
      </c>
      <c r="G28" s="91">
        <v>0</v>
      </c>
      <c r="H28" s="91">
        <v>100</v>
      </c>
      <c r="I28" s="91">
        <f t="shared" si="3"/>
        <v>200</v>
      </c>
      <c r="J28" s="92">
        <f>J27</f>
        <v>1.3016317016317017E-3</v>
      </c>
      <c r="K28" s="272"/>
      <c r="L28" s="105"/>
      <c r="M28" s="106"/>
      <c r="N28" s="88" t="s">
        <v>149</v>
      </c>
      <c r="O28" s="101">
        <f t="shared" si="4"/>
        <v>0.5</v>
      </c>
      <c r="P28" s="101">
        <f t="shared" si="5"/>
        <v>0</v>
      </c>
      <c r="Q28" s="101">
        <f t="shared" si="6"/>
        <v>0.5</v>
      </c>
      <c r="R28" s="101">
        <f t="shared" si="7"/>
        <v>1</v>
      </c>
      <c r="V28" s="89"/>
    </row>
    <row r="29" spans="2:22" s="87" customFormat="1" ht="15.75" thickBot="1" x14ac:dyDescent="0.3">
      <c r="C29" s="95">
        <v>2</v>
      </c>
      <c r="D29" s="95">
        <f>C29*0.05</f>
        <v>0.1</v>
      </c>
      <c r="E29" s="96">
        <v>5</v>
      </c>
      <c r="F29" s="97">
        <v>100</v>
      </c>
      <c r="G29" s="97">
        <v>0</v>
      </c>
      <c r="H29" s="97">
        <v>100</v>
      </c>
      <c r="I29" s="97">
        <f t="shared" si="3"/>
        <v>200</v>
      </c>
      <c r="J29" s="98">
        <f>D29/I29+J27</f>
        <v>1.8016317016317017E-3</v>
      </c>
      <c r="K29" s="271">
        <f>O29*$D29</f>
        <v>0.05</v>
      </c>
      <c r="L29" s="99">
        <f>P29*$D29</f>
        <v>0</v>
      </c>
      <c r="M29" s="100">
        <f>Q29*$D29</f>
        <v>0.05</v>
      </c>
      <c r="N29" s="88" t="s">
        <v>149</v>
      </c>
      <c r="O29" s="101">
        <f t="shared" si="4"/>
        <v>0.5</v>
      </c>
      <c r="P29" s="101">
        <f t="shared" si="5"/>
        <v>0</v>
      </c>
      <c r="Q29" s="101">
        <f t="shared" si="6"/>
        <v>0.5</v>
      </c>
      <c r="R29" s="101">
        <f t="shared" si="7"/>
        <v>1</v>
      </c>
      <c r="V29" s="89"/>
    </row>
    <row r="30" spans="2:22" s="87" customFormat="1" x14ac:dyDescent="0.25">
      <c r="C30" s="104"/>
      <c r="D30" s="104"/>
      <c r="E30" s="88" t="s">
        <v>92</v>
      </c>
      <c r="F30" s="102">
        <v>0</v>
      </c>
      <c r="G30" s="102">
        <v>0</v>
      </c>
      <c r="H30" s="102">
        <v>0</v>
      </c>
      <c r="I30" s="102">
        <v>0</v>
      </c>
      <c r="J30" s="108">
        <f>J29</f>
        <v>1.8016317016317017E-3</v>
      </c>
      <c r="N30" s="88" t="s">
        <v>149</v>
      </c>
      <c r="V30" s="89"/>
    </row>
    <row r="31" spans="2:22" x14ac:dyDescent="0.25">
      <c r="C31" s="8"/>
      <c r="D31" s="8"/>
      <c r="E31" s="2"/>
      <c r="F31" s="4"/>
      <c r="G31" s="4"/>
      <c r="H31" s="4"/>
      <c r="I31" s="4"/>
      <c r="J31" s="50"/>
    </row>
    <row r="32" spans="2:22" x14ac:dyDescent="0.25">
      <c r="C32" s="8"/>
      <c r="D32" s="8"/>
      <c r="E32" s="2"/>
      <c r="F32" s="4"/>
      <c r="G32" s="4"/>
      <c r="H32" s="4"/>
      <c r="I32" s="4"/>
      <c r="J32" s="50"/>
    </row>
    <row r="33" spans="2:22" s="109" customFormat="1" x14ac:dyDescent="0.25">
      <c r="C33" s="109" t="s">
        <v>147</v>
      </c>
      <c r="F33" s="110"/>
      <c r="G33" s="110"/>
      <c r="H33" s="110"/>
      <c r="J33" s="111"/>
      <c r="K33" s="111"/>
      <c r="L33" s="111"/>
      <c r="M33" s="111"/>
      <c r="N33" s="260" t="s">
        <v>148</v>
      </c>
      <c r="V33" s="112"/>
    </row>
    <row r="34" spans="2:22" s="109" customFormat="1" x14ac:dyDescent="0.25">
      <c r="D34" s="113"/>
      <c r="F34" s="110"/>
      <c r="G34" s="110"/>
      <c r="H34" s="110"/>
      <c r="I34" s="114"/>
      <c r="J34" s="111"/>
      <c r="N34" s="260" t="s">
        <v>148</v>
      </c>
      <c r="V34" s="112"/>
    </row>
    <row r="35" spans="2:22" s="109" customFormat="1" ht="15.75" thickBot="1" x14ac:dyDescent="0.3">
      <c r="C35" s="112" t="s">
        <v>53</v>
      </c>
      <c r="D35" s="112" t="s">
        <v>54</v>
      </c>
      <c r="E35" s="112" t="s">
        <v>52</v>
      </c>
      <c r="F35" s="112" t="s">
        <v>93</v>
      </c>
      <c r="G35" s="112" t="s">
        <v>94</v>
      </c>
      <c r="H35" s="112" t="s">
        <v>40</v>
      </c>
      <c r="I35" s="112" t="s">
        <v>50</v>
      </c>
      <c r="J35" s="112" t="s">
        <v>51</v>
      </c>
      <c r="K35" s="112" t="s">
        <v>93</v>
      </c>
      <c r="L35" s="112" t="s">
        <v>94</v>
      </c>
      <c r="M35" s="112" t="s">
        <v>40</v>
      </c>
      <c r="N35" s="260" t="s">
        <v>148</v>
      </c>
      <c r="O35" s="112" t="s">
        <v>49</v>
      </c>
      <c r="P35" s="112" t="s">
        <v>68</v>
      </c>
      <c r="Q35" s="112" t="s">
        <v>69</v>
      </c>
      <c r="R35" s="112"/>
      <c r="U35" s="115"/>
      <c r="V35" s="112"/>
    </row>
    <row r="36" spans="2:22" s="109" customFormat="1" x14ac:dyDescent="0.25">
      <c r="E36" s="116" t="s">
        <v>87</v>
      </c>
      <c r="F36" s="117">
        <v>110</v>
      </c>
      <c r="G36" s="118">
        <v>125</v>
      </c>
      <c r="H36" s="118">
        <v>0</v>
      </c>
      <c r="I36" s="118">
        <f>SUM(F36:H36)</f>
        <v>235</v>
      </c>
      <c r="J36" s="119">
        <v>0</v>
      </c>
      <c r="K36" s="120"/>
      <c r="L36" s="120"/>
      <c r="M36" s="121"/>
      <c r="N36" s="260" t="s">
        <v>148</v>
      </c>
      <c r="T36" s="112" t="s">
        <v>95</v>
      </c>
      <c r="U36" s="112"/>
      <c r="V36" s="112"/>
    </row>
    <row r="37" spans="2:22" s="109" customFormat="1" ht="15.75" thickBot="1" x14ac:dyDescent="0.3">
      <c r="C37" s="114">
        <v>2</v>
      </c>
      <c r="D37" s="114">
        <f>C37*0.05</f>
        <v>0.1</v>
      </c>
      <c r="E37" s="176">
        <v>1</v>
      </c>
      <c r="F37" s="177">
        <v>110</v>
      </c>
      <c r="G37" s="110">
        <v>125</v>
      </c>
      <c r="H37" s="110">
        <v>0</v>
      </c>
      <c r="I37" s="110">
        <f t="shared" ref="I37:I45" si="8">SUM(F37:H37)</f>
        <v>235</v>
      </c>
      <c r="J37" s="178">
        <f>D37/I37</f>
        <v>4.2553191489361707E-4</v>
      </c>
      <c r="K37" s="285">
        <f>O37*$D37</f>
        <v>4.6808510638297877E-2</v>
      </c>
      <c r="L37" s="285">
        <f>P37*$D37</f>
        <v>5.3191489361702128E-2</v>
      </c>
      <c r="M37" s="286">
        <f>Q37*$D37</f>
        <v>0</v>
      </c>
      <c r="N37" s="260" t="s">
        <v>148</v>
      </c>
      <c r="O37" s="125">
        <f>F37/$I37</f>
        <v>0.46808510638297873</v>
      </c>
      <c r="P37" s="125">
        <f>G37/$I37</f>
        <v>0.53191489361702127</v>
      </c>
      <c r="Q37" s="125">
        <f>H37/$I37</f>
        <v>0</v>
      </c>
      <c r="R37" s="126">
        <f>SUM(O37:Q37)</f>
        <v>1</v>
      </c>
      <c r="S37" s="112" t="s">
        <v>82</v>
      </c>
      <c r="T37" s="112" t="s">
        <v>97</v>
      </c>
      <c r="U37" s="112"/>
      <c r="V37" s="112"/>
    </row>
    <row r="38" spans="2:22" s="109" customFormat="1" x14ac:dyDescent="0.25">
      <c r="C38" s="127"/>
      <c r="D38" s="127"/>
      <c r="E38" s="116" t="s">
        <v>88</v>
      </c>
      <c r="F38" s="117">
        <v>110</v>
      </c>
      <c r="G38" s="117">
        <v>125</v>
      </c>
      <c r="H38" s="118">
        <v>0</v>
      </c>
      <c r="I38" s="118">
        <f t="shared" si="8"/>
        <v>235</v>
      </c>
      <c r="J38" s="137">
        <f>J37</f>
        <v>4.2553191489361707E-4</v>
      </c>
      <c r="K38" s="287"/>
      <c r="L38" s="287"/>
      <c r="M38" s="288"/>
      <c r="N38" s="260" t="s">
        <v>148</v>
      </c>
      <c r="O38" s="125">
        <f t="shared" ref="O38:O45" si="9">F38/$I38</f>
        <v>0.46808510638297873</v>
      </c>
      <c r="P38" s="125">
        <f t="shared" ref="P38:P45" si="10">G38/$I38</f>
        <v>0.53191489361702127</v>
      </c>
      <c r="Q38" s="125">
        <f t="shared" ref="Q38:Q45" si="11">H38/$I38</f>
        <v>0</v>
      </c>
      <c r="R38" s="126">
        <f t="shared" ref="R38:R45" si="12">SUM(O38:Q38)</f>
        <v>1</v>
      </c>
      <c r="S38" s="110">
        <v>-50</v>
      </c>
      <c r="T38" s="297">
        <f>SUM(K37:K41)</f>
        <v>0.12645284217211814</v>
      </c>
      <c r="U38" s="128"/>
      <c r="V38" s="112"/>
    </row>
    <row r="39" spans="2:22" s="109" customFormat="1" ht="15.75" thickBot="1" x14ac:dyDescent="0.3">
      <c r="C39" s="114">
        <v>2</v>
      </c>
      <c r="D39" s="114">
        <f>C39*0.05</f>
        <v>0.1</v>
      </c>
      <c r="E39" s="176">
        <v>2</v>
      </c>
      <c r="F39" s="177">
        <v>110</v>
      </c>
      <c r="G39" s="177">
        <v>125</v>
      </c>
      <c r="H39" s="110">
        <v>0</v>
      </c>
      <c r="I39" s="110">
        <f t="shared" si="8"/>
        <v>235</v>
      </c>
      <c r="J39" s="178">
        <f>D39/I39+J37</f>
        <v>8.5106382978723414E-4</v>
      </c>
      <c r="K39" s="285">
        <f>O39*$D39</f>
        <v>4.6808510638297877E-2</v>
      </c>
      <c r="L39" s="285">
        <f>P39*$D39</f>
        <v>5.3191489361702128E-2</v>
      </c>
      <c r="M39" s="286">
        <f>Q39*$D39</f>
        <v>0</v>
      </c>
      <c r="N39" s="260" t="s">
        <v>148</v>
      </c>
      <c r="O39" s="125">
        <f t="shared" si="9"/>
        <v>0.46808510638297873</v>
      </c>
      <c r="P39" s="125">
        <f t="shared" si="10"/>
        <v>0.53191489361702127</v>
      </c>
      <c r="Q39" s="125">
        <f t="shared" si="11"/>
        <v>0</v>
      </c>
      <c r="R39" s="126">
        <f t="shared" si="12"/>
        <v>1</v>
      </c>
      <c r="S39" s="110">
        <v>125</v>
      </c>
      <c r="T39" s="298">
        <f>SUM(L37:L43)</f>
        <v>0.17702974489255849</v>
      </c>
      <c r="U39" s="128"/>
      <c r="V39" s="112"/>
    </row>
    <row r="40" spans="2:22" s="109" customFormat="1" x14ac:dyDescent="0.25">
      <c r="C40" s="127"/>
      <c r="D40" s="127"/>
      <c r="E40" s="116" t="s">
        <v>89</v>
      </c>
      <c r="F40" s="117">
        <v>110</v>
      </c>
      <c r="G40" s="117">
        <v>125</v>
      </c>
      <c r="H40" s="117">
        <v>100</v>
      </c>
      <c r="I40" s="118">
        <f t="shared" si="8"/>
        <v>335</v>
      </c>
      <c r="J40" s="137">
        <f>J39</f>
        <v>8.5106382978723414E-4</v>
      </c>
      <c r="K40" s="287"/>
      <c r="L40" s="287"/>
      <c r="M40" s="288"/>
      <c r="N40" s="260" t="s">
        <v>148</v>
      </c>
      <c r="O40" s="125">
        <f t="shared" si="9"/>
        <v>0.32835820895522388</v>
      </c>
      <c r="P40" s="125">
        <f t="shared" si="10"/>
        <v>0.37313432835820898</v>
      </c>
      <c r="Q40" s="125">
        <f t="shared" si="11"/>
        <v>0.29850746268656714</v>
      </c>
      <c r="R40" s="126">
        <f t="shared" si="12"/>
        <v>1</v>
      </c>
      <c r="S40" s="110">
        <v>150</v>
      </c>
      <c r="T40" s="298">
        <f>(K43+K45)</f>
        <v>0.1</v>
      </c>
      <c r="U40" s="128"/>
      <c r="V40" s="112"/>
    </row>
    <row r="41" spans="2:22" s="109" customFormat="1" ht="15.75" thickBot="1" x14ac:dyDescent="0.3">
      <c r="C41" s="114">
        <v>2</v>
      </c>
      <c r="D41" s="114">
        <f>C41*0.05</f>
        <v>0.1</v>
      </c>
      <c r="E41" s="176">
        <v>3</v>
      </c>
      <c r="F41" s="177">
        <v>110</v>
      </c>
      <c r="G41" s="177">
        <v>125</v>
      </c>
      <c r="H41" s="177">
        <v>100</v>
      </c>
      <c r="I41" s="110">
        <f t="shared" si="8"/>
        <v>335</v>
      </c>
      <c r="J41" s="178">
        <f>D41/I41+J39</f>
        <v>1.1495712924738013E-3</v>
      </c>
      <c r="K41" s="285">
        <f>O41*$D41</f>
        <v>3.2835820895522387E-2</v>
      </c>
      <c r="L41" s="285">
        <f>P41*$D41</f>
        <v>3.7313432835820899E-2</v>
      </c>
      <c r="M41" s="286">
        <f>Q41*$D41</f>
        <v>2.9850746268656716E-2</v>
      </c>
      <c r="N41" s="260" t="s">
        <v>148</v>
      </c>
      <c r="O41" s="125">
        <f t="shared" si="9"/>
        <v>0.32835820895522388</v>
      </c>
      <c r="P41" s="125">
        <f t="shared" si="10"/>
        <v>0.37313432835820898</v>
      </c>
      <c r="Q41" s="125">
        <f t="shared" si="11"/>
        <v>0.29850746268656714</v>
      </c>
      <c r="R41" s="126">
        <f t="shared" si="12"/>
        <v>1</v>
      </c>
      <c r="S41" s="110">
        <v>100</v>
      </c>
      <c r="T41" s="299">
        <f>(M41+M43+M45)</f>
        <v>9.6517412935323399E-2</v>
      </c>
      <c r="U41" s="128"/>
      <c r="V41" s="112"/>
    </row>
    <row r="42" spans="2:22" s="109" customFormat="1" x14ac:dyDescent="0.25">
      <c r="C42" s="127"/>
      <c r="D42" s="127"/>
      <c r="E42" s="116" t="s">
        <v>90</v>
      </c>
      <c r="F42" s="117">
        <v>150</v>
      </c>
      <c r="G42" s="117">
        <v>125</v>
      </c>
      <c r="H42" s="117">
        <v>100</v>
      </c>
      <c r="I42" s="118">
        <f t="shared" si="8"/>
        <v>375</v>
      </c>
      <c r="J42" s="137">
        <f>J41</f>
        <v>1.1495712924738013E-3</v>
      </c>
      <c r="K42" s="287"/>
      <c r="L42" s="287"/>
      <c r="M42" s="288"/>
      <c r="N42" s="260" t="s">
        <v>148</v>
      </c>
      <c r="O42" s="125">
        <f t="shared" si="9"/>
        <v>0.4</v>
      </c>
      <c r="P42" s="125">
        <f t="shared" si="10"/>
        <v>0.33333333333333331</v>
      </c>
      <c r="Q42" s="125">
        <f t="shared" si="11"/>
        <v>0.26666666666666666</v>
      </c>
      <c r="R42" s="126">
        <f t="shared" si="12"/>
        <v>1</v>
      </c>
      <c r="S42" s="110"/>
      <c r="T42" s="128">
        <f>SUM(T38:T41)</f>
        <v>0.5</v>
      </c>
      <c r="U42" s="111"/>
      <c r="V42" s="112"/>
    </row>
    <row r="43" spans="2:22" s="109" customFormat="1" ht="15.75" thickBot="1" x14ac:dyDescent="0.3">
      <c r="C43" s="114">
        <v>2</v>
      </c>
      <c r="D43" s="114">
        <f>C43*0.05</f>
        <v>0.1</v>
      </c>
      <c r="E43" s="176">
        <v>4</v>
      </c>
      <c r="F43" s="177">
        <v>150</v>
      </c>
      <c r="G43" s="177">
        <v>125</v>
      </c>
      <c r="H43" s="177">
        <v>100</v>
      </c>
      <c r="I43" s="110">
        <f t="shared" si="8"/>
        <v>375</v>
      </c>
      <c r="J43" s="178">
        <f>(D43)/I43+J41</f>
        <v>1.4162379591404679E-3</v>
      </c>
      <c r="K43" s="285">
        <f>O43*$D43</f>
        <v>4.0000000000000008E-2</v>
      </c>
      <c r="L43" s="285">
        <f>P43*$D43</f>
        <v>3.3333333333333333E-2</v>
      </c>
      <c r="M43" s="286">
        <f>Q43*$D43</f>
        <v>2.6666666666666668E-2</v>
      </c>
      <c r="N43" s="260" t="s">
        <v>148</v>
      </c>
      <c r="O43" s="125">
        <f t="shared" si="9"/>
        <v>0.4</v>
      </c>
      <c r="P43" s="125">
        <f t="shared" si="10"/>
        <v>0.33333333333333331</v>
      </c>
      <c r="Q43" s="125">
        <f t="shared" si="11"/>
        <v>0.26666666666666666</v>
      </c>
      <c r="R43" s="126">
        <f t="shared" si="12"/>
        <v>1</v>
      </c>
      <c r="S43" s="115"/>
      <c r="T43" s="115"/>
      <c r="V43" s="112"/>
    </row>
    <row r="44" spans="2:22" s="109" customFormat="1" x14ac:dyDescent="0.25">
      <c r="C44" s="127"/>
      <c r="D44" s="127"/>
      <c r="E44" s="116" t="s">
        <v>91</v>
      </c>
      <c r="F44" s="117">
        <v>150</v>
      </c>
      <c r="G44" s="117">
        <v>0</v>
      </c>
      <c r="H44" s="117">
        <v>100</v>
      </c>
      <c r="I44" s="118">
        <f t="shared" si="8"/>
        <v>250</v>
      </c>
      <c r="J44" s="137">
        <f>J43</f>
        <v>1.4162379591404679E-3</v>
      </c>
      <c r="K44" s="287"/>
      <c r="L44" s="287"/>
      <c r="M44" s="288"/>
      <c r="N44" s="260" t="s">
        <v>148</v>
      </c>
      <c r="O44" s="125">
        <f t="shared" si="9"/>
        <v>0.6</v>
      </c>
      <c r="P44" s="125">
        <f t="shared" si="10"/>
        <v>0</v>
      </c>
      <c r="Q44" s="125">
        <f t="shared" si="11"/>
        <v>0.4</v>
      </c>
      <c r="R44" s="126">
        <f t="shared" si="12"/>
        <v>1</v>
      </c>
      <c r="V44" s="112"/>
    </row>
    <row r="45" spans="2:22" s="109" customFormat="1" ht="15.75" thickBot="1" x14ac:dyDescent="0.3">
      <c r="C45" s="114">
        <v>2</v>
      </c>
      <c r="D45" s="114">
        <f>C45*0.05</f>
        <v>0.1</v>
      </c>
      <c r="E45" s="122">
        <v>5</v>
      </c>
      <c r="F45" s="123">
        <v>150</v>
      </c>
      <c r="G45" s="124">
        <v>0</v>
      </c>
      <c r="H45" s="123">
        <v>100</v>
      </c>
      <c r="I45" s="124">
        <f t="shared" si="8"/>
        <v>250</v>
      </c>
      <c r="J45" s="144">
        <f>D45/I45+J43</f>
        <v>1.8162379591404678E-3</v>
      </c>
      <c r="K45" s="285">
        <f>O45*$D45</f>
        <v>0.06</v>
      </c>
      <c r="L45" s="285">
        <f>P45*$D45</f>
        <v>0</v>
      </c>
      <c r="M45" s="286">
        <f>Q45*$D45</f>
        <v>4.0000000000000008E-2</v>
      </c>
      <c r="N45" s="260" t="s">
        <v>148</v>
      </c>
      <c r="O45" s="125">
        <f t="shared" si="9"/>
        <v>0.6</v>
      </c>
      <c r="P45" s="125">
        <f t="shared" si="10"/>
        <v>0</v>
      </c>
      <c r="Q45" s="125">
        <f t="shared" si="11"/>
        <v>0.4</v>
      </c>
      <c r="R45" s="126">
        <f t="shared" si="12"/>
        <v>1</v>
      </c>
      <c r="V45" s="112"/>
    </row>
    <row r="46" spans="2:22" s="109" customFormat="1" x14ac:dyDescent="0.25">
      <c r="C46" s="127"/>
      <c r="D46" s="127"/>
      <c r="E46" s="112" t="s">
        <v>92</v>
      </c>
      <c r="F46" s="110">
        <v>0</v>
      </c>
      <c r="G46" s="110">
        <v>0</v>
      </c>
      <c r="H46" s="110">
        <v>0</v>
      </c>
      <c r="I46" s="110">
        <v>0</v>
      </c>
      <c r="J46" s="129">
        <f>J45</f>
        <v>1.8162379591404678E-3</v>
      </c>
      <c r="L46" s="266">
        <f>SUM(L39:L43)</f>
        <v>0.12383825553085637</v>
      </c>
      <c r="N46" s="260" t="s">
        <v>148</v>
      </c>
      <c r="V46" s="112"/>
    </row>
    <row r="47" spans="2:22" x14ac:dyDescent="0.25">
      <c r="D47" s="32"/>
      <c r="F47" s="4"/>
      <c r="G47" s="4"/>
      <c r="H47" s="4"/>
      <c r="I47" s="35"/>
      <c r="J47" s="3"/>
    </row>
    <row r="48" spans="2:22" s="131" customFormat="1" ht="15.75" thickBot="1" x14ac:dyDescent="0.3">
      <c r="B48" s="130"/>
      <c r="C48" s="132" t="s">
        <v>53</v>
      </c>
      <c r="D48" s="132" t="s">
        <v>54</v>
      </c>
      <c r="E48" s="132" t="s">
        <v>52</v>
      </c>
      <c r="F48" s="132" t="s">
        <v>93</v>
      </c>
      <c r="G48" s="132" t="s">
        <v>94</v>
      </c>
      <c r="H48" s="132" t="s">
        <v>40</v>
      </c>
      <c r="I48" s="132" t="s">
        <v>50</v>
      </c>
      <c r="J48" s="132" t="s">
        <v>51</v>
      </c>
      <c r="K48" s="132" t="s">
        <v>93</v>
      </c>
      <c r="L48" s="132" t="s">
        <v>94</v>
      </c>
      <c r="M48" s="132" t="s">
        <v>40</v>
      </c>
      <c r="N48" s="261" t="s">
        <v>151</v>
      </c>
      <c r="O48" s="132" t="s">
        <v>49</v>
      </c>
      <c r="P48" s="132" t="s">
        <v>68</v>
      </c>
      <c r="Q48" s="132" t="s">
        <v>69</v>
      </c>
      <c r="R48" s="132"/>
      <c r="S48" s="131" t="s">
        <v>160</v>
      </c>
      <c r="U48" s="133"/>
      <c r="V48" s="132"/>
    </row>
    <row r="49" spans="2:22" s="131" customFormat="1" x14ac:dyDescent="0.25">
      <c r="E49" s="135" t="s">
        <v>87</v>
      </c>
      <c r="F49" s="117">
        <v>110</v>
      </c>
      <c r="G49" s="118">
        <v>125</v>
      </c>
      <c r="H49" s="118">
        <v>0</v>
      </c>
      <c r="I49" s="136">
        <f>SUM(F49:H49)</f>
        <v>235</v>
      </c>
      <c r="J49" s="137">
        <v>0</v>
      </c>
      <c r="K49" s="138"/>
      <c r="L49" s="139"/>
      <c r="M49" s="140"/>
      <c r="N49" s="261" t="s">
        <v>151</v>
      </c>
      <c r="T49" s="132"/>
      <c r="U49" s="132"/>
      <c r="V49" s="132"/>
    </row>
    <row r="50" spans="2:22" s="131" customFormat="1" ht="15.75" thickBot="1" x14ac:dyDescent="0.3">
      <c r="B50" s="130"/>
      <c r="C50" s="141">
        <v>2</v>
      </c>
      <c r="D50" s="141">
        <f>C50*0.05</f>
        <v>0.1</v>
      </c>
      <c r="E50" s="142">
        <v>1</v>
      </c>
      <c r="F50" s="177">
        <v>110</v>
      </c>
      <c r="G50" s="110">
        <v>125</v>
      </c>
      <c r="H50" s="110">
        <v>0</v>
      </c>
      <c r="I50" s="143">
        <f t="shared" ref="I50:I58" si="13">SUM(F50:H50)</f>
        <v>235</v>
      </c>
      <c r="J50" s="144">
        <f>D50/I50</f>
        <v>4.2553191489361707E-4</v>
      </c>
      <c r="K50" s="263">
        <f>O50*$D50</f>
        <v>4.6808510638297877E-2</v>
      </c>
      <c r="L50" s="289">
        <f>P50*$D50</f>
        <v>5.3191489361702128E-2</v>
      </c>
      <c r="M50" s="290">
        <f>Q50*$D50</f>
        <v>0</v>
      </c>
      <c r="N50" s="261" t="s">
        <v>151</v>
      </c>
      <c r="O50" s="145">
        <f>F50/$I50</f>
        <v>0.46808510638297873</v>
      </c>
      <c r="P50" s="145">
        <f>G50/$I50</f>
        <v>0.53191489361702127</v>
      </c>
      <c r="Q50" s="145">
        <f>H50/$I50</f>
        <v>0</v>
      </c>
      <c r="R50" s="146">
        <f>SUM(O50:Q50)</f>
        <v>1</v>
      </c>
      <c r="S50" s="132" t="s">
        <v>82</v>
      </c>
      <c r="T50" s="132" t="s">
        <v>158</v>
      </c>
      <c r="V50" s="132"/>
    </row>
    <row r="51" spans="2:22" s="131" customFormat="1" x14ac:dyDescent="0.25">
      <c r="C51" s="147"/>
      <c r="D51" s="147"/>
      <c r="E51" s="135" t="s">
        <v>88</v>
      </c>
      <c r="F51" s="117">
        <v>110</v>
      </c>
      <c r="G51" s="117">
        <v>125</v>
      </c>
      <c r="H51" s="118">
        <v>0</v>
      </c>
      <c r="I51" s="136">
        <f t="shared" si="13"/>
        <v>235</v>
      </c>
      <c r="J51" s="137">
        <f>J50</f>
        <v>4.2553191489361707E-4</v>
      </c>
      <c r="K51" s="291"/>
      <c r="L51" s="292"/>
      <c r="M51" s="293"/>
      <c r="N51" s="261" t="s">
        <v>151</v>
      </c>
      <c r="O51" s="145">
        <f t="shared" ref="O51:O58" si="14">F51/$I51</f>
        <v>0.46808510638297873</v>
      </c>
      <c r="P51" s="145">
        <f t="shared" ref="P51:P58" si="15">G51/$I51</f>
        <v>0.53191489361702127</v>
      </c>
      <c r="Q51" s="145">
        <f t="shared" ref="Q51:Q58" si="16">H51/$I51</f>
        <v>0</v>
      </c>
      <c r="R51" s="146">
        <f t="shared" ref="R51:R58" si="17">SUM(O51:Q51)</f>
        <v>1</v>
      </c>
      <c r="S51" s="110">
        <v>-50</v>
      </c>
      <c r="T51" s="300">
        <f>110*(J54-J49)</f>
        <v>0.12645284217211814</v>
      </c>
      <c r="V51" s="132"/>
    </row>
    <row r="52" spans="2:22" s="131" customFormat="1" ht="15.75" thickBot="1" x14ac:dyDescent="0.3">
      <c r="B52" s="130"/>
      <c r="C52" s="141">
        <v>2</v>
      </c>
      <c r="D52" s="141">
        <f>C52*0.05</f>
        <v>0.1</v>
      </c>
      <c r="E52" s="142">
        <v>2</v>
      </c>
      <c r="F52" s="177">
        <v>110</v>
      </c>
      <c r="G52" s="177">
        <v>125</v>
      </c>
      <c r="H52" s="110">
        <v>0</v>
      </c>
      <c r="I52" s="143">
        <f t="shared" si="13"/>
        <v>235</v>
      </c>
      <c r="J52" s="144">
        <f>D52/I52+J50</f>
        <v>8.5106382978723414E-4</v>
      </c>
      <c r="K52" s="263">
        <f>O52*$D52</f>
        <v>4.6808510638297877E-2</v>
      </c>
      <c r="L52" s="289">
        <f>P52*$D52</f>
        <v>5.3191489361702128E-2</v>
      </c>
      <c r="M52" s="290">
        <f>Q52*$D52</f>
        <v>0</v>
      </c>
      <c r="N52" s="261" t="s">
        <v>151</v>
      </c>
      <c r="O52" s="145">
        <f t="shared" si="14"/>
        <v>0.46808510638297873</v>
      </c>
      <c r="P52" s="145">
        <f t="shared" si="15"/>
        <v>0.53191489361702127</v>
      </c>
      <c r="Q52" s="145">
        <f t="shared" si="16"/>
        <v>0</v>
      </c>
      <c r="R52" s="146">
        <f t="shared" si="17"/>
        <v>1</v>
      </c>
      <c r="S52" s="110">
        <v>125</v>
      </c>
      <c r="T52" s="301">
        <f>G56*(J56-J49)*11/14</f>
        <v>0.13909479955843881</v>
      </c>
      <c r="V52" s="132"/>
    </row>
    <row r="53" spans="2:22" s="131" customFormat="1" x14ac:dyDescent="0.25">
      <c r="C53" s="147"/>
      <c r="D53" s="147"/>
      <c r="E53" s="135" t="s">
        <v>89</v>
      </c>
      <c r="F53" s="117">
        <v>110</v>
      </c>
      <c r="G53" s="117">
        <v>125</v>
      </c>
      <c r="H53" s="117">
        <v>100</v>
      </c>
      <c r="I53" s="136">
        <f t="shared" si="13"/>
        <v>335</v>
      </c>
      <c r="J53" s="137">
        <f>J52</f>
        <v>8.5106382978723414E-4</v>
      </c>
      <c r="K53" s="291"/>
      <c r="L53" s="292"/>
      <c r="M53" s="293"/>
      <c r="N53" s="261" t="s">
        <v>151</v>
      </c>
      <c r="O53" s="145">
        <f t="shared" si="14"/>
        <v>0.32835820895522388</v>
      </c>
      <c r="P53" s="145">
        <f t="shared" si="15"/>
        <v>0.37313432835820898</v>
      </c>
      <c r="Q53" s="145">
        <f t="shared" si="16"/>
        <v>0.29850746268656714</v>
      </c>
      <c r="R53" s="146">
        <f t="shared" si="17"/>
        <v>1</v>
      </c>
      <c r="S53" s="110">
        <v>150</v>
      </c>
      <c r="T53" s="301">
        <f>F58*(J58-J54)</f>
        <v>0.12276096720047182</v>
      </c>
      <c r="V53" s="132"/>
    </row>
    <row r="54" spans="2:22" s="131" customFormat="1" ht="15.75" thickBot="1" x14ac:dyDescent="0.3">
      <c r="C54" s="141">
        <v>2</v>
      </c>
      <c r="D54" s="141">
        <f>C54*0.05</f>
        <v>0.1</v>
      </c>
      <c r="E54" s="142">
        <v>3</v>
      </c>
      <c r="F54" s="177">
        <v>110</v>
      </c>
      <c r="G54" s="177">
        <v>125</v>
      </c>
      <c r="H54" s="177">
        <v>100</v>
      </c>
      <c r="I54" s="143">
        <f t="shared" si="13"/>
        <v>335</v>
      </c>
      <c r="J54" s="144">
        <f>D54/I54+J52</f>
        <v>1.1495712924738013E-3</v>
      </c>
      <c r="K54" s="263">
        <f>O54*$D54</f>
        <v>3.2835820895522387E-2</v>
      </c>
      <c r="L54" s="289">
        <f>P54*$D54</f>
        <v>3.7313432835820899E-2</v>
      </c>
      <c r="M54" s="290">
        <f>Q54*$D54</f>
        <v>2.9850746268656716E-2</v>
      </c>
      <c r="N54" s="261" t="s">
        <v>151</v>
      </c>
      <c r="O54" s="145">
        <f t="shared" si="14"/>
        <v>0.32835820895522388</v>
      </c>
      <c r="P54" s="145">
        <f t="shared" si="15"/>
        <v>0.37313432835820898</v>
      </c>
      <c r="Q54" s="145">
        <f t="shared" si="16"/>
        <v>0.29850746268656714</v>
      </c>
      <c r="R54" s="146">
        <f t="shared" si="17"/>
        <v>1</v>
      </c>
      <c r="S54" s="110">
        <v>100</v>
      </c>
      <c r="T54" s="302">
        <f>100*(J58-J52)</f>
        <v>0.11169139106897126</v>
      </c>
      <c r="V54" s="132"/>
    </row>
    <row r="55" spans="2:22" s="131" customFormat="1" x14ac:dyDescent="0.25">
      <c r="B55" s="130"/>
      <c r="C55" s="147"/>
      <c r="D55" s="147"/>
      <c r="E55" s="135" t="s">
        <v>90</v>
      </c>
      <c r="F55" s="117">
        <v>150</v>
      </c>
      <c r="G55" s="117">
        <v>125</v>
      </c>
      <c r="H55" s="117">
        <v>100</v>
      </c>
      <c r="I55" s="136">
        <f t="shared" si="13"/>
        <v>375</v>
      </c>
      <c r="J55" s="137">
        <f>J54</f>
        <v>1.1495712924738013E-3</v>
      </c>
      <c r="K55" s="291"/>
      <c r="L55" s="292"/>
      <c r="M55" s="293"/>
      <c r="N55" s="261" t="s">
        <v>151</v>
      </c>
      <c r="O55" s="145">
        <f t="shared" si="14"/>
        <v>0.4</v>
      </c>
      <c r="P55" s="145">
        <f t="shared" si="15"/>
        <v>0.33333333333333331</v>
      </c>
      <c r="Q55" s="145">
        <f t="shared" si="16"/>
        <v>0.26666666666666666</v>
      </c>
      <c r="R55" s="146">
        <f t="shared" si="17"/>
        <v>1</v>
      </c>
      <c r="S55" s="148"/>
      <c r="T55" s="149">
        <f>SUM(T51:T54)</f>
        <v>0.5</v>
      </c>
      <c r="V55" s="132"/>
    </row>
    <row r="56" spans="2:22" s="131" customFormat="1" ht="15.75" thickBot="1" x14ac:dyDescent="0.3">
      <c r="C56" s="141">
        <v>2</v>
      </c>
      <c r="D56" s="141">
        <f>C56*0.05</f>
        <v>0.1</v>
      </c>
      <c r="E56" s="142">
        <v>4</v>
      </c>
      <c r="F56" s="177">
        <v>150</v>
      </c>
      <c r="G56" s="177">
        <v>125</v>
      </c>
      <c r="H56" s="177">
        <v>100</v>
      </c>
      <c r="I56" s="143">
        <f t="shared" si="13"/>
        <v>375</v>
      </c>
      <c r="J56" s="144">
        <f>(D56)/I56+J54</f>
        <v>1.4162379591404679E-3</v>
      </c>
      <c r="K56" s="263">
        <f>O56*$D56</f>
        <v>4.0000000000000008E-2</v>
      </c>
      <c r="L56" s="289">
        <f>P56*$D56</f>
        <v>3.3333333333333333E-2</v>
      </c>
      <c r="M56" s="290">
        <f>Q56*$D56</f>
        <v>2.6666666666666668E-2</v>
      </c>
      <c r="N56" s="261" t="s">
        <v>151</v>
      </c>
      <c r="O56" s="145">
        <f t="shared" si="14"/>
        <v>0.4</v>
      </c>
      <c r="P56" s="145">
        <f t="shared" si="15"/>
        <v>0.33333333333333331</v>
      </c>
      <c r="Q56" s="145">
        <f t="shared" si="16"/>
        <v>0.26666666666666666</v>
      </c>
      <c r="R56" s="146">
        <f t="shared" si="17"/>
        <v>1</v>
      </c>
      <c r="S56" s="133"/>
      <c r="T56" s="149"/>
      <c r="V56" s="132"/>
    </row>
    <row r="57" spans="2:22" s="131" customFormat="1" x14ac:dyDescent="0.25">
      <c r="C57" s="147"/>
      <c r="D57" s="147"/>
      <c r="E57" s="135" t="s">
        <v>91</v>
      </c>
      <c r="F57" s="117">
        <v>150</v>
      </c>
      <c r="G57" s="117">
        <v>0</v>
      </c>
      <c r="H57" s="117">
        <v>100</v>
      </c>
      <c r="I57" s="136">
        <f t="shared" si="13"/>
        <v>250</v>
      </c>
      <c r="J57" s="267">
        <f>J56+3/14*SUM(L50:L56)/I57</f>
        <v>1.5679777404769466E-3</v>
      </c>
      <c r="K57" s="291"/>
      <c r="L57" s="292"/>
      <c r="M57" s="293"/>
      <c r="N57" s="261" t="s">
        <v>151</v>
      </c>
      <c r="O57" s="145">
        <f t="shared" si="14"/>
        <v>0.6</v>
      </c>
      <c r="P57" s="145">
        <f t="shared" si="15"/>
        <v>0</v>
      </c>
      <c r="Q57" s="145">
        <f t="shared" si="16"/>
        <v>0.4</v>
      </c>
      <c r="R57" s="146">
        <f t="shared" si="17"/>
        <v>1</v>
      </c>
      <c r="T57" s="150"/>
      <c r="U57" s="264"/>
      <c r="V57" s="132"/>
    </row>
    <row r="58" spans="2:22" s="131" customFormat="1" ht="15.75" thickBot="1" x14ac:dyDescent="0.3">
      <c r="B58" s="130"/>
      <c r="C58" s="141">
        <v>2</v>
      </c>
      <c r="D58" s="141">
        <f>C58*0.05+0*(L56+L54+L52)/2</f>
        <v>0.1</v>
      </c>
      <c r="E58" s="142">
        <v>5</v>
      </c>
      <c r="F58" s="123">
        <v>150</v>
      </c>
      <c r="G58" s="124">
        <v>0</v>
      </c>
      <c r="H58" s="123">
        <v>100</v>
      </c>
      <c r="I58" s="143">
        <f t="shared" si="13"/>
        <v>250</v>
      </c>
      <c r="J58" s="144">
        <f>D58/I58+J57</f>
        <v>1.9679777404769468E-3</v>
      </c>
      <c r="K58" s="263">
        <f>O58*$D58</f>
        <v>0.06</v>
      </c>
      <c r="L58" s="289">
        <f>P58*$D58</f>
        <v>0</v>
      </c>
      <c r="M58" s="290">
        <f>Q58*$D58</f>
        <v>4.0000000000000008E-2</v>
      </c>
      <c r="N58" s="261" t="s">
        <v>151</v>
      </c>
      <c r="O58" s="145">
        <f t="shared" si="14"/>
        <v>0.6</v>
      </c>
      <c r="P58" s="145">
        <f t="shared" si="15"/>
        <v>0</v>
      </c>
      <c r="Q58" s="145">
        <f t="shared" si="16"/>
        <v>0.4</v>
      </c>
      <c r="R58" s="146">
        <f t="shared" si="17"/>
        <v>1</v>
      </c>
      <c r="T58" s="150"/>
      <c r="U58" s="264"/>
      <c r="V58" s="132"/>
    </row>
    <row r="59" spans="2:22" s="131" customFormat="1" x14ac:dyDescent="0.25">
      <c r="C59" s="147"/>
      <c r="D59" s="147"/>
      <c r="E59" s="132" t="s">
        <v>92</v>
      </c>
      <c r="F59" s="148">
        <v>0</v>
      </c>
      <c r="G59" s="148">
        <v>0</v>
      </c>
      <c r="H59" s="148">
        <v>0</v>
      </c>
      <c r="I59" s="148">
        <v>0</v>
      </c>
      <c r="J59" s="134">
        <f>J58</f>
        <v>1.9679777404769468E-3</v>
      </c>
      <c r="N59" s="261" t="s">
        <v>151</v>
      </c>
      <c r="T59" s="150"/>
      <c r="U59" s="150"/>
      <c r="V59" s="132"/>
    </row>
    <row r="60" spans="2:22" x14ac:dyDescent="0.25">
      <c r="N60"/>
      <c r="U60" s="265"/>
      <c r="V60"/>
    </row>
    <row r="61" spans="2:22" x14ac:dyDescent="0.25">
      <c r="C61" s="131" t="s">
        <v>159</v>
      </c>
      <c r="L61" s="18"/>
      <c r="N61"/>
      <c r="V61"/>
    </row>
    <row r="62" spans="2:22" x14ac:dyDescent="0.25">
      <c r="C62" s="131"/>
      <c r="N62"/>
      <c r="V62"/>
    </row>
    <row r="63" spans="2:22" x14ac:dyDescent="0.25">
      <c r="N63"/>
      <c r="V63"/>
    </row>
    <row r="64" spans="2:22" x14ac:dyDescent="0.25">
      <c r="N64"/>
      <c r="V64"/>
    </row>
    <row r="65" spans="2:22" x14ac:dyDescent="0.25">
      <c r="N65"/>
      <c r="V65"/>
    </row>
    <row r="66" spans="2:22" x14ac:dyDescent="0.25">
      <c r="N66"/>
      <c r="V66"/>
    </row>
    <row r="67" spans="2:22" x14ac:dyDescent="0.25">
      <c r="N67"/>
      <c r="V67"/>
    </row>
    <row r="68" spans="2:22" x14ac:dyDescent="0.25">
      <c r="N68"/>
      <c r="V68"/>
    </row>
    <row r="69" spans="2:22" x14ac:dyDescent="0.25">
      <c r="N69"/>
      <c r="V69"/>
    </row>
    <row r="70" spans="2:22" x14ac:dyDescent="0.25">
      <c r="N70"/>
      <c r="V70"/>
    </row>
    <row r="71" spans="2:22" x14ac:dyDescent="0.25">
      <c r="N71"/>
      <c r="V71"/>
    </row>
    <row r="72" spans="2:22" x14ac:dyDescent="0.25">
      <c r="N72"/>
      <c r="V72"/>
    </row>
    <row r="73" spans="2:22" x14ac:dyDescent="0.25">
      <c r="N73"/>
      <c r="V73"/>
    </row>
    <row r="74" spans="2:22" x14ac:dyDescent="0.25">
      <c r="N74"/>
      <c r="V74"/>
    </row>
    <row r="75" spans="2:22" x14ac:dyDescent="0.25">
      <c r="V75"/>
    </row>
    <row r="76" spans="2:22" x14ac:dyDescent="0.25">
      <c r="B76" s="1"/>
      <c r="V76"/>
    </row>
    <row r="77" spans="2:22" x14ac:dyDescent="0.25">
      <c r="V77"/>
    </row>
    <row r="78" spans="2:22" x14ac:dyDescent="0.25">
      <c r="V78"/>
    </row>
    <row r="79" spans="2:22" x14ac:dyDescent="0.25">
      <c r="V79"/>
    </row>
    <row r="80" spans="2:22" x14ac:dyDescent="0.25">
      <c r="V80"/>
    </row>
    <row r="81" spans="22:22" x14ac:dyDescent="0.25">
      <c r="V81"/>
    </row>
    <row r="82" spans="22:22" x14ac:dyDescent="0.25">
      <c r="V82"/>
    </row>
    <row r="83" spans="22:22" x14ac:dyDescent="0.25">
      <c r="V83"/>
    </row>
    <row r="84" spans="22:22" x14ac:dyDescent="0.25">
      <c r="V84"/>
    </row>
    <row r="85" spans="22:22" x14ac:dyDescent="0.25">
      <c r="V85"/>
    </row>
    <row r="86" spans="22:22" x14ac:dyDescent="0.25">
      <c r="V86"/>
    </row>
    <row r="87" spans="22:22" x14ac:dyDescent="0.25">
      <c r="V87"/>
    </row>
    <row r="88" spans="22:22" x14ac:dyDescent="0.25">
      <c r="V88"/>
    </row>
    <row r="89" spans="22:22" x14ac:dyDescent="0.25">
      <c r="V89"/>
    </row>
    <row r="90" spans="22:22" x14ac:dyDescent="0.25">
      <c r="V90"/>
    </row>
    <row r="91" spans="22:22" x14ac:dyDescent="0.25">
      <c r="V91"/>
    </row>
    <row r="92" spans="22:22" x14ac:dyDescent="0.25">
      <c r="V92"/>
    </row>
    <row r="93" spans="22:22" x14ac:dyDescent="0.25">
      <c r="V93"/>
    </row>
    <row r="94" spans="22:22" x14ac:dyDescent="0.25">
      <c r="V94"/>
    </row>
    <row r="95" spans="22:22" x14ac:dyDescent="0.25">
      <c r="V95"/>
    </row>
    <row r="96" spans="22:22" x14ac:dyDescent="0.25">
      <c r="V96"/>
    </row>
    <row r="97" spans="2:22" x14ac:dyDescent="0.25">
      <c r="B97" s="1"/>
      <c r="V97"/>
    </row>
    <row r="98" spans="2:22" x14ac:dyDescent="0.25">
      <c r="V98"/>
    </row>
    <row r="99" spans="2:22" x14ac:dyDescent="0.25">
      <c r="B99" s="1"/>
      <c r="V99"/>
    </row>
    <row r="100" spans="2:22" x14ac:dyDescent="0.25">
      <c r="V100"/>
    </row>
    <row r="101" spans="2:22" x14ac:dyDescent="0.25">
      <c r="B101" s="1"/>
      <c r="V101"/>
    </row>
    <row r="102" spans="2:22" x14ac:dyDescent="0.25">
      <c r="V102"/>
    </row>
    <row r="103" spans="2:22" x14ac:dyDescent="0.25">
      <c r="V103"/>
    </row>
    <row r="104" spans="2:22" x14ac:dyDescent="0.25">
      <c r="B104" s="1"/>
      <c r="V104"/>
    </row>
    <row r="105" spans="2:22" x14ac:dyDescent="0.25">
      <c r="V105"/>
    </row>
    <row r="106" spans="2:22" x14ac:dyDescent="0.25">
      <c r="V106"/>
    </row>
    <row r="107" spans="2:22" x14ac:dyDescent="0.25">
      <c r="B107" s="1"/>
      <c r="V107"/>
    </row>
    <row r="108" spans="2:22" x14ac:dyDescent="0.25">
      <c r="V108"/>
    </row>
    <row r="109" spans="2:22" x14ac:dyDescent="0.25">
      <c r="V109"/>
    </row>
    <row r="110" spans="2:22" x14ac:dyDescent="0.25">
      <c r="V110"/>
    </row>
    <row r="111" spans="2:22" x14ac:dyDescent="0.25">
      <c r="V111"/>
    </row>
    <row r="112" spans="2:22" x14ac:dyDescent="0.25">
      <c r="V112"/>
    </row>
    <row r="113" spans="3:22" x14ac:dyDescent="0.25">
      <c r="V113"/>
    </row>
    <row r="114" spans="3:22" x14ac:dyDescent="0.25">
      <c r="V114"/>
    </row>
    <row r="115" spans="3:22" x14ac:dyDescent="0.25">
      <c r="V115"/>
    </row>
    <row r="116" spans="3:22" x14ac:dyDescent="0.25">
      <c r="C116" s="3"/>
      <c r="D116" s="3"/>
      <c r="E116" s="4"/>
      <c r="F116" s="159"/>
      <c r="G116" s="159"/>
      <c r="H116" s="159"/>
      <c r="J116" s="4"/>
      <c r="K116" s="1"/>
      <c r="L116" s="4"/>
      <c r="M116" s="4"/>
      <c r="N116" s="34"/>
      <c r="O116" s="4"/>
      <c r="P116" s="4"/>
      <c r="Q116" s="4"/>
      <c r="R116" s="21"/>
      <c r="S116" s="22"/>
      <c r="T116" s="22"/>
    </row>
    <row r="117" spans="3:22" x14ac:dyDescent="0.25">
      <c r="D117" s="15"/>
      <c r="E117" s="4"/>
      <c r="F117" s="1"/>
      <c r="M117" s="4"/>
      <c r="O117" s="4"/>
      <c r="P117" s="4"/>
      <c r="S117" s="22"/>
      <c r="T117" s="22"/>
    </row>
    <row r="118" spans="3:22" x14ac:dyDescent="0.25">
      <c r="E118" s="4"/>
      <c r="F118" s="1"/>
      <c r="J118" s="19"/>
      <c r="K118" s="19"/>
      <c r="L118" s="19"/>
      <c r="M118" s="4"/>
      <c r="N118" s="262"/>
      <c r="O118" s="4"/>
      <c r="P118" s="4"/>
      <c r="Q118" s="3"/>
      <c r="R118" s="3"/>
      <c r="S118" s="22"/>
      <c r="T118" s="22"/>
    </row>
    <row r="119" spans="3:22" x14ac:dyDescent="0.25">
      <c r="E119" s="4"/>
      <c r="F119" s="1"/>
      <c r="J119" s="19"/>
      <c r="K119" s="1"/>
      <c r="L119" s="19"/>
      <c r="N119" s="262"/>
      <c r="Q119" s="3"/>
      <c r="R119" s="3"/>
    </row>
    <row r="120" spans="3:22" x14ac:dyDescent="0.25">
      <c r="E120" s="4"/>
      <c r="F120" s="1"/>
      <c r="J120" s="19"/>
      <c r="K120" s="19"/>
      <c r="L120" s="19"/>
      <c r="M120" s="4"/>
      <c r="N120" s="262"/>
      <c r="O120" s="4"/>
      <c r="P120" s="4"/>
      <c r="Q120" s="3"/>
      <c r="R120" s="3"/>
    </row>
    <row r="121" spans="3:22" x14ac:dyDescent="0.25">
      <c r="E121" s="4"/>
      <c r="F121" s="1"/>
      <c r="J121" s="19"/>
      <c r="K121" s="19"/>
      <c r="L121" s="19"/>
      <c r="N121" s="262"/>
      <c r="Q121" s="3"/>
      <c r="R12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398E8-E6F0-4309-B203-F52646A84471}">
  <sheetPr codeName="Sheet3"/>
  <dimension ref="B1:Z48"/>
  <sheetViews>
    <sheetView tabSelected="1" zoomScale="75" zoomScaleNormal="75" workbookViewId="0">
      <selection activeCell="Y12" sqref="Y12"/>
    </sheetView>
  </sheetViews>
  <sheetFormatPr defaultRowHeight="15" x14ac:dyDescent="0.25"/>
  <cols>
    <col min="2" max="2" width="6.7109375" customWidth="1"/>
    <col min="3" max="3" width="25.5703125" customWidth="1"/>
    <col min="4" max="4" width="16.85546875" bestFit="1" customWidth="1"/>
    <col min="5" max="5" width="19" customWidth="1"/>
    <col min="6" max="7" width="9.140625" customWidth="1"/>
    <col min="10" max="10" width="13" customWidth="1"/>
    <col min="12" max="12" width="8.7109375" customWidth="1"/>
    <col min="13" max="14" width="13.28515625" customWidth="1"/>
    <col min="15" max="15" width="16.7109375" customWidth="1"/>
    <col min="16" max="16" width="15.5703125" customWidth="1"/>
    <col min="17" max="17" width="22.85546875" customWidth="1"/>
    <col min="18" max="18" width="11.140625" customWidth="1"/>
    <col min="19" max="19" width="16.5703125" customWidth="1"/>
    <col min="20" max="21" width="15" customWidth="1"/>
    <col min="22" max="22" width="17.140625" customWidth="1"/>
    <col min="23" max="23" width="14.85546875" customWidth="1"/>
    <col min="24" max="25" width="10.28515625" bestFit="1" customWidth="1"/>
    <col min="26" max="28" width="11.42578125" customWidth="1"/>
    <col min="29" max="34" width="12" customWidth="1"/>
    <col min="35" max="35" width="12" bestFit="1" customWidth="1"/>
    <col min="36" max="36" width="12.5703125" bestFit="1" customWidth="1"/>
    <col min="37" max="37" width="11.42578125" customWidth="1"/>
    <col min="43" max="43" width="12" bestFit="1" customWidth="1"/>
    <col min="45" max="45" width="10.5703125" bestFit="1" customWidth="1"/>
    <col min="51" max="51" width="12" bestFit="1" customWidth="1"/>
    <col min="53" max="53" width="10.5703125" bestFit="1" customWidth="1"/>
  </cols>
  <sheetData>
    <row r="1" spans="2:26" x14ac:dyDescent="0.25">
      <c r="C1" s="1" t="s">
        <v>37</v>
      </c>
      <c r="J1" s="23"/>
      <c r="K1" s="24"/>
      <c r="M1" s="23"/>
      <c r="N1" s="24"/>
      <c r="X1" s="23"/>
      <c r="Y1" s="24"/>
    </row>
    <row r="2" spans="2:26" x14ac:dyDescent="0.25">
      <c r="J2" s="25" t="s">
        <v>0</v>
      </c>
      <c r="K2" s="26"/>
      <c r="L2" s="2"/>
      <c r="M2" s="25" t="s">
        <v>59</v>
      </c>
      <c r="N2" s="26"/>
      <c r="O2" s="2" t="s">
        <v>66</v>
      </c>
      <c r="P2" s="2"/>
      <c r="Q2" s="2" t="s">
        <v>65</v>
      </c>
      <c r="R2" s="2"/>
      <c r="U2" s="2" t="s">
        <v>32</v>
      </c>
      <c r="X2" s="25" t="s">
        <v>0</v>
      </c>
      <c r="Y2" s="26"/>
      <c r="Z2">
        <v>30000</v>
      </c>
    </row>
    <row r="3" spans="2:26" x14ac:dyDescent="0.25">
      <c r="D3" s="2" t="s">
        <v>113</v>
      </c>
      <c r="E3" s="2"/>
      <c r="F3" s="2" t="s">
        <v>112</v>
      </c>
      <c r="G3" s="2"/>
      <c r="H3" s="2" t="s">
        <v>61</v>
      </c>
      <c r="I3" s="2" t="s">
        <v>26</v>
      </c>
      <c r="J3" s="25" t="s">
        <v>27</v>
      </c>
      <c r="K3" s="26" t="s">
        <v>28</v>
      </c>
      <c r="L3" s="2" t="s">
        <v>48</v>
      </c>
      <c r="M3" s="25" t="s">
        <v>24</v>
      </c>
      <c r="N3" s="26" t="s">
        <v>25</v>
      </c>
      <c r="O3" s="2" t="s">
        <v>22</v>
      </c>
      <c r="P3" s="2" t="s">
        <v>23</v>
      </c>
      <c r="Q3" s="2" t="s">
        <v>24</v>
      </c>
      <c r="R3" s="2" t="s">
        <v>25</v>
      </c>
      <c r="S3" s="2" t="s">
        <v>29</v>
      </c>
      <c r="T3" s="2" t="s">
        <v>30</v>
      </c>
      <c r="U3" s="2" t="s">
        <v>31</v>
      </c>
      <c r="V3" s="2" t="s">
        <v>58</v>
      </c>
      <c r="W3" s="2" t="s">
        <v>57</v>
      </c>
      <c r="X3" s="25" t="s">
        <v>27</v>
      </c>
      <c r="Y3" s="26" t="s">
        <v>28</v>
      </c>
      <c r="Z3">
        <f>Z2/5</f>
        <v>6000</v>
      </c>
    </row>
    <row r="4" spans="2:26" x14ac:dyDescent="0.25">
      <c r="B4">
        <v>0</v>
      </c>
      <c r="C4" t="s">
        <v>1</v>
      </c>
      <c r="D4" s="319">
        <f>10000000/(512)-10000</f>
        <v>9531.25</v>
      </c>
      <c r="E4" s="5">
        <v>1621266400</v>
      </c>
      <c r="F4" s="319">
        <f>10000000/(512)-10000</f>
        <v>9531.25</v>
      </c>
      <c r="J4" s="278"/>
      <c r="K4" s="40"/>
      <c r="M4" s="278"/>
      <c r="N4" s="40"/>
      <c r="O4" s="4"/>
      <c r="P4" s="4"/>
      <c r="Q4" s="281"/>
      <c r="R4" s="4"/>
      <c r="S4" s="4"/>
      <c r="T4" s="4"/>
      <c r="U4" s="4"/>
      <c r="V4" s="4"/>
      <c r="W4" s="1"/>
      <c r="X4" s="27"/>
      <c r="Y4" s="28">
        <v>0</v>
      </c>
    </row>
    <row r="5" spans="2:26" x14ac:dyDescent="0.25">
      <c r="B5">
        <v>1</v>
      </c>
      <c r="C5" t="s">
        <v>16</v>
      </c>
      <c r="D5" s="319">
        <f t="shared" ref="D5:F35" si="0">10000000/(512)-10000</f>
        <v>9531.25</v>
      </c>
      <c r="E5" s="5">
        <v>1621266400</v>
      </c>
      <c r="F5" s="319">
        <f t="shared" si="0"/>
        <v>9531.25</v>
      </c>
      <c r="H5">
        <v>2</v>
      </c>
      <c r="I5">
        <v>0</v>
      </c>
      <c r="J5" s="278">
        <v>62950.819672131154</v>
      </c>
      <c r="K5" s="40">
        <v>0</v>
      </c>
      <c r="L5">
        <f t="shared" ref="L5:L12" ca="1" si="1">MOD(OFFSET(IF(J5&gt;0,D$4,F$4),I5,0),10000)</f>
        <v>9531.25</v>
      </c>
      <c r="M5" s="278">
        <f ca="1">INT($L5*J5/10000)</f>
        <v>60000</v>
      </c>
      <c r="N5" s="40">
        <f t="shared" ref="M5:N8" ca="1" si="2">INT($L5*K5/1000)</f>
        <v>0</v>
      </c>
      <c r="O5" s="4">
        <f>J5</f>
        <v>62950.819672131154</v>
      </c>
      <c r="P5" s="4">
        <f>K5</f>
        <v>0</v>
      </c>
      <c r="Q5" s="4">
        <f ca="1">(J5*$L5/10000)</f>
        <v>60000.000000000015</v>
      </c>
      <c r="R5" s="4">
        <v>0</v>
      </c>
      <c r="S5" s="4">
        <f ca="1">Q5-P5</f>
        <v>60000.000000000015</v>
      </c>
      <c r="T5" s="4">
        <f>R5-O5</f>
        <v>-62950.819672131154</v>
      </c>
      <c r="U5" s="4">
        <f ca="1">MAX(0,S5:T5)</f>
        <v>60000.000000000015</v>
      </c>
      <c r="V5" s="4">
        <f ca="1">U5</f>
        <v>60000.000000000015</v>
      </c>
      <c r="W5" s="1">
        <f>SUM(J5:K5)</f>
        <v>62950.819672131154</v>
      </c>
      <c r="X5" s="27">
        <v>1000</v>
      </c>
      <c r="Y5" s="28">
        <v>0</v>
      </c>
    </row>
    <row r="6" spans="2:26" x14ac:dyDescent="0.25">
      <c r="B6">
        <v>2</v>
      </c>
      <c r="C6" t="s">
        <v>2</v>
      </c>
      <c r="D6" s="319">
        <f t="shared" si="0"/>
        <v>9531.25</v>
      </c>
      <c r="E6" s="5">
        <v>1621266400</v>
      </c>
      <c r="F6" s="319">
        <f t="shared" si="0"/>
        <v>9531.25</v>
      </c>
      <c r="H6">
        <v>3</v>
      </c>
      <c r="I6">
        <v>0</v>
      </c>
      <c r="J6" s="278">
        <v>0</v>
      </c>
      <c r="K6" s="279">
        <v>125000</v>
      </c>
      <c r="L6">
        <f t="shared" ca="1" si="1"/>
        <v>9531.25</v>
      </c>
      <c r="M6" s="278">
        <f t="shared" ca="1" si="2"/>
        <v>0</v>
      </c>
      <c r="N6" s="40">
        <f ca="1">INT($L6*K6/10000)</f>
        <v>119140</v>
      </c>
      <c r="O6" s="4">
        <f>J6+O5</f>
        <v>62950.819672131154</v>
      </c>
      <c r="P6" s="4">
        <f>K6+P4</f>
        <v>125000</v>
      </c>
      <c r="Q6" s="4">
        <f ca="1">(J6*L6/10000)+Q5</f>
        <v>60000.000000000015</v>
      </c>
      <c r="R6" s="4">
        <f ca="1">INT(K6*L6/10000)+R4</f>
        <v>119140</v>
      </c>
      <c r="S6" s="4">
        <f ca="1">Q6-P6</f>
        <v>-64999.999999999985</v>
      </c>
      <c r="T6" s="4">
        <f ca="1">R6-O6</f>
        <v>56189.180327868846</v>
      </c>
      <c r="U6" s="4">
        <f t="shared" ref="U6:U7" ca="1" si="3">MAX(0,S6:T6)</f>
        <v>56189.180327868846</v>
      </c>
      <c r="V6" s="4">
        <f ca="1">V4+(U6-U4)</f>
        <v>56189.180327868846</v>
      </c>
      <c r="W6" s="1">
        <f>SUM(J6:K6)+W4</f>
        <v>125000</v>
      </c>
      <c r="X6" s="27">
        <v>0</v>
      </c>
      <c r="Y6" s="29">
        <v>2000</v>
      </c>
    </row>
    <row r="7" spans="2:26" x14ac:dyDescent="0.25">
      <c r="B7">
        <v>3</v>
      </c>
      <c r="C7" t="s">
        <v>3</v>
      </c>
      <c r="D7" s="319">
        <f t="shared" si="0"/>
        <v>9531.25</v>
      </c>
      <c r="E7" s="5">
        <v>1621266400</v>
      </c>
      <c r="F7" s="319">
        <f t="shared" si="0"/>
        <v>9531.25</v>
      </c>
      <c r="H7">
        <v>2</v>
      </c>
      <c r="I7">
        <v>0</v>
      </c>
      <c r="J7" s="282">
        <v>131147.53460327871</v>
      </c>
      <c r="K7" s="40">
        <v>0</v>
      </c>
      <c r="L7">
        <f t="shared" ca="1" si="1"/>
        <v>9531.25</v>
      </c>
      <c r="M7" s="278">
        <f ca="1">INT($L7*J7/10000)</f>
        <v>124999</v>
      </c>
      <c r="N7" s="40">
        <f t="shared" ca="1" si="2"/>
        <v>0</v>
      </c>
      <c r="O7" s="4">
        <f>J7+O6</f>
        <v>194098.35427540986</v>
      </c>
      <c r="P7" s="280">
        <f>K7+P6</f>
        <v>125000</v>
      </c>
      <c r="Q7" s="4">
        <f ca="1">(J7*L7/10000)+Q6</f>
        <v>184999.99391875003</v>
      </c>
      <c r="R7" s="4">
        <f ca="1">INT(K7*L7/1000)+R6</f>
        <v>119140</v>
      </c>
      <c r="S7" s="4">
        <f ca="1">Q7-P7</f>
        <v>59999.993918750028</v>
      </c>
      <c r="T7" s="4">
        <f ca="1">R7-O7</f>
        <v>-74958.35427540986</v>
      </c>
      <c r="U7" s="4">
        <f t="shared" ca="1" si="3"/>
        <v>59999.993918750028</v>
      </c>
      <c r="V7" s="4">
        <f ca="1">V6+(U7-U6)</f>
        <v>59999.993918750028</v>
      </c>
      <c r="W7" s="1">
        <f>SUM(J7:K7)+W6</f>
        <v>256147.53460327871</v>
      </c>
      <c r="X7" s="27">
        <v>1000</v>
      </c>
      <c r="Y7" s="28">
        <v>0</v>
      </c>
    </row>
    <row r="8" spans="2:26" x14ac:dyDescent="0.25">
      <c r="B8">
        <v>4</v>
      </c>
      <c r="C8" t="s">
        <v>4</v>
      </c>
      <c r="D8" s="319">
        <f t="shared" si="0"/>
        <v>9531.25</v>
      </c>
      <c r="E8" s="5">
        <v>1621266400</v>
      </c>
      <c r="F8" s="319">
        <f t="shared" si="0"/>
        <v>9531.25</v>
      </c>
      <c r="H8">
        <v>3</v>
      </c>
      <c r="I8">
        <v>0</v>
      </c>
      <c r="J8" s="278">
        <v>62951</v>
      </c>
      <c r="K8" s="40"/>
      <c r="L8">
        <f t="shared" ca="1" si="1"/>
        <v>9531.25</v>
      </c>
      <c r="M8" s="278">
        <f t="shared" ca="1" si="2"/>
        <v>600001</v>
      </c>
      <c r="N8" s="40">
        <f t="shared" ca="1" si="2"/>
        <v>0</v>
      </c>
      <c r="O8" s="4">
        <f>J8+O7</f>
        <v>257049.35427540986</v>
      </c>
      <c r="P8" s="280">
        <f>K8+P7</f>
        <v>125000</v>
      </c>
      <c r="Q8" s="4">
        <f ca="1">(J8*L8/10000)+Q7</f>
        <v>245000.16579375003</v>
      </c>
      <c r="R8" s="4">
        <f ca="1">INT(K8*L8/1000)+R7</f>
        <v>119140</v>
      </c>
      <c r="S8" s="4">
        <f ca="1">Q8-P8</f>
        <v>120000.16579375003</v>
      </c>
      <c r="T8" s="4">
        <f ca="1">R8-O8</f>
        <v>-137909.35427540986</v>
      </c>
      <c r="U8" s="4">
        <f t="shared" ref="U8" ca="1" si="4">MAX(0,S8:T8)</f>
        <v>120000.16579375003</v>
      </c>
      <c r="V8" s="4">
        <f ca="1">V7+(U8-U7)</f>
        <v>120000.16579375003</v>
      </c>
      <c r="W8" s="1">
        <f>SUM(J8:K8)+W7</f>
        <v>319098.53460327873</v>
      </c>
      <c r="X8" s="27">
        <v>1000</v>
      </c>
      <c r="Y8" s="28">
        <v>0</v>
      </c>
    </row>
    <row r="9" spans="2:26" x14ac:dyDescent="0.25">
      <c r="B9">
        <v>5</v>
      </c>
      <c r="C9" t="s">
        <v>5</v>
      </c>
      <c r="D9" s="319">
        <f t="shared" si="0"/>
        <v>9531.25</v>
      </c>
      <c r="E9" s="5">
        <v>1621266400</v>
      </c>
      <c r="F9" s="319">
        <f t="shared" si="0"/>
        <v>9531.25</v>
      </c>
      <c r="H9">
        <v>2</v>
      </c>
      <c r="I9">
        <v>0</v>
      </c>
      <c r="J9" s="278">
        <v>62951</v>
      </c>
      <c r="K9" s="40"/>
      <c r="L9">
        <f t="shared" ca="1" si="1"/>
        <v>9531.25</v>
      </c>
      <c r="M9" s="278">
        <f t="shared" ref="M9" ca="1" si="5">INT($L9*J9/1000)</f>
        <v>600001</v>
      </c>
      <c r="N9" s="40">
        <f t="shared" ref="N9" ca="1" si="6">INT($L9*K9/1000)</f>
        <v>0</v>
      </c>
      <c r="O9" s="4">
        <f t="shared" ref="O9" si="7">J9+O8</f>
        <v>320000.35427540983</v>
      </c>
      <c r="P9" s="280">
        <f t="shared" ref="P9" si="8">K9+P8</f>
        <v>125000</v>
      </c>
      <c r="Q9" s="4">
        <f t="shared" ref="Q9" ca="1" si="9">(J9*L9/10000)+Q8</f>
        <v>305000.33766875003</v>
      </c>
      <c r="R9" s="4">
        <f t="shared" ref="R9" ca="1" si="10">INT(K9*L9/1000)+R8</f>
        <v>119140</v>
      </c>
      <c r="S9" s="4">
        <f t="shared" ref="S9" ca="1" si="11">Q9-P9</f>
        <v>180000.33766875003</v>
      </c>
      <c r="T9" s="4">
        <f t="shared" ref="T9" ca="1" si="12">R9-O9</f>
        <v>-200860.35427540983</v>
      </c>
      <c r="U9" s="4">
        <f t="shared" ref="U9" ca="1" si="13">MAX(0,S9:T9)</f>
        <v>180000.33766875003</v>
      </c>
      <c r="V9" s="4">
        <f t="shared" ref="V9" ca="1" si="14">V8+(U9-U8)</f>
        <v>180000.33766875003</v>
      </c>
      <c r="W9" s="1">
        <f t="shared" ref="W9" si="15">SUM(J9:K9)+W8</f>
        <v>382049.53460327873</v>
      </c>
      <c r="X9" s="27">
        <v>1000</v>
      </c>
      <c r="Y9" s="28"/>
    </row>
    <row r="10" spans="2:26" x14ac:dyDescent="0.25">
      <c r="B10">
        <v>6</v>
      </c>
      <c r="C10" t="s">
        <v>6</v>
      </c>
      <c r="D10" s="319">
        <f t="shared" si="0"/>
        <v>9531.25</v>
      </c>
      <c r="E10" s="5">
        <v>1621266400</v>
      </c>
      <c r="F10" s="319">
        <f t="shared" si="0"/>
        <v>9531.25</v>
      </c>
      <c r="H10">
        <v>2</v>
      </c>
      <c r="I10">
        <v>0</v>
      </c>
      <c r="J10" s="278">
        <v>62952</v>
      </c>
      <c r="K10" s="40"/>
      <c r="L10">
        <f t="shared" ca="1" si="1"/>
        <v>9531.25</v>
      </c>
      <c r="M10" s="278">
        <f t="shared" ref="M10:M12" ca="1" si="16">INT($L10*J10/1000)</f>
        <v>600011</v>
      </c>
      <c r="N10" s="40">
        <f t="shared" ref="N10:N12" ca="1" si="17">INT($L10*K10/1000)</f>
        <v>0</v>
      </c>
      <c r="O10" s="4">
        <f t="shared" ref="O10:O12" si="18">J10+O9</f>
        <v>382952.35427540983</v>
      </c>
      <c r="P10" s="280">
        <f t="shared" ref="P10:P12" si="19">K10+P9</f>
        <v>125000</v>
      </c>
      <c r="Q10" s="4">
        <f t="shared" ref="Q10:Q12" ca="1" si="20">(J10*L10/10000)+Q9</f>
        <v>365001.46266875003</v>
      </c>
      <c r="R10" s="4">
        <f t="shared" ref="R10:R12" ca="1" si="21">INT(K10*L10/1000)+R9</f>
        <v>119140</v>
      </c>
      <c r="S10" s="4">
        <f t="shared" ref="S10:S12" ca="1" si="22">Q10-P10</f>
        <v>240001.46266875003</v>
      </c>
      <c r="T10" s="4">
        <f t="shared" ref="T10:T12" ca="1" si="23">R10-O10</f>
        <v>-263812.35427540983</v>
      </c>
      <c r="U10" s="4">
        <f t="shared" ref="U10:U12" ca="1" si="24">MAX(0,S10:T10)</f>
        <v>240001.46266875003</v>
      </c>
      <c r="V10" s="4">
        <f t="shared" ref="V10:V12" ca="1" si="25">V9+(U10-U9)</f>
        <v>240001.46266875003</v>
      </c>
      <c r="W10" s="1">
        <f t="shared" ref="W10:W12" si="26">SUM(J10:K10)+W9</f>
        <v>445001.53460327873</v>
      </c>
      <c r="X10" s="27">
        <v>1000</v>
      </c>
    </row>
    <row r="11" spans="2:26" x14ac:dyDescent="0.25">
      <c r="B11">
        <v>7</v>
      </c>
      <c r="C11" t="s">
        <v>7</v>
      </c>
      <c r="D11" s="319">
        <f t="shared" si="0"/>
        <v>9531.25</v>
      </c>
      <c r="E11" s="5">
        <v>1621266400</v>
      </c>
      <c r="F11" s="319">
        <f t="shared" si="0"/>
        <v>9531.25</v>
      </c>
      <c r="H11">
        <v>2</v>
      </c>
      <c r="I11">
        <v>0</v>
      </c>
      <c r="J11" s="278">
        <v>40000</v>
      </c>
      <c r="K11" s="40"/>
      <c r="L11">
        <f t="shared" ca="1" si="1"/>
        <v>9531.25</v>
      </c>
      <c r="M11" s="278">
        <f t="shared" ca="1" si="16"/>
        <v>381250</v>
      </c>
      <c r="N11" s="40">
        <f t="shared" ca="1" si="17"/>
        <v>0</v>
      </c>
      <c r="O11" s="4">
        <f t="shared" si="18"/>
        <v>422952.35427540983</v>
      </c>
      <c r="P11" s="280">
        <f t="shared" si="19"/>
        <v>125000</v>
      </c>
      <c r="Q11" s="4">
        <f t="shared" ca="1" si="20"/>
        <v>403126.46266875003</v>
      </c>
      <c r="R11" s="4">
        <f t="shared" ca="1" si="21"/>
        <v>119140</v>
      </c>
      <c r="S11" s="4">
        <f t="shared" ca="1" si="22"/>
        <v>278126.46266875003</v>
      </c>
      <c r="T11" s="4">
        <f t="shared" ca="1" si="23"/>
        <v>-303812.35427540983</v>
      </c>
      <c r="U11" s="4">
        <f t="shared" ca="1" si="24"/>
        <v>278126.46266875003</v>
      </c>
      <c r="V11" s="4">
        <f t="shared" ca="1" si="25"/>
        <v>278126.46266875003</v>
      </c>
      <c r="W11" s="1">
        <f t="shared" si="26"/>
        <v>485001.53460327873</v>
      </c>
      <c r="X11" s="27">
        <v>1000</v>
      </c>
    </row>
    <row r="12" spans="2:26" x14ac:dyDescent="0.25">
      <c r="B12">
        <v>8</v>
      </c>
      <c r="C12" t="s">
        <v>8</v>
      </c>
      <c r="D12" s="319">
        <f t="shared" si="0"/>
        <v>9531.25</v>
      </c>
      <c r="E12" s="5">
        <v>1621266400</v>
      </c>
      <c r="F12" s="319">
        <f t="shared" si="0"/>
        <v>9531.25</v>
      </c>
      <c r="H12">
        <v>2</v>
      </c>
      <c r="I12">
        <v>0</v>
      </c>
      <c r="J12" s="278">
        <v>22964</v>
      </c>
      <c r="K12" s="40"/>
      <c r="L12">
        <f t="shared" ca="1" si="1"/>
        <v>9531.25</v>
      </c>
      <c r="M12" s="278">
        <f t="shared" ca="1" si="16"/>
        <v>218875</v>
      </c>
      <c r="N12" s="40">
        <f t="shared" ca="1" si="17"/>
        <v>0</v>
      </c>
      <c r="O12" s="4">
        <f t="shared" si="18"/>
        <v>445916.35427540983</v>
      </c>
      <c r="P12" s="280">
        <f t="shared" si="19"/>
        <v>125000</v>
      </c>
      <c r="Q12" s="4">
        <f t="shared" ca="1" si="20"/>
        <v>425014.02516875003</v>
      </c>
      <c r="R12" s="4">
        <f t="shared" ca="1" si="21"/>
        <v>119140</v>
      </c>
      <c r="S12" s="4">
        <f t="shared" ca="1" si="22"/>
        <v>300014.02516875003</v>
      </c>
      <c r="T12" s="4">
        <f t="shared" ca="1" si="23"/>
        <v>-326776.35427540983</v>
      </c>
      <c r="U12" s="4">
        <f t="shared" ca="1" si="24"/>
        <v>300014.02516875003</v>
      </c>
      <c r="V12" s="4">
        <f t="shared" ca="1" si="25"/>
        <v>300014.02516875003</v>
      </c>
      <c r="W12" s="1">
        <f t="shared" si="26"/>
        <v>507965.53460327873</v>
      </c>
      <c r="X12" s="27">
        <v>1000</v>
      </c>
    </row>
    <row r="13" spans="2:26" x14ac:dyDescent="0.25">
      <c r="B13">
        <v>9</v>
      </c>
      <c r="C13" t="s">
        <v>9</v>
      </c>
      <c r="D13" s="319">
        <f t="shared" si="0"/>
        <v>9531.25</v>
      </c>
      <c r="E13" s="5">
        <v>1621266400</v>
      </c>
      <c r="F13" s="319">
        <f t="shared" si="0"/>
        <v>9531.25</v>
      </c>
    </row>
    <row r="14" spans="2:26" x14ac:dyDescent="0.25">
      <c r="B14">
        <v>10</v>
      </c>
      <c r="C14" t="s">
        <v>10</v>
      </c>
      <c r="D14" s="319">
        <f t="shared" si="0"/>
        <v>9531.25</v>
      </c>
      <c r="E14" s="5">
        <v>1621266400</v>
      </c>
      <c r="F14" s="319">
        <f t="shared" si="0"/>
        <v>9531.25</v>
      </c>
      <c r="N14" s="45"/>
    </row>
    <row r="15" spans="2:26" x14ac:dyDescent="0.25">
      <c r="B15">
        <v>11</v>
      </c>
      <c r="C15" t="s">
        <v>11</v>
      </c>
      <c r="D15" s="319">
        <f t="shared" si="0"/>
        <v>9531.25</v>
      </c>
      <c r="E15" s="5">
        <v>1621266400</v>
      </c>
      <c r="F15" s="319">
        <f t="shared" si="0"/>
        <v>9531.25</v>
      </c>
    </row>
    <row r="16" spans="2:26" x14ac:dyDescent="0.25">
      <c r="B16">
        <v>12</v>
      </c>
      <c r="C16" t="s">
        <v>12</v>
      </c>
      <c r="D16" s="319">
        <f t="shared" si="0"/>
        <v>9531.25</v>
      </c>
      <c r="E16" s="5">
        <v>1621266400</v>
      </c>
      <c r="F16" s="319">
        <f t="shared" si="0"/>
        <v>9531.25</v>
      </c>
    </row>
    <row r="17" spans="2:15" x14ac:dyDescent="0.25">
      <c r="B17">
        <v>13</v>
      </c>
      <c r="C17" t="s">
        <v>13</v>
      </c>
      <c r="D17" s="319">
        <f t="shared" si="0"/>
        <v>9531.25</v>
      </c>
      <c r="E17" s="5">
        <v>1621266400</v>
      </c>
      <c r="F17" s="319">
        <f t="shared" si="0"/>
        <v>9531.25</v>
      </c>
    </row>
    <row r="18" spans="2:15" x14ac:dyDescent="0.25">
      <c r="B18">
        <v>14</v>
      </c>
      <c r="C18" t="s">
        <v>14</v>
      </c>
      <c r="D18" s="319">
        <f t="shared" si="0"/>
        <v>9531.25</v>
      </c>
      <c r="E18" s="5">
        <v>1621266400</v>
      </c>
      <c r="F18" s="319">
        <f t="shared" si="0"/>
        <v>9531.25</v>
      </c>
      <c r="K18" s="2"/>
      <c r="L18" s="11"/>
    </row>
    <row r="19" spans="2:15" x14ac:dyDescent="0.25">
      <c r="B19">
        <v>15</v>
      </c>
      <c r="C19" t="s">
        <v>15</v>
      </c>
      <c r="D19" s="319">
        <f t="shared" si="0"/>
        <v>9531.25</v>
      </c>
      <c r="E19" s="5">
        <v>1621266400</v>
      </c>
      <c r="F19" s="319">
        <f t="shared" si="0"/>
        <v>9531.25</v>
      </c>
      <c r="K19" s="12"/>
    </row>
    <row r="20" spans="2:15" x14ac:dyDescent="0.25">
      <c r="B20">
        <v>16</v>
      </c>
      <c r="C20" t="s">
        <v>16</v>
      </c>
      <c r="D20" s="319">
        <f t="shared" si="0"/>
        <v>9531.25</v>
      </c>
      <c r="E20" s="5">
        <v>1621266400</v>
      </c>
      <c r="F20" s="319">
        <f t="shared" si="0"/>
        <v>9531.25</v>
      </c>
      <c r="K20" s="12"/>
      <c r="L20" s="11"/>
    </row>
    <row r="21" spans="2:15" x14ac:dyDescent="0.25">
      <c r="B21">
        <v>17</v>
      </c>
      <c r="C21" t="s">
        <v>17</v>
      </c>
      <c r="D21" s="319">
        <f t="shared" si="0"/>
        <v>9531.25</v>
      </c>
      <c r="E21" s="5">
        <v>1621266400</v>
      </c>
      <c r="F21" s="319">
        <f t="shared" si="0"/>
        <v>9531.25</v>
      </c>
      <c r="K21" s="12"/>
    </row>
    <row r="22" spans="2:15" x14ac:dyDescent="0.25">
      <c r="B22">
        <v>18</v>
      </c>
      <c r="C22" t="s">
        <v>18</v>
      </c>
      <c r="D22" s="319">
        <f t="shared" si="0"/>
        <v>9531.25</v>
      </c>
      <c r="E22" s="5">
        <v>1621266400</v>
      </c>
      <c r="F22" s="319">
        <f t="shared" si="0"/>
        <v>9531.25</v>
      </c>
      <c r="K22" s="12"/>
      <c r="L22" s="11"/>
    </row>
    <row r="23" spans="2:15" x14ac:dyDescent="0.25">
      <c r="B23">
        <v>19</v>
      </c>
      <c r="C23" t="s">
        <v>19</v>
      </c>
      <c r="D23" s="319">
        <f t="shared" si="0"/>
        <v>9531.25</v>
      </c>
      <c r="E23" s="5">
        <v>1621266400</v>
      </c>
      <c r="F23" s="319">
        <f t="shared" si="0"/>
        <v>9531.25</v>
      </c>
      <c r="K23" s="12"/>
      <c r="O23" s="11"/>
    </row>
    <row r="24" spans="2:15" x14ac:dyDescent="0.25">
      <c r="B24">
        <v>20</v>
      </c>
      <c r="C24" t="s">
        <v>20</v>
      </c>
      <c r="D24" s="319">
        <f t="shared" si="0"/>
        <v>9531.25</v>
      </c>
      <c r="E24" s="5">
        <v>1621266400</v>
      </c>
      <c r="F24" s="319">
        <f t="shared" si="0"/>
        <v>9531.25</v>
      </c>
      <c r="K24" s="12"/>
      <c r="L24" s="11"/>
    </row>
    <row r="25" spans="2:15" x14ac:dyDescent="0.25">
      <c r="B25">
        <v>21</v>
      </c>
      <c r="C25" t="s">
        <v>115</v>
      </c>
      <c r="D25" s="319">
        <f t="shared" si="0"/>
        <v>9531.25</v>
      </c>
      <c r="E25" s="5">
        <v>1621266400</v>
      </c>
      <c r="F25" s="319">
        <f t="shared" si="0"/>
        <v>9531.25</v>
      </c>
      <c r="K25" s="12"/>
    </row>
    <row r="26" spans="2:15" x14ac:dyDescent="0.25">
      <c r="B26">
        <v>22</v>
      </c>
      <c r="C26" t="s">
        <v>116</v>
      </c>
      <c r="D26" s="319">
        <f t="shared" si="0"/>
        <v>9531.25</v>
      </c>
      <c r="E26" s="5">
        <v>1621266400</v>
      </c>
      <c r="F26" s="319">
        <f t="shared" si="0"/>
        <v>9531.25</v>
      </c>
      <c r="K26" s="12"/>
    </row>
    <row r="27" spans="2:15" x14ac:dyDescent="0.25">
      <c r="B27">
        <v>23</v>
      </c>
      <c r="C27" t="s">
        <v>117</v>
      </c>
      <c r="D27" s="319">
        <f t="shared" si="0"/>
        <v>9531.25</v>
      </c>
      <c r="E27" s="5">
        <v>1621266400</v>
      </c>
      <c r="F27" s="319">
        <f t="shared" si="0"/>
        <v>9531.25</v>
      </c>
    </row>
    <row r="28" spans="2:15" x14ac:dyDescent="0.25">
      <c r="B28">
        <v>24</v>
      </c>
      <c r="C28" t="s">
        <v>118</v>
      </c>
      <c r="D28" s="319">
        <f t="shared" si="0"/>
        <v>9531.25</v>
      </c>
      <c r="E28" s="5">
        <v>1621266400</v>
      </c>
      <c r="F28" s="319">
        <f t="shared" si="0"/>
        <v>9531.25</v>
      </c>
    </row>
    <row r="29" spans="2:15" x14ac:dyDescent="0.25">
      <c r="B29">
        <v>25</v>
      </c>
      <c r="C29" t="s">
        <v>119</v>
      </c>
      <c r="D29" s="319">
        <f t="shared" si="0"/>
        <v>9531.25</v>
      </c>
      <c r="E29" s="5">
        <v>1621266400</v>
      </c>
      <c r="F29" s="319">
        <f t="shared" si="0"/>
        <v>9531.25</v>
      </c>
    </row>
    <row r="30" spans="2:15" x14ac:dyDescent="0.25">
      <c r="B30">
        <v>26</v>
      </c>
      <c r="C30" t="s">
        <v>120</v>
      </c>
      <c r="D30" s="319">
        <f t="shared" si="0"/>
        <v>9531.25</v>
      </c>
      <c r="E30" s="5">
        <v>1621266400</v>
      </c>
      <c r="F30" s="319">
        <f t="shared" si="0"/>
        <v>9531.25</v>
      </c>
    </row>
    <row r="31" spans="2:15" x14ac:dyDescent="0.25">
      <c r="B31">
        <v>27</v>
      </c>
      <c r="C31" t="s">
        <v>125</v>
      </c>
      <c r="D31" s="319">
        <f t="shared" si="0"/>
        <v>9531.25</v>
      </c>
      <c r="E31" s="5">
        <v>1621266400</v>
      </c>
      <c r="F31" s="319">
        <f t="shared" si="0"/>
        <v>9531.25</v>
      </c>
      <c r="J31" s="45"/>
    </row>
    <row r="32" spans="2:15" x14ac:dyDescent="0.25">
      <c r="B32">
        <v>28</v>
      </c>
      <c r="C32" t="s">
        <v>121</v>
      </c>
      <c r="D32" s="319">
        <f t="shared" si="0"/>
        <v>9531.25</v>
      </c>
      <c r="E32" s="5">
        <v>1621266400</v>
      </c>
      <c r="F32" s="319">
        <f t="shared" si="0"/>
        <v>9531.25</v>
      </c>
    </row>
    <row r="33" spans="2:21" x14ac:dyDescent="0.25">
      <c r="B33">
        <v>29</v>
      </c>
      <c r="C33" t="s">
        <v>122</v>
      </c>
      <c r="D33" s="319">
        <f t="shared" si="0"/>
        <v>9531.25</v>
      </c>
      <c r="E33" s="5">
        <v>1621266400</v>
      </c>
      <c r="F33" s="319">
        <f t="shared" si="0"/>
        <v>9531.25</v>
      </c>
    </row>
    <row r="34" spans="2:21" x14ac:dyDescent="0.25">
      <c r="B34">
        <v>30</v>
      </c>
      <c r="C34" t="s">
        <v>123</v>
      </c>
      <c r="D34" s="319">
        <f t="shared" si="0"/>
        <v>9531.25</v>
      </c>
      <c r="E34" s="5">
        <v>1621266400</v>
      </c>
      <c r="F34" s="319">
        <f t="shared" si="0"/>
        <v>9531.25</v>
      </c>
    </row>
    <row r="35" spans="2:21" x14ac:dyDescent="0.25">
      <c r="B35">
        <v>31</v>
      </c>
      <c r="C35" t="s">
        <v>124</v>
      </c>
      <c r="D35" s="319">
        <f t="shared" si="0"/>
        <v>9531.25</v>
      </c>
      <c r="E35" s="5">
        <v>1621266400</v>
      </c>
      <c r="F35" s="319">
        <f t="shared" si="0"/>
        <v>9531.25</v>
      </c>
    </row>
    <row r="37" spans="2:21" x14ac:dyDescent="0.25">
      <c r="C37" s="45"/>
    </row>
    <row r="39" spans="2:21" x14ac:dyDescent="0.25">
      <c r="C39" s="2"/>
      <c r="D39" s="2"/>
      <c r="E39" s="67"/>
    </row>
    <row r="40" spans="2:21" x14ac:dyDescent="0.25">
      <c r="B40" s="1"/>
      <c r="C40" s="1"/>
      <c r="D40" s="2"/>
      <c r="E40" s="66"/>
    </row>
    <row r="41" spans="2:21" x14ac:dyDescent="0.25">
      <c r="B41" s="1"/>
      <c r="C41" s="1"/>
      <c r="D41" s="10"/>
      <c r="E41" s="66"/>
    </row>
    <row r="42" spans="2:21" ht="16.5" x14ac:dyDescent="0.3">
      <c r="B42" s="1"/>
      <c r="D42" s="68"/>
      <c r="E42" s="69"/>
    </row>
    <row r="43" spans="2:21" x14ac:dyDescent="0.25">
      <c r="B43" s="1"/>
      <c r="C43" s="1"/>
      <c r="E43" s="69"/>
    </row>
    <row r="44" spans="2:21" x14ac:dyDescent="0.25">
      <c r="B44" s="1"/>
      <c r="C44" s="1"/>
      <c r="E44" s="69"/>
    </row>
    <row r="45" spans="2:21" x14ac:dyDescent="0.25">
      <c r="B45" s="1"/>
      <c r="C45" s="1"/>
      <c r="D45" s="4"/>
      <c r="E45" s="69"/>
      <c r="Q45" s="20"/>
      <c r="R45" s="20"/>
      <c r="S45" s="36"/>
      <c r="U45" s="20"/>
    </row>
    <row r="46" spans="2:21" x14ac:dyDescent="0.25">
      <c r="B46" s="1"/>
      <c r="C46" s="1"/>
      <c r="S46" s="4"/>
      <c r="T46" s="20"/>
    </row>
    <row r="47" spans="2:21" x14ac:dyDescent="0.25">
      <c r="B47" s="1"/>
      <c r="C47" s="1"/>
      <c r="S47" s="20"/>
      <c r="T47" s="47"/>
    </row>
    <row r="48" spans="2:21" x14ac:dyDescent="0.25">
      <c r="S48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test1BasicMargining</vt:lpstr>
      <vt:lpstr>test2Redemptions</vt:lpstr>
      <vt:lpstr>test4LpRevRewards</vt:lpstr>
      <vt:lpstr>test5OracleRevenue</vt:lpstr>
      <vt:lpstr>test6betLimits</vt:lpstr>
      <vt:lpstr>test1BasicMargining!Print_Area</vt:lpstr>
      <vt:lpstr>test6betLimits!Print_Area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 Falkenstein</cp:lastModifiedBy>
  <cp:lastPrinted>2021-03-09T17:35:38Z</cp:lastPrinted>
  <dcterms:created xsi:type="dcterms:W3CDTF">2019-05-02T19:42:25Z</dcterms:created>
  <dcterms:modified xsi:type="dcterms:W3CDTF">2023-11-14T22:58:51Z</dcterms:modified>
</cp:coreProperties>
</file>