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asb\docs\"/>
    </mc:Choice>
  </mc:AlternateContent>
  <xr:revisionPtr revIDLastSave="0" documentId="13_ncr:1_{E9E484ED-54AB-4CE3-8D37-BE0962C12319}" xr6:coauthVersionLast="47" xr6:coauthVersionMax="47" xr10:uidLastSave="{00000000-0000-0000-0000-000000000000}"/>
  <bookViews>
    <workbookView xWindow="4770" yWindow="3180" windowWidth="21600" windowHeight="12555" xr2:uid="{1230EDBB-7CF7-4CB6-8A8B-436EE42A5ED4}"/>
  </bookViews>
  <sheets>
    <sheet name="OddsAlgorithm" sheetId="10" r:id="rId1"/>
    <sheet name="eventString" sheetId="11" r:id="rId2"/>
    <sheet name="MLtoDE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0" l="1"/>
  <c r="H5" i="11"/>
  <c r="H6" i="11"/>
  <c r="H4" i="11"/>
  <c r="G6" i="11"/>
  <c r="G5" i="11"/>
  <c r="G4" i="11"/>
  <c r="D17" i="10" l="1"/>
  <c r="E19" i="10" s="1"/>
  <c r="E13" i="10"/>
  <c r="D13" i="10"/>
  <c r="J4" i="4"/>
  <c r="K4" i="4"/>
  <c r="J5" i="4"/>
  <c r="K5" i="4"/>
  <c r="J6" i="4"/>
  <c r="K6" i="4"/>
  <c r="J7" i="4"/>
  <c r="K7" i="4"/>
  <c r="J8" i="4"/>
  <c r="K8" i="4"/>
  <c r="J9" i="4"/>
  <c r="K9" i="4"/>
  <c r="K3" i="4"/>
  <c r="J3" i="4"/>
  <c r="D4" i="11"/>
  <c r="E4" i="11"/>
  <c r="D5" i="11"/>
  <c r="E5" i="11"/>
  <c r="D6" i="11"/>
  <c r="E6" i="11"/>
  <c r="E9" i="10"/>
  <c r="E12" i="10" s="1"/>
  <c r="D9" i="10"/>
  <c r="I4" i="4"/>
  <c r="I5" i="4"/>
  <c r="I6" i="4"/>
  <c r="I7" i="4"/>
  <c r="I8" i="4"/>
  <c r="I9" i="4"/>
  <c r="I3" i="4"/>
  <c r="D19" i="10" l="1"/>
  <c r="D12" i="10"/>
  <c r="D27" i="4"/>
  <c r="E27" i="4"/>
  <c r="F27" i="4"/>
  <c r="C25" i="4"/>
  <c r="E25" i="4" s="1"/>
  <c r="F25" i="4" l="1"/>
  <c r="D25" i="4"/>
  <c r="E15" i="10"/>
  <c r="D15" i="10"/>
  <c r="E26" i="4" l="1"/>
  <c r="D26" i="4"/>
  <c r="F26" i="4"/>
  <c r="D23" i="4"/>
  <c r="E23" i="4"/>
  <c r="F23" i="4"/>
  <c r="D24" i="4"/>
  <c r="E24" i="4"/>
  <c r="F24" i="4"/>
  <c r="C17" i="4"/>
  <c r="C18" i="4" s="1"/>
  <c r="C21" i="4" s="1"/>
  <c r="C22" i="4" s="1"/>
  <c r="F16" i="4"/>
  <c r="E16" i="4"/>
  <c r="D16" i="4"/>
  <c r="D18" i="10" l="1"/>
  <c r="D26" i="10"/>
  <c r="E18" i="10"/>
  <c r="D20" i="10"/>
  <c r="D21" i="10" s="1"/>
  <c r="E20" i="10"/>
  <c r="E21" i="10" s="1"/>
  <c r="G21" i="10" l="1"/>
  <c r="D22" i="10"/>
  <c r="E27" i="10"/>
  <c r="E28" i="10" s="1"/>
  <c r="E29" i="10" s="1"/>
  <c r="E30" i="10" s="1"/>
  <c r="D27" i="10"/>
  <c r="D28" i="10" s="1"/>
  <c r="D29" i="10" s="1"/>
  <c r="D30" i="10" s="1"/>
  <c r="E22" i="10"/>
  <c r="D13" i="4" l="1"/>
  <c r="F13" i="4"/>
  <c r="D12" i="4"/>
  <c r="F12" i="4"/>
  <c r="E13" i="4" l="1"/>
  <c r="E12" i="4"/>
  <c r="E17" i="4" l="1"/>
  <c r="F17" i="4"/>
  <c r="E18" i="4"/>
  <c r="F18" i="4"/>
  <c r="E19" i="4"/>
  <c r="F19" i="4"/>
  <c r="E20" i="4"/>
  <c r="F20" i="4"/>
  <c r="E21" i="4"/>
  <c r="F21" i="4"/>
  <c r="E22" i="4"/>
  <c r="F22" i="4"/>
  <c r="D22" i="4"/>
  <c r="D21" i="4"/>
  <c r="D20" i="4"/>
  <c r="D19" i="4"/>
  <c r="D18" i="4"/>
  <c r="D17" i="4"/>
  <c r="D3" i="4"/>
  <c r="F3" i="4"/>
  <c r="D4" i="4"/>
  <c r="F4" i="4"/>
  <c r="D5" i="4"/>
  <c r="F5" i="4"/>
  <c r="D6" i="4"/>
  <c r="F6" i="4"/>
  <c r="D7" i="4"/>
  <c r="E7" i="4" s="1"/>
  <c r="F7" i="4"/>
  <c r="D8" i="4"/>
  <c r="E8" i="4" s="1"/>
  <c r="F8" i="4"/>
  <c r="D9" i="4"/>
  <c r="E9" i="4" s="1"/>
  <c r="F9" i="4"/>
  <c r="D10" i="4"/>
  <c r="E10" i="4" s="1"/>
  <c r="F10" i="4"/>
  <c r="D11" i="4"/>
  <c r="E11" i="4" s="1"/>
  <c r="F11" i="4"/>
  <c r="E3" i="4" l="1"/>
  <c r="E6" i="4"/>
  <c r="E5" i="4"/>
  <c r="E4" i="4"/>
  <c r="E14" i="4" l="1"/>
</calcChain>
</file>

<file path=xl/sharedStrings.xml><?xml version="1.0" encoding="utf-8"?>
<sst xmlns="http://schemas.openxmlformats.org/spreadsheetml/2006/main" count="62" uniqueCount="54">
  <si>
    <t>ProbWin</t>
  </si>
  <si>
    <t>Away</t>
  </si>
  <si>
    <t>Home</t>
  </si>
  <si>
    <t>Fractional</t>
  </si>
  <si>
    <t>Decimal</t>
  </si>
  <si>
    <t>MoneyLine</t>
  </si>
  <si>
    <t>Arizona</t>
  </si>
  <si>
    <t>Chicago</t>
  </si>
  <si>
    <t>translate to prob(win)</t>
  </si>
  <si>
    <t>New prob(win)</t>
  </si>
  <si>
    <t>translate to decimal odds</t>
  </si>
  <si>
    <t>translate to net decimal odds</t>
  </si>
  <si>
    <t>translate to net moneyline</t>
  </si>
  <si>
    <t>team[0] &lt; team[1]</t>
  </si>
  <si>
    <t>1/prob(win)</t>
  </si>
  <si>
    <t>move favorite first</t>
  </si>
  <si>
    <t xml:space="preserve"> IF decOdds&lt;2, -100/(decOdds-1); else (decOdds-1)*100</t>
  </si>
  <si>
    <t>team[0]</t>
  </si>
  <si>
    <t>team[1]</t>
  </si>
  <si>
    <t>51.2% + spread/2</t>
  </si>
  <si>
    <t>DecOdds</t>
  </si>
  <si>
    <t>GrossPayouts</t>
  </si>
  <si>
    <t>NetPayouts</t>
  </si>
  <si>
    <t>in Contract</t>
  </si>
  <si>
    <t>MlOdds</t>
  </si>
  <si>
    <t>1+(decOdds-1) * 0.95</t>
  </si>
  <si>
    <t>max</t>
  </si>
  <si>
    <t>min</t>
  </si>
  <si>
    <t>probspred/2*1000</t>
  </si>
  <si>
    <t>probspred/2</t>
  </si>
  <si>
    <t>1/decOdds</t>
  </si>
  <si>
    <t>avg</t>
  </si>
  <si>
    <t>Connor MacGregor_Brock Lesnar</t>
  </si>
  <si>
    <t>Minnesota Vikings_Detroit Lions</t>
  </si>
  <si>
    <t>Minnesota Gophers_Wisconsin Badgers</t>
  </si>
  <si>
    <t>MMA</t>
  </si>
  <si>
    <t>NFL</t>
  </si>
  <si>
    <t>NCAAF</t>
  </si>
  <si>
    <t>start</t>
  </si>
  <si>
    <t>sport</t>
  </si>
  <si>
    <t>team0</t>
  </si>
  <si>
    <t>team1</t>
  </si>
  <si>
    <t>end</t>
  </si>
  <si>
    <t>odds0</t>
  </si>
  <si>
    <t>odds1</t>
  </si>
  <si>
    <t>favorite</t>
  </si>
  <si>
    <t>underdog</t>
  </si>
  <si>
    <t>pr(win|fave)-pr(win|dog)</t>
  </si>
  <si>
    <t>1/2 * prob spread</t>
  </si>
  <si>
    <t>prob(win)</t>
  </si>
  <si>
    <t>probSpread/2 is multiplied by 1000</t>
  </si>
  <si>
    <t>probSpread/2x1000</t>
  </si>
  <si>
    <t>vig</t>
  </si>
  <si>
    <t>1-p*q/(p+q)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</si>
</sst>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;[Red]#,##0.000"/>
    <numFmt numFmtId="165" formatCode="0.00%;[Red]\-0.00%"/>
    <numFmt numFmtId="166" formatCode="#,##0;[Red]#,##0"/>
    <numFmt numFmtId="167" formatCode="0.0%;[Red]\-0.0%"/>
    <numFmt numFmtId="168" formatCode="#,##0.00;[Red]#,##0.00"/>
    <numFmt numFmtId="169" formatCode="0.000"/>
    <numFmt numFmtId="170" formatCode="[$-409]m/d/yy\ h:mm\ AM/PM;@"/>
    <numFmt numFmtId="171" formatCode="0.000%"/>
    <numFmt numFmtId="172" formatCode="#,##0.0000;[Red]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0" fontId="1" fillId="0" borderId="0" xfId="0" applyFont="1" applyAlignment="1">
      <alignment horizontal="right"/>
    </xf>
    <xf numFmtId="169" fontId="0" fillId="0" borderId="0" xfId="0" applyNumberFormat="1"/>
    <xf numFmtId="169" fontId="2" fillId="0" borderId="0" xfId="1" applyNumberFormat="1"/>
    <xf numFmtId="168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7" fontId="0" fillId="0" borderId="0" xfId="0" applyNumberFormat="1"/>
    <xf numFmtId="164" fontId="0" fillId="0" borderId="0" xfId="0" applyNumberFormat="1"/>
    <xf numFmtId="170" fontId="1" fillId="0" borderId="0" xfId="0" applyNumberFormat="1" applyFont="1"/>
    <xf numFmtId="166" fontId="1" fillId="2" borderId="0" xfId="0" applyNumberFormat="1" applyFont="1" applyFill="1"/>
    <xf numFmtId="0" fontId="0" fillId="0" borderId="0" xfId="0" applyAlignment="1">
      <alignment horizontal="right"/>
    </xf>
    <xf numFmtId="17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quotePrefix="1" applyNumberFormat="1"/>
    <xf numFmtId="0" fontId="0" fillId="0" borderId="0" xfId="0" quotePrefix="1"/>
    <xf numFmtId="166" fontId="0" fillId="0" borderId="0" xfId="0" quotePrefix="1" applyNumberFormat="1"/>
    <xf numFmtId="11" fontId="0" fillId="0" borderId="0" xfId="0" applyNumberFormat="1"/>
    <xf numFmtId="172" fontId="1" fillId="0" borderId="0" xfId="0" applyNumberFormat="1" applyFont="1"/>
    <xf numFmtId="164" fontId="1" fillId="2" borderId="0" xfId="0" applyNumberFormat="1" applyFont="1" applyFill="1"/>
    <xf numFmtId="172" fontId="1" fillId="2" borderId="0" xfId="0" applyNumberFormat="1" applyFont="1" applyFill="1"/>
    <xf numFmtId="169" fontId="2" fillId="2" borderId="0" xfId="1" applyNumberFormat="1" applyFill="1"/>
    <xf numFmtId="167" fontId="1" fillId="2" borderId="0" xfId="0" applyNumberFormat="1" applyFont="1" applyFill="1"/>
    <xf numFmtId="167" fontId="1" fillId="0" borderId="0" xfId="0" quotePrefix="1" applyNumberFormat="1" applyFont="1"/>
    <xf numFmtId="164" fontId="0" fillId="0" borderId="1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right"/>
    </xf>
    <xf numFmtId="0" fontId="0" fillId="4" borderId="0" xfId="0" applyFill="1"/>
    <xf numFmtId="164" fontId="0" fillId="0" borderId="0" xfId="0" applyNumberFormat="1" applyAlignment="1">
      <alignment horizontal="left"/>
    </xf>
    <xf numFmtId="0" fontId="1" fillId="4" borderId="0" xfId="0" applyFont="1" applyFill="1"/>
  </cellXfs>
  <cellStyles count="2">
    <cellStyle name="Excel Built-in Normal" xfId="1" xr:uid="{5CF1FBC3-5FF4-4C75-9E28-0C3DCCB9D487}"/>
    <cellStyle name="Normal" xfId="0" builtinId="0"/>
  </cellStyles>
  <dxfs count="0"/>
  <tableStyles count="0" defaultTableStyle="TableStyleMedium2" defaultPivotStyle="PivotStyleLight16"/>
  <colors>
    <mruColors>
      <color rgb="FFF8AAA4"/>
      <color rgb="FFFD5A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8620-0945-449A-8451-223EC56B0F9B}">
  <sheetPr codeName="Sheet5"/>
  <dimension ref="C3:M39"/>
  <sheetViews>
    <sheetView tabSelected="1" zoomScaleNormal="100" workbookViewId="0">
      <selection activeCell="D26" sqref="D26"/>
    </sheetView>
  </sheetViews>
  <sheetFormatPr defaultRowHeight="15" x14ac:dyDescent="0.25"/>
  <cols>
    <col min="3" max="3" width="25.5703125" customWidth="1"/>
    <col min="4" max="4" width="14.7109375" customWidth="1"/>
    <col min="5" max="5" width="13" customWidth="1"/>
    <col min="6" max="6" width="54.85546875" customWidth="1"/>
    <col min="7" max="7" width="12.42578125" customWidth="1"/>
    <col min="8" max="8" width="11.5703125" bestFit="1" customWidth="1"/>
    <col min="9" max="9" width="16.28515625" customWidth="1"/>
    <col min="10" max="10" width="15.5703125" customWidth="1"/>
    <col min="11" max="11" width="26.7109375" customWidth="1"/>
    <col min="13" max="13" width="16.85546875" bestFit="1" customWidth="1"/>
  </cols>
  <sheetData>
    <row r="3" spans="3:9" x14ac:dyDescent="0.25">
      <c r="D3" s="7" t="s">
        <v>2</v>
      </c>
      <c r="E3" s="7" t="s">
        <v>1</v>
      </c>
    </row>
    <row r="4" spans="3:9" x14ac:dyDescent="0.25">
      <c r="D4" s="7" t="s">
        <v>6</v>
      </c>
      <c r="E4" s="7" t="s">
        <v>7</v>
      </c>
    </row>
    <row r="5" spans="3:9" x14ac:dyDescent="0.25">
      <c r="C5" s="16" t="s">
        <v>20</v>
      </c>
      <c r="D5" s="5">
        <v>4.125</v>
      </c>
      <c r="E5" s="5">
        <v>1.24875</v>
      </c>
      <c r="F5" s="3"/>
    </row>
    <row r="6" spans="3:9" x14ac:dyDescent="0.25">
      <c r="C6" s="16"/>
      <c r="D6" s="5">
        <v>4.1349999999999998</v>
      </c>
      <c r="E6" s="5">
        <v>1.25</v>
      </c>
      <c r="F6" s="3"/>
      <c r="G6" s="16"/>
      <c r="H6" s="5"/>
      <c r="I6" s="5"/>
    </row>
    <row r="7" spans="3:9" x14ac:dyDescent="0.25">
      <c r="C7" s="16"/>
      <c r="D7" s="5">
        <v>4.1399999999999997</v>
      </c>
      <c r="E7" s="5">
        <v>1.26</v>
      </c>
      <c r="F7" s="3"/>
      <c r="G7" s="16"/>
      <c r="H7" s="5"/>
      <c r="I7" s="5"/>
    </row>
    <row r="8" spans="3:9" ht="15.75" thickBot="1" x14ac:dyDescent="0.3">
      <c r="C8" s="16"/>
      <c r="D8" s="5">
        <v>4.1100000000000003</v>
      </c>
      <c r="E8" s="5">
        <v>1.23</v>
      </c>
      <c r="F8" s="3"/>
      <c r="G8" s="16"/>
      <c r="H8" s="5"/>
      <c r="I8" s="5"/>
    </row>
    <row r="9" spans="3:9" ht="15.75" thickBot="1" x14ac:dyDescent="0.3">
      <c r="C9" s="16" t="s">
        <v>31</v>
      </c>
      <c r="D9" s="30">
        <f>AVERAGE(D5:D8)</f>
        <v>4.1274999999999995</v>
      </c>
      <c r="E9" s="31">
        <f>AVERAGE(E5:E8)</f>
        <v>1.2471874999999999</v>
      </c>
    </row>
    <row r="11" spans="3:9" x14ac:dyDescent="0.25">
      <c r="D11" s="16" t="s">
        <v>17</v>
      </c>
      <c r="E11" s="16" t="s">
        <v>18</v>
      </c>
    </row>
    <row r="12" spans="3:9" x14ac:dyDescent="0.25">
      <c r="D12" s="7" t="str">
        <f>IF(E9&lt;D9,E4,D4)</f>
        <v>Chicago</v>
      </c>
      <c r="E12" s="7" t="str">
        <f>IF(E9&lt;D9,D4,E4)</f>
        <v>Arizona</v>
      </c>
      <c r="H12" s="7"/>
      <c r="I12" s="7"/>
    </row>
    <row r="13" spans="3:9" x14ac:dyDescent="0.25">
      <c r="C13" s="16" t="s">
        <v>15</v>
      </c>
      <c r="D13" s="13">
        <f>E9</f>
        <v>1.2471874999999999</v>
      </c>
      <c r="E13" s="13">
        <f>D9</f>
        <v>4.1274999999999995</v>
      </c>
      <c r="F13" t="s">
        <v>13</v>
      </c>
      <c r="G13" s="16"/>
      <c r="H13" s="13"/>
      <c r="I13" s="13"/>
    </row>
    <row r="14" spans="3:9" x14ac:dyDescent="0.25">
      <c r="C14" s="16"/>
      <c r="E14" s="5"/>
      <c r="F14" s="20"/>
      <c r="G14" s="16"/>
      <c r="I14" s="5"/>
    </row>
    <row r="15" spans="3:9" x14ac:dyDescent="0.25">
      <c r="C15" s="16" t="s">
        <v>8</v>
      </c>
      <c r="D15" s="4">
        <f>1/D13</f>
        <v>0.80180405913304942</v>
      </c>
      <c r="E15" s="4">
        <f>1/E13</f>
        <v>0.24227740763173836</v>
      </c>
      <c r="F15" s="29" t="s">
        <v>30</v>
      </c>
    </row>
    <row r="16" spans="3:9" x14ac:dyDescent="0.25">
      <c r="C16" s="16" t="s">
        <v>47</v>
      </c>
      <c r="D16" s="4">
        <f>(D15-E15)</f>
        <v>0.55952665150131109</v>
      </c>
    </row>
    <row r="17" spans="3:13" x14ac:dyDescent="0.25">
      <c r="C17" s="34" t="s">
        <v>48</v>
      </c>
      <c r="D17" s="4">
        <f>INT(1000*D16/2)/1000</f>
        <v>0.27900000000000003</v>
      </c>
      <c r="E17" s="4"/>
    </row>
    <row r="18" spans="3:13" x14ac:dyDescent="0.25">
      <c r="C18" s="16" t="s">
        <v>49</v>
      </c>
      <c r="D18" s="16" t="str">
        <f>"51.2%+"&amp;D17</f>
        <v>51.2%+0.279</v>
      </c>
      <c r="E18" s="16" t="str">
        <f>"51.2%-"&amp;D17</f>
        <v>51.2%-0.279</v>
      </c>
    </row>
    <row r="19" spans="3:13" x14ac:dyDescent="0.25">
      <c r="C19" s="17" t="s">
        <v>9</v>
      </c>
      <c r="D19" s="4">
        <f>0.512+D17</f>
        <v>0.79100000000000004</v>
      </c>
      <c r="E19" s="4">
        <f>0.512-D17</f>
        <v>0.23299999999999998</v>
      </c>
      <c r="F19" s="21" t="s">
        <v>19</v>
      </c>
      <c r="G19" s="34" t="s">
        <v>53</v>
      </c>
    </row>
    <row r="20" spans="3:13" x14ac:dyDescent="0.25">
      <c r="C20" s="19" t="s">
        <v>10</v>
      </c>
      <c r="D20" s="5">
        <f>1/D19</f>
        <v>1.2642225031605563</v>
      </c>
      <c r="E20" s="5">
        <f>1/E19</f>
        <v>4.2918454935622323</v>
      </c>
      <c r="F20" s="21" t="s">
        <v>14</v>
      </c>
      <c r="G20" s="16" t="s">
        <v>52</v>
      </c>
    </row>
    <row r="21" spans="3:13" x14ac:dyDescent="0.25">
      <c r="C21" s="18" t="s">
        <v>11</v>
      </c>
      <c r="D21" s="5">
        <f>1+0.95*(D20-1)</f>
        <v>1.2510113780025285</v>
      </c>
      <c r="E21" s="5">
        <f>1+0.95*(E20-1)</f>
        <v>4.1272532188841211</v>
      </c>
      <c r="F21" s="21" t="s">
        <v>25</v>
      </c>
      <c r="G21" s="1">
        <f>1-D21*E21/(D21+E21)</f>
        <v>3.998015647826747E-2</v>
      </c>
    </row>
    <row r="22" spans="3:13" x14ac:dyDescent="0.25">
      <c r="C22" s="16" t="s">
        <v>12</v>
      </c>
      <c r="D22" s="2">
        <f>IF(D21&lt;2,-100/(D21-1),(D21-1)*100)</f>
        <v>-398.38831528582216</v>
      </c>
      <c r="E22" s="2">
        <f>IF(E21&lt;2,-100/(E21-1),(E21-1)*100)</f>
        <v>312.72532188841211</v>
      </c>
      <c r="F22" s="22" t="s">
        <v>16</v>
      </c>
    </row>
    <row r="25" spans="3:13" x14ac:dyDescent="0.25">
      <c r="C25" s="16" t="s">
        <v>23</v>
      </c>
      <c r="D25" s="4" t="s">
        <v>50</v>
      </c>
      <c r="E25" s="4"/>
      <c r="F25" s="4"/>
      <c r="H25" s="5"/>
      <c r="I25" s="4"/>
    </row>
    <row r="26" spans="3:13" x14ac:dyDescent="0.25">
      <c r="C26" s="16" t="s">
        <v>51</v>
      </c>
      <c r="D26" s="3">
        <f>D17*1000</f>
        <v>279</v>
      </c>
      <c r="L26" s="23"/>
      <c r="M26" s="23"/>
    </row>
    <row r="27" spans="3:13" x14ac:dyDescent="0.25">
      <c r="C27" s="18" t="s">
        <v>21</v>
      </c>
      <c r="D27" s="26">
        <f>(10000000/(512+D26)-10000)/10000</f>
        <v>0.26422250316055634</v>
      </c>
      <c r="E27" s="25">
        <f>(10000000/(512-D26)-10000)/10000</f>
        <v>3.2918454935622314</v>
      </c>
      <c r="L27" s="23"/>
      <c r="M27" s="23"/>
    </row>
    <row r="28" spans="3:13" x14ac:dyDescent="0.25">
      <c r="C28" s="16" t="s">
        <v>22</v>
      </c>
      <c r="D28" s="5">
        <f>0.95*D27</f>
        <v>0.25101137800252854</v>
      </c>
      <c r="E28" s="5">
        <f>0.95*E27</f>
        <v>3.1272532188841198</v>
      </c>
    </row>
    <row r="29" spans="3:13" x14ac:dyDescent="0.25">
      <c r="C29" s="18" t="s">
        <v>20</v>
      </c>
      <c r="D29" s="5">
        <f>1+D28</f>
        <v>1.2510113780025285</v>
      </c>
      <c r="E29" s="5">
        <f>1+E28</f>
        <v>4.1272532188841193</v>
      </c>
    </row>
    <row r="30" spans="3:13" x14ac:dyDescent="0.25">
      <c r="C30" s="16" t="s">
        <v>24</v>
      </c>
      <c r="D30" s="2">
        <f>IF(D29&lt;2,-100/(D29-1),(D29-1)*100)</f>
        <v>-398.38831528582216</v>
      </c>
      <c r="E30" s="2">
        <f>IF(E29&lt;2,-100/(E29-1),(E29-1)*100)</f>
        <v>312.72532188841194</v>
      </c>
    </row>
    <row r="31" spans="3:13" x14ac:dyDescent="0.25">
      <c r="D31" s="7"/>
      <c r="E31" s="7"/>
    </row>
    <row r="32" spans="3:13" x14ac:dyDescent="0.25">
      <c r="C32" s="16"/>
      <c r="D32" s="13"/>
      <c r="E32" s="13"/>
    </row>
    <row r="33" spans="3:8" x14ac:dyDescent="0.25">
      <c r="C33" s="16"/>
      <c r="E33" s="5"/>
      <c r="F33" s="1"/>
      <c r="G33" s="1"/>
    </row>
    <row r="34" spans="3:8" x14ac:dyDescent="0.25">
      <c r="C34" s="16"/>
      <c r="D34" s="4"/>
      <c r="E34" s="4"/>
      <c r="F34" s="5"/>
      <c r="G34" s="5"/>
    </row>
    <row r="35" spans="3:8" x14ac:dyDescent="0.25">
      <c r="C35" s="16"/>
      <c r="E35" s="4"/>
      <c r="F35" s="5"/>
      <c r="G35" s="5"/>
      <c r="H35" s="1"/>
    </row>
    <row r="36" spans="3:8" x14ac:dyDescent="0.25">
      <c r="C36" s="17"/>
      <c r="D36" s="4"/>
      <c r="E36" s="4"/>
    </row>
    <row r="37" spans="3:8" x14ac:dyDescent="0.25">
      <c r="C37" s="19"/>
      <c r="D37" s="5"/>
      <c r="E37" s="5"/>
    </row>
    <row r="38" spans="3:8" x14ac:dyDescent="0.25">
      <c r="C38" s="18"/>
      <c r="D38" s="5"/>
      <c r="E38" s="5"/>
    </row>
    <row r="39" spans="3:8" x14ac:dyDescent="0.25">
      <c r="C39" s="16"/>
      <c r="D39" s="2"/>
      <c r="E39" s="2"/>
    </row>
  </sheetData>
  <sortState xmlns:xlrd2="http://schemas.microsoft.com/office/spreadsheetml/2017/richdata2" ref="F14">
    <sortCondition ref="F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D90F-81B0-44AF-BAB7-121BD61075ED}">
  <sheetPr codeName="Sheet1"/>
  <dimension ref="B3:H6"/>
  <sheetViews>
    <sheetView workbookViewId="0">
      <selection activeCell="B22" sqref="B22"/>
    </sheetView>
  </sheetViews>
  <sheetFormatPr defaultRowHeight="15" x14ac:dyDescent="0.25"/>
  <cols>
    <col min="2" max="2" width="36.5703125" bestFit="1" customWidth="1"/>
    <col min="4" max="4" width="10.5703125" bestFit="1" customWidth="1"/>
    <col min="5" max="5" width="10" bestFit="1" customWidth="1"/>
    <col min="6" max="7" width="10" customWidth="1"/>
    <col min="8" max="8" width="30.42578125" customWidth="1"/>
  </cols>
  <sheetData>
    <row r="3" spans="2:8" x14ac:dyDescent="0.25">
      <c r="B3" s="3" t="s">
        <v>38</v>
      </c>
      <c r="C3" s="32" t="s">
        <v>39</v>
      </c>
      <c r="D3" s="32" t="s">
        <v>40</v>
      </c>
      <c r="E3" s="32" t="s">
        <v>41</v>
      </c>
      <c r="F3" s="7" t="s">
        <v>43</v>
      </c>
      <c r="G3" s="7" t="s">
        <v>44</v>
      </c>
      <c r="H3" s="7" t="s">
        <v>42</v>
      </c>
    </row>
    <row r="4" spans="2:8" x14ac:dyDescent="0.25">
      <c r="B4" s="33" t="s">
        <v>32</v>
      </c>
      <c r="C4" s="35" t="s">
        <v>35</v>
      </c>
      <c r="D4" s="35" t="str">
        <f>IF(C4="NCAAF",_xlfn.TEXTBEFORE(_xlfn.TEXTBEFORE(B4,"_")," "),_xlfn.TEXTAFTER(_xlfn.TEXTBEFORE(B4,"_")," "))</f>
        <v>MacGregor</v>
      </c>
      <c r="E4" s="35" t="str">
        <f>IF(C4="NCAAF",_xlfn.TEXTBEFORE(_xlfn.TEXTAFTER(B4,"_")," "),_xlfn.TEXTAFTER(_xlfn.TEXTAFTER(B4,"_")," "))</f>
        <v>Lesnar</v>
      </c>
      <c r="F4" s="36">
        <v>5</v>
      </c>
      <c r="G4" s="36">
        <f>1/(1-1/F4)</f>
        <v>1.25</v>
      </c>
      <c r="H4" s="37" t="str">
        <f>C4&amp;":"&amp;IF(F4&lt;G4,D4,E4)&amp;":"&amp;IF(F4&lt;G4,E4,D4)</f>
        <v>MMA:Lesnar:MacGregor</v>
      </c>
    </row>
    <row r="5" spans="2:8" x14ac:dyDescent="0.25">
      <c r="B5" s="33" t="s">
        <v>33</v>
      </c>
      <c r="C5" s="35" t="s">
        <v>36</v>
      </c>
      <c r="D5" s="35" t="str">
        <f>IF(C5="NCAAF",_xlfn.TEXTBEFORE(_xlfn.TEXTBEFORE(B5,"_")," "),_xlfn.TEXTAFTER(_xlfn.TEXTBEFORE(B5,"_")," "))</f>
        <v>Vikings</v>
      </c>
      <c r="E5" s="35" t="str">
        <f>IF(C5="NCAAF",_xlfn.TEXTBEFORE(_xlfn.TEXTAFTER(B5,"_")," "),_xlfn.TEXTAFTER(_xlfn.TEXTAFTER(B5,"_")," "))</f>
        <v>Lions</v>
      </c>
      <c r="F5" s="36">
        <v>1.75</v>
      </c>
      <c r="G5" s="36">
        <f t="shared" ref="G5" si="0">1/(1-1/F5)</f>
        <v>2.333333333333333</v>
      </c>
      <c r="H5" s="37" t="str">
        <f t="shared" ref="H5:H6" si="1">C5&amp;":"&amp;IF(F5&lt;G5,D5,E5)&amp;":"&amp;IF(F5&lt;G5,E5,D5)</f>
        <v>NFL:Vikings:Lions</v>
      </c>
    </row>
    <row r="6" spans="2:8" x14ac:dyDescent="0.25">
      <c r="B6" s="33" t="s">
        <v>34</v>
      </c>
      <c r="C6" s="38" t="s">
        <v>37</v>
      </c>
      <c r="D6" s="35" t="str">
        <f>IF(C6="NCAAF",_xlfn.TEXTBEFORE(_xlfn.TEXTBEFORE(B6,"_")," "),_xlfn.TEXTAFTER(_xlfn.TEXTBEFORE(B6,"_")," "))</f>
        <v>Minnesota</v>
      </c>
      <c r="E6" s="35" t="str">
        <f>IF(C6="NCAAF",_xlfn.TEXTBEFORE(_xlfn.TEXTAFTER(B6,"_")," "),_xlfn.TEXTAFTER(_xlfn.TEXTAFTER(B6,"_")," "))</f>
        <v>Wisconsin</v>
      </c>
      <c r="F6" s="36">
        <v>1.91</v>
      </c>
      <c r="G6" s="36">
        <f>1/(1.046-1/F6)</f>
        <v>1.9140961657948008</v>
      </c>
      <c r="H6" s="37" t="str">
        <f t="shared" si="1"/>
        <v>NCAAF:Minnesota:Wisconsin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15ED-B762-437D-8CE3-242998BE45F8}">
  <sheetPr codeName="Sheet4"/>
  <dimension ref="A1:T71"/>
  <sheetViews>
    <sheetView zoomScale="75" zoomScaleNormal="75" workbookViewId="0">
      <selection activeCell="E3" sqref="E3"/>
    </sheetView>
  </sheetViews>
  <sheetFormatPr defaultRowHeight="15" x14ac:dyDescent="0.25"/>
  <cols>
    <col min="3" max="3" width="11" bestFit="1" customWidth="1"/>
    <col min="4" max="4" width="16.85546875" bestFit="1" customWidth="1"/>
    <col min="5" max="5" width="18" customWidth="1"/>
    <col min="6" max="6" width="11" customWidth="1"/>
    <col min="7" max="7" width="23.140625" bestFit="1" customWidth="1"/>
    <col min="8" max="8" width="14.42578125" bestFit="1" customWidth="1"/>
    <col min="9" max="9" width="20.85546875" customWidth="1"/>
    <col min="10" max="10" width="12.140625" customWidth="1"/>
    <col min="15" max="15" width="11" bestFit="1" customWidth="1"/>
    <col min="17" max="17" width="14.7109375" customWidth="1"/>
    <col min="19" max="20" width="23.140625" bestFit="1" customWidth="1"/>
  </cols>
  <sheetData>
    <row r="1" spans="3:12" x14ac:dyDescent="0.25">
      <c r="E1" s="8"/>
      <c r="F1" s="8"/>
      <c r="I1" s="8"/>
      <c r="J1" s="7" t="s">
        <v>20</v>
      </c>
    </row>
    <row r="2" spans="3:12" x14ac:dyDescent="0.25">
      <c r="C2" s="7" t="s">
        <v>5</v>
      </c>
      <c r="D2" s="7" t="s">
        <v>4</v>
      </c>
      <c r="E2" s="7" t="s">
        <v>0</v>
      </c>
      <c r="F2" s="7" t="s">
        <v>3</v>
      </c>
      <c r="H2" s="7" t="s">
        <v>29</v>
      </c>
      <c r="I2" s="7" t="s">
        <v>28</v>
      </c>
      <c r="J2" s="7" t="s">
        <v>45</v>
      </c>
      <c r="K2" s="7" t="s">
        <v>46</v>
      </c>
    </row>
    <row r="3" spans="3:12" x14ac:dyDescent="0.25">
      <c r="C3">
        <v>-150</v>
      </c>
      <c r="D3" s="5">
        <f t="shared" ref="D3:D12" si="0">IF(C3&lt;0,-(100-C3)/C3,C3/100+1)</f>
        <v>1.6666666666666667</v>
      </c>
      <c r="E3" s="1">
        <f t="shared" ref="E3:E12" si="1">1/D3</f>
        <v>0.6</v>
      </c>
      <c r="F3" s="5">
        <f t="shared" ref="F3:F12" si="2">IF(C3&lt;0,-100/C3,C3/100)</f>
        <v>0.66666666666666663</v>
      </c>
      <c r="H3" s="4">
        <v>0</v>
      </c>
      <c r="I3" s="39">
        <f>H3*1000</f>
        <v>0</v>
      </c>
      <c r="J3" s="5">
        <f>(10000000/(512+I3)-10000)/10000*0.95+1</f>
        <v>1.9054687499999998</v>
      </c>
      <c r="K3" s="5">
        <f>0.95*(10000000/(512-I3)-10000)/10000+1</f>
        <v>1.90546875</v>
      </c>
      <c r="L3" t="s">
        <v>27</v>
      </c>
    </row>
    <row r="4" spans="3:12" x14ac:dyDescent="0.25">
      <c r="C4">
        <v>135</v>
      </c>
      <c r="D4" s="5">
        <f t="shared" si="0"/>
        <v>2.35</v>
      </c>
      <c r="E4" s="1">
        <f t="shared" si="1"/>
        <v>0.42553191489361702</v>
      </c>
      <c r="F4" s="5">
        <f t="shared" si="2"/>
        <v>1.35</v>
      </c>
      <c r="H4" s="4">
        <v>0.01</v>
      </c>
      <c r="I4" s="39">
        <f t="shared" ref="I4:I9" si="3">H4*1000</f>
        <v>10</v>
      </c>
      <c r="J4" s="5">
        <f t="shared" ref="J4:J9" si="4">(10000000/(512+I4)-10000)/10000*0.95+1</f>
        <v>1.8699233716475097</v>
      </c>
      <c r="K4" s="5">
        <f t="shared" ref="K4:K9" si="5">0.95*(10000000/(512-I4)-10000)/10000+1</f>
        <v>1.9424302788844621</v>
      </c>
    </row>
    <row r="5" spans="3:12" x14ac:dyDescent="0.25">
      <c r="C5">
        <v>-110</v>
      </c>
      <c r="D5" s="5">
        <f t="shared" si="0"/>
        <v>1.9090909090909092</v>
      </c>
      <c r="E5" s="1">
        <f t="shared" si="1"/>
        <v>0.52380952380952384</v>
      </c>
      <c r="F5" s="5">
        <f t="shared" si="2"/>
        <v>0.90909090909090906</v>
      </c>
      <c r="H5" s="4">
        <v>0.05</v>
      </c>
      <c r="I5" s="39">
        <f t="shared" si="3"/>
        <v>50</v>
      </c>
      <c r="J5" s="5">
        <f t="shared" si="4"/>
        <v>1.7403914590747331</v>
      </c>
      <c r="K5" s="5">
        <f t="shared" si="5"/>
        <v>2.1062770562770563</v>
      </c>
    </row>
    <row r="6" spans="3:12" x14ac:dyDescent="0.25">
      <c r="C6">
        <v>-110</v>
      </c>
      <c r="D6" s="5">
        <f t="shared" si="0"/>
        <v>1.9090909090909092</v>
      </c>
      <c r="E6" s="1">
        <f t="shared" si="1"/>
        <v>0.52380952380952384</v>
      </c>
      <c r="F6" s="5">
        <f t="shared" si="2"/>
        <v>0.90909090909090906</v>
      </c>
      <c r="H6" s="4">
        <v>0.1</v>
      </c>
      <c r="I6" s="39">
        <f t="shared" si="3"/>
        <v>100</v>
      </c>
      <c r="J6" s="5">
        <f t="shared" si="4"/>
        <v>1.6022875816993465</v>
      </c>
      <c r="K6" s="5">
        <f t="shared" si="5"/>
        <v>2.3558252427184465</v>
      </c>
    </row>
    <row r="7" spans="3:12" x14ac:dyDescent="0.25">
      <c r="C7">
        <v>159</v>
      </c>
      <c r="D7" s="5">
        <f t="shared" si="0"/>
        <v>2.59</v>
      </c>
      <c r="E7" s="1">
        <f t="shared" si="1"/>
        <v>0.38610038610038611</v>
      </c>
      <c r="F7" s="5">
        <f t="shared" si="2"/>
        <v>1.59</v>
      </c>
      <c r="H7" s="11">
        <v>0.2</v>
      </c>
      <c r="I7" s="39">
        <f t="shared" si="3"/>
        <v>200</v>
      </c>
      <c r="J7" s="5">
        <f t="shared" si="4"/>
        <v>1.3842696629213482</v>
      </c>
      <c r="K7" s="5">
        <f t="shared" si="5"/>
        <v>3.0948717948717945</v>
      </c>
      <c r="L7" s="7"/>
    </row>
    <row r="8" spans="3:12" x14ac:dyDescent="0.25">
      <c r="C8">
        <v>120</v>
      </c>
      <c r="D8" s="5">
        <f t="shared" si="0"/>
        <v>2.2000000000000002</v>
      </c>
      <c r="E8" s="1">
        <f t="shared" si="1"/>
        <v>0.45454545454545453</v>
      </c>
      <c r="F8" s="5">
        <f t="shared" si="2"/>
        <v>1.2</v>
      </c>
      <c r="H8" s="4">
        <v>0.3</v>
      </c>
      <c r="I8" s="39">
        <f t="shared" si="3"/>
        <v>300</v>
      </c>
      <c r="J8" s="5">
        <f t="shared" si="4"/>
        <v>1.2199507389162561</v>
      </c>
      <c r="K8" s="5">
        <f t="shared" si="5"/>
        <v>4.5311320754716977</v>
      </c>
      <c r="L8" s="6"/>
    </row>
    <row r="9" spans="3:12" x14ac:dyDescent="0.25">
      <c r="C9">
        <v>800</v>
      </c>
      <c r="D9" s="5">
        <f t="shared" si="0"/>
        <v>9</v>
      </c>
      <c r="E9" s="1">
        <f t="shared" si="1"/>
        <v>0.1111111111111111</v>
      </c>
      <c r="F9" s="5">
        <f t="shared" si="2"/>
        <v>8</v>
      </c>
      <c r="G9" s="5"/>
      <c r="H9" s="4">
        <v>0.33500000000000002</v>
      </c>
      <c r="I9" s="39">
        <f t="shared" si="3"/>
        <v>335</v>
      </c>
      <c r="J9" s="5">
        <f t="shared" si="4"/>
        <v>1.1716056670602126</v>
      </c>
      <c r="K9" s="5">
        <f t="shared" si="5"/>
        <v>5.4172316384180794</v>
      </c>
      <c r="L9" t="s">
        <v>26</v>
      </c>
    </row>
    <row r="10" spans="3:12" x14ac:dyDescent="0.25">
      <c r="C10">
        <v>150</v>
      </c>
      <c r="D10" s="5">
        <f t="shared" si="0"/>
        <v>2.5</v>
      </c>
      <c r="E10" s="1">
        <f t="shared" si="1"/>
        <v>0.4</v>
      </c>
      <c r="F10" s="5">
        <f t="shared" si="2"/>
        <v>1.5</v>
      </c>
    </row>
    <row r="11" spans="3:12" x14ac:dyDescent="0.25">
      <c r="C11">
        <v>110</v>
      </c>
      <c r="D11" s="5">
        <f t="shared" si="0"/>
        <v>2.1</v>
      </c>
      <c r="E11" s="1">
        <f t="shared" si="1"/>
        <v>0.47619047619047616</v>
      </c>
      <c r="F11" s="5">
        <f t="shared" si="2"/>
        <v>1.1000000000000001</v>
      </c>
    </row>
    <row r="12" spans="3:12" x14ac:dyDescent="0.25">
      <c r="C12">
        <v>102</v>
      </c>
      <c r="D12" s="5">
        <f t="shared" si="0"/>
        <v>2.02</v>
      </c>
      <c r="E12" s="1">
        <f t="shared" si="1"/>
        <v>0.49504950495049505</v>
      </c>
      <c r="F12" s="5">
        <f t="shared" si="2"/>
        <v>1.02</v>
      </c>
    </row>
    <row r="13" spans="3:12" x14ac:dyDescent="0.25">
      <c r="C13">
        <v>120</v>
      </c>
      <c r="D13" s="5">
        <f t="shared" ref="D13" si="6">IF(C13&lt;0,-(100-C13)/C13,C13/100+1)</f>
        <v>2.2000000000000002</v>
      </c>
      <c r="E13" s="1">
        <f t="shared" ref="E13" si="7">1/D13</f>
        <v>0.45454545454545453</v>
      </c>
      <c r="F13" s="5">
        <f t="shared" ref="F13" si="8">IF(C13&lt;0,-100/C13,C13/100)</f>
        <v>1.2</v>
      </c>
    </row>
    <row r="14" spans="3:12" x14ac:dyDescent="0.25">
      <c r="C14" s="7"/>
      <c r="D14" s="10"/>
      <c r="E14" s="11">
        <f>E13+E3</f>
        <v>1.0545454545454545</v>
      </c>
    </row>
    <row r="15" spans="3:12" x14ac:dyDescent="0.25">
      <c r="C15" s="7" t="s">
        <v>4</v>
      </c>
      <c r="D15" s="7" t="s">
        <v>5</v>
      </c>
      <c r="E15" s="7" t="s">
        <v>0</v>
      </c>
      <c r="F15" s="7" t="s">
        <v>3</v>
      </c>
    </row>
    <row r="16" spans="3:12" x14ac:dyDescent="0.25">
      <c r="C16">
        <v>8</v>
      </c>
      <c r="D16" s="2">
        <f t="shared" ref="D16:D22" si="9">IF(C16&lt;2,-100/(C16-1),(C16-1)*100)</f>
        <v>700</v>
      </c>
      <c r="E16" s="4">
        <f>1/C16</f>
        <v>0.125</v>
      </c>
      <c r="F16" s="5">
        <f t="shared" ref="F16:F22" si="10">IF(C16&lt;0,-100/C16,C16/100)</f>
        <v>0.08</v>
      </c>
    </row>
    <row r="17" spans="1:18" x14ac:dyDescent="0.25">
      <c r="A17" s="12"/>
      <c r="C17" s="9">
        <f>C16-1</f>
        <v>7</v>
      </c>
      <c r="D17" s="2">
        <f>IF(C17&lt;2,-100/(C17-1),(C17-1)*100)</f>
        <v>600</v>
      </c>
      <c r="E17" s="4">
        <f t="shared" ref="E17:E22" si="11">1/C17</f>
        <v>0.14285714285714285</v>
      </c>
      <c r="F17" s="5">
        <f t="shared" si="10"/>
        <v>7.0000000000000007E-2</v>
      </c>
      <c r="G17" s="3"/>
      <c r="H17" s="3"/>
    </row>
    <row r="18" spans="1:18" x14ac:dyDescent="0.25">
      <c r="C18" s="9">
        <f t="shared" ref="C18:C22" si="12">C17-1</f>
        <v>6</v>
      </c>
      <c r="D18" s="2">
        <f t="shared" si="9"/>
        <v>500</v>
      </c>
      <c r="E18" s="4">
        <f t="shared" si="11"/>
        <v>0.16666666666666666</v>
      </c>
      <c r="F18" s="5">
        <f t="shared" si="10"/>
        <v>0.06</v>
      </c>
    </row>
    <row r="19" spans="1:18" x14ac:dyDescent="0.25">
      <c r="A19" s="12"/>
      <c r="B19" t="s">
        <v>26</v>
      </c>
      <c r="C19" s="27">
        <v>5.65</v>
      </c>
      <c r="D19" s="15">
        <f t="shared" si="9"/>
        <v>465.00000000000006</v>
      </c>
      <c r="E19" s="28">
        <f t="shared" si="11"/>
        <v>0.17699115044247787</v>
      </c>
      <c r="F19" s="25">
        <f t="shared" si="10"/>
        <v>5.6500000000000002E-2</v>
      </c>
      <c r="G19" s="6"/>
      <c r="H19" s="6"/>
    </row>
    <row r="20" spans="1:18" x14ac:dyDescent="0.25">
      <c r="C20" s="9">
        <v>5</v>
      </c>
      <c r="D20" s="2">
        <f t="shared" si="9"/>
        <v>400</v>
      </c>
      <c r="E20" s="4">
        <f t="shared" si="11"/>
        <v>0.2</v>
      </c>
      <c r="F20" s="5">
        <f t="shared" si="10"/>
        <v>0.05</v>
      </c>
      <c r="G20" s="6"/>
      <c r="H20" s="6"/>
    </row>
    <row r="21" spans="1:18" x14ac:dyDescent="0.25">
      <c r="C21" s="9">
        <f t="shared" si="12"/>
        <v>4</v>
      </c>
      <c r="D21" s="2">
        <f t="shared" si="9"/>
        <v>300</v>
      </c>
      <c r="E21" s="4">
        <f t="shared" si="11"/>
        <v>0.25</v>
      </c>
      <c r="F21" s="5">
        <f t="shared" si="10"/>
        <v>0.04</v>
      </c>
      <c r="G21" s="6"/>
      <c r="H21" s="6"/>
    </row>
    <row r="22" spans="1:18" x14ac:dyDescent="0.25">
      <c r="C22" s="9">
        <f t="shared" si="12"/>
        <v>3</v>
      </c>
      <c r="D22" s="2">
        <f t="shared" si="9"/>
        <v>200</v>
      </c>
      <c r="E22" s="4">
        <f t="shared" si="11"/>
        <v>0.33333333333333331</v>
      </c>
      <c r="F22" s="5">
        <f t="shared" si="10"/>
        <v>0.03</v>
      </c>
      <c r="G22" s="6"/>
      <c r="H22" s="6"/>
    </row>
    <row r="23" spans="1:18" x14ac:dyDescent="0.25">
      <c r="A23" s="12"/>
      <c r="C23" s="9">
        <v>2</v>
      </c>
      <c r="D23" s="2">
        <f t="shared" ref="D23:D24" si="13">IF(C23&lt;2,-100/(C23-1),(C23-1)*100)</f>
        <v>100</v>
      </c>
      <c r="E23" s="4">
        <f t="shared" ref="E23:E24" si="14">1/C23</f>
        <v>0.5</v>
      </c>
      <c r="F23" s="5">
        <f t="shared" ref="F23:F24" si="15">IF(C23&lt;0,-100/C23,C23/100)</f>
        <v>0.02</v>
      </c>
      <c r="G23" s="6"/>
      <c r="H23" s="6"/>
    </row>
    <row r="24" spans="1:18" x14ac:dyDescent="0.25">
      <c r="B24" s="5"/>
      <c r="C24" s="9">
        <v>1.8</v>
      </c>
      <c r="D24" s="2">
        <f t="shared" si="13"/>
        <v>-125</v>
      </c>
      <c r="E24" s="4">
        <f t="shared" si="14"/>
        <v>0.55555555555555558</v>
      </c>
      <c r="F24" s="5">
        <f t="shared" si="15"/>
        <v>1.8000000000000002E-2</v>
      </c>
      <c r="G24" s="6"/>
      <c r="H24" s="6"/>
    </row>
    <row r="25" spans="1:18" x14ac:dyDescent="0.25">
      <c r="B25" s="5"/>
      <c r="C25" s="9">
        <f>C24-0.2</f>
        <v>1.6</v>
      </c>
      <c r="D25" s="2">
        <f t="shared" ref="D25:D27" si="16">IF(C25&lt;2,-100/(C25-1),(C25-1)*100)</f>
        <v>-166.66666666666663</v>
      </c>
      <c r="E25" s="4">
        <f t="shared" ref="E25:E27" si="17">1/C25</f>
        <v>0.625</v>
      </c>
      <c r="F25" s="5">
        <f t="shared" ref="F25:F27" si="18">IF(C25&lt;0,-100/C25,C25/100)</f>
        <v>1.6E-2</v>
      </c>
    </row>
    <row r="26" spans="1:18" x14ac:dyDescent="0.25">
      <c r="B26" s="5"/>
      <c r="C26" s="9">
        <v>1.05</v>
      </c>
      <c r="D26" s="2">
        <f t="shared" si="16"/>
        <v>-1999.9999999999982</v>
      </c>
      <c r="E26" s="4">
        <f t="shared" si="17"/>
        <v>0.95238095238095233</v>
      </c>
      <c r="F26" s="5">
        <f t="shared" si="18"/>
        <v>1.0500000000000001E-2</v>
      </c>
      <c r="G26" s="6"/>
      <c r="H26" s="6"/>
    </row>
    <row r="27" spans="1:18" x14ac:dyDescent="0.25">
      <c r="B27" s="9" t="s">
        <v>27</v>
      </c>
      <c r="C27" s="27">
        <v>1.1805000000000001</v>
      </c>
      <c r="D27" s="15">
        <f t="shared" si="16"/>
        <v>-554.01662049861466</v>
      </c>
      <c r="E27" s="28">
        <f t="shared" si="17"/>
        <v>0.84709868699703506</v>
      </c>
      <c r="F27" s="25">
        <f t="shared" si="18"/>
        <v>1.1805000000000001E-2</v>
      </c>
      <c r="G27" s="6"/>
      <c r="H27" s="6"/>
    </row>
    <row r="28" spans="1:18" x14ac:dyDescent="0.25">
      <c r="B28" s="9"/>
      <c r="C28" s="9"/>
      <c r="D28" s="2"/>
      <c r="E28" s="4"/>
      <c r="F28" s="5"/>
      <c r="G28" s="6"/>
      <c r="H28" s="6"/>
    </row>
    <row r="29" spans="1:18" x14ac:dyDescent="0.25">
      <c r="B29" s="5"/>
      <c r="C29" s="9"/>
      <c r="D29" s="2"/>
      <c r="E29" s="4"/>
      <c r="F29" s="5"/>
    </row>
    <row r="30" spans="1:18" x14ac:dyDescent="0.25">
      <c r="B30" s="5"/>
      <c r="C30" s="9"/>
      <c r="D30" s="2"/>
      <c r="E30" s="4"/>
      <c r="F30" s="5"/>
    </row>
    <row r="31" spans="1:18" x14ac:dyDescent="0.25">
      <c r="B31" s="5"/>
      <c r="C31" s="7"/>
      <c r="E31" s="7"/>
    </row>
    <row r="32" spans="1:18" x14ac:dyDescent="0.25">
      <c r="B32" s="5"/>
      <c r="E32" s="5"/>
      <c r="F32" s="5"/>
      <c r="G32" s="1"/>
      <c r="H32" s="1"/>
      <c r="I32" s="4"/>
      <c r="J32" s="24"/>
      <c r="K32" s="5"/>
      <c r="L32" s="5"/>
      <c r="M32" s="5"/>
      <c r="N32" s="4"/>
      <c r="P32" s="5"/>
      <c r="Q32" s="4"/>
      <c r="R32" s="12"/>
    </row>
    <row r="33" spans="3:20" x14ac:dyDescent="0.25">
      <c r="F33" s="5"/>
      <c r="G33" s="1"/>
      <c r="H33" s="1"/>
      <c r="I33" s="4"/>
      <c r="J33" s="24"/>
      <c r="K33" s="5"/>
      <c r="L33" s="5"/>
      <c r="M33" s="5"/>
      <c r="N33" s="4"/>
      <c r="P33" s="5"/>
      <c r="Q33" s="4"/>
      <c r="R33" s="12"/>
    </row>
    <row r="34" spans="3:20" x14ac:dyDescent="0.25">
      <c r="C34" s="6"/>
      <c r="D34" s="2"/>
      <c r="E34" s="12"/>
      <c r="F34" s="5"/>
      <c r="G34" s="1"/>
      <c r="H34" s="1"/>
      <c r="I34" s="4"/>
      <c r="J34" s="24"/>
      <c r="K34" s="5"/>
      <c r="L34" s="5"/>
      <c r="M34" s="5"/>
      <c r="N34" s="4"/>
      <c r="P34" s="5"/>
      <c r="Q34" s="4"/>
      <c r="R34" s="12"/>
    </row>
    <row r="35" spans="3:20" x14ac:dyDescent="0.25">
      <c r="C35" s="9"/>
      <c r="D35" s="2"/>
      <c r="E35" s="5"/>
      <c r="F35" s="5"/>
      <c r="G35" s="1"/>
      <c r="H35" s="1"/>
      <c r="I35" s="4"/>
      <c r="J35" s="24"/>
      <c r="K35" s="5"/>
      <c r="L35" s="5"/>
      <c r="M35" s="5"/>
      <c r="N35" s="4"/>
      <c r="P35" s="5"/>
      <c r="Q35" s="4"/>
      <c r="R35" s="12"/>
      <c r="S35" s="1"/>
    </row>
    <row r="36" spans="3:20" x14ac:dyDescent="0.25">
      <c r="C36" s="9"/>
      <c r="D36" s="2"/>
      <c r="E36" s="5"/>
      <c r="F36" s="5"/>
      <c r="G36" s="1"/>
      <c r="H36" s="1"/>
      <c r="I36" s="4"/>
      <c r="J36" s="24"/>
      <c r="K36" s="5"/>
      <c r="L36" s="5"/>
      <c r="M36" s="5"/>
      <c r="N36" s="4"/>
      <c r="P36" s="5"/>
      <c r="Q36" s="4"/>
      <c r="R36" s="12"/>
      <c r="S36" s="1"/>
      <c r="T36" s="1"/>
    </row>
    <row r="37" spans="3:20" x14ac:dyDescent="0.25">
      <c r="C37" s="9"/>
      <c r="D37" s="2"/>
      <c r="E37" s="5"/>
      <c r="F37" s="5"/>
      <c r="G37" s="1"/>
      <c r="H37" s="1"/>
      <c r="I37" s="4"/>
      <c r="J37" s="24"/>
      <c r="K37" s="5"/>
      <c r="L37" s="5"/>
      <c r="M37" s="5"/>
      <c r="N37" s="4"/>
      <c r="P37" s="5"/>
      <c r="Q37" s="4"/>
      <c r="R37" s="12"/>
      <c r="S37" s="1"/>
      <c r="T37" s="1"/>
    </row>
    <row r="38" spans="3:20" x14ac:dyDescent="0.25">
      <c r="E38" s="5"/>
      <c r="F38" s="5"/>
      <c r="G38" s="1"/>
      <c r="H38" s="1"/>
      <c r="I38" s="4"/>
      <c r="J38" s="24"/>
      <c r="K38" s="5"/>
      <c r="L38" s="5"/>
      <c r="M38" s="5"/>
      <c r="N38" s="4"/>
      <c r="P38" s="5"/>
      <c r="Q38" s="4"/>
      <c r="R38" s="12"/>
      <c r="S38" s="1"/>
      <c r="T38" s="1"/>
    </row>
    <row r="39" spans="3:20" x14ac:dyDescent="0.25">
      <c r="E39" s="5"/>
      <c r="F39" s="5"/>
      <c r="G39" s="1"/>
      <c r="H39" s="1"/>
      <c r="I39" s="4"/>
      <c r="J39" s="24"/>
      <c r="K39" s="5"/>
      <c r="L39" s="5"/>
      <c r="M39" s="5"/>
      <c r="N39" s="4"/>
      <c r="P39" s="5"/>
      <c r="Q39" s="4"/>
      <c r="R39" s="12"/>
      <c r="S39" s="1"/>
      <c r="T39" s="1"/>
    </row>
    <row r="40" spans="3:20" x14ac:dyDescent="0.25">
      <c r="D40" s="2"/>
      <c r="E40" s="5"/>
      <c r="F40" s="5"/>
      <c r="G40" s="1"/>
      <c r="H40" s="1"/>
      <c r="I40" s="4"/>
      <c r="J40" s="24"/>
      <c r="K40" s="5"/>
      <c r="L40" s="5"/>
      <c r="M40" s="5"/>
      <c r="N40" s="4"/>
      <c r="P40" s="5"/>
      <c r="Q40" s="4"/>
      <c r="R40" s="12"/>
      <c r="S40" s="1"/>
      <c r="T40" s="1"/>
    </row>
    <row r="41" spans="3:20" x14ac:dyDescent="0.25">
      <c r="D41" s="14"/>
      <c r="E41" s="5"/>
      <c r="F41" s="5"/>
      <c r="G41" s="1"/>
      <c r="H41" s="1"/>
      <c r="I41" s="4"/>
      <c r="J41" s="24"/>
      <c r="K41" s="5"/>
      <c r="L41" s="5"/>
      <c r="M41" s="5"/>
      <c r="N41" s="4"/>
      <c r="P41" s="5"/>
      <c r="Q41" s="4"/>
      <c r="R41" s="12"/>
      <c r="S41" s="1"/>
      <c r="T41" s="1"/>
    </row>
    <row r="42" spans="3:20" x14ac:dyDescent="0.25">
      <c r="E42" s="5"/>
      <c r="F42" s="5"/>
      <c r="G42" s="1"/>
      <c r="H42" s="1"/>
      <c r="I42" s="4"/>
      <c r="J42" s="24"/>
      <c r="K42" s="5"/>
      <c r="L42" s="5"/>
      <c r="M42" s="5"/>
      <c r="N42" s="4"/>
      <c r="P42" s="5"/>
      <c r="Q42" s="4"/>
      <c r="R42" s="12"/>
      <c r="S42" s="1"/>
      <c r="T42" s="1"/>
    </row>
    <row r="43" spans="3:20" x14ac:dyDescent="0.25">
      <c r="E43" s="5"/>
      <c r="F43" s="5"/>
      <c r="G43" s="1"/>
      <c r="H43" s="1"/>
      <c r="I43" s="4"/>
      <c r="J43" s="24"/>
      <c r="K43" s="5"/>
      <c r="L43" s="5"/>
      <c r="M43" s="5"/>
      <c r="N43" s="4"/>
      <c r="P43" s="5"/>
      <c r="Q43" s="4"/>
      <c r="R43" s="12"/>
      <c r="S43" s="1"/>
      <c r="T43" s="1"/>
    </row>
    <row r="44" spans="3:20" x14ac:dyDescent="0.25">
      <c r="E44" s="5"/>
      <c r="F44" s="5"/>
      <c r="G44" s="1"/>
      <c r="H44" s="1"/>
      <c r="I44" s="4"/>
      <c r="J44" s="24"/>
      <c r="K44" s="5"/>
      <c r="L44" s="5"/>
      <c r="M44" s="5"/>
      <c r="N44" s="4"/>
      <c r="P44" s="5"/>
      <c r="Q44" s="4"/>
      <c r="R44" s="12"/>
      <c r="S44" s="1"/>
      <c r="T44" s="1"/>
    </row>
    <row r="45" spans="3:20" x14ac:dyDescent="0.25">
      <c r="E45" s="5"/>
      <c r="F45" s="5"/>
      <c r="G45" s="1"/>
      <c r="H45" s="1"/>
      <c r="I45" s="4"/>
      <c r="J45" s="24"/>
      <c r="K45" s="5"/>
      <c r="L45" s="5"/>
      <c r="M45" s="5"/>
      <c r="N45" s="4"/>
      <c r="P45" s="5"/>
      <c r="Q45" s="4"/>
      <c r="R45" s="12"/>
      <c r="S45" s="1"/>
      <c r="T45" s="1"/>
    </row>
    <row r="46" spans="3:20" x14ac:dyDescent="0.25">
      <c r="E46" s="5"/>
      <c r="F46" s="5"/>
      <c r="G46" s="1"/>
      <c r="H46" s="1"/>
      <c r="I46" s="4"/>
      <c r="J46" s="24"/>
      <c r="K46" s="5"/>
      <c r="L46" s="5"/>
      <c r="M46" s="5"/>
      <c r="N46" s="4"/>
      <c r="P46" s="5"/>
      <c r="Q46" s="4"/>
      <c r="R46" s="12"/>
      <c r="S46" s="1"/>
      <c r="T46" s="1"/>
    </row>
    <row r="47" spans="3:20" x14ac:dyDescent="0.25">
      <c r="E47" s="5"/>
      <c r="F47" s="5"/>
      <c r="G47" s="1"/>
      <c r="H47" s="1"/>
      <c r="I47" s="4"/>
      <c r="J47" s="24"/>
      <c r="K47" s="5"/>
      <c r="L47" s="5"/>
      <c r="M47" s="5"/>
      <c r="N47" s="4"/>
      <c r="P47" s="5"/>
      <c r="Q47" s="4"/>
      <c r="R47" s="12"/>
      <c r="S47" s="1"/>
      <c r="T47" s="1"/>
    </row>
    <row r="48" spans="3:20" x14ac:dyDescent="0.25">
      <c r="E48" s="5"/>
      <c r="F48" s="5"/>
      <c r="G48" s="1"/>
      <c r="H48" s="1"/>
      <c r="I48" s="4"/>
      <c r="J48" s="24"/>
      <c r="K48" s="5"/>
      <c r="L48" s="5"/>
      <c r="M48" s="5"/>
      <c r="N48" s="4"/>
      <c r="P48" s="5"/>
      <c r="Q48" s="4"/>
      <c r="R48" s="12"/>
      <c r="S48" s="1"/>
      <c r="T48" s="1"/>
    </row>
    <row r="49" spans="5:20" x14ac:dyDescent="0.25">
      <c r="E49" s="5"/>
      <c r="F49" s="5"/>
      <c r="G49" s="1"/>
      <c r="H49" s="1"/>
      <c r="I49" s="4"/>
      <c r="J49" s="24"/>
      <c r="K49" s="5"/>
      <c r="L49" s="5"/>
      <c r="M49" s="5"/>
      <c r="N49" s="4"/>
      <c r="P49" s="5"/>
      <c r="Q49" s="4"/>
      <c r="R49" s="12"/>
      <c r="S49" s="1"/>
      <c r="T49" s="1"/>
    </row>
    <row r="50" spans="5:20" x14ac:dyDescent="0.25">
      <c r="E50" s="5"/>
      <c r="F50" s="5"/>
      <c r="G50" s="1"/>
      <c r="H50" s="1"/>
      <c r="I50" s="4"/>
      <c r="J50" s="24"/>
      <c r="K50" s="5"/>
      <c r="L50" s="5"/>
      <c r="M50" s="5"/>
      <c r="N50" s="4"/>
      <c r="P50" s="5"/>
      <c r="Q50" s="4"/>
      <c r="R50" s="12"/>
      <c r="S50" s="1"/>
      <c r="T50" s="1"/>
    </row>
    <row r="51" spans="5:20" x14ac:dyDescent="0.25">
      <c r="E51" s="5"/>
      <c r="F51" s="5"/>
      <c r="G51" s="1"/>
      <c r="H51" s="1"/>
      <c r="I51" s="4"/>
      <c r="J51" s="24"/>
      <c r="K51" s="5"/>
      <c r="L51" s="5"/>
      <c r="M51" s="5"/>
      <c r="N51" s="4"/>
      <c r="P51" s="5"/>
      <c r="Q51" s="4"/>
      <c r="R51" s="12"/>
      <c r="S51" s="1"/>
      <c r="T51" s="1"/>
    </row>
    <row r="52" spans="5:20" x14ac:dyDescent="0.25">
      <c r="E52" s="5"/>
      <c r="F52" s="5"/>
      <c r="G52" s="1"/>
      <c r="H52" s="1"/>
      <c r="I52" s="4"/>
      <c r="J52" s="24"/>
      <c r="K52" s="5"/>
      <c r="L52" s="5"/>
      <c r="M52" s="5"/>
      <c r="N52" s="4"/>
      <c r="P52" s="5"/>
      <c r="Q52" s="4"/>
      <c r="R52" s="12"/>
      <c r="S52" s="1"/>
      <c r="T52" s="1"/>
    </row>
    <row r="53" spans="5:20" x14ac:dyDescent="0.25">
      <c r="E53" s="5"/>
      <c r="F53" s="5"/>
      <c r="G53" s="1"/>
      <c r="H53" s="1"/>
      <c r="I53" s="4"/>
      <c r="J53" s="24"/>
      <c r="K53" s="5"/>
      <c r="L53" s="5"/>
      <c r="M53" s="5"/>
      <c r="N53" s="4"/>
      <c r="P53" s="5"/>
      <c r="Q53" s="4"/>
      <c r="R53" s="12"/>
      <c r="S53" s="1"/>
      <c r="T53" s="1"/>
    </row>
    <row r="54" spans="5:20" x14ac:dyDescent="0.25">
      <c r="E54" s="5"/>
      <c r="F54" s="5"/>
      <c r="G54" s="1"/>
      <c r="H54" s="1"/>
      <c r="I54" s="4"/>
      <c r="J54" s="24"/>
      <c r="K54" s="5"/>
      <c r="L54" s="5"/>
      <c r="M54" s="5"/>
      <c r="N54" s="4"/>
      <c r="P54" s="5"/>
      <c r="Q54" s="4"/>
      <c r="R54" s="12"/>
      <c r="S54" s="1"/>
      <c r="T54" s="1"/>
    </row>
    <row r="71" spans="12:12" x14ac:dyDescent="0.25">
      <c r="L7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OddsAlgorithm</vt:lpstr>
      <vt:lpstr>eventString</vt:lpstr>
      <vt:lpstr>MLtoDEC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Falkenstein</cp:lastModifiedBy>
  <dcterms:created xsi:type="dcterms:W3CDTF">2021-08-18T18:19:25Z</dcterms:created>
  <dcterms:modified xsi:type="dcterms:W3CDTF">2023-11-29T18:36:40Z</dcterms:modified>
</cp:coreProperties>
</file>