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drawings/drawing1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urch\2022 EFCBC Finance\Book Keeping\2023\"/>
    </mc:Choice>
  </mc:AlternateContent>
  <xr:revisionPtr revIDLastSave="0" documentId="13_ncr:1_{E5A1BAE8-2C31-497C-8EA1-8AEC21187005}" xr6:coauthVersionLast="36" xr6:coauthVersionMax="36" xr10:uidLastSave="{00000000-0000-0000-0000-000000000000}"/>
  <bookViews>
    <workbookView xWindow="0" yWindow="0" windowWidth="15264" windowHeight="5076" firstSheet="1" activeTab="12" xr2:uid="{D7D0985D-B343-4BA3-92F6-5103D65DA54E}"/>
  </bookViews>
  <sheets>
    <sheet name="ExpenseCategory" sheetId="1" r:id="rId1"/>
    <sheet name="IncomeCategory" sheetId="2" r:id="rId2"/>
    <sheet name="AllTransactions" sheetId="4" state="hidden" r:id="rId3"/>
    <sheet name="Jan" sheetId="3" r:id="rId4"/>
    <sheet name="Feb" sheetId="11" r:id="rId5"/>
    <sheet name="March" sheetId="12" r:id="rId6"/>
    <sheet name="April" sheetId="13" r:id="rId7"/>
    <sheet name="May" sheetId="14" r:id="rId8"/>
    <sheet name="June" sheetId="15" r:id="rId9"/>
    <sheet name="July" sheetId="16" r:id="rId10"/>
    <sheet name="August" sheetId="17" r:id="rId11"/>
    <sheet name="September" sheetId="21" r:id="rId12"/>
    <sheet name="Expense By FundCategory" sheetId="18" r:id="rId13"/>
    <sheet name="Yearly Changes" sheetId="19" r:id="rId1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9" l="1"/>
  <c r="H5" i="19"/>
  <c r="H6" i="19"/>
  <c r="H7" i="19"/>
  <c r="H8" i="19"/>
  <c r="H9" i="19"/>
  <c r="U21" i="18"/>
  <c r="U93" i="18"/>
  <c r="U88" i="18"/>
  <c r="R87" i="18"/>
  <c r="R54" i="18"/>
  <c r="R30" i="18"/>
  <c r="R10" i="18"/>
  <c r="R19" i="18"/>
  <c r="U19" i="18"/>
  <c r="E33" i="18"/>
  <c r="E27" i="18"/>
  <c r="E22" i="18"/>
  <c r="E13" i="18"/>
  <c r="E4" i="18"/>
  <c r="I57" i="21"/>
  <c r="B41" i="21"/>
  <c r="B18" i="21"/>
  <c r="B19" i="21"/>
  <c r="B20" i="21"/>
  <c r="B21" i="21"/>
  <c r="B22" i="21"/>
  <c r="B23" i="21"/>
  <c r="B17" i="21"/>
  <c r="B6" i="21"/>
  <c r="B7" i="21"/>
  <c r="B8" i="21"/>
  <c r="B9" i="21"/>
  <c r="B10" i="21"/>
  <c r="B11" i="21"/>
  <c r="B5" i="21"/>
  <c r="H66" i="21"/>
  <c r="H67" i="21"/>
  <c r="E56" i="21"/>
  <c r="F33" i="21"/>
  <c r="D17" i="21"/>
  <c r="E17" i="21"/>
  <c r="F17" i="21"/>
  <c r="D18" i="21"/>
  <c r="F18" i="21"/>
  <c r="F19" i="21"/>
  <c r="F20" i="21"/>
  <c r="F21" i="21"/>
  <c r="F22" i="21"/>
  <c r="D23" i="21"/>
  <c r="E23" i="21"/>
  <c r="F23" i="21"/>
  <c r="F24" i="21"/>
  <c r="C24" i="21"/>
  <c r="B24" i="21"/>
  <c r="L23" i="21"/>
  <c r="D5" i="21"/>
  <c r="E5" i="21"/>
  <c r="F5" i="21"/>
  <c r="D6" i="21"/>
  <c r="E6" i="21"/>
  <c r="F6" i="21"/>
  <c r="D7" i="21"/>
  <c r="E7" i="21"/>
  <c r="F7" i="21"/>
  <c r="D8" i="21"/>
  <c r="E8" i="21"/>
  <c r="F8" i="21"/>
  <c r="D9" i="21"/>
  <c r="E9" i="21"/>
  <c r="F9" i="21"/>
  <c r="D10" i="21"/>
  <c r="F10" i="21"/>
  <c r="F11" i="21"/>
  <c r="F12" i="21"/>
  <c r="F13" i="21"/>
  <c r="E13" i="21"/>
  <c r="C13" i="21"/>
  <c r="B13" i="21"/>
  <c r="F34" i="17"/>
  <c r="D18" i="17"/>
  <c r="H68" i="17"/>
  <c r="H69" i="17"/>
  <c r="E58" i="17"/>
  <c r="E57" i="16"/>
  <c r="F23" i="17"/>
  <c r="B23" i="17"/>
  <c r="D23" i="16"/>
  <c r="F23" i="16"/>
  <c r="B24" i="17"/>
  <c r="E5" i="16"/>
  <c r="B5" i="17"/>
  <c r="E6" i="16"/>
  <c r="B6" i="17"/>
  <c r="E7" i="16"/>
  <c r="B7" i="17"/>
  <c r="E8" i="16"/>
  <c r="B8" i="17"/>
  <c r="E9" i="16"/>
  <c r="B9" i="17"/>
  <c r="B10" i="17"/>
  <c r="B11" i="17"/>
  <c r="B12" i="17"/>
  <c r="D17" i="16"/>
  <c r="F22" i="16"/>
  <c r="D22" i="16"/>
  <c r="H66" i="16"/>
  <c r="F11" i="17"/>
  <c r="F21" i="16"/>
  <c r="B22" i="17"/>
  <c r="F20" i="16"/>
  <c r="B21" i="17"/>
  <c r="F19" i="16"/>
  <c r="B20" i="17"/>
  <c r="D18" i="16"/>
  <c r="F18" i="16"/>
  <c r="B19" i="17"/>
  <c r="E17" i="16"/>
  <c r="F17" i="16"/>
  <c r="B18" i="17"/>
  <c r="D10" i="16"/>
  <c r="F10" i="16"/>
  <c r="D9" i="16"/>
  <c r="F9" i="16"/>
  <c r="D8" i="16"/>
  <c r="F8" i="16"/>
  <c r="D7" i="16"/>
  <c r="F7" i="16"/>
  <c r="D6" i="16"/>
  <c r="F6" i="16"/>
  <c r="D5" i="16"/>
  <c r="F5" i="16"/>
  <c r="E18" i="17"/>
  <c r="D19" i="17"/>
  <c r="F19" i="17"/>
  <c r="F20" i="17"/>
  <c r="F21" i="17"/>
  <c r="F22" i="17"/>
  <c r="D24" i="17"/>
  <c r="E24" i="17"/>
  <c r="F24" i="17"/>
  <c r="C25" i="17"/>
  <c r="B25" i="17"/>
  <c r="L24" i="17"/>
  <c r="D5" i="17"/>
  <c r="E5" i="17"/>
  <c r="F5" i="17"/>
  <c r="D6" i="17"/>
  <c r="E6" i="17"/>
  <c r="F6" i="17"/>
  <c r="D7" i="17"/>
  <c r="E7" i="17"/>
  <c r="F7" i="17"/>
  <c r="D8" i="17"/>
  <c r="E8" i="17"/>
  <c r="F8" i="17"/>
  <c r="D9" i="17"/>
  <c r="E9" i="17"/>
  <c r="F9" i="17"/>
  <c r="D10" i="17"/>
  <c r="F10" i="17"/>
  <c r="F12" i="17"/>
  <c r="F13" i="17"/>
  <c r="F14" i="17"/>
  <c r="E14" i="17"/>
  <c r="C14" i="17"/>
  <c r="B14" i="17"/>
  <c r="B21" i="16"/>
  <c r="B20" i="16"/>
  <c r="B19" i="16"/>
  <c r="B18" i="16"/>
  <c r="B17" i="16"/>
  <c r="B10" i="16"/>
  <c r="B9" i="16"/>
  <c r="B8" i="16"/>
  <c r="B5" i="16"/>
  <c r="B7" i="16"/>
  <c r="B6" i="16"/>
  <c r="H67" i="16"/>
  <c r="C23" i="16"/>
  <c r="E23" i="16"/>
  <c r="F24" i="16"/>
  <c r="C24" i="16"/>
  <c r="B24" i="16"/>
  <c r="L23" i="16"/>
  <c r="F11" i="16"/>
  <c r="F12" i="16"/>
  <c r="F13" i="16"/>
  <c r="E13" i="16"/>
  <c r="C13" i="16"/>
  <c r="B13" i="16"/>
  <c r="B21" i="15"/>
  <c r="B20" i="15"/>
  <c r="B19" i="15"/>
  <c r="B18" i="15"/>
  <c r="B17" i="15"/>
  <c r="B10" i="15"/>
  <c r="B9" i="15"/>
  <c r="B8" i="15"/>
  <c r="B7" i="15"/>
  <c r="B6" i="15"/>
  <c r="B5" i="15"/>
  <c r="H61" i="15"/>
  <c r="H62" i="15"/>
  <c r="D17" i="15"/>
  <c r="E17" i="15"/>
  <c r="F17" i="15"/>
  <c r="D18" i="15"/>
  <c r="F18" i="15"/>
  <c r="F19" i="15"/>
  <c r="F20" i="15"/>
  <c r="F21" i="15"/>
  <c r="C23" i="15"/>
  <c r="D23" i="15"/>
  <c r="E23" i="15"/>
  <c r="F23" i="15"/>
  <c r="F24" i="15"/>
  <c r="C24" i="15"/>
  <c r="B24" i="15"/>
  <c r="L23" i="15"/>
  <c r="D5" i="15"/>
  <c r="E5" i="15"/>
  <c r="F5" i="15"/>
  <c r="D6" i="15"/>
  <c r="E6" i="15"/>
  <c r="F6" i="15"/>
  <c r="D7" i="15"/>
  <c r="E7" i="15"/>
  <c r="F7" i="15"/>
  <c r="D8" i="15"/>
  <c r="E8" i="15"/>
  <c r="F8" i="15"/>
  <c r="D9" i="15"/>
  <c r="E9" i="15"/>
  <c r="F9" i="15"/>
  <c r="D10" i="15"/>
  <c r="F10" i="15"/>
  <c r="F11" i="15"/>
  <c r="F12" i="15"/>
  <c r="F13" i="15"/>
  <c r="E13" i="15"/>
  <c r="C13" i="15"/>
  <c r="B13" i="15"/>
  <c r="B10" i="14"/>
  <c r="B9" i="14"/>
  <c r="B8" i="14"/>
  <c r="B7" i="14"/>
  <c r="B6" i="14"/>
  <c r="B5" i="14"/>
  <c r="B21" i="14"/>
  <c r="B20" i="14"/>
  <c r="B18" i="14"/>
  <c r="B17" i="14"/>
  <c r="H62" i="14"/>
  <c r="H63" i="14"/>
  <c r="D17" i="14"/>
  <c r="E17" i="14"/>
  <c r="F17" i="14"/>
  <c r="D18" i="14"/>
  <c r="F18" i="14"/>
  <c r="F19" i="14"/>
  <c r="F20" i="14"/>
  <c r="F21" i="14"/>
  <c r="C23" i="14"/>
  <c r="D23" i="14"/>
  <c r="E23" i="14"/>
  <c r="F23" i="14"/>
  <c r="F24" i="14"/>
  <c r="C24" i="14"/>
  <c r="B19" i="14"/>
  <c r="B24" i="14"/>
  <c r="L23" i="14"/>
  <c r="D5" i="14"/>
  <c r="E5" i="14"/>
  <c r="F5" i="14"/>
  <c r="D6" i="14"/>
  <c r="E6" i="14"/>
  <c r="F6" i="14"/>
  <c r="D7" i="14"/>
  <c r="E7" i="14"/>
  <c r="F7" i="14"/>
  <c r="D8" i="14"/>
  <c r="E8" i="14"/>
  <c r="F8" i="14"/>
  <c r="D9" i="14"/>
  <c r="E9" i="14"/>
  <c r="F9" i="14"/>
  <c r="D10" i="14"/>
  <c r="F10" i="14"/>
  <c r="F11" i="14"/>
  <c r="F12" i="14"/>
  <c r="F13" i="14"/>
  <c r="E13" i="14"/>
  <c r="C13" i="14"/>
  <c r="B13" i="14"/>
  <c r="B21" i="13"/>
  <c r="B20" i="13"/>
  <c r="B19" i="13"/>
  <c r="B18" i="13"/>
  <c r="B17" i="13"/>
  <c r="B10" i="13"/>
  <c r="E9" i="12"/>
  <c r="F9" i="12"/>
  <c r="B9" i="13"/>
  <c r="E8" i="12"/>
  <c r="F8" i="12"/>
  <c r="B8" i="13"/>
  <c r="E7" i="12"/>
  <c r="F7" i="12"/>
  <c r="B7" i="13"/>
  <c r="E5" i="12"/>
  <c r="F5" i="12"/>
  <c r="B5" i="13"/>
  <c r="E6" i="12"/>
  <c r="F6" i="12"/>
  <c r="B6" i="13"/>
  <c r="H56" i="13"/>
  <c r="H57" i="13"/>
  <c r="D17" i="13"/>
  <c r="E17" i="13"/>
  <c r="F17" i="13"/>
  <c r="D18" i="13"/>
  <c r="F18" i="13"/>
  <c r="F19" i="13"/>
  <c r="F20" i="13"/>
  <c r="F21" i="13"/>
  <c r="C23" i="13"/>
  <c r="D23" i="13"/>
  <c r="E23" i="13"/>
  <c r="F23" i="13"/>
  <c r="F24" i="13"/>
  <c r="C24" i="13"/>
  <c r="B24" i="13"/>
  <c r="L23" i="13"/>
  <c r="D5" i="13"/>
  <c r="E5" i="13"/>
  <c r="F5" i="13"/>
  <c r="D6" i="13"/>
  <c r="E6" i="13"/>
  <c r="F6" i="13"/>
  <c r="D7" i="13"/>
  <c r="E7" i="13"/>
  <c r="F7" i="13"/>
  <c r="D8" i="13"/>
  <c r="E8" i="13"/>
  <c r="F8" i="13"/>
  <c r="D9" i="13"/>
  <c r="E9" i="13"/>
  <c r="F9" i="13"/>
  <c r="D10" i="13"/>
  <c r="F10" i="13"/>
  <c r="F11" i="13"/>
  <c r="F12" i="13"/>
  <c r="F13" i="13"/>
  <c r="E13" i="13"/>
  <c r="C13" i="13"/>
  <c r="B13" i="13"/>
  <c r="D18" i="12"/>
  <c r="C23" i="12"/>
  <c r="C24" i="12"/>
  <c r="B18" i="12"/>
  <c r="B19" i="12"/>
  <c r="B20" i="12"/>
  <c r="B21" i="12"/>
  <c r="B17" i="12"/>
  <c r="B10" i="12"/>
  <c r="B9" i="12"/>
  <c r="B8" i="12"/>
  <c r="B7" i="12"/>
  <c r="B6" i="12"/>
  <c r="B5" i="12"/>
  <c r="H53" i="12"/>
  <c r="H54" i="12"/>
  <c r="D17" i="12"/>
  <c r="E17" i="12"/>
  <c r="F17" i="12"/>
  <c r="F18" i="12"/>
  <c r="F19" i="12"/>
  <c r="F20" i="12"/>
  <c r="F21" i="12"/>
  <c r="D23" i="12"/>
  <c r="E23" i="12"/>
  <c r="F23" i="12"/>
  <c r="F24" i="12"/>
  <c r="B24" i="12"/>
  <c r="L23" i="12"/>
  <c r="D5" i="12"/>
  <c r="D6" i="12"/>
  <c r="D7" i="12"/>
  <c r="D8" i="12"/>
  <c r="D9" i="12"/>
  <c r="D10" i="12"/>
  <c r="F10" i="12"/>
  <c r="F11" i="12"/>
  <c r="F12" i="12"/>
  <c r="F13" i="12"/>
  <c r="E13" i="12"/>
  <c r="C13" i="12"/>
  <c r="B13" i="12"/>
  <c r="I7" i="3"/>
  <c r="D17" i="11"/>
  <c r="D18" i="3"/>
  <c r="D17" i="3"/>
  <c r="E17" i="11"/>
  <c r="F17" i="11"/>
  <c r="F18" i="11"/>
  <c r="F19" i="11"/>
  <c r="F20" i="11"/>
  <c r="F21" i="11"/>
  <c r="C23" i="11"/>
  <c r="D23" i="11"/>
  <c r="E23" i="11"/>
  <c r="F23" i="11"/>
  <c r="F24" i="11"/>
  <c r="E17" i="3"/>
  <c r="F17" i="3"/>
  <c r="B17" i="11"/>
  <c r="F18" i="3"/>
  <c r="B18" i="11"/>
  <c r="F19" i="3"/>
  <c r="B19" i="11"/>
  <c r="F20" i="3"/>
  <c r="B20" i="11"/>
  <c r="F21" i="3"/>
  <c r="B21" i="11"/>
  <c r="H52" i="3"/>
  <c r="H53" i="3"/>
  <c r="C24" i="11"/>
  <c r="C23" i="3"/>
  <c r="D23" i="3"/>
  <c r="E23" i="3"/>
  <c r="F23" i="3"/>
  <c r="B24" i="11"/>
  <c r="B24" i="3"/>
  <c r="K42" i="3"/>
  <c r="G21" i="3"/>
  <c r="D5" i="3"/>
  <c r="E5" i="3"/>
  <c r="F5" i="3"/>
  <c r="D6" i="3"/>
  <c r="E6" i="3"/>
  <c r="F6" i="3"/>
  <c r="D7" i="3"/>
  <c r="E7" i="3"/>
  <c r="F7" i="3"/>
  <c r="D8" i="3"/>
  <c r="F8" i="3"/>
  <c r="D9" i="3"/>
  <c r="F9" i="3"/>
  <c r="D10" i="3"/>
  <c r="F10" i="3"/>
  <c r="F11" i="3"/>
  <c r="F12" i="3"/>
  <c r="I30" i="3"/>
  <c r="J30" i="3"/>
  <c r="F24" i="3"/>
  <c r="D5" i="11"/>
  <c r="E5" i="11"/>
  <c r="F5" i="11"/>
  <c r="D6" i="11"/>
  <c r="E6" i="11"/>
  <c r="F6" i="11"/>
  <c r="D7" i="11"/>
  <c r="E7" i="11"/>
  <c r="F7" i="11"/>
  <c r="D8" i="11"/>
  <c r="F8" i="11"/>
  <c r="D9" i="11"/>
  <c r="F9" i="11"/>
  <c r="D10" i="11"/>
  <c r="F10" i="11"/>
  <c r="F11" i="11"/>
  <c r="F12" i="11"/>
  <c r="B6" i="11"/>
  <c r="B7" i="11"/>
  <c r="B8" i="11"/>
  <c r="B9" i="11"/>
  <c r="B10" i="11"/>
  <c r="B5" i="11"/>
  <c r="H52" i="11"/>
  <c r="H53" i="11"/>
  <c r="L23" i="11"/>
  <c r="F13" i="11"/>
  <c r="E13" i="11"/>
  <c r="C13" i="11"/>
  <c r="B13" i="11"/>
  <c r="L23" i="3"/>
  <c r="C65" i="1"/>
  <c r="C12" i="1"/>
  <c r="C13" i="1"/>
  <c r="C14" i="1"/>
  <c r="C2" i="1"/>
  <c r="C3" i="1"/>
  <c r="C4" i="1"/>
  <c r="C5" i="1"/>
  <c r="C6" i="1"/>
  <c r="C7" i="1"/>
  <c r="C15" i="1"/>
  <c r="C16" i="1"/>
  <c r="C17" i="1"/>
  <c r="C18" i="1"/>
  <c r="C19" i="1"/>
  <c r="C20" i="1"/>
  <c r="C21" i="1"/>
  <c r="C22" i="1"/>
  <c r="C23" i="1"/>
  <c r="C24" i="1"/>
  <c r="C25" i="1"/>
  <c r="C26" i="1"/>
  <c r="C9" i="1"/>
  <c r="C10" i="1"/>
  <c r="C11" i="1"/>
  <c r="C27" i="1"/>
  <c r="C28" i="1"/>
  <c r="C29" i="1"/>
  <c r="C45" i="1"/>
  <c r="C53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30" i="1"/>
  <c r="C31" i="1"/>
  <c r="C32" i="1"/>
  <c r="C33" i="1"/>
  <c r="C34" i="1"/>
  <c r="C35" i="1"/>
  <c r="C36" i="1"/>
  <c r="C37" i="1"/>
  <c r="C38" i="1"/>
  <c r="C8" i="1"/>
  <c r="C39" i="1"/>
  <c r="C62" i="1"/>
  <c r="C63" i="1"/>
  <c r="C66" i="1"/>
  <c r="C40" i="1"/>
  <c r="C41" i="1"/>
  <c r="C42" i="1"/>
  <c r="C43" i="1"/>
  <c r="C64" i="1"/>
  <c r="C44" i="1"/>
  <c r="C13" i="3"/>
  <c r="E13" i="3"/>
  <c r="F13" i="3"/>
  <c r="B13" i="3"/>
  <c r="I10" i="1"/>
  <c r="F18" i="17"/>
  <c r="F25" i="17"/>
</calcChain>
</file>

<file path=xl/sharedStrings.xml><?xml version="1.0" encoding="utf-8"?>
<sst xmlns="http://schemas.openxmlformats.org/spreadsheetml/2006/main" count="1589" uniqueCount="307">
  <si>
    <t>Expense Catetory</t>
  </si>
  <si>
    <t>Expense Code</t>
  </si>
  <si>
    <t>Expense Description</t>
  </si>
  <si>
    <t>Accounting</t>
  </si>
  <si>
    <t>A1</t>
  </si>
  <si>
    <t>General (Stamps/Miscellaneous)</t>
  </si>
  <si>
    <t>G</t>
  </si>
  <si>
    <t>A2</t>
  </si>
  <si>
    <t>Tithe to General Assembly</t>
  </si>
  <si>
    <t>A3</t>
  </si>
  <si>
    <t>Insurance</t>
  </si>
  <si>
    <t>Building</t>
  </si>
  <si>
    <t>B1</t>
  </si>
  <si>
    <t>Miscellaneous Church property</t>
  </si>
  <si>
    <t>B</t>
  </si>
  <si>
    <t>B2</t>
  </si>
  <si>
    <t>Library Books</t>
  </si>
  <si>
    <t>B3</t>
  </si>
  <si>
    <t>Hymn Books</t>
  </si>
  <si>
    <t>B4</t>
  </si>
  <si>
    <t>School Rent</t>
  </si>
  <si>
    <t>B5</t>
  </si>
  <si>
    <t>Building search fee</t>
  </si>
  <si>
    <t>B6</t>
  </si>
  <si>
    <t>Storage Rental</t>
  </si>
  <si>
    <t>Care/Fellowship</t>
  </si>
  <si>
    <t>C1</t>
  </si>
  <si>
    <t>General (Card)</t>
  </si>
  <si>
    <t>C2</t>
  </si>
  <si>
    <t>Janitor Gift</t>
  </si>
  <si>
    <t>C3</t>
  </si>
  <si>
    <t>Co-worker fellowship</t>
  </si>
  <si>
    <t>C4</t>
  </si>
  <si>
    <t>Cell group fellowship</t>
  </si>
  <si>
    <t>Education</t>
  </si>
  <si>
    <t>ED1</t>
  </si>
  <si>
    <t>Sunday School Material</t>
  </si>
  <si>
    <t>ED2</t>
  </si>
  <si>
    <t>Craft</t>
  </si>
  <si>
    <t>ED3</t>
  </si>
  <si>
    <t xml:space="preserve">Sunday school gifts </t>
  </si>
  <si>
    <t>ED4</t>
  </si>
  <si>
    <t>Conference(workshop, 1/2 registration fee)</t>
  </si>
  <si>
    <t>ED5</t>
  </si>
  <si>
    <t xml:space="preserve">EFCBC Retreat </t>
  </si>
  <si>
    <t>ED6</t>
  </si>
  <si>
    <t>ED7</t>
  </si>
  <si>
    <t>ED8</t>
  </si>
  <si>
    <t>Discipleship Training</t>
  </si>
  <si>
    <t>English Mission</t>
  </si>
  <si>
    <t>EN1</t>
  </si>
  <si>
    <t>EN</t>
  </si>
  <si>
    <t>EN2</t>
  </si>
  <si>
    <t>Young adult fellowship</t>
  </si>
  <si>
    <t>EN3</t>
  </si>
  <si>
    <t>Youth program activity</t>
  </si>
  <si>
    <t>General Affairs</t>
  </si>
  <si>
    <t>G1</t>
  </si>
  <si>
    <t>General (Utensil)</t>
  </si>
  <si>
    <t>G2</t>
  </si>
  <si>
    <t>Lunch (Catering, Rice, Drink)</t>
  </si>
  <si>
    <t>G3</t>
  </si>
  <si>
    <t>Outdoor Service</t>
  </si>
  <si>
    <t>Loving</t>
  </si>
  <si>
    <t>L1</t>
  </si>
  <si>
    <t>General</t>
  </si>
  <si>
    <t>L</t>
  </si>
  <si>
    <t>Mission</t>
  </si>
  <si>
    <t>M1</t>
  </si>
  <si>
    <t>Mission Trips</t>
  </si>
  <si>
    <t>M</t>
  </si>
  <si>
    <t>M10</t>
  </si>
  <si>
    <t xml:space="preserve">Missionary support (Minister Tang) </t>
  </si>
  <si>
    <t>M11</t>
  </si>
  <si>
    <t>Charity Community Service/Events</t>
  </si>
  <si>
    <t>M12</t>
  </si>
  <si>
    <t>operation Christmas Child</t>
  </si>
  <si>
    <t>M13</t>
  </si>
  <si>
    <t>OMF(Mcintyre)</t>
  </si>
  <si>
    <t>M14</t>
  </si>
  <si>
    <t>Special Needs</t>
  </si>
  <si>
    <t>M15</t>
  </si>
  <si>
    <t>Outreach event (Young Couple)</t>
  </si>
  <si>
    <t>M16</t>
  </si>
  <si>
    <t>Outreach event (student)</t>
  </si>
  <si>
    <t>M2</t>
  </si>
  <si>
    <t>Outreach event (invitation and Thanksgiving)</t>
  </si>
  <si>
    <t>M3</t>
  </si>
  <si>
    <t>M4</t>
  </si>
  <si>
    <t>Calendars</t>
  </si>
  <si>
    <t>M5</t>
  </si>
  <si>
    <t>GA Meeting (Every 2 year)</t>
  </si>
  <si>
    <t>M6</t>
  </si>
  <si>
    <t>Urbana (Every 3 year) / Short Term Mission</t>
  </si>
  <si>
    <t>M7</t>
  </si>
  <si>
    <t>EFC New Church Gifts</t>
  </si>
  <si>
    <t>M8</t>
  </si>
  <si>
    <t>Website Fee</t>
  </si>
  <si>
    <t>M9</t>
  </si>
  <si>
    <t>Village Gospel Mission</t>
  </si>
  <si>
    <t>Pastor Office</t>
  </si>
  <si>
    <t>P1</t>
  </si>
  <si>
    <t>Appreciation</t>
  </si>
  <si>
    <t>P2</t>
  </si>
  <si>
    <t>Pension</t>
  </si>
  <si>
    <t>P3</t>
  </si>
  <si>
    <t>Bonus</t>
  </si>
  <si>
    <t>P4</t>
  </si>
  <si>
    <r>
      <t>Gas Allowance</t>
    </r>
    <r>
      <rPr>
        <sz val="11"/>
        <color rgb="FFFF0000"/>
        <rFont val="Calibri"/>
        <family val="2"/>
        <scheme val="minor"/>
      </rPr>
      <t xml:space="preserve"> </t>
    </r>
  </si>
  <si>
    <t>P5</t>
  </si>
  <si>
    <r>
      <t>Health Insurance</t>
    </r>
    <r>
      <rPr>
        <sz val="11"/>
        <color rgb="FFFF0000"/>
        <rFont val="Calibri"/>
        <family val="2"/>
        <scheme val="minor"/>
      </rPr>
      <t xml:space="preserve"> </t>
    </r>
  </si>
  <si>
    <t>P6</t>
  </si>
  <si>
    <t>Education  expenses</t>
  </si>
  <si>
    <t>P7</t>
  </si>
  <si>
    <t>House allowance</t>
  </si>
  <si>
    <t>P8</t>
  </si>
  <si>
    <t>FICA and Fed Tax to GA</t>
  </si>
  <si>
    <t>P9</t>
  </si>
  <si>
    <t xml:space="preserve">Worker's compensation </t>
  </si>
  <si>
    <t xml:space="preserve">Transfering </t>
  </si>
  <si>
    <t>ECR</t>
  </si>
  <si>
    <t>East Coat Retreat</t>
  </si>
  <si>
    <t>GR</t>
  </si>
  <si>
    <t xml:space="preserve">Grass Root </t>
  </si>
  <si>
    <t>OCC</t>
  </si>
  <si>
    <t>Shoe Box</t>
  </si>
  <si>
    <t>OMF</t>
  </si>
  <si>
    <t>VGM</t>
  </si>
  <si>
    <t>Villiage Gospel Mission</t>
  </si>
  <si>
    <t>Worship</t>
  </si>
  <si>
    <t>W1</t>
  </si>
  <si>
    <t>General (Speaker)</t>
  </si>
  <si>
    <t>W2</t>
  </si>
  <si>
    <t>Baptism Gift</t>
  </si>
  <si>
    <t>W3</t>
  </si>
  <si>
    <t>Communion</t>
  </si>
  <si>
    <t>W4</t>
  </si>
  <si>
    <t>Office Supply</t>
  </si>
  <si>
    <t>W5</t>
  </si>
  <si>
    <t>CCLI License</t>
  </si>
  <si>
    <t>Fund Category</t>
  </si>
  <si>
    <t>General Fund</t>
  </si>
  <si>
    <t>English Fund</t>
  </si>
  <si>
    <t>Building Fund</t>
  </si>
  <si>
    <t>Mission Fund</t>
  </si>
  <si>
    <t>Outreach Fund</t>
  </si>
  <si>
    <t>Special Love Offering Fund</t>
  </si>
  <si>
    <t>O</t>
  </si>
  <si>
    <t>S</t>
  </si>
  <si>
    <t>Display List</t>
  </si>
  <si>
    <t>B5-Building-Building search fee</t>
  </si>
  <si>
    <t>O1</t>
  </si>
  <si>
    <t>OutReach</t>
  </si>
  <si>
    <t>Out Reach Food/Material etc</t>
  </si>
  <si>
    <t>Assets/Funds</t>
  </si>
  <si>
    <t>Outreach</t>
  </si>
  <si>
    <t>Love</t>
  </si>
  <si>
    <t>Initial Amount</t>
  </si>
  <si>
    <t>Expense</t>
  </si>
  <si>
    <t>Income</t>
  </si>
  <si>
    <t>English</t>
  </si>
  <si>
    <t>Bank Accounts</t>
  </si>
  <si>
    <t>Initial Amount (Auto Calculated)</t>
  </si>
  <si>
    <t>Initial Balance (Auto Calculated)</t>
  </si>
  <si>
    <t>Initial Balance</t>
  </si>
  <si>
    <t>Withdraw</t>
  </si>
  <si>
    <t>Checking</t>
  </si>
  <si>
    <t>Money Market</t>
  </si>
  <si>
    <t>Month</t>
  </si>
  <si>
    <t>Date</t>
  </si>
  <si>
    <t>Type</t>
  </si>
  <si>
    <t>Check#</t>
  </si>
  <si>
    <t>Year</t>
  </si>
  <si>
    <t>Expenses</t>
  </si>
  <si>
    <t>Transaction: An action that will cause the changes in church's assets/funds. Ex. Offering, Expense, Purchase, Fee, Rent … etc</t>
  </si>
  <si>
    <t>Transaction Date</t>
  </si>
  <si>
    <t>Amount</t>
  </si>
  <si>
    <t>Deposit/Cash/Withdraw Day</t>
  </si>
  <si>
    <t>Description</t>
  </si>
  <si>
    <t>Transaction Type</t>
  </si>
  <si>
    <t>Transaction Types</t>
  </si>
  <si>
    <t>CD-1 (0731)</t>
  </si>
  <si>
    <t>CD-2 (0723)</t>
  </si>
  <si>
    <t>CD-3 (4219)</t>
  </si>
  <si>
    <t>Deposit/Interest</t>
  </si>
  <si>
    <t>Category</t>
  </si>
  <si>
    <t>Deposit ?</t>
  </si>
  <si>
    <t>To Deposit</t>
  </si>
  <si>
    <t>To Pay</t>
  </si>
  <si>
    <t>Paid ?</t>
  </si>
  <si>
    <t>Love offering for OMF international</t>
  </si>
  <si>
    <t>S1</t>
  </si>
  <si>
    <t>Special Offer Transfer</t>
  </si>
  <si>
    <t>S-S1-Special Offer Transfer-Special Offer Transfer</t>
  </si>
  <si>
    <t>Y</t>
  </si>
  <si>
    <t>Special Transfer Fund</t>
  </si>
  <si>
    <t>Special Transfer Fund 
- offereing that goes to a specific pre-determined recipient 
- checks will be send out</t>
  </si>
  <si>
    <t>Love offering for Village Gospel Mission</t>
  </si>
  <si>
    <t>Kinfun Wong</t>
  </si>
  <si>
    <t>G-W1-Worship-General (Speaker)</t>
  </si>
  <si>
    <t>Chihping Kuan</t>
  </si>
  <si>
    <t>2023 Retreat 1st Payment</t>
  </si>
  <si>
    <t>EFC Retreat</t>
  </si>
  <si>
    <t>M-M3-Mission-EFC Retreat</t>
  </si>
  <si>
    <t>Paul Tehlai Shen</t>
  </si>
  <si>
    <t>HCPSS</t>
  </si>
  <si>
    <t>B-B4-Building-School Rent</t>
  </si>
  <si>
    <t>Tien Chien Tang</t>
  </si>
  <si>
    <t>Checks/Description</t>
  </si>
  <si>
    <t>Storage</t>
  </si>
  <si>
    <t>B-B6-Building-Storage Rental</t>
  </si>
  <si>
    <t>Paid/Cashed ?</t>
  </si>
  <si>
    <t>Jan EFC Tithe</t>
  </si>
  <si>
    <t>Dec Tithe</t>
  </si>
  <si>
    <t>G-A2-Accounting-Tithe to General Assembly</t>
  </si>
  <si>
    <t>EFC GA Tithe</t>
  </si>
  <si>
    <t>General Fund Income</t>
  </si>
  <si>
    <t>(0.09 of General Fund Income, need to record Expense or Check)</t>
  </si>
  <si>
    <t>Initial Outstanding Checks/Payments</t>
  </si>
  <si>
    <t>CD 0723</t>
  </si>
  <si>
    <t>CD</t>
  </si>
  <si>
    <t>APY</t>
  </si>
  <si>
    <t>Amount as of 7/28</t>
  </si>
  <si>
    <t>CD 4219</t>
  </si>
  <si>
    <t>CD 0731</t>
  </si>
  <si>
    <t>Marturity Date</t>
  </si>
  <si>
    <t>Interest YTD as of 7/28</t>
  </si>
  <si>
    <t>Initial Income to Deposit</t>
  </si>
  <si>
    <t>G - Money Market Interest</t>
  </si>
  <si>
    <t>End of Month Amount</t>
  </si>
  <si>
    <t>Column1</t>
  </si>
  <si>
    <t>Jan Tithe</t>
  </si>
  <si>
    <t>ee</t>
  </si>
  <si>
    <t>Nov Tithe</t>
  </si>
  <si>
    <t>Bad Check 397</t>
  </si>
  <si>
    <t>Bad Check Ed Grant</t>
  </si>
  <si>
    <t>Mei-Chin Wu</t>
  </si>
  <si>
    <t>Kaiyuan Ger</t>
  </si>
  <si>
    <t>G-A1-Accounting-General (Stamps/Miscellaneous)</t>
  </si>
  <si>
    <t>Feb Tithe</t>
  </si>
  <si>
    <t>Bank Account</t>
  </si>
  <si>
    <t>C</t>
  </si>
  <si>
    <t>General Fund Offering</t>
  </si>
  <si>
    <t>Jing Shao</t>
  </si>
  <si>
    <t>Check #</t>
  </si>
  <si>
    <t>Ben Regensburg</t>
  </si>
  <si>
    <t>Church Lunch</t>
  </si>
  <si>
    <t>Tien Dao Calendar</t>
  </si>
  <si>
    <t>Replacement Audio Mixer</t>
  </si>
  <si>
    <t>G-G2-General Affairs-Lunch (Catering, Rice, Drink)</t>
  </si>
  <si>
    <t>EN-EN1-English Mission-English Mission</t>
  </si>
  <si>
    <t>M-M4-Mission-Calendars</t>
  </si>
  <si>
    <t>G-W4-Worship-Office Supply</t>
  </si>
  <si>
    <t>March Tithe</t>
  </si>
  <si>
    <t>EFCBC Retreat Payment</t>
  </si>
  <si>
    <t>Easter Children Ministry</t>
  </si>
  <si>
    <t>Pastor Tang</t>
  </si>
  <si>
    <t>April Tithe</t>
  </si>
  <si>
    <t>G-ED1-Education-Sunday School Material</t>
  </si>
  <si>
    <t>May Tithe</t>
  </si>
  <si>
    <t>June Tithe</t>
  </si>
  <si>
    <t>July Tithe</t>
  </si>
  <si>
    <t>Retreat Payment</t>
  </si>
  <si>
    <t>Commnet</t>
  </si>
  <si>
    <t>G - CD Interest</t>
  </si>
  <si>
    <t>Income/Offerings</t>
  </si>
  <si>
    <t>Special Transfer Fund - Shen</t>
  </si>
  <si>
    <t>Special Transfer Fund - OMF</t>
  </si>
  <si>
    <t>Special - Pastor Shen</t>
  </si>
  <si>
    <t>Special - OMF</t>
  </si>
  <si>
    <t>Lunch</t>
  </si>
  <si>
    <t>Pastor Wong</t>
  </si>
  <si>
    <t>Pastor Shen</t>
  </si>
  <si>
    <t>Living Hope - Pastor Shen</t>
  </si>
  <si>
    <t>M-M14-Mission-Special Needs</t>
  </si>
  <si>
    <t>Seminary Student Support - Dennis Tseng</t>
  </si>
  <si>
    <t>Minister Tang</t>
  </si>
  <si>
    <t>Increase</t>
  </si>
  <si>
    <t>Decrease</t>
  </si>
  <si>
    <t>Living Hope - Pastor Shen (Transfer)</t>
  </si>
  <si>
    <t>August Tithe</t>
  </si>
  <si>
    <t>September Tithe</t>
  </si>
  <si>
    <t>OMF (Transfer)</t>
  </si>
  <si>
    <t>Tithe 2023-08 #5293</t>
  </si>
  <si>
    <t>Tithe 2023-07 #5293</t>
  </si>
  <si>
    <t>Tithe 2023-06 #5293</t>
  </si>
  <si>
    <t>Tithe 2023-05 #5293</t>
  </si>
  <si>
    <t>Tithe 2023-04 #5293</t>
  </si>
  <si>
    <t>Tithe 2023-03 #5293</t>
  </si>
  <si>
    <t>Tithe 2023-02 #5293</t>
  </si>
  <si>
    <t>Tithe 2023-01 #5293</t>
  </si>
  <si>
    <t>Tithe 2022-11 #5293</t>
  </si>
  <si>
    <t>Tithe 2022-12 #5293</t>
  </si>
  <si>
    <t>Fund</t>
  </si>
  <si>
    <t>Desc</t>
  </si>
  <si>
    <t>Fund/Department</t>
  </si>
  <si>
    <t>General Fund from Offering</t>
  </si>
  <si>
    <t xml:space="preserve">General Fund Total </t>
  </si>
  <si>
    <t>School</t>
  </si>
  <si>
    <t>Rental</t>
  </si>
  <si>
    <t>Tithe</t>
  </si>
  <si>
    <t>Speaker</t>
  </si>
  <si>
    <t>Year-End</t>
  </si>
  <si>
    <t>By Fund</t>
  </si>
  <si>
    <t>Total</t>
  </si>
  <si>
    <t>Money Manager</t>
  </si>
  <si>
    <t>2023 (as of 09-03)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</si>
</sst>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00"/>
    <numFmt numFmtId="165" formatCode="yyyy\-mm\-dd;@"/>
    <numFmt numFmtId="166" formatCode="&quot;$&quot;#,##0.00"/>
  </numFmts>
  <fonts count="3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新細明體"/>
      <family val="1"/>
      <charset val="136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新細明體"/>
      <family val="1"/>
      <charset val="136"/>
    </font>
  </fonts>
  <fills count="2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1" fillId="2" borderId="1" applyNumberFormat="0" applyAlignment="0" applyProtection="0"/>
    <xf numFmtId="0" fontId="8" fillId="3" borderId="0" applyNumberFormat="0" applyBorder="0" applyAlignment="0" applyProtection="0"/>
    <xf numFmtId="0" fontId="11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19" applyNumberFormat="0" applyAlignment="0" applyProtection="0"/>
    <xf numFmtId="0" fontId="16" fillId="25" borderId="20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21" applyNumberFormat="0" applyFill="0" applyAlignment="0" applyProtection="0"/>
    <xf numFmtId="0" fontId="20" fillId="0" borderId="22" applyNumberFormat="0" applyFill="0" applyAlignment="0" applyProtection="0"/>
    <xf numFmtId="0" fontId="21" fillId="0" borderId="23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19" applyNumberFormat="0" applyAlignment="0" applyProtection="0"/>
    <xf numFmtId="0" fontId="23" fillId="0" borderId="24" applyNumberFormat="0" applyFill="0" applyAlignment="0" applyProtection="0"/>
    <xf numFmtId="0" fontId="24" fillId="26" borderId="0" applyNumberFormat="0" applyBorder="0" applyAlignment="0" applyProtection="0"/>
    <xf numFmtId="0" fontId="25" fillId="27" borderId="25" applyNumberFormat="0" applyAlignment="0" applyProtection="0"/>
    <xf numFmtId="0" fontId="26" fillId="24" borderId="26" applyNumberFormat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0">
      <alignment vertical="center"/>
    </xf>
    <xf numFmtId="43" fontId="11" fillId="0" borderId="0" applyFont="0" applyFill="0" applyBorder="0" applyAlignment="0" applyProtection="0"/>
  </cellStyleXfs>
  <cellXfs count="76">
    <xf numFmtId="0" fontId="0" fillId="0" borderId="0" xfId="0"/>
    <xf numFmtId="0" fontId="4" fillId="0" borderId="2" xfId="0" applyFont="1" applyFill="1" applyBorder="1" applyAlignment="1" applyProtection="1">
      <alignment horizontal="left" vertical="top"/>
      <protection locked="0"/>
    </xf>
    <xf numFmtId="0" fontId="4" fillId="0" borderId="2" xfId="0" applyFont="1" applyBorder="1" applyProtection="1"/>
    <xf numFmtId="0" fontId="5" fillId="0" borderId="2" xfId="0" applyFont="1" applyBorder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" xfId="0" applyFont="1" applyBorder="1" applyAlignment="1" applyProtection="1">
      <protection locked="0"/>
    </xf>
    <xf numFmtId="0" fontId="5" fillId="0" borderId="2" xfId="0" applyFont="1" applyBorder="1" applyAlignment="1" applyProtection="1">
      <alignment vertical="top"/>
      <protection locked="0"/>
    </xf>
    <xf numFmtId="0" fontId="4" fillId="0" borderId="2" xfId="0" applyFont="1" applyBorder="1" applyProtection="1">
      <protection locked="0"/>
    </xf>
    <xf numFmtId="0" fontId="4" fillId="0" borderId="3" xfId="0" applyFont="1" applyFill="1" applyBorder="1" applyAlignment="1" applyProtection="1">
      <alignment horizontal="left" vertical="top"/>
      <protection locked="0"/>
    </xf>
    <xf numFmtId="0" fontId="4" fillId="0" borderId="4" xfId="0" applyFont="1" applyFill="1" applyBorder="1" applyAlignment="1" applyProtection="1">
      <alignment horizontal="left" vertical="top"/>
      <protection locked="0"/>
    </xf>
    <xf numFmtId="0" fontId="4" fillId="0" borderId="4" xfId="0" applyFont="1" applyFill="1" applyBorder="1" applyAlignment="1" applyProtection="1">
      <protection locked="0"/>
    </xf>
    <xf numFmtId="0" fontId="4" fillId="0" borderId="4" xfId="0" applyFont="1" applyBorder="1" applyProtection="1">
      <protection locked="0"/>
    </xf>
    <xf numFmtId="0" fontId="4" fillId="0" borderId="5" xfId="0" applyFont="1" applyFill="1" applyBorder="1" applyAlignment="1" applyProtection="1">
      <alignment horizontal="left" vertical="top"/>
      <protection locked="0"/>
    </xf>
    <xf numFmtId="0" fontId="5" fillId="0" borderId="4" xfId="0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4" fillId="0" borderId="3" xfId="0" applyFont="1" applyBorder="1" applyProtection="1"/>
    <xf numFmtId="0" fontId="5" fillId="0" borderId="10" xfId="0" applyFont="1" applyBorder="1" applyProtection="1">
      <protection locked="0"/>
    </xf>
    <xf numFmtId="0" fontId="1" fillId="0" borderId="7" xfId="0" applyFont="1" applyFill="1" applyBorder="1" applyAlignment="1" applyProtection="1">
      <alignment horizontal="center" vertical="top" wrapText="1"/>
      <protection locked="0"/>
    </xf>
    <xf numFmtId="0" fontId="1" fillId="0" borderId="8" xfId="0" applyFont="1" applyBorder="1" applyAlignment="1" applyProtection="1">
      <alignment horizontal="center" vertical="top" wrapText="1"/>
      <protection locked="0"/>
    </xf>
    <xf numFmtId="0" fontId="1" fillId="0" borderId="8" xfId="0" applyFont="1" applyFill="1" applyBorder="1" applyAlignment="1" applyProtection="1">
      <alignment horizontal="center" vertical="top" wrapText="1"/>
      <protection locked="0"/>
    </xf>
    <xf numFmtId="0" fontId="6" fillId="0" borderId="9" xfId="0" applyFont="1" applyBorder="1" applyAlignment="1" applyProtection="1">
      <alignment horizontal="center" wrapText="1"/>
      <protection locked="0"/>
    </xf>
    <xf numFmtId="0" fontId="3" fillId="0" borderId="0" xfId="0" applyFont="1"/>
    <xf numFmtId="0" fontId="0" fillId="0" borderId="0" xfId="0" applyFont="1"/>
    <xf numFmtId="4" fontId="4" fillId="0" borderId="0" xfId="0" applyNumberFormat="1" applyFont="1" applyProtection="1"/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left"/>
    </xf>
    <xf numFmtId="14" fontId="0" fillId="0" borderId="0" xfId="0" applyNumberFormat="1"/>
    <xf numFmtId="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8" fontId="0" fillId="0" borderId="0" xfId="0" applyNumberFormat="1" applyFont="1"/>
    <xf numFmtId="0" fontId="0" fillId="0" borderId="0" xfId="0" applyFont="1" applyAlignment="1">
      <alignment horizontal="left" vertical="top"/>
    </xf>
    <xf numFmtId="166" fontId="0" fillId="0" borderId="0" xfId="0" applyNumberFormat="1" applyFont="1"/>
    <xf numFmtId="0" fontId="0" fillId="0" borderId="0" xfId="0" applyFont="1" applyAlignment="1">
      <alignment horizontal="center" vertical="top" wrapText="1"/>
    </xf>
    <xf numFmtId="0" fontId="8" fillId="3" borderId="0" xfId="2"/>
    <xf numFmtId="10" fontId="0" fillId="0" borderId="0" xfId="0" applyNumberFormat="1" applyFont="1"/>
    <xf numFmtId="0" fontId="9" fillId="0" borderId="0" xfId="0" applyFont="1"/>
    <xf numFmtId="8" fontId="0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right"/>
    </xf>
    <xf numFmtId="4" fontId="0" fillId="4" borderId="13" xfId="0" applyNumberFormat="1" applyFont="1" applyFill="1" applyBorder="1"/>
    <xf numFmtId="4" fontId="9" fillId="0" borderId="14" xfId="0" applyNumberFormat="1" applyFont="1" applyBorder="1"/>
    <xf numFmtId="166" fontId="0" fillId="0" borderId="12" xfId="0" applyNumberFormat="1" applyFont="1" applyBorder="1"/>
    <xf numFmtId="0" fontId="7" fillId="0" borderId="0" xfId="0" applyFont="1" applyAlignment="1">
      <alignment horizontal="left"/>
    </xf>
    <xf numFmtId="4" fontId="0" fillId="0" borderId="0" xfId="0" applyNumberFormat="1" applyFont="1" applyAlignment="1">
      <alignment horizontal="center" vertical="top" wrapText="1"/>
    </xf>
    <xf numFmtId="4" fontId="9" fillId="0" borderId="0" xfId="0" applyNumberFormat="1" applyFont="1" applyBorder="1"/>
    <xf numFmtId="0" fontId="5" fillId="0" borderId="3" xfId="0" applyFont="1" applyBorder="1" applyProtection="1">
      <protection locked="0"/>
    </xf>
    <xf numFmtId="0" fontId="5" fillId="0" borderId="5" xfId="0" applyFont="1" applyBorder="1" applyProtection="1">
      <protection locked="0"/>
    </xf>
    <xf numFmtId="4" fontId="4" fillId="4" borderId="12" xfId="0" applyNumberFormat="1" applyFont="1" applyFill="1" applyBorder="1"/>
    <xf numFmtId="166" fontId="4" fillId="0" borderId="0" xfId="0" applyNumberFormat="1" applyFont="1" applyProtection="1"/>
    <xf numFmtId="166" fontId="8" fillId="3" borderId="0" xfId="2" applyNumberFormat="1"/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6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 vertical="top"/>
    </xf>
    <xf numFmtId="166" fontId="0" fillId="4" borderId="12" xfId="0" applyNumberFormat="1" applyFont="1" applyFill="1" applyBorder="1"/>
    <xf numFmtId="0" fontId="8" fillId="5" borderId="0" xfId="0" applyFont="1" applyFill="1"/>
    <xf numFmtId="166" fontId="0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right"/>
    </xf>
    <xf numFmtId="0" fontId="1" fillId="2" borderId="1" xfId="1" applyAlignment="1">
      <alignment horizontal="center"/>
    </xf>
    <xf numFmtId="0" fontId="1" fillId="2" borderId="11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15" xfId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17" xfId="1" applyBorder="1" applyAlignment="1">
      <alignment horizontal="center"/>
    </xf>
    <xf numFmtId="0" fontId="0" fillId="4" borderId="12" xfId="0" applyFont="1" applyFill="1" applyBorder="1"/>
    <xf numFmtId="0" fontId="0" fillId="0" borderId="12" xfId="0" applyFont="1" applyBorder="1"/>
    <xf numFmtId="165" fontId="0" fillId="4" borderId="18" xfId="0" applyNumberFormat="1" applyFont="1" applyFill="1" applyBorder="1"/>
    <xf numFmtId="165" fontId="0" fillId="0" borderId="18" xfId="0" applyNumberFormat="1" applyFont="1" applyBorder="1"/>
    <xf numFmtId="165" fontId="0" fillId="4" borderId="12" xfId="0" applyNumberFormat="1" applyFont="1" applyFill="1" applyBorder="1"/>
    <xf numFmtId="165" fontId="0" fillId="0" borderId="12" xfId="0" applyNumberFormat="1" applyFont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 applyAlignment="1">
      <alignment horizontal="center"/>
    </xf>
  </cellXfs>
  <cellStyles count="47">
    <cellStyle name="20% - Accent1 2" xfId="4" xr:uid="{00000000-0005-0000-0000-000031000000}"/>
    <cellStyle name="20% - Accent2 2" xfId="5" xr:uid="{00000000-0005-0000-0000-000032000000}"/>
    <cellStyle name="20% - Accent3 2" xfId="6" xr:uid="{00000000-0005-0000-0000-000033000000}"/>
    <cellStyle name="20% - Accent4 2" xfId="7" xr:uid="{00000000-0005-0000-0000-000034000000}"/>
    <cellStyle name="20% - Accent5 2" xfId="8" xr:uid="{00000000-0005-0000-0000-000035000000}"/>
    <cellStyle name="20% - Accent6 2" xfId="9" xr:uid="{00000000-0005-0000-0000-000036000000}"/>
    <cellStyle name="40% - Accent1 2" xfId="10" xr:uid="{00000000-0005-0000-0000-000037000000}"/>
    <cellStyle name="40% - Accent2 2" xfId="11" xr:uid="{00000000-0005-0000-0000-000038000000}"/>
    <cellStyle name="40% - Accent3 2" xfId="12" xr:uid="{00000000-0005-0000-0000-000039000000}"/>
    <cellStyle name="40% - Accent4 2" xfId="13" xr:uid="{00000000-0005-0000-0000-00003A000000}"/>
    <cellStyle name="40% - Accent5 2" xfId="14" xr:uid="{00000000-0005-0000-0000-00003B000000}"/>
    <cellStyle name="40% - Accent6 2" xfId="15" xr:uid="{00000000-0005-0000-0000-00003C000000}"/>
    <cellStyle name="60% - Accent1 2" xfId="16" xr:uid="{00000000-0005-0000-0000-00003D000000}"/>
    <cellStyle name="60% - Accent2 2" xfId="17" xr:uid="{00000000-0005-0000-0000-00003E000000}"/>
    <cellStyle name="60% - Accent3 2" xfId="18" xr:uid="{00000000-0005-0000-0000-00003F000000}"/>
    <cellStyle name="60% - Accent4 2" xfId="19" xr:uid="{00000000-0005-0000-0000-000040000000}"/>
    <cellStyle name="60% - Accent5 2" xfId="20" xr:uid="{00000000-0005-0000-0000-000041000000}"/>
    <cellStyle name="60% - Accent6 2" xfId="21" xr:uid="{00000000-0005-0000-0000-000042000000}"/>
    <cellStyle name="Accent1 2" xfId="22" xr:uid="{00000000-0005-0000-0000-000043000000}"/>
    <cellStyle name="Accent2 2" xfId="23" xr:uid="{00000000-0005-0000-0000-000044000000}"/>
    <cellStyle name="Accent3 2" xfId="24" xr:uid="{00000000-0005-0000-0000-000045000000}"/>
    <cellStyle name="Accent4 2" xfId="25" xr:uid="{00000000-0005-0000-0000-000046000000}"/>
    <cellStyle name="Accent5 2" xfId="26" xr:uid="{00000000-0005-0000-0000-000047000000}"/>
    <cellStyle name="Accent6 2" xfId="27" xr:uid="{00000000-0005-0000-0000-000048000000}"/>
    <cellStyle name="Bad" xfId="2" builtinId="27"/>
    <cellStyle name="Bad 2" xfId="28" xr:uid="{00000000-0005-0000-0000-000049000000}"/>
    <cellStyle name="Calculation 2" xfId="29" xr:uid="{00000000-0005-0000-0000-00004A000000}"/>
    <cellStyle name="Check Cell" xfId="1" builtinId="23"/>
    <cellStyle name="Check Cell 2" xfId="30" xr:uid="{00000000-0005-0000-0000-00004B000000}"/>
    <cellStyle name="Comma 2" xfId="46" xr:uid="{00000000-0005-0000-0000-00004C000000}"/>
    <cellStyle name="Explanatory Text 2" xfId="31" xr:uid="{00000000-0005-0000-0000-00004D000000}"/>
    <cellStyle name="Good 2" xfId="32" xr:uid="{00000000-0005-0000-0000-00004E000000}"/>
    <cellStyle name="Heading 1 2" xfId="33" xr:uid="{00000000-0005-0000-0000-00004F000000}"/>
    <cellStyle name="Heading 2 2" xfId="34" xr:uid="{00000000-0005-0000-0000-000050000000}"/>
    <cellStyle name="Heading 3 2" xfId="35" xr:uid="{00000000-0005-0000-0000-000051000000}"/>
    <cellStyle name="Heading 4 2" xfId="36" xr:uid="{00000000-0005-0000-0000-000052000000}"/>
    <cellStyle name="Input 2" xfId="37" xr:uid="{00000000-0005-0000-0000-000053000000}"/>
    <cellStyle name="Linked Cell 2" xfId="38" xr:uid="{00000000-0005-0000-0000-000054000000}"/>
    <cellStyle name="Neutral 2" xfId="39" xr:uid="{00000000-0005-0000-0000-000055000000}"/>
    <cellStyle name="Normal" xfId="0" builtinId="0"/>
    <cellStyle name="Normal 2" xfId="3" xr:uid="{00000000-0005-0000-0000-000056000000}"/>
    <cellStyle name="Note 2" xfId="40" xr:uid="{00000000-0005-0000-0000-000057000000}"/>
    <cellStyle name="Output 2" xfId="41" xr:uid="{00000000-0005-0000-0000-000058000000}"/>
    <cellStyle name="Title 2" xfId="42" xr:uid="{00000000-0005-0000-0000-000059000000}"/>
    <cellStyle name="Total 2" xfId="43" xr:uid="{00000000-0005-0000-0000-00005A000000}"/>
    <cellStyle name="Warning Text 2" xfId="44" xr:uid="{00000000-0005-0000-0000-00005B000000}"/>
    <cellStyle name="一般_Detail_0108" xfId="45" xr:uid="{00000000-0005-0000-0000-00006B000000}"/>
  </cellStyles>
  <dxfs count="615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layout>
        <c:manualLayout>
          <c:xMode val="edge"/>
          <c:yMode val="edge"/>
          <c:x val="7.3381889763779531E-2"/>
          <c:y val="7.6819176873544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'Expense By FundCategory'!$D$4:$D$33</c15:sqref>
                  </c15:fullRef>
                </c:ext>
              </c:extLst>
              <c:f>('Expense By FundCategory'!$D$4,'Expense By FundCategory'!$D$22,'Expense By FundCategory'!$D$27,'Expense By FundCategory'!$D$33)</c:f>
              <c:strCache>
                <c:ptCount val="4"/>
                <c:pt idx="0">
                  <c:v>Building</c:v>
                </c:pt>
                <c:pt idx="1">
                  <c:v>General Fund Total </c:v>
                </c:pt>
                <c:pt idx="2">
                  <c:v>Mission Fund</c:v>
                </c:pt>
                <c:pt idx="3">
                  <c:v>Outreach Fund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'Expense By FundCategory'!$E$4:$E$33</c15:sqref>
                  </c15:fullRef>
                </c:ext>
              </c:extLst>
              <c:f>('Expense By FundCategory'!$E$4,'Expense By FundCategory'!$E$22,'Expense By FundCategory'!$E$27,'Expense By FundCategory'!$E$33)</c:f>
              <c:numCache>
                <c:formatCode>General</c:formatCode>
                <c:ptCount val="4"/>
                <c:pt idx="0">
                  <c:v>250</c:v>
                </c:pt>
                <c:pt idx="1">
                  <c:v>27013.249999999996</c:v>
                </c:pt>
                <c:pt idx="2">
                  <c:v>5310</c:v>
                </c:pt>
                <c:pt idx="3">
                  <c:v>4950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61EE-49F1-B673-7CB72C6B0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'Expense By FundCategory'!$T$19:$T$93</c15:sqref>
                  </c15:fullRef>
                </c:ext>
              </c:extLst>
              <c:f>('Expense By FundCategory'!$T$19,'Expense By FundCategory'!$T$21,'Expense By FundCategory'!$T$88,'Expense By FundCategory'!$T$93)</c:f>
              <c:strCache>
                <c:ptCount val="4"/>
                <c:pt idx="0">
                  <c:v>Building</c:v>
                </c:pt>
                <c:pt idx="1">
                  <c:v>English</c:v>
                </c:pt>
                <c:pt idx="2">
                  <c:v>General</c:v>
                </c:pt>
                <c:pt idx="3">
                  <c:v>Mission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'Expense By FundCategory'!$U$19:$U$93</c15:sqref>
                  </c15:fullRef>
                </c:ext>
              </c:extLst>
              <c:f>('Expense By FundCategory'!$U$19,'Expense By FundCategory'!$U$21,'Expense By FundCategory'!$U$88,'Expense By FundCategory'!$U$93)</c:f>
              <c:numCache>
                <c:formatCode>General</c:formatCode>
                <c:ptCount val="4"/>
                <c:pt idx="0" formatCode="&quot;$&quot;#,##0.00">
                  <c:v>12538</c:v>
                </c:pt>
                <c:pt idx="1" formatCode="&quot;$&quot;#,##0.00">
                  <c:v>600</c:v>
                </c:pt>
                <c:pt idx="2" formatCode="&quot;$&quot;#,##0.00">
                  <c:v>18903.41</c:v>
                </c:pt>
                <c:pt idx="3" formatCode="&quot;$&quot;#,##0.00">
                  <c:v>16120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DA0D-4BC6-950F-7D664F32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Changes'!$B$3</c:f>
              <c:strCache>
                <c:ptCount val="1"/>
                <c:pt idx="0">
                  <c:v>General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Changes'!$A$4:$A$9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 (as of 09-03)</c:v>
                </c:pt>
              </c:strCache>
            </c:strRef>
          </c:cat>
          <c:val>
            <c:numRef>
              <c:f>'Yearly Changes'!$B$4:$B$9</c:f>
              <c:numCache>
                <c:formatCode>"$"#,##0.00</c:formatCode>
                <c:ptCount val="6"/>
                <c:pt idx="0">
                  <c:v>122871.93259999997</c:v>
                </c:pt>
                <c:pt idx="1">
                  <c:v>65606.892599999992</c:v>
                </c:pt>
                <c:pt idx="2">
                  <c:v>45726.802600000003</c:v>
                </c:pt>
                <c:pt idx="3">
                  <c:v>26420.58</c:v>
                </c:pt>
                <c:pt idx="4">
                  <c:v>49674.559999999998</c:v>
                </c:pt>
                <c:pt idx="5">
                  <c:v>61751.580000000024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0-4DC9-9C16-451F88259A81}"/>
            </c:ext>
          </c:extLst>
        </c:ser>
        <c:ser>
          <c:idx val="1"/>
          <c:order val="1"/>
          <c:tx>
            <c:strRef>
              <c:f>'Yearly Changes'!$C$3</c:f>
              <c:strCache>
                <c:ptCount val="1"/>
                <c:pt idx="0">
                  <c:v>Building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Changes'!$A$4:$A$9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 (as of 09-03)</c:v>
                </c:pt>
              </c:strCache>
            </c:strRef>
          </c:cat>
          <c:val>
            <c:numRef>
              <c:f>'Yearly Changes'!$C$4:$C$9</c:f>
              <c:numCache>
                <c:formatCode>"$"#,##0.00</c:formatCode>
                <c:ptCount val="6"/>
                <c:pt idx="0">
                  <c:v>314844.14000000007</c:v>
                </c:pt>
                <c:pt idx="1">
                  <c:v>369415.90000000008</c:v>
                </c:pt>
                <c:pt idx="2">
                  <c:v>429221.01000000007</c:v>
                </c:pt>
                <c:pt idx="3">
                  <c:v>441614.35</c:v>
                </c:pt>
                <c:pt idx="4">
                  <c:v>429605.98</c:v>
                </c:pt>
                <c:pt idx="5">
                  <c:v>417317.98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0-4DC9-9C16-451F88259A81}"/>
            </c:ext>
          </c:extLst>
        </c:ser>
        <c:ser>
          <c:idx val="2"/>
          <c:order val="2"/>
          <c:tx>
            <c:strRef>
              <c:f>'Yearly Changes'!$D$3</c:f>
              <c:strCache>
                <c:ptCount val="1"/>
                <c:pt idx="0">
                  <c:v>Mission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'Yearly Changes'!$A$4:$A$9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 (as of 09-03)</c:v>
                </c:pt>
              </c:strCache>
            </c:strRef>
          </c:cat>
          <c:val>
            <c:numRef>
              <c:f>'Yearly Changes'!$D$4:$D$9</c:f>
              <c:numCache>
                <c:formatCode>"$"#,##0.00</c:formatCode>
                <c:ptCount val="6"/>
                <c:pt idx="0">
                  <c:v>13747.400000000009</c:v>
                </c:pt>
                <c:pt idx="1">
                  <c:v>17963.780000000002</c:v>
                </c:pt>
                <c:pt idx="2">
                  <c:v>18479.45</c:v>
                </c:pt>
                <c:pt idx="3">
                  <c:v>32133.45</c:v>
                </c:pt>
                <c:pt idx="4">
                  <c:v>36065.040000000001</c:v>
                </c:pt>
                <c:pt idx="5">
                  <c:v>25255.040000000001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0-4DC9-9C16-451F88259A81}"/>
            </c:ext>
          </c:extLst>
        </c:ser>
        <c:ser>
          <c:idx val="3"/>
          <c:order val="3"/>
          <c:tx>
            <c:strRef>
              <c:f>'Yearly Changes'!$E$3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'Yearly Changes'!$A$4:$A$9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 (as of 09-03)</c:v>
                </c:pt>
              </c:strCache>
            </c:strRef>
          </c:cat>
          <c:val>
            <c:numRef>
              <c:f>'Yearly Changes'!$E$4:$E$9</c:f>
              <c:numCache>
                <c:formatCode>"$"#,##0.00</c:formatCode>
                <c:ptCount val="6"/>
                <c:pt idx="0">
                  <c:v>39713.79</c:v>
                </c:pt>
                <c:pt idx="1">
                  <c:v>37713.79</c:v>
                </c:pt>
                <c:pt idx="2">
                  <c:v>35463.79</c:v>
                </c:pt>
                <c:pt idx="3">
                  <c:v>30913.79</c:v>
                </c:pt>
                <c:pt idx="4">
                  <c:v>27613.79</c:v>
                </c:pt>
                <c:pt idx="5">
                  <c:v>27013.79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0-4DC9-9C16-451F88259A81}"/>
            </c:ext>
          </c:extLst>
        </c:ser>
        <c:ser>
          <c:idx val="4"/>
          <c:order val="4"/>
          <c:tx>
            <c:strRef>
              <c:f>'Yearly Changes'!$F$3</c:f>
              <c:strCache>
                <c:ptCount val="1"/>
                <c:pt idx="0">
                  <c:v>Loving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'Yearly Changes'!$A$4:$A$9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 (as of 09-03)</c:v>
                </c:pt>
              </c:strCache>
            </c:strRef>
          </c:cat>
          <c:val>
            <c:numRef>
              <c:f>'Yearly Changes'!$F$4:$F$9</c:f>
              <c:numCache>
                <c:formatCode>"$"#,##0.00</c:formatCode>
                <c:ptCount val="6"/>
                <c:pt idx="0">
                  <c:v>6044.86</c:v>
                </c:pt>
                <c:pt idx="1">
                  <c:v>5444.86</c:v>
                </c:pt>
                <c:pt idx="2">
                  <c:v>4564.8599999999997</c:v>
                </c:pt>
                <c:pt idx="3">
                  <c:v>4456.7700000000004</c:v>
                </c:pt>
                <c:pt idx="4">
                  <c:v>4456.7700000000004</c:v>
                </c:pt>
                <c:pt idx="5">
                  <c:v>4456.7700000000004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20-4DC9-9C16-451F88259A81}"/>
            </c:ext>
          </c:extLst>
        </c:ser>
        <c:ser>
          <c:idx val="5"/>
          <c:order val="5"/>
          <c:tx>
            <c:strRef>
              <c:f>'Yearly Changes'!$G$3</c:f>
              <c:strCache>
                <c:ptCount val="1"/>
                <c:pt idx="0">
                  <c:v>Outreach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'Yearly Changes'!$A$4:$A$9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 (as of 09-03)</c:v>
                </c:pt>
              </c:strCache>
            </c:strRef>
          </c:cat>
          <c:val>
            <c:numRef>
              <c:f>'Yearly Changes'!$G$4:$G$9</c:f>
              <c:numCache>
                <c:formatCode>"$"#,##0.00</c:formatCode>
                <c:ptCount val="6"/>
                <c:pt idx="5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20-4DC9-9C16-451F88259A81}"/>
            </c:ext>
          </c:extLst>
        </c:ser>
        <c:ser>
          <c:idx val="6"/>
          <c:order val="6"/>
          <c:tx>
            <c:strRef>
              <c:f>'Yearly Changes'!$H$3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'Yearly Changes'!$A$4:$A$9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 (as of 09-03)</c:v>
                </c:pt>
              </c:strCache>
            </c:strRef>
          </c:cat>
          <c:val>
            <c:numRef>
              <c:f>'Yearly Changes'!$H$4:$H$9</c:f>
              <c:numCache>
                <c:formatCode>"$"#,##0.00</c:formatCode>
                <c:ptCount val="6"/>
                <c:pt idx="0">
                  <c:v>497222.12260000006</c:v>
                </c:pt>
                <c:pt idx="1">
                  <c:v>496145.22260000004</c:v>
                </c:pt>
                <c:pt idx="2">
                  <c:v>533455.91260000004</c:v>
                </c:pt>
                <c:pt idx="3">
                  <c:v>535538.94000000006</c:v>
                </c:pt>
                <c:pt idx="4">
                  <c:v>547416.14</c:v>
                </c:pt>
                <c:pt idx="5">
                  <c:v>540745.16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20-4DC9-9C16-451F8825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53967"/>
        <c:axId val="1089212735"/>
      </c:lineChart>
      <c:catAx>
        <c:axId val="7211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2735"/>
        <c:crosses val="autoZero"/>
        <c:auto val="1"/>
        <c:lblAlgn val="ctr"/>
        <c:lblOffset val="100"/>
        <c:noMultiLvlLbl val="0"/>
      </c:catAx>
      <c:valAx>
        <c:axId val="10892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52341088472402"/>
          <c:y val="0.81469555399997973"/>
          <c:w val="0.76194006738430642"/>
          <c:h val="0.16321720138378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0</xdr:row>
      <xdr:rowOff>77152</xdr:rowOff>
    </xdr:from>
    <xdr:to>
      <xdr:col>9</xdr:col>
      <xdr:colOff>304799</xdr:colOff>
      <xdr:row>0</xdr:row>
      <xdr:rowOff>3981449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BFDA9-47B0-400F-AF39-5BA9C599C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494347</xdr:colOff>
      <xdr:row>0</xdr:row>
      <xdr:rowOff>75246</xdr:rowOff>
    </xdr:from>
    <xdr:to>
      <xdr:col>15</xdr:col>
      <xdr:colOff>1028700</xdr:colOff>
      <xdr:row>0</xdr:row>
      <xdr:rowOff>3714749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76C9E-A2A3-439A-9D42-01D8B681E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8</xdr:col>
      <xdr:colOff>7620</xdr:colOff>
      <xdr:row>0</xdr:row>
      <xdr:rowOff>3512820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96F5F-FF4C-42DB-B1A2-0E4938B79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EC0C7-EBA1-40DF-9EF5-FCD7A16F9B56}" name="ExpenseCategory" displayName="ExpenseCategory" ref="A1:E66" totalsRowShown="0" headerRowDxfId="614" headerRowBorderDxfId="613" tableBorderDxfId="612" totalsRowBorderDxfId="611">
  <autoFilter ref="A1:E66" xr:uid="{BFF1C269-4C01-4ADE-AA1B-BE8BCC8FF9A6}"/>
  <sortState ref="A2:E66">
    <sortCondition ref="C1:C66"/>
  </sortState>
  <tableColumns count="5">
    <tableColumn id="6" xr3:uid="{BBC76153-843E-46C4-829D-C6464D6A83E2}" name="Expense Code" dataDxfId="610"/>
    <tableColumn id="1" xr3:uid="{F503BBD3-6A7D-44A0-BF87-094586C043E4}" name="Expense Catetory" dataDxfId="609"/>
    <tableColumn id="2" xr3:uid="{64A535F3-2380-40CB-9C9E-1DC970DABF36}" name="Display List" dataDxfId="608">
      <calculatedColumnFormula>CONCATENATE(E2, "-", A2, "-", B2, "-", D2)</calculatedColumnFormula>
    </tableColumn>
    <tableColumn id="4" xr3:uid="{055873D4-3AA9-4626-8ADF-B395C1138873}" name="Expense Description" dataDxfId="607"/>
    <tableColumn id="5" xr3:uid="{40381CA0-10CB-4184-935F-5C71A8F10A24}" name="Fund Category" dataDxfId="606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1793B47-8673-491C-B3F1-F1FC7803A8E9}" name="BankAccounts02" displayName="BankAccounts02" ref="A16:F24" totalsRowCount="1" headerRowDxfId="534" dataDxfId="533">
  <autoFilter ref="A16:F23" xr:uid="{D1ECC707-23D5-4417-9A75-E5D975C58AE4}"/>
  <tableColumns count="6">
    <tableColumn id="1" xr3:uid="{9DA4292A-164C-43B6-BA57-7F215001829F}" name="Bank Accounts" dataDxfId="532" totalsRowDxfId="531"/>
    <tableColumn id="2" xr3:uid="{70B82378-351E-4978-AA5A-5934504762BD}" name="Initial Balance (Auto Calculated)" totalsRowFunction="custom" dataDxfId="530" totalsRowDxfId="529">
      <calculatedColumnFormula xml:space="preserve"> VLOOKUP(A17, JanBankAccounts[], 6, FALSE)</calculatedColumnFormula>
      <totalsRowFormula xml:space="preserve"> SUM(B17:B21) + B22 - B23</totalsRowFormula>
    </tableColumn>
    <tableColumn id="3" xr3:uid="{EA538E21-AF9D-49FD-BC6B-63ADA75E1627}" name="Initial Balance" totalsRowFunction="custom" dataDxfId="528" totalsRowDxfId="527">
      <totalsRowFormula xml:space="preserve"> SUM(InitialOutstandingPayments02[Amount])</totalsRowFormula>
    </tableColumn>
    <tableColumn id="4" xr3:uid="{901CA313-A29F-46B6-8222-742C50FD4506}" name="Deposit/Interest" dataDxfId="526" totalsRowDxfId="525">
      <calculatedColumnFormula>SUMIF(Offering02[Category], "*",Offering02[Amount])</calculatedColumnFormula>
    </tableColumn>
    <tableColumn id="5" xr3:uid="{25367E26-DB5E-4B48-871B-A1E9411A5148}" name="Withdraw" dataDxfId="524" totalsRowDxfId="523">
      <calculatedColumnFormula>SUMIF(Expenses02[Paid/Cashed ?], "Y",Expenses02[Amount]) + SUMIF(InitialOutstandingPayments02[Paid ?], "Y",InitialOutstandingPayments02[Amount])</calculatedColumnFormula>
    </tableColumn>
    <tableColumn id="6" xr3:uid="{A66E2C20-1C4D-4632-96C5-08D51CDA5818}" name="End of Month Amount" totalsRowFunction="custom" dataDxfId="522" totalsRowDxfId="521">
      <calculatedColumnFormula xml:space="preserve"> BankAccounts02[[#This Row],[Initial Balance]] + BankAccounts02[[#This Row],[Deposit/Interest]] - BankAccounts02[[#This Row],[Withdraw]]</calculatedColumnFormula>
      <totalsRowFormula xml:space="preserve"> SUM(F17:F21) + F22 - F23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394170-A7E5-4D61-A0DC-D827337DABF6}" name="Expenses02" displayName="Expenses02" ref="A38:F48" totalsRowShown="0" headerRowDxfId="520" dataDxfId="519">
  <autoFilter ref="A38:F48" xr:uid="{9F75CD62-B83E-4011-B059-8A526A65B729}"/>
  <tableColumns count="6">
    <tableColumn id="1" xr3:uid="{1A9AB783-D968-49C6-9848-BB99072E6EB4}" name="Date" dataDxfId="518"/>
    <tableColumn id="2" xr3:uid="{7C156AF9-3B58-40B7-9C15-9F40936D6752}" name="Description" dataDxfId="517"/>
    <tableColumn id="3" xr3:uid="{7CD526A9-9E89-4217-A415-26AC33D71DA9}" name="Category" dataDxfId="516"/>
    <tableColumn id="7" xr3:uid="{18242A62-D925-4DDC-9E2C-6B4FC1CACAD5}" name="Column1" dataDxfId="515"/>
    <tableColumn id="4" xr3:uid="{6DE501F2-4300-4159-8EF1-DA7BEC07EE22}" name="Amount" dataDxfId="514"/>
    <tableColumn id="6" xr3:uid="{B832507C-829F-4518-A2FC-E049850A3228}" name="Paid/Cashed ?" dataCellStyle="Ba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3C2558-AA9A-4E26-9428-F40650D11EFA}" name="Offering02" displayName="Offering02" ref="A51:E54" totalsRowShown="0" headerRowDxfId="513" dataDxfId="512">
  <autoFilter ref="A51:E54" xr:uid="{D2CF5E13-C8CF-400A-B637-0F5922CB0791}"/>
  <tableColumns count="5">
    <tableColumn id="1" xr3:uid="{E72E796F-2C4B-4140-909E-4CCE9D361DB5}" name="Date" dataDxfId="511"/>
    <tableColumn id="2" xr3:uid="{F7DF0705-C71B-4C2D-913B-D2F5B0506E85}" name="Category" dataDxfId="510"/>
    <tableColumn id="3" xr3:uid="{8BA9367E-75F1-4342-A1C5-9218DD148D1F}" name="Amount" dataDxfId="509"/>
    <tableColumn id="5" xr3:uid="{D22A5CCC-6C97-4910-BBA5-F6D21D4E33C2}" name="Bank Account" dataDxfId="508"/>
    <tableColumn id="4" xr3:uid="{76FD4A60-6187-450F-B8DE-D4F2C1A375D4}" name="Deposit ?" dataDxfId="50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A13AF8-1B73-4A76-9FD0-81E7BF619422}" name="InitialOutstandingPayments02" displayName="InitialOutstandingPayments02" ref="A27:C35" totalsRowShown="0" headerRowDxfId="506" dataDxfId="505">
  <autoFilter ref="A27:C35" xr:uid="{186668D2-E4AF-481E-B043-4C6273C2FA6B}"/>
  <tableColumns count="3">
    <tableColumn id="1" xr3:uid="{5D18A3C9-68C7-41DB-B1B9-840B6F6D710D}" name="Checks/Description" dataDxfId="504"/>
    <tableColumn id="2" xr3:uid="{45ED787E-525C-49B3-9AD5-69D581C8FFB2}" name="Amount" dataDxfId="503"/>
    <tableColumn id="3" xr3:uid="{40D20BAC-E694-4A0F-B3D7-BE01FC6E5455}" name="Paid ?" dataCellStyle="Ba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E903E7-431A-45CE-80BB-9516C9D68B02}" name="InitialIncomeToDeposit02" displayName="InitialIncomeToDeposit02" ref="E27:G30" totalsRowShown="0">
  <autoFilter ref="E27:G30" xr:uid="{1CA9841F-E247-4375-83BC-4A5433A44B3A}"/>
  <tableColumns count="3">
    <tableColumn id="1" xr3:uid="{4630CE9B-CED0-4D07-9E2B-4399E5874176}" name="Description" dataDxfId="502"/>
    <tableColumn id="2" xr3:uid="{915F47A7-1158-4DB3-9989-D2109325E41C}" name="Amount" dataDxfId="501"/>
    <tableColumn id="3" xr3:uid="{047D499A-73E1-4CBA-9099-97F4B2EACFB6}" name="Deposit ?" dataDxfId="5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8B923AB-46CF-4C24-9693-75C39EEC695E}" name="Table916" displayName="Table916" ref="I18:M21" totalsRowShown="0" headerRowDxfId="499" dataDxfId="498">
  <autoFilter ref="I18:M21" xr:uid="{1C509EE9-5D71-41DA-B295-D25BA1E66C93}"/>
  <tableColumns count="5">
    <tableColumn id="1" xr3:uid="{BD136816-89F1-48C4-A720-0E7BAE0B45CC}" name="CD" dataDxfId="497"/>
    <tableColumn id="2" xr3:uid="{993BB8E9-B507-4065-AEDE-3B33DA1D3631}" name="APY" dataDxfId="496"/>
    <tableColumn id="3" xr3:uid="{2BE884AE-B5B0-448B-BD27-17B75CA97829}" name="Interest YTD as of 7/28"/>
    <tableColumn id="4" xr3:uid="{34374808-5D2A-44E4-96A6-697FBAA32172}" name="Amount as of 7/28" dataDxfId="495"/>
    <tableColumn id="5" xr3:uid="{10DC4C46-1555-4D9C-86E3-299733470712}" name="Marturity Date" dataDxfId="49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40B6D6-7BF1-4283-AFFC-3ADC9E77E752}" name="Funds03" displayName="Funds03" ref="A4:F13" totalsRowCount="1" headerRowDxfId="493" dataDxfId="492">
  <autoFilter ref="A4:F12" xr:uid="{90FA95AC-1583-4D98-8CFB-FA00A79B05F1}"/>
  <tableColumns count="6">
    <tableColumn id="1" xr3:uid="{D9DC6E10-3147-446F-9858-D89CD2289EF4}" name="Assets/Funds" dataDxfId="491" totalsRowDxfId="490"/>
    <tableColumn id="5" xr3:uid="{FCE2A134-32E0-4AA2-A22C-F060138E02B7}" name="Initial Amount (Auto Calculated)" totalsRowFunction="custom" dataDxfId="489" totalsRowDxfId="488">
      <totalsRowFormula xml:space="preserve"> SUM(Funds03[Initial Amount (Auto Calculated)])</totalsRowFormula>
    </tableColumn>
    <tableColumn id="2" xr3:uid="{F6CB8A1D-9AF5-41CB-B538-14C4856EF101}" name="Initial Amount" totalsRowFunction="custom" dataDxfId="487" totalsRowDxfId="486">
      <totalsRowFormula xml:space="preserve"> SUM(Funds03[Initial Amount])</totalsRowFormula>
    </tableColumn>
    <tableColumn id="6" xr3:uid="{9E2AAFDC-32ED-4357-AD3D-3657B03FE85F}" name="Income" dataDxfId="485" totalsRowDxfId="484">
      <calculatedColumnFormula>SUMIF(Offering03[Category], "G*",Offering03[Amount])</calculatedColumnFormula>
    </tableColumn>
    <tableColumn id="3" xr3:uid="{A7A604BC-5A0B-4DC8-B222-A497575AAC1F}" name="Expense" totalsRowFunction="custom" dataDxfId="483" totalsRowDxfId="482">
      <totalsRowFormula xml:space="preserve"> SUM(Funds03[Expense])</totalsRowFormula>
    </tableColumn>
    <tableColumn id="4" xr3:uid="{01638C68-BF7B-49FB-B24E-AF1CC83317CE}" name="End of Month Amount" totalsRowFunction="custom" dataDxfId="481" totalsRowDxfId="480">
      <calculatedColumnFormula xml:space="preserve"> Funds03[[#This Row],[Initial Amount]] + Funds03[[#This Row],[Income]] - Funds03[[#This Row],[Expense]]</calculatedColumnFormula>
      <totalsRowFormula xml:space="preserve"> SUM(Funds03[End of Month Amount])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FC8674-401B-4763-B70D-F058B88672C1}" name="BankAccounts03" displayName="BankAccounts03" ref="A16:F24" totalsRowCount="1" headerRowDxfId="479" dataDxfId="478">
  <autoFilter ref="A16:F23" xr:uid="{D1ECC707-23D5-4417-9A75-E5D975C58AE4}"/>
  <tableColumns count="6">
    <tableColumn id="1" xr3:uid="{385EF9BA-B444-4CAF-B76B-D14448EA0479}" name="Bank Accounts" dataDxfId="477" totalsRowDxfId="476"/>
    <tableColumn id="2" xr3:uid="{059B4D83-72A1-455C-9932-C0B5D20BA09E}" name="Initial Balance (Auto Calculated)" totalsRowFunction="custom" dataDxfId="475" totalsRowDxfId="474">
      <calculatedColumnFormula xml:space="preserve"> VLOOKUP(A17, JanBankAccounts[], 6, FALSE)</calculatedColumnFormula>
      <totalsRowFormula xml:space="preserve"> SUM(B17:B21) + B22 - B23</totalsRowFormula>
    </tableColumn>
    <tableColumn id="3" xr3:uid="{D25E9403-02BA-4CA1-B292-ED786DE9CFB9}" name="Initial Balance" totalsRowFunction="custom" dataDxfId="473" totalsRowDxfId="472">
      <totalsRowFormula xml:space="preserve"> SUM(C17:C21) - C23</totalsRowFormula>
    </tableColumn>
    <tableColumn id="4" xr3:uid="{A2D18B46-5E21-4034-9D59-73FF850FA0C8}" name="Deposit/Interest" dataDxfId="471" totalsRowDxfId="470">
      <calculatedColumnFormula>SUMIF(Offering03[Category], "*",Offering03[Amount])</calculatedColumnFormula>
    </tableColumn>
    <tableColumn id="5" xr3:uid="{6EB3BA6E-E622-406E-8A4D-A6630DEC2C34}" name="Withdraw" dataDxfId="469" totalsRowDxfId="468">
      <calculatedColumnFormula>SUMIF(Expenses03[Paid/Cashed ?], "Y",Expenses03[Amount]) + SUMIF(InitialOutstandingPayments03[Paid ?], "Y",InitialOutstandingPayments03[Amount])</calculatedColumnFormula>
    </tableColumn>
    <tableColumn id="6" xr3:uid="{C9ECB024-169F-4E0D-90C3-B7F49C87B53E}" name="End of Month Amount" totalsRowFunction="custom" dataDxfId="467" totalsRowDxfId="466">
      <calculatedColumnFormula xml:space="preserve"> BankAccounts03[[#This Row],[Initial Balance]] + BankAccounts03[[#This Row],[Deposit/Interest]] - BankAccounts03[[#This Row],[Withdraw]]</calculatedColumnFormula>
      <totalsRowFormula xml:space="preserve"> SUM(F17:F21) + F22 - F23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51F834C-873B-4408-93A5-532A5FDDFA64}" name="Expenses03" displayName="Expenses03" ref="A38:F51" totalsRowShown="0" headerRowDxfId="465" dataDxfId="464">
  <autoFilter ref="A38:F51" xr:uid="{9F75CD62-B83E-4011-B059-8A526A65B729}"/>
  <tableColumns count="6">
    <tableColumn id="1" xr3:uid="{A0807B01-7D7D-465A-B121-70C63CA08599}" name="Date" dataDxfId="463"/>
    <tableColumn id="2" xr3:uid="{56BB6AB1-7C63-44B7-9CA3-24EE39279D87}" name="Description" dataDxfId="462"/>
    <tableColumn id="3" xr3:uid="{FDB2024B-2486-481C-AFC8-3E90793BC7EA}" name="Category" dataDxfId="461"/>
    <tableColumn id="7" xr3:uid="{62F022A8-C277-4B7E-9905-42F09012B16C}" name="Check #" dataDxfId="460"/>
    <tableColumn id="4" xr3:uid="{68FB3087-1AA9-496C-AA36-A1C3C81373EB}" name="Amount" dataDxfId="459"/>
    <tableColumn id="6" xr3:uid="{7B6783D6-676F-4EE0-BF03-10B6568F593D}" name="Paid/Cashed ?" dataCellStyle="Bad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253587-0B25-4C69-8EE2-0D5B4F70032A}" name="Offering03" displayName="Offering03" ref="A54:E58" totalsRowShown="0" headerRowDxfId="458" dataDxfId="457">
  <autoFilter ref="A54:E58" xr:uid="{D2CF5E13-C8CF-400A-B637-0F5922CB0791}"/>
  <tableColumns count="5">
    <tableColumn id="1" xr3:uid="{0BF1EB6F-C41A-4EA5-B645-E59C9C29B4A2}" name="Date" dataDxfId="456"/>
    <tableColumn id="2" xr3:uid="{294191BC-E0BC-455A-AB18-D68AAF5F4D66}" name="Category" dataDxfId="455"/>
    <tableColumn id="3" xr3:uid="{FC9916F9-1652-4B05-9183-BC550F156050}" name="Amount" dataDxfId="454"/>
    <tableColumn id="5" xr3:uid="{15CA8F63-C569-4C63-A59F-4A9962340075}" name="Bank Account" dataDxfId="453"/>
    <tableColumn id="4" xr3:uid="{F9DE090B-3739-4D9F-A2D1-BD1814EDFB55}" name="Deposit ?" dataCellStyle="B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6EBDC1-B950-4F74-B3A0-7F3CCAE9EF21}" name="JanFunds" displayName="JanFunds" ref="A4:F13" totalsRowCount="1" headerRowDxfId="605" dataDxfId="604">
  <autoFilter ref="A4:F12" xr:uid="{90FA95AC-1583-4D98-8CFB-FA00A79B05F1}"/>
  <tableColumns count="6">
    <tableColumn id="1" xr3:uid="{D2C8E7BB-F62F-4340-9C2B-275832DA265D}" name="Assets/Funds" dataDxfId="603" totalsRowDxfId="602"/>
    <tableColumn id="5" xr3:uid="{3F6D8189-E1A3-4DB6-A9AA-116C72D4D814}" name="Initial Amount (Auto Calculated)" totalsRowFunction="custom" dataDxfId="601" totalsRowDxfId="600">
      <totalsRowFormula xml:space="preserve"> SUM(JanFunds[Initial Amount (Auto Calculated)])</totalsRowFormula>
    </tableColumn>
    <tableColumn id="2" xr3:uid="{B67FAF5F-3BCC-44E4-9E1F-B8BAEC7B3EB6}" name="Initial Amount" totalsRowFunction="custom" dataDxfId="599" totalsRowDxfId="598">
      <totalsRowFormula xml:space="preserve"> SUM(JanFunds[Initial Amount])</totalsRowFormula>
    </tableColumn>
    <tableColumn id="6" xr3:uid="{B5A6DA3F-5662-4AEB-932A-22B8D7DB73AA}" name="Income" dataDxfId="597" totalsRowDxfId="596">
      <calculatedColumnFormula>SUMIF(JanOffering[Category], "G*",JanOffering[Amount])</calculatedColumnFormula>
    </tableColumn>
    <tableColumn id="3" xr3:uid="{E89090D4-D1F8-41C3-983E-2214737CA81D}" name="Expense" totalsRowFunction="custom" dataDxfId="595" totalsRowDxfId="594">
      <totalsRowFormula xml:space="preserve"> SUM(JanFunds[Expense])</totalsRowFormula>
    </tableColumn>
    <tableColumn id="4" xr3:uid="{BE627801-0172-4803-A919-D63A10384E10}" name="End of Month Amount" totalsRowFunction="custom" dataDxfId="593" totalsRowDxfId="592">
      <calculatedColumnFormula xml:space="preserve"> JanFunds[[#This Row],[Initial Amount]] + JanFunds[[#This Row],[Income]] - JanFunds[[#This Row],[Expense]]</calculatedColumnFormula>
      <totalsRowFormula xml:space="preserve"> SUM(JanFunds[End of Month Amount])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4F69961-B536-4121-89DB-C0F5839FF91D}" name="InitialOutstandingPayments03" displayName="InitialOutstandingPayments03" ref="A27:C35" totalsRowShown="0" headerRowDxfId="452" dataDxfId="451">
  <autoFilter ref="A27:C35" xr:uid="{186668D2-E4AF-481E-B043-4C6273C2FA6B}"/>
  <tableColumns count="3">
    <tableColumn id="1" xr3:uid="{952BC388-FF59-472B-AADB-84A6EF4A6668}" name="Checks/Description" dataDxfId="450"/>
    <tableColumn id="2" xr3:uid="{3709346D-9076-41AC-AF6B-42AF3B2D9D20}" name="Amount" dataDxfId="449"/>
    <tableColumn id="3" xr3:uid="{24E00378-8E7B-46DD-BA91-02B656B60E7C}" name="Paid ?" dataCellStyle="B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0CE253F-6437-43DD-8C57-DC9D6FC14A67}" name="InitialIncomeToDeposit03" displayName="InitialIncomeToDeposit03" ref="E27:G30" totalsRowShown="0">
  <autoFilter ref="E27:G30" xr:uid="{1CA9841F-E247-4375-83BC-4A5433A44B3A}"/>
  <tableColumns count="3">
    <tableColumn id="1" xr3:uid="{8D6E6596-DA8D-4231-953E-1F7864BD7038}" name="Description" dataDxfId="448"/>
    <tableColumn id="2" xr3:uid="{F3D3661E-E455-4E92-B9C8-C9A19A7045CB}" name="Amount" dataDxfId="447"/>
    <tableColumn id="3" xr3:uid="{9092C1C4-8FE1-4F73-A8B8-02ABCC4BEAEC}" name="Deposit ?" dataDxfId="44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D9394B3-E9F5-4303-A974-85B7102F988F}" name="Table91623" displayName="Table91623" ref="I18:M21" totalsRowShown="0" headerRowDxfId="445" dataDxfId="444">
  <autoFilter ref="I18:M21" xr:uid="{1C509EE9-5D71-41DA-B295-D25BA1E66C93}"/>
  <tableColumns count="5">
    <tableColumn id="1" xr3:uid="{43E15FFB-A77D-4840-9E82-CB862A88C400}" name="CD" dataDxfId="443"/>
    <tableColumn id="2" xr3:uid="{BF2BD326-0D34-4503-A1DE-02F973408B9F}" name="APY" dataDxfId="442"/>
    <tableColumn id="3" xr3:uid="{60AF9E38-642A-4380-BFDE-8C4E65AD25F4}" name="Interest YTD as of 7/28"/>
    <tableColumn id="4" xr3:uid="{7022E88C-1BCA-42BB-900C-D4F41FCE8533}" name="Amount as of 7/28" dataDxfId="441"/>
    <tableColumn id="5" xr3:uid="{E08FCC0B-F4C1-4968-8904-1BCE34771CE2}" name="Marturity Date" dataDxfId="44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874E1C1-B9EE-4445-817F-E62448B8BDC6}" name="Funds04" displayName="Funds04" ref="A4:F13" totalsRowCount="1" headerRowDxfId="439" dataDxfId="438">
  <autoFilter ref="A4:F12" xr:uid="{90FA95AC-1583-4D98-8CFB-FA00A79B05F1}"/>
  <tableColumns count="6">
    <tableColumn id="1" xr3:uid="{60992FC8-EEBB-448B-8B25-1A3EB9D98D97}" name="Assets/Funds" dataDxfId="437" totalsRowDxfId="436"/>
    <tableColumn id="5" xr3:uid="{36DB205C-7053-42AE-9908-9C9F6D5B1CB3}" name="Initial Amount (Auto Calculated)" totalsRowFunction="custom" dataDxfId="435" totalsRowDxfId="434">
      <totalsRowFormula xml:space="preserve"> SUM(Funds04[Initial Amount (Auto Calculated)])</totalsRowFormula>
    </tableColumn>
    <tableColumn id="2" xr3:uid="{2350250B-AF2C-4B0B-9270-4E5DACAAFFF5}" name="Initial Amount" totalsRowFunction="custom" dataDxfId="433" totalsRowDxfId="432">
      <totalsRowFormula xml:space="preserve"> SUM(Funds04[Initial Amount])</totalsRowFormula>
    </tableColumn>
    <tableColumn id="6" xr3:uid="{C514675A-8616-4363-B152-E63E936D2CF5}" name="Income" dataDxfId="431" totalsRowDxfId="430">
      <calculatedColumnFormula>SUMIF(Offering04[Category], "G*",Offering04[Amount])</calculatedColumnFormula>
    </tableColumn>
    <tableColumn id="3" xr3:uid="{1EC6B032-2957-41EC-A0DA-23F8D8D2960D}" name="Expense" totalsRowFunction="custom" dataDxfId="429" totalsRowDxfId="428">
      <totalsRowFormula xml:space="preserve"> SUM(Funds04[Expense])</totalsRowFormula>
    </tableColumn>
    <tableColumn id="4" xr3:uid="{C607704A-883E-4C3A-B301-8E365CFCD53E}" name="End of Month Amount" totalsRowFunction="custom" dataDxfId="427" totalsRowDxfId="426">
      <calculatedColumnFormula xml:space="preserve"> Funds04[[#This Row],[Initial Amount]] + Funds04[[#This Row],[Income]] - Funds04[[#This Row],[Expense]]</calculatedColumnFormula>
      <totalsRowFormula xml:space="preserve"> SUM(Funds04[End of Month Amount])</totalsRow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FBA9D6C-6583-47D2-B1A4-A0D31705A72B}" name="BankAccounts04" displayName="BankAccounts04" ref="A16:F24" totalsRowCount="1" headerRowDxfId="425" dataDxfId="424">
  <autoFilter ref="A16:F23" xr:uid="{D1ECC707-23D5-4417-9A75-E5D975C58AE4}"/>
  <tableColumns count="6">
    <tableColumn id="1" xr3:uid="{E27710CA-A3C9-45AF-8713-9EFE161E5D6E}" name="Bank Accounts" dataDxfId="423" totalsRowDxfId="422"/>
    <tableColumn id="2" xr3:uid="{70A0909F-C16A-429D-9CDE-4833CA57BE9E}" name="Initial Balance (Auto Calculated)" totalsRowFunction="custom" dataDxfId="421" totalsRowDxfId="420">
      <calculatedColumnFormula xml:space="preserve"> VLOOKUP(A17, JanBankAccounts[], 6, FALSE)</calculatedColumnFormula>
      <totalsRowFormula xml:space="preserve"> SUM(B17:B21) + B22 - B23</totalsRowFormula>
    </tableColumn>
    <tableColumn id="3" xr3:uid="{6B6ACA04-058C-431D-ACCB-888EC7961DF3}" name="Initial Balance" totalsRowFunction="custom" dataDxfId="419" totalsRowDxfId="418">
      <totalsRowFormula xml:space="preserve"> SUM(C17:C21) - C23</totalsRowFormula>
    </tableColumn>
    <tableColumn id="4" xr3:uid="{83ED9648-4D0B-4F6A-B87E-4190577D032F}" name="Deposit/Interest" dataDxfId="417" totalsRowDxfId="416">
      <calculatedColumnFormula>SUMIF(Offering04[Category], "*",Offering04[Amount])</calculatedColumnFormula>
    </tableColumn>
    <tableColumn id="5" xr3:uid="{3BB13D20-E68D-4564-A5DB-0860A2E3BD83}" name="Withdraw" dataDxfId="415" totalsRowDxfId="414">
      <calculatedColumnFormula>SUMIF(Expenses04[Paid/Cashed ?], "Y",Expenses04[Amount]) + SUMIF(InitialOutstandingPayments04[Paid ?], "Y",InitialOutstandingPayments04[Amount])</calculatedColumnFormula>
    </tableColumn>
    <tableColumn id="6" xr3:uid="{53116917-BA27-4CA7-A2E7-C0DD4D67D466}" name="End of Month Amount" totalsRowFunction="custom" dataDxfId="413" totalsRowDxfId="412">
      <calculatedColumnFormula xml:space="preserve"> BankAccounts04[[#This Row],[Initial Balance]] + BankAccounts04[[#This Row],[Deposit/Interest]] - BankAccounts04[[#This Row],[Withdraw]]</calculatedColumnFormula>
      <totalsRowFormula xml:space="preserve"> SUM(F17:F21) + F22 - F23</totalsRow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07F6CD5-6C4B-4F4C-A2B9-6E29B12DD32E}" name="Expenses04" displayName="Expenses04" ref="A41:F55" totalsRowShown="0" headerRowDxfId="411" dataDxfId="410">
  <autoFilter ref="A41:F55" xr:uid="{9F75CD62-B83E-4011-B059-8A526A65B729}"/>
  <tableColumns count="6">
    <tableColumn id="1" xr3:uid="{CC236C57-F0B3-4DFB-BBBF-C99DF3DD75F5}" name="Date" dataDxfId="409"/>
    <tableColumn id="2" xr3:uid="{7920254F-164B-4611-96F4-95B040297A28}" name="Description" dataDxfId="408"/>
    <tableColumn id="3" xr3:uid="{8E4D9D26-C62F-45C3-93E1-EECA7815AA33}" name="Category" dataDxfId="407"/>
    <tableColumn id="7" xr3:uid="{6CF4F53B-1342-4722-8878-D1EB748BBD52}" name="Check #" dataDxfId="406"/>
    <tableColumn id="4" xr3:uid="{50C62B3D-C613-4C03-8053-EE59A1BC0A62}" name="Amount" dataDxfId="405"/>
    <tableColumn id="6" xr3:uid="{A6E72BB6-34C1-4FAC-94C1-E6AAA55B08E7}" name="Paid/Cashed ?" dataCellStyle="Bad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7BD1AD9-310B-4EE1-86F8-592F02330814}" name="Offering04" displayName="Offering04" ref="A58:E62" totalsRowShown="0" headerRowDxfId="404" dataDxfId="403">
  <autoFilter ref="A58:E62" xr:uid="{D2CF5E13-C8CF-400A-B637-0F5922CB0791}"/>
  <tableColumns count="5">
    <tableColumn id="1" xr3:uid="{46896BC3-1F30-4F06-B7E5-F043589A560F}" name="Date" dataDxfId="402"/>
    <tableColumn id="2" xr3:uid="{8EE8D818-1996-4171-91D1-A2E1F758F316}" name="Category" dataDxfId="401"/>
    <tableColumn id="3" xr3:uid="{8AB69C91-84CF-4D0A-A3D4-2F3651B2A5EF}" name="Amount" dataDxfId="400"/>
    <tableColumn id="5" xr3:uid="{B53CDC21-E3F5-48F1-9A49-7D58C0B5E2C0}" name="Bank Account" dataDxfId="399"/>
    <tableColumn id="4" xr3:uid="{4F72C11A-2CF8-473D-A5D8-8F2087C2F4AB}" name="Deposit ?" dataCellStyle="Bad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8B44BB2-FC98-48E8-A825-EF039E2220A2}" name="InitialOutstandingPayments04" displayName="InitialOutstandingPayments04" ref="A27:C38" totalsRowShown="0" headerRowDxfId="398" dataDxfId="397">
  <autoFilter ref="A27:C38" xr:uid="{186668D2-E4AF-481E-B043-4C6273C2FA6B}"/>
  <tableColumns count="3">
    <tableColumn id="1" xr3:uid="{4B1F7AE5-BFFE-42D4-965A-022B832E82D2}" name="Checks/Description" dataDxfId="396"/>
    <tableColumn id="2" xr3:uid="{A933EE32-5CDA-4950-8A18-FB04C233BDD3}" name="Amount" dataDxfId="395"/>
    <tableColumn id="3" xr3:uid="{A74421E5-8271-43A2-B212-CC67A09E6A82}" name="Paid ?" dataCellStyle="Bad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2B88DC4-C595-426B-A890-D1B978B91642}" name="InitialIncomeToDeposit04" displayName="InitialIncomeToDeposit04" ref="E27:G30" totalsRowShown="0">
  <autoFilter ref="E27:G30" xr:uid="{1CA9841F-E247-4375-83BC-4A5433A44B3A}"/>
  <tableColumns count="3">
    <tableColumn id="1" xr3:uid="{22214183-8AE1-4AF5-B0F6-6B145F5A98B8}" name="Description" dataDxfId="394"/>
    <tableColumn id="2" xr3:uid="{63481301-0F44-481D-8E65-B624C49463BE}" name="Amount" dataDxfId="393"/>
    <tableColumn id="3" xr3:uid="{DAC0B7C1-6927-42EE-889F-A01D1863AE37}" name="Deposit ?" dataDxfId="39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9219118-A1A6-4F69-BA82-E5FE924997EB}" name="Table9162330" displayName="Table9162330" ref="I18:M21" totalsRowShown="0" headerRowDxfId="391" dataDxfId="390">
  <autoFilter ref="I18:M21" xr:uid="{1C509EE9-5D71-41DA-B295-D25BA1E66C93}"/>
  <tableColumns count="5">
    <tableColumn id="1" xr3:uid="{9E3D6536-17FD-4377-B87F-D9836889A152}" name="CD" dataDxfId="389"/>
    <tableColumn id="2" xr3:uid="{6182A9E1-55E7-456C-AA44-90427FD482AB}" name="APY" dataDxfId="388"/>
    <tableColumn id="3" xr3:uid="{4EE9C50C-3B36-461D-B038-5FAAD9A76423}" name="Interest YTD as of 7/28"/>
    <tableColumn id="4" xr3:uid="{13B3EAD9-4A50-4279-AC09-D2964A20BB22}" name="Amount as of 7/28" dataDxfId="387"/>
    <tableColumn id="5" xr3:uid="{86C57680-4C94-4FE2-862F-D21900DD4571}" name="Marturity Date" dataDxfId="38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E54245-0835-40AC-8F61-7A2B210D976D}" name="JanBankAccounts" displayName="JanBankAccounts" ref="A16:F24" totalsRowCount="1" headerRowDxfId="591" dataDxfId="590">
  <autoFilter ref="A16:F23" xr:uid="{D1ECC707-23D5-4417-9A75-E5D975C58AE4}"/>
  <tableColumns count="6">
    <tableColumn id="1" xr3:uid="{BD37EB6A-0933-4C6A-99F6-FB8BE5EB8777}" name="Bank Accounts" dataDxfId="589" totalsRowDxfId="588"/>
    <tableColumn id="2" xr3:uid="{3A3AE67C-066D-42B6-8E05-31FDCB52C5E0}" name="Initial Balance (Auto Calculated)" totalsRowFunction="sum" dataDxfId="587" totalsRowDxfId="586"/>
    <tableColumn id="3" xr3:uid="{4DC03131-0F98-4116-96E4-72003309AF4D}" name="Initial Balance" dataDxfId="585" totalsRowDxfId="584"/>
    <tableColumn id="4" xr3:uid="{2C712265-D8C6-46FB-A6A7-6C6CF51E7B61}" name="Deposit/Interest" dataDxfId="583" totalsRowDxfId="582">
      <calculatedColumnFormula>SUMIF(JanOffering[Category], "*",JanOffering[Amount])</calculatedColumnFormula>
    </tableColumn>
    <tableColumn id="5" xr3:uid="{4BF904D1-D4CB-4B27-8F28-D36C7EA39547}" name="Withdraw" dataDxfId="581" totalsRowDxfId="580">
      <calculatedColumnFormula>SUMIF(JanExpenses[Paid/Cashed ?], "Y",JanExpenses[Amount]) + SUMIF(JanInitialOutstandingPayment[Paid ?], "Y",JanInitialOutstandingPayment[Amount])</calculatedColumnFormula>
    </tableColumn>
    <tableColumn id="6" xr3:uid="{A39A4725-ECDC-48ED-AC50-98AA5BE1A8F8}" name="End of Month Amount" totalsRowFunction="custom" dataDxfId="579" totalsRowDxfId="578">
      <calculatedColumnFormula xml:space="preserve"> JanBankAccounts[[#This Row],[Initial Balance]] + JanBankAccounts[[#This Row],[Deposit/Interest]] - JanBankAccounts[[#This Row],[Withdraw]]</calculatedColumnFormula>
      <totalsRowFormula xml:space="preserve"> SUM(F17:F21) + F22 - F23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DC716B0-824C-4CB4-858E-4CA448A30FAE}" name="Funds05" displayName="Funds05" ref="A4:F13" totalsRowCount="1" headerRowDxfId="385" dataDxfId="384">
  <autoFilter ref="A4:F12" xr:uid="{90FA95AC-1583-4D98-8CFB-FA00A79B05F1}"/>
  <tableColumns count="6">
    <tableColumn id="1" xr3:uid="{2EDF0C8F-9B6A-4159-9D3D-DBC210FF333B}" name="Assets/Funds" dataDxfId="383" totalsRowDxfId="382"/>
    <tableColumn id="5" xr3:uid="{E80B196D-CD4E-4B36-8811-3870203821F2}" name="Initial Amount (Auto Calculated)" totalsRowFunction="custom" dataDxfId="381" totalsRowDxfId="380">
      <totalsRowFormula xml:space="preserve"> SUM(Funds05[Initial Amount (Auto Calculated)])</totalsRowFormula>
    </tableColumn>
    <tableColumn id="2" xr3:uid="{BF2F1D30-50D8-4CF3-85FA-9E481C199225}" name="Initial Amount" totalsRowFunction="custom" dataDxfId="379" totalsRowDxfId="378">
      <totalsRowFormula xml:space="preserve"> SUM(Funds05[Initial Amount])</totalsRowFormula>
    </tableColumn>
    <tableColumn id="6" xr3:uid="{FCE1F533-600E-47C3-8D38-014E5A9FC36E}" name="Income" dataDxfId="377" totalsRowDxfId="376">
      <calculatedColumnFormula>SUMIF(Offering05[Category], "G*",Offering05[Amount])</calculatedColumnFormula>
    </tableColumn>
    <tableColumn id="3" xr3:uid="{96D3684B-69C0-4E88-A4AE-FA686784895E}" name="Expense" totalsRowFunction="custom" dataDxfId="375" totalsRowDxfId="374">
      <totalsRowFormula xml:space="preserve"> SUM(Funds05[Expense])</totalsRowFormula>
    </tableColumn>
    <tableColumn id="4" xr3:uid="{BEBC735D-09F5-452C-9D01-75FB98C6D068}" name="End of Month Amount" totalsRowFunction="custom" dataDxfId="373" totalsRowDxfId="372">
      <calculatedColumnFormula xml:space="preserve"> Funds05[[#This Row],[Initial Amount]] + Funds05[[#This Row],[Income]] - Funds05[[#This Row],[Expense]]</calculatedColumnFormula>
      <totalsRowFormula xml:space="preserve"> SUM(Funds05[End of Month Amount])</totalsRow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37011D6-EDE9-4B17-8B17-A313E8AA9E14}" name="BankAccounts05" displayName="BankAccounts05" ref="A16:F24" totalsRowCount="1" headerRowDxfId="371" dataDxfId="370">
  <autoFilter ref="A16:F23" xr:uid="{D1ECC707-23D5-4417-9A75-E5D975C58AE4}"/>
  <tableColumns count="6">
    <tableColumn id="1" xr3:uid="{542EEAC7-6A92-4EC8-9534-F8AA4CACA839}" name="Bank Accounts" dataDxfId="369" totalsRowDxfId="368"/>
    <tableColumn id="2" xr3:uid="{AC9B0A21-46F0-4B2A-AF9C-96596D118546}" name="Initial Balance (Auto Calculated)" totalsRowFunction="custom" dataDxfId="367" totalsRowDxfId="366">
      <calculatedColumnFormula xml:space="preserve"> VLOOKUP(A17, JanBankAccounts[], 6, FALSE)</calculatedColumnFormula>
      <totalsRowFormula xml:space="preserve"> SUM(B17:B21) + B22 - B23</totalsRowFormula>
    </tableColumn>
    <tableColumn id="3" xr3:uid="{88236AD3-8AC8-4809-852E-33AB75CB2E6B}" name="Initial Balance" totalsRowFunction="custom" dataDxfId="365" totalsRowDxfId="364">
      <totalsRowFormula xml:space="preserve"> SUM(C17:C21) - C23</totalsRowFormula>
    </tableColumn>
    <tableColumn id="4" xr3:uid="{B2186ABA-F0C8-4847-B74B-8ABF46947FD1}" name="Deposit/Interest" dataDxfId="363" totalsRowDxfId="362">
      <calculatedColumnFormula>SUMIF(Offering05[Category], "*",Offering05[Amount])</calculatedColumnFormula>
    </tableColumn>
    <tableColumn id="5" xr3:uid="{E5D68484-550A-466B-95B6-6FAC795F7545}" name="Withdraw" dataDxfId="361" totalsRowDxfId="360">
      <calculatedColumnFormula>SUMIF(Expenses05[Paid/Cashed ?], "Y",Expenses05[Amount]) + SUMIF(InitialOutstandingPayments05[Paid ?], "Y",InitialOutstandingPayments05[Amount])</calculatedColumnFormula>
    </tableColumn>
    <tableColumn id="6" xr3:uid="{A71A75D8-6F3C-42FC-A932-0A03CE688E39}" name="End of Month Amount" totalsRowFunction="custom" dataDxfId="359" totalsRowDxfId="358">
      <calculatedColumnFormula xml:space="preserve"> BankAccounts05[[#This Row],[Initial Balance]] + BankAccounts05[[#This Row],[Deposit/Interest]] - BankAccounts05[[#This Row],[Withdraw]]</calculatedColumnFormula>
      <totalsRowFormula xml:space="preserve"> SUM(F17:F21) + F22 - F23</totalsRow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2E3E1EA-6B83-4E10-A287-D2ABEF577856}" name="Expenses05" displayName="Expenses05" ref="A44:F53" totalsRowShown="0" headerRowDxfId="357" dataDxfId="356">
  <autoFilter ref="A44:F53" xr:uid="{9F75CD62-B83E-4011-B059-8A526A65B729}"/>
  <tableColumns count="6">
    <tableColumn id="1" xr3:uid="{34BF9B76-40DE-4809-8B39-108A5D4ED005}" name="Date" dataDxfId="355"/>
    <tableColumn id="2" xr3:uid="{6B55D5AD-1F86-4816-91EE-6765B08FA850}" name="Description" dataDxfId="354"/>
    <tableColumn id="3" xr3:uid="{9D4E9546-5D47-4A2D-9D07-E87A608C9400}" name="Category" dataDxfId="353"/>
    <tableColumn id="7" xr3:uid="{4727B917-6031-40CE-9ADA-3B2E17BD8F62}" name="Check #" dataDxfId="352"/>
    <tableColumn id="4" xr3:uid="{D8AE9E0A-C6EE-4DAC-8C33-12FCD73F8BA7}" name="Amount" dataDxfId="351"/>
    <tableColumn id="6" xr3:uid="{78C711D3-0CAE-4390-95CB-BB7E18E68A4B}" name="Paid/Cashed ?" dataCellStyle="Ba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9F4BECE-F621-4DFD-800A-DE2B5F9390D8}" name="Offering05" displayName="Offering05" ref="A56:E60" totalsRowShown="0" headerRowDxfId="350" dataDxfId="349">
  <autoFilter ref="A56:E60" xr:uid="{D2CF5E13-C8CF-400A-B637-0F5922CB0791}"/>
  <tableColumns count="5">
    <tableColumn id="1" xr3:uid="{B615093F-0623-42E9-B803-419E058B12AF}" name="Date" dataDxfId="348"/>
    <tableColumn id="2" xr3:uid="{D67A5652-245C-42A0-A1F3-8C9CB2EF8EE6}" name="Category" dataDxfId="347"/>
    <tableColumn id="3" xr3:uid="{829B3935-D7A1-4A84-A0F6-AEA14AE77D45}" name="Amount" dataDxfId="346"/>
    <tableColumn id="5" xr3:uid="{31519A92-83A2-41A6-8A6C-A5B95BC8D788}" name="Bank Account" dataDxfId="345"/>
    <tableColumn id="4" xr3:uid="{8EC9451A-A81E-4299-89CC-E38FE5F9B1E2}" name="Deposit ?" dataCellStyle="Bad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A2BC3F4-413B-4292-A464-F2DF1472205A}" name="InitialOutstandingPayments05" displayName="InitialOutstandingPayments05" ref="A27:C41" totalsRowShown="0" headerRowDxfId="344" dataDxfId="343">
  <autoFilter ref="A27:C41" xr:uid="{186668D2-E4AF-481E-B043-4C6273C2FA6B}"/>
  <tableColumns count="3">
    <tableColumn id="1" xr3:uid="{151D1477-E558-4F82-A4DF-2B43312CC04F}" name="Checks/Description" dataDxfId="342"/>
    <tableColumn id="2" xr3:uid="{0BAD731A-09FD-4F2D-AFE5-7D50BBEC520B}" name="Amount" dataDxfId="341"/>
    <tableColumn id="3" xr3:uid="{750E50EC-31E2-4F4A-A1F6-2796889D6566}" name="Paid ?" dataCellStyle="Ba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B1B04E9-DC55-407F-BDEA-F86618046CBD}" name="InitialIncomeToDeposit05" displayName="InitialIncomeToDeposit05" ref="E27:G30" totalsRowShown="0">
  <autoFilter ref="E27:G30" xr:uid="{1CA9841F-E247-4375-83BC-4A5433A44B3A}"/>
  <tableColumns count="3">
    <tableColumn id="1" xr3:uid="{267BE5DD-FB56-4D44-9782-FD362380E87C}" name="Description" dataDxfId="340"/>
    <tableColumn id="2" xr3:uid="{6AB1E5A8-2DF0-418A-A161-F4EC76B34B8A}" name="Amount" dataDxfId="339"/>
    <tableColumn id="3" xr3:uid="{6CDB62BB-B4F1-4DDA-8D2F-837FA248E05E}" name="Deposit ?" dataDxfId="338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1B081A4-7569-4E8D-8E89-AA7F1F04FEED}" name="Table916233037" displayName="Table916233037" ref="I18:M21" totalsRowShown="0" headerRowDxfId="337" dataDxfId="336">
  <autoFilter ref="I18:M21" xr:uid="{1C509EE9-5D71-41DA-B295-D25BA1E66C93}"/>
  <tableColumns count="5">
    <tableColumn id="1" xr3:uid="{2DA3A8A2-144F-4458-B360-859FD8725AE6}" name="CD" dataDxfId="335"/>
    <tableColumn id="2" xr3:uid="{D82A3C2A-495C-44D3-9AA6-A0426136D5FE}" name="APY" dataDxfId="334"/>
    <tableColumn id="3" xr3:uid="{A576FE3F-8858-4826-84F3-6A92778C6BD0}" name="Interest YTD as of 7/28"/>
    <tableColumn id="4" xr3:uid="{AE2435E3-157C-4A6A-A165-09E2078D61CB}" name="Amount as of 7/28" dataDxfId="333"/>
    <tableColumn id="5" xr3:uid="{D17A797D-90D2-4831-8641-3CD0EB89A258}" name="Marturity Date" dataDxfId="33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17AE852-42FB-42D9-8164-C42C8602865A}" name="Funds06" displayName="Funds06" ref="A4:F13" totalsRowCount="1" headerRowDxfId="331" dataDxfId="330">
  <autoFilter ref="A4:F12" xr:uid="{90FA95AC-1583-4D98-8CFB-FA00A79B05F1}"/>
  <tableColumns count="6">
    <tableColumn id="1" xr3:uid="{0FE4C3C0-111D-4D52-BBEB-8B4F855658F6}" name="Assets/Funds" dataDxfId="329" totalsRowDxfId="328"/>
    <tableColumn id="5" xr3:uid="{1E1D4101-223F-4928-BF99-DA57986EFC61}" name="Initial Amount (Auto Calculated)" totalsRowFunction="custom" dataDxfId="327" totalsRowDxfId="326">
      <totalsRowFormula xml:space="preserve"> SUM(Funds06[Initial Amount (Auto Calculated)])</totalsRowFormula>
    </tableColumn>
    <tableColumn id="2" xr3:uid="{27B20315-C5CB-4049-912A-4EE99E65C9B3}" name="Initial Amount" totalsRowFunction="custom" dataDxfId="325" totalsRowDxfId="324">
      <totalsRowFormula xml:space="preserve"> SUM(Funds06[Initial Amount])</totalsRowFormula>
    </tableColumn>
    <tableColumn id="6" xr3:uid="{039A62EE-9D4C-4279-B9A8-DA61A0D42064}" name="Income" dataDxfId="323" totalsRowDxfId="322">
      <calculatedColumnFormula>SUMIF(Offering06[Category], "G*",Offering06[Amount])</calculatedColumnFormula>
    </tableColumn>
    <tableColumn id="3" xr3:uid="{9A4CC14D-E74D-4EED-A013-02B0A6708467}" name="Expense" totalsRowFunction="custom" dataDxfId="321" totalsRowDxfId="320">
      <totalsRowFormula xml:space="preserve"> SUM(Funds06[Expense])</totalsRowFormula>
    </tableColumn>
    <tableColumn id="4" xr3:uid="{7F92E2D4-632C-4CF4-B39C-FEC41BA23A53}" name="End of Month Amount" totalsRowFunction="custom" dataDxfId="319" totalsRowDxfId="318">
      <calculatedColumnFormula xml:space="preserve"> Funds06[[#This Row],[Initial Amount]] + Funds06[[#This Row],[Income]] - Funds06[[#This Row],[Expense]]</calculatedColumnFormula>
      <totalsRowFormula xml:space="preserve"> SUM(Funds06[End of Month Amount])</totalsRow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FCB820D-80B1-404F-9C12-7FAEE778087E}" name="BankAccounts06" displayName="BankAccounts06" ref="A16:F24" totalsRowCount="1" headerRowDxfId="317" dataDxfId="316">
  <autoFilter ref="A16:F23" xr:uid="{D1ECC707-23D5-4417-9A75-E5D975C58AE4}"/>
  <tableColumns count="6">
    <tableColumn id="1" xr3:uid="{89F850E2-B13A-47C5-8C61-74D15FD3D61D}" name="Bank Accounts" dataDxfId="315" totalsRowDxfId="314"/>
    <tableColumn id="2" xr3:uid="{4AC81EC8-62DE-48EC-BACF-5CF74F9F2806}" name="Initial Balance (Auto Calculated)" totalsRowFunction="custom" dataDxfId="313" totalsRowDxfId="312">
      <calculatedColumnFormula xml:space="preserve"> VLOOKUP(A17, JanBankAccounts[], 6, FALSE)</calculatedColumnFormula>
      <totalsRowFormula xml:space="preserve"> SUM(B17:B21) + B22 - B23</totalsRowFormula>
    </tableColumn>
    <tableColumn id="3" xr3:uid="{ED82A8B5-C76B-4876-A19E-E7FE617058E7}" name="Initial Balance" totalsRowFunction="custom" dataDxfId="311" totalsRowDxfId="310">
      <totalsRowFormula xml:space="preserve"> SUM(C17:C21) - C23</totalsRowFormula>
    </tableColumn>
    <tableColumn id="4" xr3:uid="{4925552C-2B4E-4817-8E4E-FCEF43778231}" name="Deposit/Interest" dataDxfId="309" totalsRowDxfId="308">
      <calculatedColumnFormula>SUMIF(Offering06[Category], "*",Offering06[Amount])</calculatedColumnFormula>
    </tableColumn>
    <tableColumn id="5" xr3:uid="{E0C6E92C-E5DF-4F06-A5D7-85905A074EE2}" name="Withdraw" dataDxfId="307" totalsRowDxfId="306">
      <calculatedColumnFormula>SUMIF(Expenses06[Paid/Cashed ?], "Y",Expenses06[Amount]) + SUMIF(InitialOutstandingPayments06[Paid ?], "Y",InitialOutstandingPayments06[Amount])</calculatedColumnFormula>
    </tableColumn>
    <tableColumn id="6" xr3:uid="{F6FF7916-69F2-478C-B2F5-FABE918049C6}" name="End of Month Amount" totalsRowFunction="custom" dataDxfId="305" totalsRowDxfId="304">
      <calculatedColumnFormula xml:space="preserve"> BankAccounts06[[#This Row],[Initial Balance]] + BankAccounts06[[#This Row],[Deposit/Interest]] - BankAccounts06[[#This Row],[Withdraw]]</calculatedColumnFormula>
      <totalsRowFormula xml:space="preserve"> SUM(F17:F21) + F22 - F23</totalsRow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F9A51DA-1672-42AD-BF42-8A8D0CB5BA0F}" name="Expenses06" displayName="Expenses06" ref="A44:F54" totalsRowShown="0" headerRowDxfId="303" dataDxfId="302">
  <autoFilter ref="A44:F54" xr:uid="{9F75CD62-B83E-4011-B059-8A526A65B729}"/>
  <tableColumns count="6">
    <tableColumn id="1" xr3:uid="{22BEA905-FE53-48B4-B36C-C06D8EE033DF}" name="Date" dataDxfId="301"/>
    <tableColumn id="2" xr3:uid="{4BB567DF-D3FD-4F99-A0CC-D2B7F3919392}" name="Description" dataDxfId="300"/>
    <tableColumn id="3" xr3:uid="{FE291291-62EB-4A36-90CD-B9A5F67A7AD6}" name="Category" dataDxfId="299"/>
    <tableColumn id="7" xr3:uid="{551822BB-2886-4070-9145-BB3E58DD1C4E}" name="Check #" dataDxfId="298"/>
    <tableColumn id="4" xr3:uid="{EADC54DB-7C8B-4F52-BC14-D0E90E870112}" name="Amount" dataDxfId="297"/>
    <tableColumn id="6" xr3:uid="{90B3084B-A0B1-42F5-A1C0-6B56DF4DA53F}" name="Paid/Cashed ?" dataCellStyle="Ba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E8AEC-6D59-4F21-BAC9-C6DB4EBDC925}" name="JanExpenses" displayName="JanExpenses" ref="A38:F48" totalsRowShown="0" headerRowDxfId="577" dataDxfId="576">
  <autoFilter ref="A38:F48" xr:uid="{9F75CD62-B83E-4011-B059-8A526A65B729}"/>
  <tableColumns count="6">
    <tableColumn id="1" xr3:uid="{4658AE12-B3DF-41A9-B9B3-1433A02BE552}" name="Date" dataDxfId="575"/>
    <tableColumn id="2" xr3:uid="{658BD5EF-79D3-4E76-B107-365F8ED1B084}" name="Description" dataDxfId="574"/>
    <tableColumn id="3" xr3:uid="{F2DAF959-C07A-45B8-AEA1-9C33684E8B9C}" name="Category" dataDxfId="573"/>
    <tableColumn id="7" xr3:uid="{17D01C0E-BE28-44E8-B292-CD5B100DEF7B}" name="Check#" dataDxfId="572"/>
    <tableColumn id="4" xr3:uid="{235DBB18-F20F-4846-A22F-14CE588BA7DA}" name="Amount" dataDxfId="571"/>
    <tableColumn id="6" xr3:uid="{A6DC9B99-9953-4E18-AA44-E4C56E0D32BC}" name="Paid/Cashed ?" dataCellStyle="Bad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AF73097-96D0-4BFC-9653-F69B3EA8F76D}" name="Offering06" displayName="Offering06" ref="A56:E60" totalsRowShown="0" headerRowDxfId="296" dataDxfId="295">
  <autoFilter ref="A56:E60" xr:uid="{D2CF5E13-C8CF-400A-B637-0F5922CB0791}"/>
  <tableColumns count="5">
    <tableColumn id="1" xr3:uid="{617FF2A6-A7E8-4D3F-9E9A-0E585E5C5A52}" name="Date" dataDxfId="294"/>
    <tableColumn id="2" xr3:uid="{7D9915A1-A8CA-4C56-A3B5-86DF80832BD2}" name="Category" dataDxfId="293"/>
    <tableColumn id="3" xr3:uid="{25438C5C-DC37-4316-92F2-D22A93C30C48}" name="Amount" dataDxfId="292"/>
    <tableColumn id="5" xr3:uid="{EA5D2565-ABEC-42C7-BFE7-B7A54C385317}" name="Bank Account" dataDxfId="291"/>
    <tableColumn id="4" xr3:uid="{97923196-1A5F-4444-B09E-C1771B7D8BD3}" name="Deposit ?" dataCellStyle="Bad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16E8832-2A73-4AA3-9A2B-8075435D469C}" name="InitialOutstandingPayments06" displayName="InitialOutstandingPayments06" ref="A27:C41" totalsRowShown="0" headerRowDxfId="290" dataDxfId="289">
  <autoFilter ref="A27:C41" xr:uid="{186668D2-E4AF-481E-B043-4C6273C2FA6B}"/>
  <tableColumns count="3">
    <tableColumn id="1" xr3:uid="{42345F0C-4331-465F-8840-FD9432013209}" name="Checks/Description" dataDxfId="288"/>
    <tableColumn id="2" xr3:uid="{D5BE47E6-325C-4D4C-B8B1-0B22C5EE1A2B}" name="Amount" dataDxfId="287"/>
    <tableColumn id="3" xr3:uid="{E6DB4241-1B78-455B-BAFE-1721B4492C7A}" name="Paid ?" dataCellStyle="Bad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272575FC-E3BF-48E9-BA27-057CA758A8BA}" name="InitialIncomeToDeposit06" displayName="InitialIncomeToDeposit06" ref="E27:G30" totalsRowShown="0">
  <autoFilter ref="E27:G30" xr:uid="{1CA9841F-E247-4375-83BC-4A5433A44B3A}"/>
  <tableColumns count="3">
    <tableColumn id="1" xr3:uid="{053940E9-B05E-4DBB-88A7-FD0018D7122A}" name="Description" dataDxfId="286"/>
    <tableColumn id="2" xr3:uid="{BA313215-30B6-4F84-8A0B-EE64354D48E0}" name="Amount" dataDxfId="285"/>
    <tableColumn id="3" xr3:uid="{3810168A-2C02-45B2-8BCC-B4ECC8BC17F9}" name="Deposit ?" dataDxfId="284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ECEDADD-5C59-44EB-9E76-C528C1284D27}" name="Table91623303744" displayName="Table91623303744" ref="I18:M21" totalsRowShown="0" headerRowDxfId="283" dataDxfId="282">
  <autoFilter ref="I18:M21" xr:uid="{1C509EE9-5D71-41DA-B295-D25BA1E66C93}"/>
  <tableColumns count="5">
    <tableColumn id="1" xr3:uid="{998EBCD7-4104-401F-81EB-BB7B4CB0F1CC}" name="CD" dataDxfId="281"/>
    <tableColumn id="2" xr3:uid="{540141B1-673C-404C-8CCD-4581E69823AA}" name="APY" dataDxfId="280"/>
    <tableColumn id="3" xr3:uid="{FF89D199-CED4-44AF-9F98-1260F0448973}" name="Interest YTD as of 7/28"/>
    <tableColumn id="4" xr3:uid="{BEB06AAC-20D1-422A-A14F-B4F10ED01B93}" name="Amount as of 7/28" dataDxfId="279"/>
    <tableColumn id="5" xr3:uid="{06B97C26-8D62-4DBE-833A-CB75AC32676B}" name="Marturity Date" dataDxfId="278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B9A3E75A-3B25-4AF4-B866-C6F69860E3C5}" name="Funds07" displayName="Funds07" ref="A4:F13" totalsRowCount="1" headerRowDxfId="277" dataDxfId="276">
  <autoFilter ref="A4:F12" xr:uid="{90FA95AC-1583-4D98-8CFB-FA00A79B05F1}"/>
  <tableColumns count="6">
    <tableColumn id="1" xr3:uid="{786A29CD-6D81-4E40-9453-EDE975EB1B40}" name="Assets/Funds" dataDxfId="275" totalsRowDxfId="274"/>
    <tableColumn id="5" xr3:uid="{41F05FC7-BC44-4FAD-98D7-39E99A33C90C}" name="Initial Amount (Auto Calculated)" totalsRowFunction="custom" dataDxfId="273" totalsRowDxfId="272">
      <totalsRowFormula xml:space="preserve"> SUM(Funds07[Initial Amount (Auto Calculated)])</totalsRowFormula>
    </tableColumn>
    <tableColumn id="2" xr3:uid="{6EC1D911-F72D-4DB4-B275-DBA193192DAE}" name="Initial Amount" totalsRowFunction="custom" dataDxfId="271" totalsRowDxfId="270">
      <totalsRowFormula xml:space="preserve"> SUM(Funds07[Initial Amount])</totalsRowFormula>
    </tableColumn>
    <tableColumn id="6" xr3:uid="{878267FD-99B5-45FF-8527-C3B48B443034}" name="Income" dataDxfId="269" totalsRowDxfId="268">
      <calculatedColumnFormula>SUMIF(Offering07[Category], "G*",Offering07[Amount])</calculatedColumnFormula>
    </tableColumn>
    <tableColumn id="3" xr3:uid="{034AAA54-6DEC-4B40-B834-D75E4C671E41}" name="Expense" totalsRowFunction="custom" dataDxfId="267" totalsRowDxfId="266">
      <totalsRowFormula xml:space="preserve"> SUM(Funds07[Expense])</totalsRowFormula>
    </tableColumn>
    <tableColumn id="4" xr3:uid="{A70AA614-2404-45C1-BCC7-A4CBB2C80AAC}" name="End of Month Amount" totalsRowFunction="custom" dataDxfId="265" totalsRowDxfId="264">
      <calculatedColumnFormula xml:space="preserve"> Funds07[[#This Row],[Initial Amount]] + Funds07[[#This Row],[Income]] - Funds07[[#This Row],[Expense]]</calculatedColumnFormula>
      <totalsRowFormula xml:space="preserve"> SUM(Funds07[End of Month Amount])</totalsRow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D7F0F3E-6F49-4717-91A8-A80228BC848E}" name="BankAccounts07" displayName="BankAccounts07" ref="A16:F24" totalsRowCount="1" headerRowDxfId="263" dataDxfId="262">
  <autoFilter ref="A16:F23" xr:uid="{D1ECC707-23D5-4417-9A75-E5D975C58AE4}"/>
  <tableColumns count="6">
    <tableColumn id="1" xr3:uid="{A4CD1195-2B33-4FAD-A326-47570F5EB8DE}" name="Bank Accounts" dataDxfId="261" totalsRowDxfId="260"/>
    <tableColumn id="2" xr3:uid="{25413AC1-7231-4A28-9232-41F103DD3880}" name="Initial Balance (Auto Calculated)" totalsRowFunction="custom" dataDxfId="259" totalsRowDxfId="258">
      <calculatedColumnFormula xml:space="preserve"> VLOOKUP(A17, JanBankAccounts[], 6, FALSE)</calculatedColumnFormula>
      <totalsRowFormula xml:space="preserve"> SUM(B17:B21) + B22 - B23</totalsRowFormula>
    </tableColumn>
    <tableColumn id="3" xr3:uid="{0683EFED-E6B7-4227-BCAB-77FDFF766DD5}" name="Initial Balance" totalsRowFunction="custom" dataDxfId="257" totalsRowDxfId="256">
      <totalsRowFormula xml:space="preserve"> SUM(C17:C21) - C23</totalsRowFormula>
    </tableColumn>
    <tableColumn id="4" xr3:uid="{3D926B89-4DE6-4357-A790-0B5E5CE2AFA6}" name="Deposit/Interest" dataDxfId="255" totalsRowDxfId="254">
      <calculatedColumnFormula>SUMIF(Offering07[Category], "*",Offering07[Amount])</calculatedColumnFormula>
    </tableColumn>
    <tableColumn id="5" xr3:uid="{2390950E-89AB-4914-8604-9D94207F3AC9}" name="Withdraw" dataDxfId="253" totalsRowDxfId="252">
      <calculatedColumnFormula>SUMIF(Expenses07[Paid/Cashed ?], "Y",Expenses07[Amount]) + SUMIF(InitialOutstandingPayments07[Paid ?], "Y",InitialOutstandingPayments07[Amount])</calculatedColumnFormula>
    </tableColumn>
    <tableColumn id="6" xr3:uid="{0E2B7530-32F0-45DB-9502-0BDE1C2ABD5F}" name="End of Month Amount" totalsRowFunction="custom" dataDxfId="251" totalsRowDxfId="250">
      <calculatedColumnFormula xml:space="preserve"> BankAccounts07[[#This Row],[Initial Balance]] + BankAccounts07[[#This Row],[Deposit/Interest]] - BankAccounts07[[#This Row],[Withdraw]]</calculatedColumnFormula>
      <totalsRowFormula xml:space="preserve"> SUM(F17:F21) + F22 - F23</totalsRow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3376EF8-5EC3-4146-8933-C0ABA7DDF38C}" name="Expenses07" displayName="Expenses07" ref="A44:F57" totalsRowShown="0" headerRowDxfId="249" dataDxfId="248">
  <autoFilter ref="A44:F57" xr:uid="{9F75CD62-B83E-4011-B059-8A526A65B729}"/>
  <tableColumns count="6">
    <tableColumn id="1" xr3:uid="{F01C457B-0CAF-4C9D-9A00-FE0B498C418C}" name="Date" dataDxfId="247"/>
    <tableColumn id="2" xr3:uid="{10D81C49-27A0-4A45-8802-BB1089DB3D42}" name="Description" dataDxfId="246"/>
    <tableColumn id="3" xr3:uid="{7CCEC450-D02D-4EE6-8A59-1C49D211392C}" name="Category" dataDxfId="245"/>
    <tableColumn id="7" xr3:uid="{F0AF4407-E276-4A71-88CD-609AFEB4A625}" name="Check #" dataDxfId="244"/>
    <tableColumn id="4" xr3:uid="{641968C7-B091-4366-872E-87DF1F5C9C8D}" name="Amount" dataDxfId="243"/>
    <tableColumn id="6" xr3:uid="{3B0D60A8-CFFA-4704-AEDD-88D5B6F16CC5}" name="Paid/Cashed ?" dataCellStyle="Bad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417A9E7-B1C4-4087-BF61-67A76674A522}" name="Offering07" displayName="Offering07" ref="A59:F69" totalsRowShown="0" headerRowDxfId="242" dataDxfId="241">
  <autoFilter ref="A59:F69" xr:uid="{D2CF5E13-C8CF-400A-B637-0F5922CB0791}"/>
  <tableColumns count="6">
    <tableColumn id="1" xr3:uid="{3EAD7A95-3CD1-4453-9856-59F3F5852927}" name="Date" dataDxfId="240"/>
    <tableColumn id="2" xr3:uid="{8B6CABA5-33AD-4100-844B-E5E6A85A438E}" name="Category" dataDxfId="239"/>
    <tableColumn id="3" xr3:uid="{6673D03F-803C-45E0-ACD2-FD497AFF7E63}" name="Amount" dataDxfId="238"/>
    <tableColumn id="5" xr3:uid="{B753A733-A906-44C8-8E26-5889351F1966}" name="Bank Account" dataDxfId="237"/>
    <tableColumn id="4" xr3:uid="{E226179B-2F01-46C0-A77C-D1EBE28B1F5E}" name="Deposit ?" dataCellStyle="Bad"/>
    <tableColumn id="6" xr3:uid="{57D50452-9537-45B2-BC4F-56AA3F8D0D29}" name="Commnet" dataDxfId="236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A211EAC-E6D0-4444-8F02-D42B285FB825}" name="InitialOutstandingPayments07" displayName="InitialOutstandingPayments07" ref="A27:C41" totalsRowShown="0" headerRowDxfId="235" dataDxfId="234">
  <autoFilter ref="A27:C41" xr:uid="{186668D2-E4AF-481E-B043-4C6273C2FA6B}"/>
  <tableColumns count="3">
    <tableColumn id="1" xr3:uid="{567199B7-1F65-46CA-8D6B-357B26442ABB}" name="Checks/Description" dataDxfId="233"/>
    <tableColumn id="2" xr3:uid="{E1ED90FD-1F46-4C3A-834E-5DE648DC4316}" name="Amount" dataDxfId="232"/>
    <tableColumn id="3" xr3:uid="{6296A4D4-E931-4350-814D-6D73B4B761EB}" name="Paid ?" dataCellStyle="Bad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D7DA708-06B5-4F49-88A7-651C1A858D1D}" name="InitialIncomeToDeposit07" displayName="InitialIncomeToDeposit07" ref="E27:G30" totalsRowShown="0">
  <autoFilter ref="E27:G30" xr:uid="{1CA9841F-E247-4375-83BC-4A5433A44B3A}"/>
  <tableColumns count="3">
    <tableColumn id="1" xr3:uid="{5745ED05-97F1-41FC-8C47-3CD8D025BA3C}" name="Description" dataDxfId="231"/>
    <tableColumn id="2" xr3:uid="{0C1E030E-AD91-4772-A31E-59193B1E9AE6}" name="Amount" dataDxfId="230"/>
    <tableColumn id="3" xr3:uid="{CF4C760D-903B-46E2-95A1-AF4D7071B336}" name="Deposit ?" dataDxfId="2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6C4CFC-285A-4372-9484-8EF705DCB241}" name="JanOffering" displayName="JanOffering" ref="A51:E54" totalsRowShown="0" headerRowDxfId="570" dataDxfId="569">
  <autoFilter ref="A51:E54" xr:uid="{D2CF5E13-C8CF-400A-B637-0F5922CB0791}"/>
  <tableColumns count="5">
    <tableColumn id="1" xr3:uid="{CA3DB2F3-3325-4144-8ADC-CD04EBF21872}" name="Date" dataDxfId="568"/>
    <tableColumn id="2" xr3:uid="{CB44689E-A67B-498D-BB83-77C5578FAF24}" name="Category" dataDxfId="567"/>
    <tableColumn id="3" xr3:uid="{31F1E33F-70F7-4901-B087-CFBC157D5899}" name="Amount" dataDxfId="566"/>
    <tableColumn id="5" xr3:uid="{A8A65538-C67B-4EAB-B348-2D51DE104505}" name="Bank Account" dataDxfId="565"/>
    <tableColumn id="4" xr3:uid="{3F9DC3C1-5701-4EDD-80EC-6DA2D8087D34}" name="Deposit ?" dataDxfId="564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D40725E-CBD6-4DDE-8AD5-9CA608AC94A5}" name="Table9162330374451" displayName="Table9162330374451" ref="I18:M21" totalsRowShown="0" headerRowDxfId="228" dataDxfId="227">
  <autoFilter ref="I18:M21" xr:uid="{1C509EE9-5D71-41DA-B295-D25BA1E66C93}"/>
  <tableColumns count="5">
    <tableColumn id="1" xr3:uid="{CE4731F9-589E-4D0F-9E26-B8577B78FD97}" name="CD" dataDxfId="226"/>
    <tableColumn id="2" xr3:uid="{8615EDEF-5C90-45BA-8AB0-093B940BB78C}" name="APY" dataDxfId="225"/>
    <tableColumn id="3" xr3:uid="{CC377193-7192-4EDE-92E7-96FC743CE7E5}" name="Interest YTD as of 7/28"/>
    <tableColumn id="4" xr3:uid="{ABE60F6C-A1B1-4E58-B735-7F7500685E95}" name="Amount as of 7/28" dataDxfId="224"/>
    <tableColumn id="5" xr3:uid="{8F4F5488-0AF1-46E3-87C9-F5238197B872}" name="Marturity Date" dataDxfId="22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E3A2DEE-9483-472E-83E3-1C9EB113D5FD}" name="Funds08" displayName="Funds08" ref="A4:F14" totalsRowCount="1" headerRowDxfId="222" dataDxfId="221">
  <autoFilter ref="A4:F13" xr:uid="{90FA95AC-1583-4D98-8CFB-FA00A79B05F1}"/>
  <tableColumns count="6">
    <tableColumn id="1" xr3:uid="{A246E3A9-F9F6-4C77-9308-120E19320424}" name="Assets/Funds" dataDxfId="220" totalsRowDxfId="219"/>
    <tableColumn id="5" xr3:uid="{AA60B8C3-3079-473C-A5C7-9CABBAB36C96}" name="Initial Amount (Auto Calculated)" totalsRowFunction="custom" dataDxfId="218" totalsRowDxfId="217">
      <totalsRowFormula xml:space="preserve"> SUM(Funds08[Initial Amount (Auto Calculated)])</totalsRowFormula>
    </tableColumn>
    <tableColumn id="2" xr3:uid="{5B484154-36CE-406A-B43A-C8DD11340E1B}" name="Initial Amount" totalsRowFunction="custom" dataDxfId="216" totalsRowDxfId="215">
      <totalsRowFormula xml:space="preserve"> SUM(Funds08[Initial Amount])</totalsRowFormula>
    </tableColumn>
    <tableColumn id="6" xr3:uid="{B8D3F758-0625-40E6-A0A8-872D98BBAF54}" name="Income" dataDxfId="214" totalsRowDxfId="213">
      <calculatedColumnFormula>SUMIF(Offering08[Category], "G*",Offering08[Amount])</calculatedColumnFormula>
    </tableColumn>
    <tableColumn id="3" xr3:uid="{EB05BB62-7993-46FC-BD62-09EC4E879135}" name="Expense" totalsRowFunction="custom" dataDxfId="212" totalsRowDxfId="211">
      <totalsRowFormula xml:space="preserve"> SUM(Funds08[Expense])</totalsRowFormula>
    </tableColumn>
    <tableColumn id="4" xr3:uid="{D60C5F99-72C2-4E57-BFF4-32417FD32B45}" name="End of Month Amount" totalsRowFunction="custom" dataDxfId="210" totalsRowDxfId="209">
      <calculatedColumnFormula xml:space="preserve"> Funds08[[#This Row],[Initial Amount]] + Funds08[[#This Row],[Income]] - Funds08[[#This Row],[Expense]]</calculatedColumnFormula>
      <totalsRowFormula xml:space="preserve"> SUM(Funds08[End of Month Amount])</totalsRow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7AE1BF6-1C3A-4500-95A3-D07CA2BFA3A5}" name="BankAccounts08" displayName="BankAccounts08" ref="A17:F25" totalsRowCount="1" headerRowDxfId="208" dataDxfId="207">
  <autoFilter ref="A17:F24" xr:uid="{D1ECC707-23D5-4417-9A75-E5D975C58AE4}"/>
  <tableColumns count="6">
    <tableColumn id="1" xr3:uid="{5C4AF700-EFD8-4DB3-8570-7BB9BE52360E}" name="Bank Accounts" dataDxfId="206" totalsRowDxfId="205"/>
    <tableColumn id="2" xr3:uid="{86CD308B-B5FC-46F5-B6A5-F3FFE4100B99}" name="Initial Balance (Auto Calculated)" totalsRowFunction="custom" dataDxfId="204" totalsRowDxfId="203">
      <calculatedColumnFormula xml:space="preserve"> VLOOKUP(A18, JanBankAccounts[], 6, FALSE)</calculatedColumnFormula>
      <totalsRowFormula xml:space="preserve"> SUM(B18:B22) + B23 - B24</totalsRowFormula>
    </tableColumn>
    <tableColumn id="3" xr3:uid="{C46AB68B-2952-4D22-9A3E-DFE77BA72AA4}" name="Initial Balance" totalsRowFunction="custom" dataDxfId="202" totalsRowDxfId="201">
      <totalsRowFormula xml:space="preserve"> SUM(C18:C22) - C24</totalsRowFormula>
    </tableColumn>
    <tableColumn id="4" xr3:uid="{FA3568DF-0E0D-4343-AC47-43555A72D080}" name="Increase" dataDxfId="200" totalsRowDxfId="199">
      <calculatedColumnFormula>SUMIF(Offering08[Category], "*",Offering08[Amount])</calculatedColumnFormula>
    </tableColumn>
    <tableColumn id="5" xr3:uid="{E4966E1B-E7CC-4ED6-AB97-2EB83E347BD1}" name="Decrease" dataDxfId="198" totalsRowDxfId="197">
      <calculatedColumnFormula>SUMIF(Expenses08[Paid/Cashed ?], "Y",Expenses08[Amount]) + SUMIF(InitialOutstandingPayments08[Paid ?], "Y",InitialOutstandingPayments08[Amount])</calculatedColumnFormula>
    </tableColumn>
    <tableColumn id="6" xr3:uid="{D208770F-BD61-421F-BE87-01A4F460E7B5}" name="End of Month Amount" totalsRowFunction="custom" dataDxfId="196" totalsRowDxfId="195">
      <calculatedColumnFormula xml:space="preserve"> BankAccounts08[[#This Row],[Initial Balance]] + BankAccounts08[[#This Row],[Increase]] - BankAccounts08[[#This Row],[Decrease]]</calculatedColumnFormula>
      <totalsRowFormula xml:space="preserve"> SUM(F18:F22) + F23 - F24</totalsRow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2F132C5B-DBF1-48A4-8330-C433006C53CC}" name="Expenses08" displayName="Expenses08" ref="A46:F58" totalsRowShown="0" headerRowDxfId="194" dataDxfId="193">
  <autoFilter ref="A46:F58" xr:uid="{9F75CD62-B83E-4011-B059-8A526A65B729}"/>
  <tableColumns count="6">
    <tableColumn id="1" xr3:uid="{B54651F3-83C4-4D5D-BC5A-004364388F57}" name="Date" dataDxfId="192"/>
    <tableColumn id="2" xr3:uid="{240693DF-0A89-406C-958A-FDB6DE0D919D}" name="Description" dataDxfId="191"/>
    <tableColumn id="3" xr3:uid="{2ADC9743-C12B-4CDB-96BC-BCEC5C2AC853}" name="Category" dataDxfId="190"/>
    <tableColumn id="7" xr3:uid="{8E14A765-BBFE-402A-A091-7C454EF5FF31}" name="Check #" dataDxfId="189"/>
    <tableColumn id="4" xr3:uid="{F052B760-3729-4391-A46D-9932B792777D}" name="Amount" dataDxfId="188"/>
    <tableColumn id="6" xr3:uid="{A05CACA6-B60D-469C-8C41-B8BEA0E3E193}" name="Paid/Cashed ?" dataCellStyle="Bad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9258D87-AE33-4C56-89C4-47364DACBBF3}" name="Offering08" displayName="Offering08" ref="A62:F64" totalsRowShown="0" headerRowDxfId="187" dataDxfId="186">
  <autoFilter ref="A62:F64" xr:uid="{D2CF5E13-C8CF-400A-B637-0F5922CB0791}"/>
  <tableColumns count="6">
    <tableColumn id="1" xr3:uid="{A209613C-745C-404D-841E-C6A7387558B1}" name="Date" dataDxfId="185"/>
    <tableColumn id="2" xr3:uid="{C9D77908-CAD9-4224-A47C-A99A1ACF44A6}" name="Category" dataDxfId="184"/>
    <tableColumn id="3" xr3:uid="{1820895C-C82A-484E-9831-7FC6851D7B31}" name="Amount" dataDxfId="183"/>
    <tableColumn id="5" xr3:uid="{200CFD15-2A57-40D0-B55A-ED1665328327}" name="Bank Account" dataDxfId="182"/>
    <tableColumn id="4" xr3:uid="{4AED4DF7-CD9A-4EA3-82BA-073CC69E9295}" name="Deposit ?" dataCellStyle="Bad"/>
    <tableColumn id="6" xr3:uid="{A2850E7B-0F08-43D3-8CA5-EECEFF254BD0}" name="Commnet" dataDxfId="181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B5A99BF5-BA5E-443F-A464-19458ED02187}" name="InitialOutstandingPayments08" displayName="InitialOutstandingPayments08" ref="A28:C43" totalsRowShown="0" headerRowDxfId="180" dataDxfId="179">
  <autoFilter ref="A28:C43" xr:uid="{186668D2-E4AF-481E-B043-4C6273C2FA6B}"/>
  <tableColumns count="3">
    <tableColumn id="1" xr3:uid="{61723B33-25D7-4278-8115-B0DC62ADC72C}" name="Checks/Description" dataDxfId="178"/>
    <tableColumn id="2" xr3:uid="{69572853-A4BE-4D80-8BC1-D0C5FD60DC82}" name="Amount" dataDxfId="177"/>
    <tableColumn id="3" xr3:uid="{A50EA448-BA52-41EB-AFF7-7B2910F5023F}" name="Paid ?" dataCellStyle="Bad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D0B5A8F4-8550-4B87-976F-05223D44EE16}" name="InitialIncomeToDeposit08" displayName="InitialIncomeToDeposit08" ref="E28:G34" totalsRowCount="1">
  <autoFilter ref="E28:G33" xr:uid="{1CA9841F-E247-4375-83BC-4A5433A44B3A}"/>
  <tableColumns count="3">
    <tableColumn id="1" xr3:uid="{27EA817E-2E07-4C8D-9761-ADA3154ECDF0}" name="Description" dataDxfId="176" totalsRowDxfId="175"/>
    <tableColumn id="2" xr3:uid="{CD435D3E-F64F-4313-BA31-E7F7A3840183}" name="Amount" totalsRowFunction="custom" dataDxfId="174" totalsRowDxfId="173">
      <totalsRowFormula xml:space="preserve"> SUM(InitialIncomeToDeposit08[Amount])</totalsRowFormula>
    </tableColumn>
    <tableColumn id="3" xr3:uid="{6C05A6A5-B65B-4C03-9FAB-662565AA7DF1}" name="Deposit ?" dataDxfId="172" totalsRowDxfId="171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474C736-B460-49BD-BE28-18E9182A24D9}" name="Table916233037445158" displayName="Table916233037445158" ref="I19:M22" totalsRowShown="0" headerRowDxfId="170" dataDxfId="169">
  <autoFilter ref="I19:M22" xr:uid="{1C509EE9-5D71-41DA-B295-D25BA1E66C93}"/>
  <tableColumns count="5">
    <tableColumn id="1" xr3:uid="{A82F366D-9F15-44BE-90EF-79D2BC075CAC}" name="CD" dataDxfId="168"/>
    <tableColumn id="2" xr3:uid="{828CD136-E69C-4647-8B1F-E23EE2B13B6A}" name="APY" dataDxfId="167"/>
    <tableColumn id="3" xr3:uid="{259A4F2C-D299-49E6-A1F5-87D3B590631F}" name="Interest YTD as of 7/28"/>
    <tableColumn id="4" xr3:uid="{205781FC-7B94-459E-9CD9-3EABC67F46DE}" name="Amount as of 7/28" dataDxfId="166"/>
    <tableColumn id="5" xr3:uid="{046A0498-F74F-4443-B81B-3C3B0E2175DC}" name="Marturity Date" dataDxfId="165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57B6A54-37F0-4FCB-BCDA-B0950EE44F3A}" name="Funds09" displayName="Funds09" ref="A4:F13" totalsRowCount="1" headerRowDxfId="164" dataDxfId="163">
  <autoFilter ref="A4:F12" xr:uid="{90FA95AC-1583-4D98-8CFB-FA00A79B05F1}"/>
  <tableColumns count="6">
    <tableColumn id="1" xr3:uid="{AEEC6A9A-0FCC-4EAC-9E5D-74968FCEF4A4}" name="Assets/Funds" dataDxfId="162" totalsRowDxfId="161"/>
    <tableColumn id="5" xr3:uid="{BEEA650A-683A-4AA7-A687-7318BFF5A555}" name="Initial Amount (Auto Calculated)" totalsRowFunction="custom" dataDxfId="160" totalsRowDxfId="159">
      <totalsRowFormula xml:space="preserve"> SUM(Funds09[Initial Amount (Auto Calculated)])</totalsRowFormula>
    </tableColumn>
    <tableColumn id="2" xr3:uid="{A0131B7C-97EE-4E53-B200-610A10E2DCCE}" name="Initial Amount" totalsRowFunction="custom" dataDxfId="158" totalsRowDxfId="157">
      <totalsRowFormula xml:space="preserve"> SUM(Funds09[Initial Amount])</totalsRowFormula>
    </tableColumn>
    <tableColumn id="6" xr3:uid="{AC54FCF4-102A-420A-9607-73E07A898973}" name="Income" dataDxfId="156" totalsRowDxfId="155">
      <calculatedColumnFormula>SUMIF(Offering09[Category], "G*",Offering09[Amount])</calculatedColumnFormula>
    </tableColumn>
    <tableColumn id="3" xr3:uid="{0425983C-6738-4215-9E75-2C13E49DF9E7}" name="Expense" totalsRowFunction="custom" dataDxfId="154" totalsRowDxfId="153">
      <totalsRowFormula xml:space="preserve"> SUM(Funds09[Expense])</totalsRowFormula>
    </tableColumn>
    <tableColumn id="4" xr3:uid="{34DBA741-B928-4A71-9A0A-2E92A0DE3B53}" name="End of Month Amount" totalsRowFunction="custom" dataDxfId="152" totalsRowDxfId="151">
      <calculatedColumnFormula xml:space="preserve"> Funds09[[#This Row],[Initial Amount]] + Funds09[[#This Row],[Income]] - Funds09[[#This Row],[Expense]]</calculatedColumnFormula>
      <totalsRowFormula xml:space="preserve"> SUM(Funds09[End of Month Amount])</totalsRow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0FF923C-22E1-4CBD-941C-271EFA60D87B}" name="BankAccounts09" displayName="BankAccounts09" ref="A16:F24" totalsRowCount="1" headerRowDxfId="150" dataDxfId="149">
  <autoFilter ref="A16:F23" xr:uid="{D1ECC707-23D5-4417-9A75-E5D975C58AE4}"/>
  <tableColumns count="6">
    <tableColumn id="1" xr3:uid="{DE4C7F1D-8345-47CA-A04F-3F797AB6A6ED}" name="Bank Accounts" dataDxfId="148" totalsRowDxfId="147"/>
    <tableColumn id="2" xr3:uid="{7A31D861-FB00-4FD0-8118-95EAC33FC5C6}" name="Initial Balance (Auto Calculated)" totalsRowFunction="custom" dataDxfId="146" totalsRowDxfId="145">
      <calculatedColumnFormula xml:space="preserve"> VLOOKUP(A17, BankAccounts08[], 6, FALSE)</calculatedColumnFormula>
      <totalsRowFormula xml:space="preserve"> SUM(B17:B21) + B22 - B23</totalsRowFormula>
    </tableColumn>
    <tableColumn id="3" xr3:uid="{D88766EE-0F17-455E-AF41-F93274FE6A9A}" name="Initial Balance" totalsRowFunction="custom" dataDxfId="144" totalsRowDxfId="143">
      <totalsRowFormula xml:space="preserve"> SUM(C17:C21) - C23</totalsRowFormula>
    </tableColumn>
    <tableColumn id="4" xr3:uid="{DF69F3E8-EAF7-47B2-A0AC-B59DD362F0A6}" name="Increase" dataDxfId="142" totalsRowDxfId="141">
      <calculatedColumnFormula>SUMIF(Offering09[Category], "*",Offering09[Amount])</calculatedColumnFormula>
    </tableColumn>
    <tableColumn id="5" xr3:uid="{70F1D808-DACA-4AA7-B0F6-A7C4AF5A6098}" name="Decrease" dataDxfId="140" totalsRowDxfId="139">
      <calculatedColumnFormula>SUMIF(Expenses09[Paid/Cashed ?], "Y",Expenses09[Amount]) + SUMIF(InitialOutstandingPayments09[Paid ?], "Y",InitialOutstandingPayments09[Amount])</calculatedColumnFormula>
    </tableColumn>
    <tableColumn id="6" xr3:uid="{3C11596F-A9E6-40B7-A45B-A768625EF07B}" name="End of Month Amount" totalsRowFunction="custom" dataDxfId="138" totalsRowDxfId="137">
      <calculatedColumnFormula xml:space="preserve"> BankAccounts09[[#This Row],[Initial Balance]] + BankAccounts09[[#This Row],[Increase]] - BankAccounts09[[#This Row],[Decrease]]</calculatedColumnFormula>
      <totalsRowFormula xml:space="preserve"> SUM(F17:F21) + F22 - F23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B3C71E-ACD4-481E-BD24-63D92D120EFB}" name="JanInitialOutstandingPayment" displayName="JanInitialOutstandingPayment" ref="A27:C35" totalsRowShown="0" headerRowDxfId="563" dataDxfId="562">
  <autoFilter ref="A27:C35" xr:uid="{186668D2-E4AF-481E-B043-4C6273C2FA6B}"/>
  <tableColumns count="3">
    <tableColumn id="1" xr3:uid="{557A0B24-293B-4023-BF12-99B50DA0991B}" name="Checks/Description" dataDxfId="561" totalsRowDxfId="560"/>
    <tableColumn id="2" xr3:uid="{391F1F94-6C0E-49C3-9E46-7A5C98C404A7}" name="Amount" dataDxfId="559" totalsRowDxfId="558"/>
    <tableColumn id="3" xr3:uid="{5098E61A-2034-415B-BF41-B2A47FF67FCE}" name="Paid ?" dataCellStyle="Bad" totalsRowCellStyle="Bad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40575BB-AF3C-462E-B9B6-5461DC002356}" name="Expenses09" displayName="Expenses09" ref="A44:F56" totalsRowShown="0" headerRowDxfId="136" dataDxfId="135">
  <autoFilter ref="A44:F56" xr:uid="{9F75CD62-B83E-4011-B059-8A526A65B729}"/>
  <tableColumns count="6">
    <tableColumn id="1" xr3:uid="{56D33ED4-243B-47AC-A9FD-945DDC37DD27}" name="Date" dataDxfId="134"/>
    <tableColumn id="2" xr3:uid="{294E28AD-FDEB-444B-8421-5B63F08C43AD}" name="Description" dataDxfId="133"/>
    <tableColumn id="3" xr3:uid="{C129E1A6-56A5-4B12-9451-07E160A5DE99}" name="Category" dataDxfId="132"/>
    <tableColumn id="7" xr3:uid="{C46290ED-1E6A-435A-8947-C2A533B6B6E1}" name="Check #" dataDxfId="131"/>
    <tableColumn id="4" xr3:uid="{32BC537D-46B4-4036-B22C-50A1C7D0739B}" name="Amount" dataDxfId="130"/>
    <tableColumn id="6" xr3:uid="{5EE24B77-F27F-47BC-9CA9-8819ECD748BA}" name="Paid/Cashed ?" dataCellStyle="Bad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8B3A79B-0AD9-4F81-92CD-36BD7BE45C36}" name="Offering09" displayName="Offering09" ref="A60:F62" totalsRowShown="0" headerRowDxfId="129" dataDxfId="128">
  <autoFilter ref="A60:F62" xr:uid="{D2CF5E13-C8CF-400A-B637-0F5922CB0791}"/>
  <tableColumns count="6">
    <tableColumn id="1" xr3:uid="{AF4FD606-889E-4F04-ABE1-A6F07DDEB17F}" name="Date" dataDxfId="127"/>
    <tableColumn id="2" xr3:uid="{0241DDC4-68DB-417F-B884-B10F1BDF553B}" name="Category" dataDxfId="126"/>
    <tableColumn id="3" xr3:uid="{49BBB4BF-7A0D-41CE-9E30-B1A38154749E}" name="Amount" dataDxfId="125"/>
    <tableColumn id="5" xr3:uid="{72AFD723-CCA6-4D6C-86AC-63E85A203E79}" name="Bank Account" dataDxfId="124"/>
    <tableColumn id="4" xr3:uid="{26AA7569-59E8-42AE-9871-9EAD48C8D216}" name="Deposit ?" dataCellStyle="Bad"/>
    <tableColumn id="6" xr3:uid="{F64F36DE-51B9-485F-AF86-0C2ABB19AA66}" name="Commnet" dataDxfId="123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EACDB534-E194-4E81-94CD-ED6493900853}" name="InitialOutstandingPayments09" displayName="InitialOutstandingPayments09" ref="A27:C41" totalsRowCount="1" headerRowDxfId="122" dataDxfId="121">
  <autoFilter ref="A27:C40" xr:uid="{186668D2-E4AF-481E-B043-4C6273C2FA6B}"/>
  <sortState ref="A28:C40">
    <sortCondition descending="1" ref="A27:A40"/>
  </sortState>
  <tableColumns count="3">
    <tableColumn id="1" xr3:uid="{BD90FDE9-C150-43C2-B8EE-044FB515238F}" name="Checks/Description" dataDxfId="120" totalsRowDxfId="119"/>
    <tableColumn id="2" xr3:uid="{BB4648D5-0F64-4613-984C-EAA0497B5D31}" name="Amount" totalsRowFunction="custom" dataDxfId="118" totalsRowDxfId="117">
      <totalsRowFormula xml:space="preserve"> SUM(InitialOutstandingPayments09[Amount])</totalsRowFormula>
    </tableColumn>
    <tableColumn id="3" xr3:uid="{484ECAE5-E38B-4761-85E3-6ADEA12CF2FE}" name="Paid ?" totalsRowDxfId="116" dataCellStyle="Bad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C225D0ED-29E4-49D2-9FE9-E7C4ED14D8FF}" name="InitialIncomeToDeposit09" displayName="InitialIncomeToDeposit09" ref="E27:G33" totalsRowCount="1">
  <autoFilter ref="E27:G32" xr:uid="{1CA9841F-E247-4375-83BC-4A5433A44B3A}"/>
  <tableColumns count="3">
    <tableColumn id="1" xr3:uid="{5A866A95-DA97-4F97-BD76-0C35C76582CE}" name="Description" dataDxfId="115" totalsRowDxfId="114"/>
    <tableColumn id="2" xr3:uid="{DD504433-4DF9-4594-8E68-11D76BB41C79}" name="Amount" totalsRowFunction="custom" dataDxfId="113" totalsRowDxfId="112">
      <totalsRowFormula xml:space="preserve"> SUM(InitialIncomeToDeposit09[Amount])</totalsRowFormula>
    </tableColumn>
    <tableColumn id="3" xr3:uid="{79975469-AE20-4C07-AE70-890C973D1A34}" name="Deposit ?" dataDxfId="111" totalsRowDxfId="11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4AB557A-C542-4A7E-81E1-24833317DFA7}" name="Table91623303744515865" displayName="Table91623303744515865" ref="I18:M21" totalsRowShown="0" headerRowDxfId="109" dataDxfId="108">
  <autoFilter ref="I18:M21" xr:uid="{1C509EE9-5D71-41DA-B295-D25BA1E66C93}"/>
  <tableColumns count="5">
    <tableColumn id="1" xr3:uid="{AA43F095-949E-448C-B982-A534FF68D57F}" name="CD" dataDxfId="107"/>
    <tableColumn id="2" xr3:uid="{8C509652-08F5-4F7D-A158-679197618F35}" name="APY" dataDxfId="106"/>
    <tableColumn id="3" xr3:uid="{2BBF6C5C-EBE4-4333-ACE5-F19B640AC60C}" name="Interest YTD as of 7/28"/>
    <tableColumn id="4" xr3:uid="{57EA68F8-FD23-4339-9850-702CF65D3D49}" name="Amount as of 7/28" dataDxfId="105"/>
    <tableColumn id="5" xr3:uid="{12D86FE5-483E-4DE7-937F-18AA556F4FED}" name="Marturity Date" dataDxfId="104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D8047BE7-CBB8-49CD-8DF3-F216AA9D01EF}" name="Table65" displayName="Table65" ref="A2:C33" totalsRowShown="0" tableBorderDxfId="103">
  <autoFilter ref="A2:C33" xr:uid="{9CB97035-C41F-4BD9-B82A-098554D7F5C7}"/>
  <sortState ref="A3:C33">
    <sortCondition ref="B2:B33"/>
  </sortState>
  <tableColumns count="3">
    <tableColumn id="1" xr3:uid="{56DB253B-4CCF-4851-A337-EE4D66D624FA}" name="Date" dataDxfId="102"/>
    <tableColumn id="2" xr3:uid="{CC47C870-A467-4226-84E7-3591853D12D8}" name="Fund" dataDxfId="101"/>
    <tableColumn id="3" xr3:uid="{74181A2A-20EA-48EF-93A3-46C4ACACCA9C}" name="Amount" dataDxfId="100"/>
  </tableColumns>
  <tableStyleInfo name="TableStyleMedium15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AA8E699-323B-4EC4-BADE-7E2B0F13F28A}" name="Table66" displayName="Table66" ref="L2:P93" totalsRowShown="0" dataDxfId="99" tableBorderDxfId="98">
  <autoFilter ref="L2:P93" xr:uid="{C922CD53-C1AA-49B7-9756-1BB688659F28}"/>
  <sortState ref="L3:P93">
    <sortCondition ref="N2:N93"/>
  </sortState>
  <tableColumns count="5">
    <tableColumn id="1" xr3:uid="{C2AD2753-56B3-4E85-A789-85728DC861ED}" name="Date" dataDxfId="97"/>
    <tableColumn id="2" xr3:uid="{972DC586-5475-4F11-86A7-D0AB3413D7C4}" name="Desc" dataDxfId="96"/>
    <tableColumn id="3" xr3:uid="{34F22107-C714-417C-B0AA-E25CA91D9EC6}" name="Fund/Department" dataDxfId="95"/>
    <tableColumn id="4" xr3:uid="{D3222530-BB92-4735-A2CF-1BE361EA769C}" name="Column1" dataDxfId="94"/>
    <tableColumn id="5" xr3:uid="{E7EC67EF-6737-4F51-A977-1BA6B3D51496}" name="Amount" dataDxfId="93"/>
  </tableColumns>
  <tableStyleInfo name="TableStyleMedium15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E7C850D4-0F14-4625-9001-162639D3E1F6}" name="Table67" displayName="Table67" ref="A3:H9" totalsRowShown="0">
  <autoFilter ref="A3:H9" xr:uid="{BE0BA057-FD0E-409A-8C52-1646DA875CF6}"/>
  <tableColumns count="8">
    <tableColumn id="1" xr3:uid="{964C335C-E6B7-4D3A-BE51-C559242810B2}" name="Year-End" dataDxfId="7"/>
    <tableColumn id="2" xr3:uid="{FBBF7376-AFE4-4267-874C-F8D08FF344BB}" name="General" dataDxfId="6"/>
    <tableColumn id="3" xr3:uid="{CB884A2F-3C23-4D19-91F2-B1403A756EA5}" name="Building" dataDxfId="5"/>
    <tableColumn id="4" xr3:uid="{12CA45A1-3831-40E3-8D56-B1794D9FD2E0}" name="Mission" dataDxfId="4"/>
    <tableColumn id="5" xr3:uid="{DC2E923E-8D3A-4C93-8719-B634412D09F5}" name="English" dataDxfId="3"/>
    <tableColumn id="6" xr3:uid="{CF78EF2B-5E85-40D5-9015-9782AE6D7473}" name="Loving" dataDxfId="2"/>
    <tableColumn id="7" xr3:uid="{96531A51-6104-43A2-85BF-C71B215D37F0}" name="Outreach" dataDxfId="1"/>
    <tableColumn id="8" xr3:uid="{09450D03-1B35-4417-A1E3-374797220063}" name="Total" dataDxfId="0">
      <calculatedColumnFormula xml:space="preserve"> SUM(B4:G4)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D12A58-1528-42E6-9467-92FC32CA4153}" name="JanInitialIcomeToDeposit" displayName="JanInitialIcomeToDeposit" ref="E27:G30" totalsRowShown="0">
  <autoFilter ref="E27:G30" xr:uid="{1CA9841F-E247-4375-83BC-4A5433A44B3A}"/>
  <tableColumns count="3">
    <tableColumn id="1" xr3:uid="{E24E3DC2-F51B-4359-B42F-847D8CF4D3EA}" name="Description" dataDxfId="557"/>
    <tableColumn id="2" xr3:uid="{5B009BAE-9B29-4ACA-BBDB-0D0DEC90E67F}" name="Amount" dataDxfId="556"/>
    <tableColumn id="3" xr3:uid="{3AB769B5-3AFD-446E-B448-5143797B675F}" name="Deposit ?" dataDxfId="5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5DDDFD-9CB3-4478-9A00-FC174905E83A}" name="Table9" displayName="Table9" ref="I18:M21" totalsRowShown="0" headerRowDxfId="554" dataDxfId="553">
  <autoFilter ref="I18:M21" xr:uid="{1C509EE9-5D71-41DA-B295-D25BA1E66C93}"/>
  <tableColumns count="5">
    <tableColumn id="1" xr3:uid="{49B44E75-DB91-4326-A7D1-1CD0E86EF2BA}" name="CD" dataDxfId="552"/>
    <tableColumn id="2" xr3:uid="{BDCE0115-1C1B-4160-8A8E-161263102BCE}" name="APY" dataDxfId="551"/>
    <tableColumn id="3" xr3:uid="{7D5D8029-E6C2-4288-AD3A-F5585DBB6D52}" name="Interest YTD as of 7/28"/>
    <tableColumn id="4" xr3:uid="{4A6AD06D-9059-4863-8700-06A189350B4B}" name="Amount as of 7/28" dataDxfId="550"/>
    <tableColumn id="5" xr3:uid="{C54CB59C-9936-4E4D-8BDE-CD67F06BD0BD}" name="Marturity Date" dataDxfId="5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400500-A634-4482-BC45-724CC5E998C7}" name="Funds02" displayName="Funds02" ref="A4:F13" totalsRowCount="1" headerRowDxfId="548" dataDxfId="547">
  <autoFilter ref="A4:F12" xr:uid="{90FA95AC-1583-4D98-8CFB-FA00A79B05F1}"/>
  <tableColumns count="6">
    <tableColumn id="1" xr3:uid="{0BFB1BB8-81F6-4CC7-8351-3CC7D0E2498E}" name="Assets/Funds" dataDxfId="546" totalsRowDxfId="545"/>
    <tableColumn id="5" xr3:uid="{FBDCA262-C33D-43DA-A4FA-2A9583014914}" name="Initial Amount (Auto Calculated)" totalsRowFunction="custom" dataDxfId="544" totalsRowDxfId="543">
      <totalsRowFormula xml:space="preserve"> SUM(Funds02[Initial Amount (Auto Calculated)])</totalsRowFormula>
    </tableColumn>
    <tableColumn id="2" xr3:uid="{880D5589-BFD8-49D2-93EC-B534B27F1058}" name="Initial Amount" totalsRowFunction="custom" dataDxfId="542" totalsRowDxfId="541">
      <totalsRowFormula xml:space="preserve"> SUM(Funds02[Initial Amount])</totalsRowFormula>
    </tableColumn>
    <tableColumn id="6" xr3:uid="{75646C99-0658-43F0-BF16-B62B5C477C22}" name="Income" dataDxfId="540" totalsRowDxfId="539">
      <calculatedColumnFormula>SUMIF(Offering02[Category], "G*",Offering02[Amount])</calculatedColumnFormula>
    </tableColumn>
    <tableColumn id="3" xr3:uid="{69843634-1B69-4E71-8D19-38C78F638831}" name="Expense" totalsRowFunction="custom" dataDxfId="538" totalsRowDxfId="537">
      <totalsRowFormula xml:space="preserve"> SUM(Funds02[Expense])</totalsRowFormula>
    </tableColumn>
    <tableColumn id="4" xr3:uid="{FFEAA38C-2695-45A2-BA65-B9902D8F80E4}" name="End of Month Amount" totalsRowFunction="custom" dataDxfId="536" totalsRowDxfId="535">
      <calculatedColumnFormula xml:space="preserve"> Funds02[[#This Row],[Initial Amount]] + Funds02[[#This Row],[Income]] - Funds02[[#This Row],[Expense]]</calculatedColumnFormula>
      <totalsRowFormula xml:space="preserve"> SUM(Funds02[End of Month Amount])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0.xml"/><Relationship Id="rId3" Type="http://schemas.openxmlformats.org/officeDocument/2006/relationships/table" Target="../tables/table45.xml"/><Relationship Id="rId7" Type="http://schemas.openxmlformats.org/officeDocument/2006/relationships/table" Target="../tables/table49.xml"/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55.xml"/><Relationship Id="rId5" Type="http://schemas.openxmlformats.org/officeDocument/2006/relationships/table" Target="../tables/table54.xml"/><Relationship Id="rId4" Type="http://schemas.openxmlformats.org/officeDocument/2006/relationships/table" Target="../tables/table5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3" Type="http://schemas.openxmlformats.org/officeDocument/2006/relationships/table" Target="../tables/table59.xml"/><Relationship Id="rId7" Type="http://schemas.openxmlformats.org/officeDocument/2006/relationships/table" Target="../tables/table63.xml"/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62.xml"/><Relationship Id="rId5" Type="http://schemas.openxmlformats.org/officeDocument/2006/relationships/table" Target="../tables/table61.xml"/><Relationship Id="rId4" Type="http://schemas.openxmlformats.org/officeDocument/2006/relationships/table" Target="../tables/table6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6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3.xml"/><Relationship Id="rId3" Type="http://schemas.openxmlformats.org/officeDocument/2006/relationships/table" Target="../tables/table38.xml"/><Relationship Id="rId7" Type="http://schemas.openxmlformats.org/officeDocument/2006/relationships/table" Target="../tables/table42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41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C324-4D2B-4897-A98B-253F455EE227}">
  <dimension ref="A1:N66"/>
  <sheetViews>
    <sheetView topLeftCell="A30" workbookViewId="0">
      <selection activeCell="D79" sqref="D79"/>
    </sheetView>
  </sheetViews>
  <sheetFormatPr defaultRowHeight="14.4"/>
  <cols>
    <col min="1" max="1" width="20.83984375" customWidth="1"/>
    <col min="2" max="2" width="22" customWidth="1"/>
    <col min="3" max="3" width="51.3671875" customWidth="1"/>
    <col min="4" max="4" width="42.05078125" customWidth="1"/>
    <col min="5" max="5" width="35.578125" customWidth="1"/>
    <col min="9" max="9" width="25.578125" customWidth="1"/>
    <col min="14" max="14" width="49.89453125" customWidth="1"/>
  </cols>
  <sheetData>
    <row r="1" spans="1:9" s="21" customFormat="1" ht="15.6">
      <c r="A1" s="19" t="s">
        <v>1</v>
      </c>
      <c r="B1" s="17" t="s">
        <v>0</v>
      </c>
      <c r="C1" s="18" t="s">
        <v>149</v>
      </c>
      <c r="D1" s="19" t="s">
        <v>2</v>
      </c>
      <c r="E1" s="20" t="s">
        <v>140</v>
      </c>
    </row>
    <row r="2" spans="1:9" ht="15.6">
      <c r="A2" s="5" t="s">
        <v>12</v>
      </c>
      <c r="B2" s="10" t="s">
        <v>11</v>
      </c>
      <c r="C2" s="2" t="str">
        <f t="shared" ref="C2:C33" si="0">CONCATENATE(E2, "-", A2, "-", B2, "-", D2)</f>
        <v>B-B1-Building-Miscellaneous Church property</v>
      </c>
      <c r="D2" s="5" t="s">
        <v>13</v>
      </c>
      <c r="E2" s="14" t="s">
        <v>14</v>
      </c>
    </row>
    <row r="3" spans="1:9" ht="15.6">
      <c r="A3" s="5" t="s">
        <v>15</v>
      </c>
      <c r="B3" s="10" t="s">
        <v>11</v>
      </c>
      <c r="C3" s="2" t="str">
        <f t="shared" si="0"/>
        <v>B-B2-Building-Library Books</v>
      </c>
      <c r="D3" s="5" t="s">
        <v>16</v>
      </c>
      <c r="E3" s="14" t="s">
        <v>14</v>
      </c>
    </row>
    <row r="4" spans="1:9" ht="15.6">
      <c r="A4" s="5" t="s">
        <v>17</v>
      </c>
      <c r="B4" s="10" t="s">
        <v>11</v>
      </c>
      <c r="C4" s="2" t="str">
        <f t="shared" si="0"/>
        <v>B-B3-Building-Hymn Books</v>
      </c>
      <c r="D4" s="5" t="s">
        <v>18</v>
      </c>
      <c r="E4" s="14" t="s">
        <v>14</v>
      </c>
    </row>
    <row r="5" spans="1:9" ht="15.6">
      <c r="A5" s="5" t="s">
        <v>19</v>
      </c>
      <c r="B5" s="10" t="s">
        <v>11</v>
      </c>
      <c r="C5" s="2" t="str">
        <f t="shared" si="0"/>
        <v>B-B4-Building-School Rent</v>
      </c>
      <c r="D5" s="5" t="s">
        <v>20</v>
      </c>
      <c r="E5" s="14" t="s">
        <v>14</v>
      </c>
    </row>
    <row r="6" spans="1:9" ht="15.6">
      <c r="A6" s="4" t="s">
        <v>21</v>
      </c>
      <c r="B6" s="10" t="s">
        <v>11</v>
      </c>
      <c r="C6" s="2" t="str">
        <f t="shared" si="0"/>
        <v>B-B5-Building-Building search fee</v>
      </c>
      <c r="D6" s="4" t="s">
        <v>22</v>
      </c>
      <c r="E6" s="14" t="s">
        <v>14</v>
      </c>
    </row>
    <row r="7" spans="1:9" ht="15.6">
      <c r="A7" s="4" t="s">
        <v>23</v>
      </c>
      <c r="B7" s="10" t="s">
        <v>11</v>
      </c>
      <c r="C7" s="2" t="str">
        <f t="shared" si="0"/>
        <v>B-B6-Building-Storage Rental</v>
      </c>
      <c r="D7" s="4" t="s">
        <v>24</v>
      </c>
      <c r="E7" s="14" t="s">
        <v>14</v>
      </c>
    </row>
    <row r="8" spans="1:9" ht="15.6">
      <c r="A8" s="3" t="s">
        <v>120</v>
      </c>
      <c r="B8" s="13" t="s">
        <v>119</v>
      </c>
      <c r="C8" s="2" t="str">
        <f t="shared" si="0"/>
        <v>ECR-ECR-Transfering -East Coat Retreat</v>
      </c>
      <c r="D8" s="3" t="s">
        <v>121</v>
      </c>
      <c r="E8" s="14" t="s">
        <v>120</v>
      </c>
    </row>
    <row r="9" spans="1:9" ht="15.6">
      <c r="A9" s="1" t="s">
        <v>50</v>
      </c>
      <c r="B9" s="9" t="s">
        <v>49</v>
      </c>
      <c r="C9" s="2" t="str">
        <f t="shared" si="0"/>
        <v>EN-EN1-English Mission-English Mission</v>
      </c>
      <c r="D9" s="1" t="s">
        <v>49</v>
      </c>
      <c r="E9" s="14" t="s">
        <v>51</v>
      </c>
    </row>
    <row r="10" spans="1:9" ht="15.6">
      <c r="A10" s="1" t="s">
        <v>52</v>
      </c>
      <c r="B10" s="9" t="s">
        <v>49</v>
      </c>
      <c r="C10" s="2" t="str">
        <f t="shared" si="0"/>
        <v>EN-EN2-English Mission-Young adult fellowship</v>
      </c>
      <c r="D10" s="6" t="s">
        <v>53</v>
      </c>
      <c r="E10" s="14" t="s">
        <v>51</v>
      </c>
      <c r="I10" t="str">
        <f xml:space="preserve"> VLOOKUP(A2, ExpenseCategory[], 3, FALSE)</f>
        <v>B-B1-Building-Miscellaneous Church property</v>
      </c>
    </row>
    <row r="11" spans="1:9" ht="15.6">
      <c r="A11" s="1" t="s">
        <v>54</v>
      </c>
      <c r="B11" s="9" t="s">
        <v>49</v>
      </c>
      <c r="C11" s="2" t="str">
        <f t="shared" si="0"/>
        <v>EN-EN3-English Mission-Youth program activity</v>
      </c>
      <c r="D11" s="6" t="s">
        <v>55</v>
      </c>
      <c r="E11" s="14" t="s">
        <v>51</v>
      </c>
    </row>
    <row r="12" spans="1:9" ht="15.6">
      <c r="A12" s="1" t="s">
        <v>4</v>
      </c>
      <c r="B12" s="9" t="s">
        <v>3</v>
      </c>
      <c r="C12" s="2" t="str">
        <f t="shared" si="0"/>
        <v>G-A1-Accounting-General (Stamps/Miscellaneous)</v>
      </c>
      <c r="D12" s="1" t="s">
        <v>5</v>
      </c>
      <c r="E12" s="14" t="s">
        <v>6</v>
      </c>
    </row>
    <row r="13" spans="1:9" ht="15.6">
      <c r="A13" s="1" t="s">
        <v>7</v>
      </c>
      <c r="B13" s="9" t="s">
        <v>3</v>
      </c>
      <c r="C13" s="2" t="str">
        <f t="shared" si="0"/>
        <v>G-A2-Accounting-Tithe to General Assembly</v>
      </c>
      <c r="D13" s="1" t="s">
        <v>8</v>
      </c>
      <c r="E13" s="14" t="s">
        <v>6</v>
      </c>
    </row>
    <row r="14" spans="1:9" ht="15.6">
      <c r="A14" s="1" t="s">
        <v>9</v>
      </c>
      <c r="B14" s="9" t="s">
        <v>3</v>
      </c>
      <c r="C14" s="2" t="str">
        <f t="shared" si="0"/>
        <v>G-A3-Accounting-Insurance</v>
      </c>
      <c r="D14" s="1" t="s">
        <v>10</v>
      </c>
      <c r="E14" s="14" t="s">
        <v>6</v>
      </c>
    </row>
    <row r="15" spans="1:9" ht="15.6">
      <c r="A15" s="1" t="s">
        <v>26</v>
      </c>
      <c r="B15" s="9" t="s">
        <v>25</v>
      </c>
      <c r="C15" s="2" t="str">
        <f t="shared" si="0"/>
        <v>G-C1-Care/Fellowship-General (Card)</v>
      </c>
      <c r="D15" s="1" t="s">
        <v>27</v>
      </c>
      <c r="E15" s="14" t="s">
        <v>6</v>
      </c>
    </row>
    <row r="16" spans="1:9" ht="15.6">
      <c r="A16" s="1" t="s">
        <v>28</v>
      </c>
      <c r="B16" s="9" t="s">
        <v>25</v>
      </c>
      <c r="C16" s="2" t="str">
        <f t="shared" si="0"/>
        <v>G-C2-Care/Fellowship-Janitor Gift</v>
      </c>
      <c r="D16" s="1" t="s">
        <v>29</v>
      </c>
      <c r="E16" s="14" t="s">
        <v>6</v>
      </c>
    </row>
    <row r="17" spans="1:14" ht="15.6">
      <c r="A17" s="1" t="s">
        <v>30</v>
      </c>
      <c r="B17" s="9" t="s">
        <v>25</v>
      </c>
      <c r="C17" s="2" t="str">
        <f t="shared" si="0"/>
        <v>G-C3-Care/Fellowship-Co-worker fellowship</v>
      </c>
      <c r="D17" s="1" t="s">
        <v>31</v>
      </c>
      <c r="E17" s="14" t="s">
        <v>6</v>
      </c>
    </row>
    <row r="18" spans="1:14" ht="15.6">
      <c r="A18" s="1" t="s">
        <v>32</v>
      </c>
      <c r="B18" s="9" t="s">
        <v>25</v>
      </c>
      <c r="C18" s="2" t="str">
        <f t="shared" si="0"/>
        <v>G-C4-Care/Fellowship-Cell group fellowship</v>
      </c>
      <c r="D18" s="1" t="s">
        <v>33</v>
      </c>
      <c r="E18" s="14" t="s">
        <v>6</v>
      </c>
    </row>
    <row r="19" spans="1:14" ht="15.6">
      <c r="A19" s="1" t="s">
        <v>35</v>
      </c>
      <c r="B19" s="9" t="s">
        <v>34</v>
      </c>
      <c r="C19" s="2" t="str">
        <f t="shared" si="0"/>
        <v>G-ED1-Education-Sunday School Material</v>
      </c>
      <c r="D19" s="1" t="s">
        <v>36</v>
      </c>
      <c r="E19" s="14" t="s">
        <v>6</v>
      </c>
    </row>
    <row r="20" spans="1:14" ht="15.6">
      <c r="A20" s="1" t="s">
        <v>37</v>
      </c>
      <c r="B20" s="9" t="s">
        <v>34</v>
      </c>
      <c r="C20" s="2" t="str">
        <f t="shared" si="0"/>
        <v>G-ED2-Education-Craft</v>
      </c>
      <c r="D20" s="1" t="s">
        <v>38</v>
      </c>
      <c r="E20" s="14" t="s">
        <v>6</v>
      </c>
    </row>
    <row r="21" spans="1:14" ht="15.6">
      <c r="A21" s="1" t="s">
        <v>39</v>
      </c>
      <c r="B21" s="9" t="s">
        <v>34</v>
      </c>
      <c r="C21" s="2" t="str">
        <f t="shared" si="0"/>
        <v xml:space="preserve">G-ED3-Education-Sunday school gifts </v>
      </c>
      <c r="D21" s="1" t="s">
        <v>40</v>
      </c>
      <c r="E21" s="14" t="s">
        <v>6</v>
      </c>
    </row>
    <row r="22" spans="1:14" ht="15.6">
      <c r="A22" s="1" t="s">
        <v>41</v>
      </c>
      <c r="B22" s="9" t="s">
        <v>34</v>
      </c>
      <c r="C22" s="2" t="str">
        <f t="shared" si="0"/>
        <v>G-ED4-Education-Conference(workshop, 1/2 registration fee)</v>
      </c>
      <c r="D22" s="1" t="s">
        <v>42</v>
      </c>
      <c r="E22" s="14" t="s">
        <v>6</v>
      </c>
    </row>
    <row r="23" spans="1:14" ht="15.6">
      <c r="A23" s="1" t="s">
        <v>43</v>
      </c>
      <c r="B23" s="9" t="s">
        <v>34</v>
      </c>
      <c r="C23" s="2" t="str">
        <f t="shared" si="0"/>
        <v xml:space="preserve">G-ED5-Education-EFCBC Retreat </v>
      </c>
      <c r="D23" s="1" t="s">
        <v>44</v>
      </c>
      <c r="E23" s="14" t="s">
        <v>6</v>
      </c>
    </row>
    <row r="24" spans="1:14" ht="15.6">
      <c r="A24" s="1" t="s">
        <v>45</v>
      </c>
      <c r="B24" s="9" t="s">
        <v>34</v>
      </c>
      <c r="C24" s="2" t="str">
        <f t="shared" si="0"/>
        <v>G-ED6-Education-</v>
      </c>
      <c r="D24" s="1"/>
      <c r="E24" s="14" t="s">
        <v>6</v>
      </c>
    </row>
    <row r="25" spans="1:14" ht="15.6">
      <c r="A25" s="1" t="s">
        <v>46</v>
      </c>
      <c r="B25" s="9" t="s">
        <v>34</v>
      </c>
      <c r="C25" s="2" t="str">
        <f t="shared" si="0"/>
        <v>G-ED7-Education-</v>
      </c>
      <c r="D25" s="1"/>
      <c r="E25" s="14" t="s">
        <v>6</v>
      </c>
    </row>
    <row r="26" spans="1:14" ht="15.6">
      <c r="A26" s="1" t="s">
        <v>47</v>
      </c>
      <c r="B26" s="9" t="s">
        <v>34</v>
      </c>
      <c r="C26" s="2" t="str">
        <f t="shared" si="0"/>
        <v>G-ED8-Education-Discipleship Training</v>
      </c>
      <c r="D26" s="1" t="s">
        <v>48</v>
      </c>
      <c r="E26" s="14" t="s">
        <v>6</v>
      </c>
    </row>
    <row r="27" spans="1:14" ht="15.6">
      <c r="A27" s="1" t="s">
        <v>57</v>
      </c>
      <c r="B27" s="9" t="s">
        <v>56</v>
      </c>
      <c r="C27" s="2" t="str">
        <f t="shared" si="0"/>
        <v>G-G1-General Affairs-General (Utensil)</v>
      </c>
      <c r="D27" s="1" t="s">
        <v>58</v>
      </c>
      <c r="E27" s="14" t="s">
        <v>6</v>
      </c>
    </row>
    <row r="28" spans="1:14" ht="15.6">
      <c r="A28" s="1" t="s">
        <v>59</v>
      </c>
      <c r="B28" s="9" t="s">
        <v>56</v>
      </c>
      <c r="C28" s="2" t="str">
        <f t="shared" si="0"/>
        <v>G-G2-General Affairs-Lunch (Catering, Rice, Drink)</v>
      </c>
      <c r="D28" s="1" t="s">
        <v>60</v>
      </c>
      <c r="E28" s="14" t="s">
        <v>6</v>
      </c>
      <c r="N28" t="s">
        <v>150</v>
      </c>
    </row>
    <row r="29" spans="1:14" ht="15.6">
      <c r="A29" s="1" t="s">
        <v>61</v>
      </c>
      <c r="B29" s="9" t="s">
        <v>56</v>
      </c>
      <c r="C29" s="2" t="str">
        <f t="shared" si="0"/>
        <v>G-G3-General Affairs-Outdoor Service</v>
      </c>
      <c r="D29" s="1" t="s">
        <v>62</v>
      </c>
      <c r="E29" s="14" t="s">
        <v>6</v>
      </c>
    </row>
    <row r="30" spans="1:14" ht="15.6">
      <c r="A30" s="1" t="s">
        <v>101</v>
      </c>
      <c r="B30" s="9" t="s">
        <v>100</v>
      </c>
      <c r="C30" s="2" t="str">
        <f t="shared" si="0"/>
        <v>G-P1-Pastor Office-Appreciation</v>
      </c>
      <c r="D30" s="1" t="s">
        <v>102</v>
      </c>
      <c r="E30" s="14" t="s">
        <v>6</v>
      </c>
    </row>
    <row r="31" spans="1:14" ht="15.6">
      <c r="A31" s="1" t="s">
        <v>103</v>
      </c>
      <c r="B31" s="9" t="s">
        <v>100</v>
      </c>
      <c r="C31" s="2" t="str">
        <f t="shared" si="0"/>
        <v>G-P2-Pastor Office-Pension</v>
      </c>
      <c r="D31" s="1" t="s">
        <v>104</v>
      </c>
      <c r="E31" s="14" t="s">
        <v>6</v>
      </c>
    </row>
    <row r="32" spans="1:14" ht="15.6">
      <c r="A32" s="1" t="s">
        <v>105</v>
      </c>
      <c r="B32" s="9" t="s">
        <v>100</v>
      </c>
      <c r="C32" s="2" t="str">
        <f t="shared" si="0"/>
        <v>G-P3-Pastor Office-Bonus</v>
      </c>
      <c r="D32" s="1" t="s">
        <v>106</v>
      </c>
      <c r="E32" s="14" t="s">
        <v>6</v>
      </c>
    </row>
    <row r="33" spans="1:5" ht="15.6">
      <c r="A33" s="1" t="s">
        <v>107</v>
      </c>
      <c r="B33" s="9" t="s">
        <v>100</v>
      </c>
      <c r="C33" s="2" t="str">
        <f t="shared" si="0"/>
        <v xml:space="preserve">G-P4-Pastor Office-Gas Allowance </v>
      </c>
      <c r="D33" s="1" t="s">
        <v>108</v>
      </c>
      <c r="E33" s="14" t="s">
        <v>6</v>
      </c>
    </row>
    <row r="34" spans="1:5" ht="15.6">
      <c r="A34" s="1" t="s">
        <v>109</v>
      </c>
      <c r="B34" s="9" t="s">
        <v>100</v>
      </c>
      <c r="C34" s="2" t="str">
        <f t="shared" ref="C34:C65" si="1">CONCATENATE(E34, "-", A34, "-", B34, "-", D34)</f>
        <v xml:space="preserve">G-P5-Pastor Office-Health Insurance </v>
      </c>
      <c r="D34" s="1" t="s">
        <v>110</v>
      </c>
      <c r="E34" s="14" t="s">
        <v>6</v>
      </c>
    </row>
    <row r="35" spans="1:5" ht="15.6">
      <c r="A35" s="1" t="s">
        <v>111</v>
      </c>
      <c r="B35" s="9" t="s">
        <v>100</v>
      </c>
      <c r="C35" s="2" t="str">
        <f t="shared" si="1"/>
        <v>G-P6-Pastor Office-Education  expenses</v>
      </c>
      <c r="D35" s="1" t="s">
        <v>112</v>
      </c>
      <c r="E35" s="14" t="s">
        <v>6</v>
      </c>
    </row>
    <row r="36" spans="1:5" ht="15.6">
      <c r="A36" s="1" t="s">
        <v>113</v>
      </c>
      <c r="B36" s="9" t="s">
        <v>100</v>
      </c>
      <c r="C36" s="2" t="str">
        <f t="shared" si="1"/>
        <v>G-P7-Pastor Office-House allowance</v>
      </c>
      <c r="D36" s="1" t="s">
        <v>114</v>
      </c>
      <c r="E36" s="14" t="s">
        <v>6</v>
      </c>
    </row>
    <row r="37" spans="1:5" ht="15.6">
      <c r="A37" s="1" t="s">
        <v>115</v>
      </c>
      <c r="B37" s="9" t="s">
        <v>100</v>
      </c>
      <c r="C37" s="2" t="str">
        <f t="shared" si="1"/>
        <v>G-P8-Pastor Office-FICA and Fed Tax to GA</v>
      </c>
      <c r="D37" s="1" t="s">
        <v>116</v>
      </c>
      <c r="E37" s="14" t="s">
        <v>6</v>
      </c>
    </row>
    <row r="38" spans="1:5" ht="15.6">
      <c r="A38" s="1" t="s">
        <v>117</v>
      </c>
      <c r="B38" s="9" t="s">
        <v>100</v>
      </c>
      <c r="C38" s="2" t="str">
        <f t="shared" si="1"/>
        <v xml:space="preserve">G-P9-Pastor Office-Worker's compensation </v>
      </c>
      <c r="D38" s="1" t="s">
        <v>118</v>
      </c>
      <c r="E38" s="14" t="s">
        <v>6</v>
      </c>
    </row>
    <row r="39" spans="1:5" ht="15.6">
      <c r="A39" s="3" t="s">
        <v>122</v>
      </c>
      <c r="B39" s="13" t="s">
        <v>119</v>
      </c>
      <c r="C39" s="2" t="str">
        <f t="shared" si="1"/>
        <v xml:space="preserve">GR-GR-Transfering -Grass Root </v>
      </c>
      <c r="D39" s="3" t="s">
        <v>123</v>
      </c>
      <c r="E39" s="14" t="s">
        <v>122</v>
      </c>
    </row>
    <row r="40" spans="1:5" ht="15.6">
      <c r="A40" s="1" t="s">
        <v>130</v>
      </c>
      <c r="B40" s="9" t="s">
        <v>129</v>
      </c>
      <c r="C40" s="2" t="str">
        <f t="shared" si="1"/>
        <v>G-W1-Worship-General (Speaker)</v>
      </c>
      <c r="D40" s="1" t="s">
        <v>131</v>
      </c>
      <c r="E40" s="14" t="s">
        <v>6</v>
      </c>
    </row>
    <row r="41" spans="1:5" ht="15.6">
      <c r="A41" s="1" t="s">
        <v>132</v>
      </c>
      <c r="B41" s="9" t="s">
        <v>129</v>
      </c>
      <c r="C41" s="2" t="str">
        <f t="shared" si="1"/>
        <v>G-W2-Worship-Baptism Gift</v>
      </c>
      <c r="D41" s="1" t="s">
        <v>133</v>
      </c>
      <c r="E41" s="14" t="s">
        <v>6</v>
      </c>
    </row>
    <row r="42" spans="1:5" ht="15.6">
      <c r="A42" s="1" t="s">
        <v>134</v>
      </c>
      <c r="B42" s="9" t="s">
        <v>129</v>
      </c>
      <c r="C42" s="2" t="str">
        <f t="shared" si="1"/>
        <v>G-W3-Worship-Communion</v>
      </c>
      <c r="D42" s="1" t="s">
        <v>135</v>
      </c>
      <c r="E42" s="14" t="s">
        <v>6</v>
      </c>
    </row>
    <row r="43" spans="1:5" ht="15.6">
      <c r="A43" s="1" t="s">
        <v>136</v>
      </c>
      <c r="B43" s="9" t="s">
        <v>129</v>
      </c>
      <c r="C43" s="2" t="str">
        <f t="shared" si="1"/>
        <v>G-W4-Worship-Office Supply</v>
      </c>
      <c r="D43" s="1" t="s">
        <v>137</v>
      </c>
      <c r="E43" s="14" t="s">
        <v>6</v>
      </c>
    </row>
    <row r="44" spans="1:5" ht="15.6">
      <c r="A44" s="1" t="s">
        <v>138</v>
      </c>
      <c r="B44" s="9" t="s">
        <v>129</v>
      </c>
      <c r="C44" s="2" t="str">
        <f t="shared" si="1"/>
        <v>G-W5-Worship-CCLI License</v>
      </c>
      <c r="D44" s="1" t="s">
        <v>139</v>
      </c>
      <c r="E44" s="14" t="s">
        <v>6</v>
      </c>
    </row>
    <row r="45" spans="1:5" ht="15.6">
      <c r="A45" s="1" t="s">
        <v>64</v>
      </c>
      <c r="B45" s="11" t="s">
        <v>63</v>
      </c>
      <c r="C45" s="2" t="str">
        <f t="shared" si="1"/>
        <v>L-L1-Loving-General</v>
      </c>
      <c r="D45" s="7" t="s">
        <v>65</v>
      </c>
      <c r="E45" s="14" t="s">
        <v>66</v>
      </c>
    </row>
    <row r="46" spans="1:5" ht="15.6">
      <c r="A46" s="1" t="s">
        <v>71</v>
      </c>
      <c r="B46" s="9" t="s">
        <v>67</v>
      </c>
      <c r="C46" s="2" t="str">
        <f t="shared" si="1"/>
        <v xml:space="preserve">M-M10-Mission-Missionary support (Minister Tang) </v>
      </c>
      <c r="D46" s="1" t="s">
        <v>72</v>
      </c>
      <c r="E46" s="14" t="s">
        <v>70</v>
      </c>
    </row>
    <row r="47" spans="1:5" ht="15.6">
      <c r="A47" s="1" t="s">
        <v>73</v>
      </c>
      <c r="B47" s="9" t="s">
        <v>67</v>
      </c>
      <c r="C47" s="2" t="str">
        <f t="shared" si="1"/>
        <v>M-M11-Mission-Charity Community Service/Events</v>
      </c>
      <c r="D47" s="1" t="s">
        <v>74</v>
      </c>
      <c r="E47" s="14" t="s">
        <v>70</v>
      </c>
    </row>
    <row r="48" spans="1:5" ht="15.6">
      <c r="A48" s="1" t="s">
        <v>75</v>
      </c>
      <c r="B48" s="9" t="s">
        <v>67</v>
      </c>
      <c r="C48" s="2" t="str">
        <f t="shared" si="1"/>
        <v>M-M12-Mission-operation Christmas Child</v>
      </c>
      <c r="D48" s="1" t="s">
        <v>76</v>
      </c>
      <c r="E48" s="14" t="s">
        <v>70</v>
      </c>
    </row>
    <row r="49" spans="1:5" ht="15.6">
      <c r="A49" s="1" t="s">
        <v>77</v>
      </c>
      <c r="B49" s="9" t="s">
        <v>67</v>
      </c>
      <c r="C49" s="2" t="str">
        <f t="shared" si="1"/>
        <v>M-M13-Mission-OMF(Mcintyre)</v>
      </c>
      <c r="D49" s="1" t="s">
        <v>78</v>
      </c>
      <c r="E49" s="14" t="s">
        <v>70</v>
      </c>
    </row>
    <row r="50" spans="1:5" ht="15.6">
      <c r="A50" s="1" t="s">
        <v>79</v>
      </c>
      <c r="B50" s="9" t="s">
        <v>67</v>
      </c>
      <c r="C50" s="2" t="str">
        <f t="shared" si="1"/>
        <v>M-M14-Mission-Special Needs</v>
      </c>
      <c r="D50" s="1" t="s">
        <v>80</v>
      </c>
      <c r="E50" s="14" t="s">
        <v>70</v>
      </c>
    </row>
    <row r="51" spans="1:5" ht="15.6">
      <c r="A51" s="1" t="s">
        <v>81</v>
      </c>
      <c r="B51" s="9" t="s">
        <v>67</v>
      </c>
      <c r="C51" s="2" t="str">
        <f t="shared" si="1"/>
        <v>M-M15-Mission-Outreach event (Young Couple)</v>
      </c>
      <c r="D51" s="1" t="s">
        <v>82</v>
      </c>
      <c r="E51" s="14" t="s">
        <v>70</v>
      </c>
    </row>
    <row r="52" spans="1:5" ht="15.6">
      <c r="A52" s="1" t="s">
        <v>83</v>
      </c>
      <c r="B52" s="9" t="s">
        <v>67</v>
      </c>
      <c r="C52" s="2" t="str">
        <f t="shared" si="1"/>
        <v>M-M16-Mission-Outreach event (student)</v>
      </c>
      <c r="D52" s="1" t="s">
        <v>84</v>
      </c>
      <c r="E52" s="14" t="s">
        <v>70</v>
      </c>
    </row>
    <row r="53" spans="1:5" ht="15.6">
      <c r="A53" s="8" t="s">
        <v>68</v>
      </c>
      <c r="B53" s="12" t="s">
        <v>67</v>
      </c>
      <c r="C53" s="2" t="str">
        <f t="shared" si="1"/>
        <v>M-M1-Mission-Mission Trips</v>
      </c>
      <c r="D53" s="8" t="s">
        <v>69</v>
      </c>
      <c r="E53" s="14" t="s">
        <v>70</v>
      </c>
    </row>
    <row r="54" spans="1:5" ht="15.6">
      <c r="A54" s="1" t="s">
        <v>85</v>
      </c>
      <c r="B54" s="9" t="s">
        <v>67</v>
      </c>
      <c r="C54" s="2" t="str">
        <f t="shared" si="1"/>
        <v>M-M2-Mission-Outreach event (invitation and Thanksgiving)</v>
      </c>
      <c r="D54" s="1" t="s">
        <v>86</v>
      </c>
      <c r="E54" s="14" t="s">
        <v>70</v>
      </c>
    </row>
    <row r="55" spans="1:5" ht="15.6">
      <c r="A55" s="1" t="s">
        <v>87</v>
      </c>
      <c r="B55" s="9" t="s">
        <v>67</v>
      </c>
      <c r="C55" s="2" t="str">
        <f t="shared" si="1"/>
        <v>M-M3-Mission-EFC Retreat</v>
      </c>
      <c r="D55" s="1" t="s">
        <v>202</v>
      </c>
      <c r="E55" s="14" t="s">
        <v>70</v>
      </c>
    </row>
    <row r="56" spans="1:5" ht="15.6">
      <c r="A56" s="1" t="s">
        <v>88</v>
      </c>
      <c r="B56" s="9" t="s">
        <v>67</v>
      </c>
      <c r="C56" s="2" t="str">
        <f t="shared" si="1"/>
        <v>M-M4-Mission-Calendars</v>
      </c>
      <c r="D56" s="1" t="s">
        <v>89</v>
      </c>
      <c r="E56" s="14" t="s">
        <v>70</v>
      </c>
    </row>
    <row r="57" spans="1:5" ht="15.6">
      <c r="A57" s="1" t="s">
        <v>90</v>
      </c>
      <c r="B57" s="9" t="s">
        <v>67</v>
      </c>
      <c r="C57" s="2" t="str">
        <f t="shared" si="1"/>
        <v>M-M5-Mission-GA Meeting (Every 2 year)</v>
      </c>
      <c r="D57" s="1" t="s">
        <v>91</v>
      </c>
      <c r="E57" s="14" t="s">
        <v>70</v>
      </c>
    </row>
    <row r="58" spans="1:5" ht="15.6">
      <c r="A58" s="1" t="s">
        <v>92</v>
      </c>
      <c r="B58" s="9" t="s">
        <v>67</v>
      </c>
      <c r="C58" s="2" t="str">
        <f t="shared" si="1"/>
        <v>M-M6-Mission-Urbana (Every 3 year) / Short Term Mission</v>
      </c>
      <c r="D58" s="1" t="s">
        <v>93</v>
      </c>
      <c r="E58" s="14" t="s">
        <v>70</v>
      </c>
    </row>
    <row r="59" spans="1:5" ht="15.6">
      <c r="A59" s="1" t="s">
        <v>94</v>
      </c>
      <c r="B59" s="9" t="s">
        <v>67</v>
      </c>
      <c r="C59" s="2" t="str">
        <f t="shared" si="1"/>
        <v>M-M7-Mission-EFC New Church Gifts</v>
      </c>
      <c r="D59" s="1" t="s">
        <v>95</v>
      </c>
      <c r="E59" s="14" t="s">
        <v>70</v>
      </c>
    </row>
    <row r="60" spans="1:5" ht="15.6">
      <c r="A60" s="1" t="s">
        <v>96</v>
      </c>
      <c r="B60" s="9" t="s">
        <v>67</v>
      </c>
      <c r="C60" s="2" t="str">
        <f t="shared" si="1"/>
        <v>M-M8-Mission-Website Fee</v>
      </c>
      <c r="D60" s="1" t="s">
        <v>97</v>
      </c>
      <c r="E60" s="14" t="s">
        <v>70</v>
      </c>
    </row>
    <row r="61" spans="1:5" ht="15.6">
      <c r="A61" s="1" t="s">
        <v>98</v>
      </c>
      <c r="B61" s="9" t="s">
        <v>67</v>
      </c>
      <c r="C61" s="2" t="str">
        <f t="shared" si="1"/>
        <v>M-M9-Mission-Village Gospel Mission</v>
      </c>
      <c r="D61" s="1" t="s">
        <v>99</v>
      </c>
      <c r="E61" s="14" t="s">
        <v>70</v>
      </c>
    </row>
    <row r="62" spans="1:5" ht="15.6">
      <c r="A62" s="3" t="s">
        <v>124</v>
      </c>
      <c r="B62" s="13" t="s">
        <v>119</v>
      </c>
      <c r="C62" s="2" t="str">
        <f t="shared" si="1"/>
        <v>OCC-OCC-Transfering -Shoe Box</v>
      </c>
      <c r="D62" s="3" t="s">
        <v>125</v>
      </c>
      <c r="E62" s="14" t="s">
        <v>124</v>
      </c>
    </row>
    <row r="63" spans="1:5" ht="15.6">
      <c r="A63" s="3" t="s">
        <v>126</v>
      </c>
      <c r="B63" s="13" t="s">
        <v>119</v>
      </c>
      <c r="C63" s="2" t="str">
        <f t="shared" si="1"/>
        <v>OMF-OMF-Transfering -OMF(Mcintyre)</v>
      </c>
      <c r="D63" s="3" t="s">
        <v>78</v>
      </c>
      <c r="E63" s="14" t="s">
        <v>126</v>
      </c>
    </row>
    <row r="64" spans="1:5" ht="15.6">
      <c r="A64" s="1" t="s">
        <v>151</v>
      </c>
      <c r="B64" s="9" t="s">
        <v>152</v>
      </c>
      <c r="C64" s="2" t="str">
        <f t="shared" si="1"/>
        <v>O-O1-OutReach-Out Reach Food/Material etc</v>
      </c>
      <c r="D64" s="1" t="s">
        <v>153</v>
      </c>
      <c r="E64" s="14" t="s">
        <v>147</v>
      </c>
    </row>
    <row r="65" spans="1:5" ht="15.6">
      <c r="A65" s="1" t="s">
        <v>191</v>
      </c>
      <c r="B65" s="9" t="s">
        <v>192</v>
      </c>
      <c r="C65" s="2" t="str">
        <f t="shared" si="1"/>
        <v>S-S1-Special Offer Transfer-Special Offer Transfer</v>
      </c>
      <c r="D65" s="1" t="s">
        <v>192</v>
      </c>
      <c r="E65" s="14" t="s">
        <v>148</v>
      </c>
    </row>
    <row r="66" spans="1:5" ht="15.6">
      <c r="A66" s="45" t="s">
        <v>127</v>
      </c>
      <c r="B66" s="46" t="s">
        <v>119</v>
      </c>
      <c r="C66" s="15" t="str">
        <f t="shared" ref="C66" si="2">CONCATENATE(E66, "-", A66, "-", B66, "-", D66)</f>
        <v>VGM-VGM-Transfering -Villiage Gospel Mission</v>
      </c>
      <c r="D66" s="45" t="s">
        <v>128</v>
      </c>
      <c r="E66" s="16" t="s">
        <v>127</v>
      </c>
    </row>
  </sheetData>
  <dataValidations count="1">
    <dataValidation type="list" allowBlank="1" showInputMessage="1" showErrorMessage="1" sqref="N28" xr:uid="{149DBDB7-8F25-4C55-A75F-F823F2992699}">
      <formula1 xml:space="preserve"> INDIRECT("ExpenseCategory[Display List]" 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3F68-C1FA-4A32-8F57-23278580FCDF}">
  <dimension ref="A1:S69"/>
  <sheetViews>
    <sheetView topLeftCell="A37" zoomScale="85" zoomScaleNormal="85" workbookViewId="0">
      <selection activeCell="E57" sqref="E57"/>
    </sheetView>
  </sheetViews>
  <sheetFormatPr defaultRowHeight="14.4"/>
  <cols>
    <col min="1" max="1" width="23.05078125" style="22" customWidth="1"/>
    <col min="2" max="2" width="23.9453125" style="22" customWidth="1"/>
    <col min="3" max="3" width="35.62890625" style="22" customWidth="1"/>
    <col min="4" max="4" width="19.26171875" style="22" customWidth="1"/>
    <col min="5" max="5" width="25.05078125" style="22" customWidth="1"/>
    <col min="6" max="6" width="31.15625" style="22" customWidth="1"/>
    <col min="7" max="7" width="20.47265625" style="22" customWidth="1"/>
    <col min="8" max="8" width="22.68359375" style="22" customWidth="1"/>
    <col min="9" max="9" width="25.20703125" style="22" customWidth="1"/>
    <col min="10" max="10" width="19" style="22" customWidth="1"/>
    <col min="11" max="11" width="20.7890625" style="22" customWidth="1"/>
    <col min="12" max="12" width="17.3671875" style="22" customWidth="1"/>
    <col min="13" max="13" width="14.62890625" style="22" customWidth="1"/>
    <col min="14" max="18" width="8.83984375" style="22"/>
    <col min="19" max="19" width="13.578125" style="22" customWidth="1"/>
    <col min="20" max="20" width="19.7890625" style="22" customWidth="1"/>
    <col min="21" max="21" width="9.15625" style="22" bestFit="1" customWidth="1"/>
    <col min="22" max="16384" width="8.83984375" style="22"/>
  </cols>
  <sheetData>
    <row r="1" spans="1:15" ht="28.2">
      <c r="A1" s="24" t="s">
        <v>168</v>
      </c>
      <c r="B1" s="25">
        <v>7</v>
      </c>
      <c r="C1" s="24" t="s">
        <v>172</v>
      </c>
      <c r="D1" s="42">
        <v>2023</v>
      </c>
    </row>
    <row r="2" spans="1:15" ht="14.7" customHeight="1" thickBot="1">
      <c r="I2" s="33"/>
      <c r="J2" s="33"/>
      <c r="K2" s="33"/>
      <c r="L2" s="33"/>
      <c r="M2" s="31"/>
      <c r="N2" s="31"/>
      <c r="O2" s="31"/>
    </row>
    <row r="3" spans="1:15" ht="15" thickTop="1" thickBot="1">
      <c r="A3" s="61" t="s">
        <v>154</v>
      </c>
      <c r="B3" s="61"/>
      <c r="C3" s="61"/>
      <c r="D3" s="61"/>
      <c r="E3" s="61"/>
      <c r="F3" s="61"/>
      <c r="I3" s="33"/>
      <c r="J3" s="33"/>
      <c r="K3" s="33"/>
      <c r="L3" s="33"/>
      <c r="M3" s="31"/>
      <c r="N3" s="31"/>
      <c r="O3" s="31"/>
    </row>
    <row r="4" spans="1:15" ht="14.7" thickTop="1">
      <c r="A4" s="22" t="s">
        <v>154</v>
      </c>
      <c r="B4" s="22" t="s">
        <v>162</v>
      </c>
      <c r="C4" s="22" t="s">
        <v>157</v>
      </c>
      <c r="D4" s="22" t="s">
        <v>159</v>
      </c>
      <c r="E4" s="22" t="s">
        <v>158</v>
      </c>
      <c r="F4" s="22" t="s">
        <v>229</v>
      </c>
      <c r="I4" s="33"/>
      <c r="J4" s="33"/>
      <c r="K4" s="33"/>
      <c r="L4" s="33"/>
      <c r="M4" s="31"/>
      <c r="N4" s="31"/>
      <c r="O4" s="31"/>
    </row>
    <row r="5" spans="1:15">
      <c r="A5" s="22" t="s">
        <v>65</v>
      </c>
      <c r="B5" s="23">
        <f xml:space="preserve"> VLOOKUP(A5,Funds06[], 6, FALSE)</f>
        <v>60303.650000000016</v>
      </c>
      <c r="C5" s="23">
        <v>60303.650000000016</v>
      </c>
      <c r="D5" s="23">
        <f>SUMIF(Offering07[Category], "G*",Offering07[Amount])</f>
        <v>7345.25</v>
      </c>
      <c r="E5" s="27">
        <f>SUMIF(Expenses07[Category], "G*",Expenses07[Amount])</f>
        <v>3285.55</v>
      </c>
      <c r="F5" s="27">
        <f xml:space="preserve"> Funds07[[#This Row],[Initial Amount]] + Funds07[[#This Row],[Income]] - Funds07[[#This Row],[Expense]]</f>
        <v>64363.35000000002</v>
      </c>
      <c r="I5" s="33"/>
      <c r="J5" s="33"/>
      <c r="K5" s="33"/>
      <c r="L5" s="33"/>
      <c r="M5" s="31"/>
      <c r="N5" s="31"/>
      <c r="O5" s="31"/>
    </row>
    <row r="6" spans="1:15">
      <c r="A6" s="22" t="s">
        <v>11</v>
      </c>
      <c r="B6" s="23">
        <f xml:space="preserve"> VLOOKUP(A6, Funds06[], 6, FALSE)</f>
        <v>419867.98</v>
      </c>
      <c r="C6" s="27">
        <v>419867.98</v>
      </c>
      <c r="D6" s="27">
        <f>SUMIF(Offering07[Category], "B*",Offering07[Amount])</f>
        <v>0</v>
      </c>
      <c r="E6" s="27">
        <f>SUMIF(Expenses07[Category], "B*",Expenses07[Amount])</f>
        <v>1554</v>
      </c>
      <c r="F6" s="27">
        <f xml:space="preserve"> Funds07[[#This Row],[Initial Amount]] + Funds07[[#This Row],[Income]] - Funds07[[#This Row],[Expense]]</f>
        <v>418313.98</v>
      </c>
      <c r="I6" s="33"/>
      <c r="J6" s="33"/>
      <c r="K6" s="33"/>
      <c r="L6" s="33"/>
      <c r="M6" s="31"/>
      <c r="N6" s="31"/>
      <c r="O6" s="31"/>
    </row>
    <row r="7" spans="1:15">
      <c r="A7" s="22" t="s">
        <v>67</v>
      </c>
      <c r="B7" s="23">
        <f xml:space="preserve"> VLOOKUP(A7, Funds06[], 6, FALSE)</f>
        <v>28845.040000000001</v>
      </c>
      <c r="C7" s="27">
        <v>28845.040000000001</v>
      </c>
      <c r="D7" s="27">
        <f>SUMIF(Offering07[Category], "M*",Offering07[Amount])</f>
        <v>3810</v>
      </c>
      <c r="E7" s="27">
        <f>SUMIF(Expenses07[Category], "M*",Expenses07[Amount])</f>
        <v>0</v>
      </c>
      <c r="F7" s="27">
        <f xml:space="preserve"> Funds07[[#This Row],[Initial Amount]] + Funds07[[#This Row],[Income]] - Funds07[[#This Row],[Expense]]</f>
        <v>32655.040000000001</v>
      </c>
      <c r="I7" s="33"/>
      <c r="J7" s="33"/>
      <c r="K7" s="33"/>
      <c r="L7" s="33"/>
      <c r="M7" s="31"/>
      <c r="N7" s="31"/>
      <c r="O7" s="31"/>
    </row>
    <row r="8" spans="1:15">
      <c r="A8" s="22" t="s">
        <v>155</v>
      </c>
      <c r="B8" s="23">
        <f xml:space="preserve"> VLOOKUP(A8, Funds06[], 6, FALSE)</f>
        <v>4750</v>
      </c>
      <c r="C8" s="27">
        <v>4750</v>
      </c>
      <c r="D8" s="27">
        <f>SUMIF(Offering07[Category], "O*",Offering07[Amount])</f>
        <v>200</v>
      </c>
      <c r="E8" s="27">
        <f>SUMIF(Expenses07[Category], "O*",Expenses07[Amount])</f>
        <v>0</v>
      </c>
      <c r="F8" s="27">
        <f xml:space="preserve"> Funds07[[#This Row],[Initial Amount]] + Funds07[[#This Row],[Income]] - Funds07[[#This Row],[Expense]]</f>
        <v>4950</v>
      </c>
      <c r="I8" s="33"/>
      <c r="J8" s="33"/>
      <c r="K8" s="33"/>
      <c r="L8" s="33"/>
      <c r="M8" s="31"/>
      <c r="N8" s="31"/>
      <c r="O8" s="31"/>
    </row>
    <row r="9" spans="1:15">
      <c r="A9" s="22" t="s">
        <v>160</v>
      </c>
      <c r="B9" s="23">
        <f xml:space="preserve"> VLOOKUP(A9, Funds06[], 6, FALSE)</f>
        <v>27013.79</v>
      </c>
      <c r="C9" s="27">
        <v>27013.79</v>
      </c>
      <c r="D9" s="27">
        <f>SUMIF(Offering07[Category], "EN*",Offering07[Amount])</f>
        <v>0</v>
      </c>
      <c r="E9" s="27">
        <f>SUMIF(Expenses07[Category], "EN*",Expenses07[Amount])</f>
        <v>0</v>
      </c>
      <c r="F9" s="27">
        <f xml:space="preserve"> Funds07[[#This Row],[Initial Amount]] + Funds07[[#This Row],[Income]] - Funds07[[#This Row],[Expense]]</f>
        <v>27013.79</v>
      </c>
      <c r="I9" s="33"/>
      <c r="J9" s="33"/>
      <c r="K9" s="33"/>
      <c r="L9" s="33"/>
      <c r="M9" s="31"/>
      <c r="N9" s="31"/>
      <c r="O9" s="31"/>
    </row>
    <row r="10" spans="1:15">
      <c r="A10" s="22" t="s">
        <v>156</v>
      </c>
      <c r="B10" s="23">
        <f xml:space="preserve"> VLOOKUP(A10, Funds06[], 6, FALSE)</f>
        <v>4456.7700000000004</v>
      </c>
      <c r="C10" s="27">
        <v>4456.7700000000004</v>
      </c>
      <c r="D10" s="27">
        <f>SUMIF(Offering07[Category], "L*",Offering07[Amount])</f>
        <v>0</v>
      </c>
      <c r="E10" s="27"/>
      <c r="F10" s="27">
        <f xml:space="preserve"> Funds07[[#This Row],[Initial Amount]] + Funds07[[#This Row],[Income]] - Funds07[[#This Row],[Expense]]</f>
        <v>4456.7700000000004</v>
      </c>
      <c r="I10" s="33"/>
      <c r="J10" s="33"/>
      <c r="K10" s="33"/>
      <c r="L10" s="33"/>
      <c r="M10" s="31"/>
      <c r="N10" s="31"/>
      <c r="O10" s="31"/>
    </row>
    <row r="11" spans="1:15">
      <c r="A11" s="22" t="s">
        <v>267</v>
      </c>
      <c r="B11" s="27"/>
      <c r="C11" s="27">
        <v>0</v>
      </c>
      <c r="D11" s="27">
        <v>2700</v>
      </c>
      <c r="E11" s="27"/>
      <c r="F11" s="27">
        <f xml:space="preserve"> Funds07[[#This Row],[Initial Amount]] + Funds07[[#This Row],[Income]] - Funds07[[#This Row],[Expense]]</f>
        <v>2700</v>
      </c>
      <c r="I11" s="33"/>
      <c r="J11" s="33"/>
      <c r="K11" s="33"/>
      <c r="L11" s="33"/>
      <c r="M11" s="31"/>
      <c r="N11" s="31"/>
      <c r="O11" s="31"/>
    </row>
    <row r="12" spans="1:15">
      <c r="A12" s="22" t="s">
        <v>266</v>
      </c>
      <c r="B12" s="27"/>
      <c r="C12" s="27">
        <v>0</v>
      </c>
      <c r="D12" s="27">
        <v>100</v>
      </c>
      <c r="E12" s="27"/>
      <c r="F12" s="27">
        <f xml:space="preserve"> Funds07[[#This Row],[Initial Amount]] + Funds07[[#This Row],[Income]] - Funds07[[#This Row],[Expense]]</f>
        <v>100</v>
      </c>
      <c r="I12" s="33"/>
      <c r="J12" s="33"/>
      <c r="K12" s="33"/>
      <c r="L12" s="33"/>
      <c r="M12" s="31"/>
      <c r="N12" s="31"/>
      <c r="O12" s="31"/>
    </row>
    <row r="13" spans="1:15">
      <c r="B13" s="27">
        <f xml:space="preserve"> SUM(Funds07[Initial Amount (Auto Calculated)])</f>
        <v>545237.23</v>
      </c>
      <c r="C13" s="27">
        <f xml:space="preserve"> SUM(Funds07[Initial Amount])</f>
        <v>545237.23</v>
      </c>
      <c r="D13" s="27"/>
      <c r="E13" s="27">
        <f xml:space="preserve"> SUM(Funds07[Expense])</f>
        <v>4839.55</v>
      </c>
      <c r="F13" s="27">
        <f xml:space="preserve"> SUM(Funds07[End of Month Amount])</f>
        <v>554552.93000000005</v>
      </c>
      <c r="I13" s="33"/>
      <c r="J13" s="33"/>
      <c r="K13" s="33"/>
      <c r="L13" s="33"/>
      <c r="M13" s="31"/>
      <c r="N13" s="31"/>
      <c r="O13" s="31"/>
    </row>
    <row r="14" spans="1:15" ht="14.7" thickBot="1">
      <c r="I14" s="33"/>
      <c r="J14" s="33"/>
      <c r="K14" s="33"/>
      <c r="L14" s="33"/>
      <c r="M14" s="31"/>
      <c r="N14" s="31"/>
      <c r="O14" s="31"/>
    </row>
    <row r="15" spans="1:15" ht="15" thickTop="1" thickBot="1">
      <c r="A15" s="61" t="s">
        <v>161</v>
      </c>
      <c r="B15" s="61"/>
      <c r="C15" s="61"/>
      <c r="D15" s="61"/>
      <c r="E15" s="61"/>
      <c r="F15" s="61"/>
      <c r="I15" s="33"/>
      <c r="J15" s="33"/>
      <c r="K15" s="33"/>
      <c r="L15" s="33"/>
      <c r="M15" s="31"/>
      <c r="N15" s="31"/>
      <c r="O15" s="31"/>
    </row>
    <row r="16" spans="1:15" ht="14.7" thickTop="1">
      <c r="A16" s="22" t="s">
        <v>161</v>
      </c>
      <c r="B16" s="22" t="s">
        <v>163</v>
      </c>
      <c r="C16" s="22" t="s">
        <v>164</v>
      </c>
      <c r="D16" s="22" t="s">
        <v>184</v>
      </c>
      <c r="E16" s="22" t="s">
        <v>165</v>
      </c>
      <c r="F16" s="22" t="s">
        <v>229</v>
      </c>
      <c r="H16" s="33"/>
      <c r="I16" s="33"/>
      <c r="J16" s="33"/>
      <c r="K16" s="33"/>
      <c r="L16" s="31"/>
      <c r="M16" s="31"/>
      <c r="N16" s="31"/>
    </row>
    <row r="17" spans="1:15">
      <c r="A17" s="22" t="s">
        <v>166</v>
      </c>
      <c r="B17" s="27">
        <f xml:space="preserve"> VLOOKUP(A17, BankAccounts06[], 6, FALSE)</f>
        <v>99565.34</v>
      </c>
      <c r="C17" s="27">
        <v>99565.34</v>
      </c>
      <c r="D17" s="27">
        <f>SUMIFS(Offering07[Amount], Offering07[Bank Account], "C", Offering07[Deposit ?], "Y")</f>
        <v>4305</v>
      </c>
      <c r="E17" s="27">
        <f>SUMIF(Expenses07[Paid/Cashed ?], "Y",Expenses07[Amount]) + SUMIF(InitialOutstandingPayments07[Paid ?], "Y",InitialOutstandingPayments07[Amount])</f>
        <v>4094</v>
      </c>
      <c r="F17" s="27">
        <f xml:space="preserve"> BankAccounts07[[#This Row],[Initial Balance]] + BankAccounts07[[#This Row],[Deposit/Interest]] - BankAccounts07[[#This Row],[Withdraw]]</f>
        <v>99776.34</v>
      </c>
      <c r="H17" s="33"/>
      <c r="I17" s="33"/>
      <c r="J17" s="33"/>
      <c r="K17" s="33"/>
      <c r="L17" s="31"/>
      <c r="M17" s="31"/>
      <c r="N17" s="31"/>
    </row>
    <row r="18" spans="1:15">
      <c r="A18" s="22" t="s">
        <v>167</v>
      </c>
      <c r="B18" s="27">
        <f xml:space="preserve"> VLOOKUP(A18, BankAccounts06[], 6, FALSE)</f>
        <v>86470.69</v>
      </c>
      <c r="C18" s="27">
        <v>86470.69</v>
      </c>
      <c r="D18" s="27">
        <f>SUMIF(Offering07[Bank Account], "M*",Offering07[Amount])</f>
        <v>0.73</v>
      </c>
      <c r="E18" s="27"/>
      <c r="F18" s="27">
        <f xml:space="preserve"> BankAccounts07[[#This Row],[Initial Balance]] + BankAccounts07[[#This Row],[Deposit/Interest]] - BankAccounts07[[#This Row],[Withdraw]]</f>
        <v>86471.42</v>
      </c>
      <c r="H18" s="33"/>
      <c r="I18" s="22" t="s">
        <v>220</v>
      </c>
      <c r="J18" s="22" t="s">
        <v>221</v>
      </c>
      <c r="K18" s="22" t="s">
        <v>226</v>
      </c>
      <c r="L18" s="22" t="s">
        <v>222</v>
      </c>
      <c r="M18" s="22" t="s">
        <v>225</v>
      </c>
      <c r="N18" s="31"/>
    </row>
    <row r="19" spans="1:15">
      <c r="A19" s="22" t="s">
        <v>181</v>
      </c>
      <c r="B19" s="27">
        <f xml:space="preserve"> VLOOKUP(A19, BankAccounts06[], 6, FALSE)</f>
        <v>103844.08</v>
      </c>
      <c r="C19" s="27">
        <v>103844.08</v>
      </c>
      <c r="D19" s="27"/>
      <c r="E19" s="27"/>
      <c r="F19" s="27">
        <f xml:space="preserve"> BankAccounts07[[#This Row],[Initial Balance]] + BankAccounts07[[#This Row],[Deposit/Interest]] - BankAccounts07[[#This Row],[Withdraw]]</f>
        <v>103844.08</v>
      </c>
      <c r="H19" s="33"/>
      <c r="I19" s="22" t="s">
        <v>219</v>
      </c>
      <c r="J19" s="35">
        <v>4.2099999999999999E-2</v>
      </c>
      <c r="K19" s="22">
        <v>0</v>
      </c>
      <c r="L19" s="30">
        <v>103844.08</v>
      </c>
      <c r="M19" s="29">
        <v>45292</v>
      </c>
      <c r="N19" s="31"/>
    </row>
    <row r="20" spans="1:15">
      <c r="A20" s="22" t="s">
        <v>182</v>
      </c>
      <c r="B20" s="27">
        <f xml:space="preserve"> VLOOKUP(A20, BankAccounts06[], 6, FALSE)</f>
        <v>103844.08</v>
      </c>
      <c r="C20" s="27">
        <v>103844.08</v>
      </c>
      <c r="D20" s="27"/>
      <c r="E20" s="27"/>
      <c r="F20" s="27">
        <f xml:space="preserve"> BankAccounts07[[#This Row],[Initial Balance]] + BankAccounts07[[#This Row],[Deposit/Interest]] - BankAccounts07[[#This Row],[Withdraw]]</f>
        <v>103844.08</v>
      </c>
      <c r="H20" s="33"/>
      <c r="I20" s="22" t="s">
        <v>224</v>
      </c>
      <c r="J20" s="35">
        <v>4.2099999999999999E-2</v>
      </c>
      <c r="K20" s="22">
        <v>0</v>
      </c>
      <c r="L20" s="30">
        <v>103844.08</v>
      </c>
      <c r="M20" s="29">
        <v>45292</v>
      </c>
      <c r="N20" s="31"/>
    </row>
    <row r="21" spans="1:15">
      <c r="A21" s="22" t="s">
        <v>183</v>
      </c>
      <c r="B21" s="27">
        <f xml:space="preserve"> VLOOKUP(A21, BankAccounts06[], 6, FALSE)</f>
        <v>156231.07</v>
      </c>
      <c r="C21" s="27">
        <v>156231.07</v>
      </c>
      <c r="D21" s="27">
        <v>1949.52</v>
      </c>
      <c r="E21" s="27"/>
      <c r="F21" s="27">
        <f xml:space="preserve"> BankAccounts07[[#This Row],[Initial Balance]] + BankAccounts07[[#This Row],[Deposit/Interest]] - BankAccounts07[[#This Row],[Withdraw]]</f>
        <v>158180.59</v>
      </c>
      <c r="H21" s="33"/>
      <c r="I21" s="22" t="s">
        <v>223</v>
      </c>
      <c r="J21" s="35">
        <v>4.9500000000000002E-2</v>
      </c>
      <c r="K21" s="30">
        <v>1949.52</v>
      </c>
      <c r="L21" s="30">
        <v>158180.59</v>
      </c>
      <c r="M21" s="29">
        <v>45319</v>
      </c>
      <c r="N21" s="31"/>
    </row>
    <row r="22" spans="1:15">
      <c r="A22" s="22" t="s">
        <v>187</v>
      </c>
      <c r="B22" s="27"/>
      <c r="C22" s="27"/>
      <c r="D22" s="27">
        <f xml:space="preserve"> SUMIF(Offering07[Deposit ?], "", Offering07[Amount])</f>
        <v>7900</v>
      </c>
      <c r="E22" s="27"/>
      <c r="F22" s="27">
        <f xml:space="preserve"> BankAccounts07[[#This Row],[Initial Balance]] + BankAccounts07[[#This Row],[Deposit/Interest]] - BankAccounts07[[#This Row],[Withdraw]]</f>
        <v>7900</v>
      </c>
      <c r="H22" s="33"/>
      <c r="I22" s="33"/>
      <c r="J22" s="33"/>
      <c r="K22" s="33"/>
      <c r="L22" s="31"/>
      <c r="M22" s="31"/>
      <c r="N22" s="31"/>
    </row>
    <row r="23" spans="1:15">
      <c r="A23" s="22" t="s">
        <v>188</v>
      </c>
      <c r="B23" s="27"/>
      <c r="C23" s="27">
        <f xml:space="preserve"> SUM(InitialOutstandingPayments07[Amount])</f>
        <v>4718.03</v>
      </c>
      <c r="D23" s="27">
        <f xml:space="preserve"> SUMIF(Expenses07[Paid/Cashed ?], "",Expenses07[Amount])</f>
        <v>1305.55</v>
      </c>
      <c r="E23" s="27">
        <f xml:space="preserve"> SUMIF(InitialOutstandingPayments07[Paid ?], "Y", InitialOutstandingPayments07[Amount])</f>
        <v>560</v>
      </c>
      <c r="F23" s="27">
        <f xml:space="preserve"> BankAccounts07[[#This Row],[Initial Balance]] + BankAccounts07[[#This Row],[Deposit/Interest]] - BankAccounts07[[#This Row],[Withdraw]]</f>
        <v>5463.58</v>
      </c>
      <c r="H23" s="33"/>
      <c r="I23" s="33"/>
      <c r="J23" s="33"/>
      <c r="K23" s="33"/>
      <c r="L23" s="37">
        <f xml:space="preserve"> L21 - K21</f>
        <v>156231.07</v>
      </c>
      <c r="M23" s="31"/>
      <c r="N23" s="31"/>
    </row>
    <row r="24" spans="1:15">
      <c r="B24" s="27">
        <f xml:space="preserve"> SUM(B17:B21) + B22 - B23</f>
        <v>549955.26</v>
      </c>
      <c r="C24" s="27">
        <f xml:space="preserve"> SUM(C17:C21) - C23</f>
        <v>545237.23</v>
      </c>
      <c r="F24" s="27">
        <f xml:space="preserve"> SUM(F17:F21) + F22 - F23</f>
        <v>554552.93000000005</v>
      </c>
      <c r="H24" s="33"/>
      <c r="I24" s="33"/>
      <c r="J24" s="33"/>
      <c r="K24" s="33"/>
      <c r="L24" s="31"/>
      <c r="M24" s="31"/>
      <c r="N24" s="31"/>
    </row>
    <row r="25" spans="1:15" ht="14.7" thickBot="1">
      <c r="I25" s="33"/>
      <c r="J25" s="33"/>
      <c r="K25" s="33"/>
      <c r="L25" s="33"/>
      <c r="M25" s="31"/>
      <c r="N25" s="31"/>
      <c r="O25" s="31"/>
    </row>
    <row r="26" spans="1:15" ht="15" thickTop="1" thickBot="1">
      <c r="A26" s="61" t="s">
        <v>218</v>
      </c>
      <c r="B26" s="61"/>
      <c r="C26" s="61"/>
      <c r="E26" s="61" t="s">
        <v>227</v>
      </c>
      <c r="F26" s="61"/>
      <c r="G26" s="61"/>
      <c r="I26" s="33"/>
      <c r="J26" s="33"/>
      <c r="K26" s="33"/>
      <c r="L26" s="33"/>
      <c r="M26" s="31"/>
      <c r="N26" s="31"/>
      <c r="O26" s="31"/>
    </row>
    <row r="27" spans="1:15" ht="14.7" thickTop="1">
      <c r="A27" s="22" t="s">
        <v>208</v>
      </c>
      <c r="B27" s="22" t="s">
        <v>176</v>
      </c>
      <c r="C27" s="22" t="s">
        <v>189</v>
      </c>
      <c r="E27" s="22" t="s">
        <v>178</v>
      </c>
      <c r="F27" s="31" t="s">
        <v>176</v>
      </c>
      <c r="G27" s="31" t="s">
        <v>186</v>
      </c>
      <c r="H27" s="31"/>
      <c r="I27" s="33"/>
      <c r="J27" s="33"/>
      <c r="K27" s="33"/>
      <c r="L27" s="33"/>
    </row>
    <row r="28" spans="1:15">
      <c r="A28" s="22" t="s">
        <v>234</v>
      </c>
      <c r="B28" s="32">
        <v>27.37</v>
      </c>
      <c r="C28" s="34"/>
      <c r="F28" s="31"/>
      <c r="G28" s="31"/>
      <c r="H28" s="31"/>
      <c r="I28" s="33"/>
      <c r="J28" s="33"/>
      <c r="K28" s="33"/>
      <c r="L28" s="33"/>
    </row>
    <row r="29" spans="1:15">
      <c r="A29" s="22" t="s">
        <v>213</v>
      </c>
      <c r="B29" s="32">
        <v>2019.3</v>
      </c>
      <c r="C29" s="34"/>
      <c r="F29" s="31"/>
      <c r="G29" s="31"/>
      <c r="H29" s="31"/>
      <c r="I29" s="33"/>
      <c r="J29" s="33"/>
      <c r="K29" s="33"/>
      <c r="L29" s="33"/>
    </row>
    <row r="30" spans="1:15">
      <c r="A30" s="22" t="s">
        <v>233</v>
      </c>
      <c r="B30" s="32">
        <v>114</v>
      </c>
      <c r="C30" s="34"/>
      <c r="F30" s="31"/>
      <c r="G30" s="31"/>
      <c r="H30" s="31"/>
      <c r="I30" s="33"/>
      <c r="J30" s="33"/>
      <c r="K30" s="33"/>
      <c r="L30" s="33"/>
    </row>
    <row r="31" spans="1:15">
      <c r="A31" s="22" t="s">
        <v>235</v>
      </c>
      <c r="B31" s="32">
        <v>250</v>
      </c>
      <c r="C31" s="34"/>
      <c r="F31" s="31"/>
      <c r="G31" s="31"/>
      <c r="H31" s="31"/>
      <c r="I31" s="33"/>
      <c r="J31" s="33"/>
      <c r="K31" s="33"/>
      <c r="L31" s="33"/>
    </row>
    <row r="32" spans="1:15">
      <c r="A32" s="22" t="s">
        <v>231</v>
      </c>
      <c r="B32" s="32">
        <v>371.7</v>
      </c>
      <c r="C32" s="34"/>
      <c r="F32" s="31"/>
      <c r="G32" s="31"/>
      <c r="H32" s="31"/>
      <c r="I32" s="33"/>
      <c r="J32" s="33"/>
      <c r="K32" s="33"/>
      <c r="L32" s="33"/>
    </row>
    <row r="33" spans="1:19">
      <c r="A33" s="22" t="s">
        <v>239</v>
      </c>
      <c r="B33" s="32">
        <v>448.7</v>
      </c>
      <c r="C33" s="34"/>
      <c r="F33" s="31"/>
      <c r="G33" s="31"/>
      <c r="H33" s="31"/>
      <c r="I33" s="33"/>
      <c r="J33" s="33"/>
      <c r="K33" s="33"/>
      <c r="L33" s="33"/>
    </row>
    <row r="34" spans="1:19">
      <c r="A34" s="22" t="s">
        <v>253</v>
      </c>
      <c r="B34" s="32">
        <v>242.17</v>
      </c>
      <c r="C34" s="34"/>
      <c r="F34" s="31"/>
      <c r="G34" s="31"/>
      <c r="H34" s="31"/>
      <c r="I34" s="33"/>
      <c r="J34" s="33"/>
      <c r="K34" s="33"/>
      <c r="L34" s="33"/>
    </row>
    <row r="35" spans="1:19">
      <c r="A35" s="22" t="s">
        <v>257</v>
      </c>
      <c r="B35" s="32">
        <v>95.4</v>
      </c>
      <c r="C35" s="34"/>
      <c r="F35" s="31"/>
      <c r="G35" s="31"/>
      <c r="H35" s="31"/>
      <c r="I35" s="33"/>
      <c r="J35" s="33"/>
      <c r="K35" s="33"/>
      <c r="L35" s="33"/>
    </row>
    <row r="36" spans="1:19">
      <c r="A36" s="22">
        <v>5237</v>
      </c>
      <c r="B36" s="32">
        <v>39.99</v>
      </c>
      <c r="C36" s="34"/>
      <c r="F36" s="31"/>
      <c r="G36" s="31"/>
      <c r="H36" s="31"/>
      <c r="I36" s="33"/>
      <c r="J36" s="33"/>
      <c r="K36" s="33"/>
      <c r="L36" s="33"/>
    </row>
    <row r="37" spans="1:19">
      <c r="A37" s="22">
        <v>5266</v>
      </c>
      <c r="B37" s="32">
        <v>260</v>
      </c>
      <c r="C37" s="34" t="s">
        <v>194</v>
      </c>
      <c r="F37" s="31"/>
      <c r="G37" s="31"/>
      <c r="H37" s="31"/>
      <c r="I37" s="33"/>
      <c r="J37" s="33"/>
      <c r="K37" s="33"/>
      <c r="L37" s="33"/>
    </row>
    <row r="38" spans="1:19">
      <c r="A38" s="22">
        <v>5267</v>
      </c>
      <c r="B38" s="32">
        <v>300</v>
      </c>
      <c r="C38" s="34" t="s">
        <v>194</v>
      </c>
      <c r="F38" s="31"/>
      <c r="G38" s="31"/>
      <c r="H38" s="31"/>
      <c r="I38" s="33"/>
      <c r="J38" s="33"/>
      <c r="K38" s="33"/>
      <c r="L38" s="33"/>
    </row>
    <row r="39" spans="1:19">
      <c r="A39" s="22" t="s">
        <v>259</v>
      </c>
      <c r="B39" s="32">
        <v>443.59</v>
      </c>
      <c r="C39" s="34"/>
      <c r="F39" s="31"/>
      <c r="G39" s="31"/>
      <c r="H39" s="31"/>
      <c r="I39" s="33"/>
      <c r="J39" s="33"/>
      <c r="K39" s="33"/>
      <c r="L39" s="33"/>
    </row>
    <row r="40" spans="1:19">
      <c r="A40" s="22" t="s">
        <v>260</v>
      </c>
      <c r="B40" s="32">
        <v>105.81</v>
      </c>
      <c r="C40" s="34"/>
      <c r="F40" s="31"/>
      <c r="G40" s="31"/>
      <c r="H40" s="31"/>
      <c r="I40" s="33"/>
      <c r="J40" s="33"/>
      <c r="K40" s="33"/>
      <c r="L40" s="33"/>
    </row>
    <row r="41" spans="1:19">
      <c r="B41" s="32"/>
      <c r="C41" s="34"/>
      <c r="F41" s="31"/>
      <c r="G41" s="31"/>
      <c r="H41" s="31"/>
      <c r="I41" s="33"/>
      <c r="J41" s="33"/>
      <c r="K41" s="33"/>
      <c r="L41" s="33"/>
    </row>
    <row r="42" spans="1:19">
      <c r="I42" s="33"/>
      <c r="J42" s="33"/>
      <c r="K42" s="33"/>
      <c r="L42" s="33"/>
      <c r="M42" s="31"/>
      <c r="N42" s="31"/>
      <c r="O42" s="31"/>
    </row>
    <row r="43" spans="1:19">
      <c r="A43" s="62" t="s">
        <v>173</v>
      </c>
      <c r="B43" s="63"/>
      <c r="C43" s="63"/>
      <c r="D43" s="63"/>
      <c r="E43" s="63"/>
      <c r="F43" s="63"/>
      <c r="I43" s="33"/>
      <c r="J43" s="33"/>
      <c r="K43" s="33"/>
      <c r="L43" s="33"/>
      <c r="M43" s="31"/>
      <c r="N43" s="31"/>
      <c r="O43" s="31"/>
    </row>
    <row r="44" spans="1:19">
      <c r="A44" s="22" t="s">
        <v>169</v>
      </c>
      <c r="B44" s="22" t="s">
        <v>178</v>
      </c>
      <c r="C44" s="22" t="s">
        <v>185</v>
      </c>
      <c r="D44" s="22" t="s">
        <v>244</v>
      </c>
      <c r="E44" s="22" t="s">
        <v>176</v>
      </c>
      <c r="F44" s="22" t="s">
        <v>211</v>
      </c>
      <c r="I44" s="33"/>
      <c r="J44" s="33"/>
      <c r="K44" s="33"/>
      <c r="L44" s="33"/>
      <c r="M44" s="31"/>
      <c r="N44" s="31"/>
      <c r="O44" s="31"/>
    </row>
    <row r="45" spans="1:19">
      <c r="A45" s="28">
        <v>45109</v>
      </c>
      <c r="B45" s="22" t="s">
        <v>246</v>
      </c>
      <c r="C45" s="22" t="s">
        <v>249</v>
      </c>
      <c r="D45" s="22">
        <v>5269</v>
      </c>
      <c r="E45" s="32">
        <v>260</v>
      </c>
      <c r="F45" s="34" t="s">
        <v>194</v>
      </c>
      <c r="I45" s="33"/>
      <c r="J45" s="33"/>
      <c r="K45" s="33"/>
      <c r="L45" s="33"/>
      <c r="M45" s="31"/>
      <c r="N45" s="31"/>
      <c r="O45" s="31"/>
      <c r="R45" s="35"/>
      <c r="S45" s="27"/>
    </row>
    <row r="46" spans="1:19">
      <c r="A46" s="28">
        <v>45109</v>
      </c>
      <c r="B46" s="22" t="s">
        <v>198</v>
      </c>
      <c r="C46" s="22" t="s">
        <v>199</v>
      </c>
      <c r="D46" s="22">
        <v>5268</v>
      </c>
      <c r="E46" s="32">
        <v>300</v>
      </c>
      <c r="F46" s="34" t="s">
        <v>194</v>
      </c>
      <c r="I46" s="33"/>
      <c r="J46" s="33"/>
      <c r="K46" s="33"/>
      <c r="L46" s="33"/>
      <c r="M46" s="31"/>
      <c r="N46" s="31"/>
      <c r="O46" s="31"/>
    </row>
    <row r="47" spans="1:19">
      <c r="A47" s="28">
        <v>45116</v>
      </c>
      <c r="B47" s="22" t="s">
        <v>200</v>
      </c>
      <c r="C47" s="22" t="s">
        <v>199</v>
      </c>
      <c r="D47" s="22">
        <v>5270</v>
      </c>
      <c r="E47" s="32">
        <v>300</v>
      </c>
      <c r="F47" s="34" t="s">
        <v>194</v>
      </c>
      <c r="I47" s="33"/>
      <c r="J47" s="33"/>
      <c r="K47" s="33"/>
      <c r="L47" s="33"/>
      <c r="M47" s="31"/>
      <c r="N47" s="31"/>
      <c r="O47" s="31"/>
    </row>
    <row r="48" spans="1:19">
      <c r="A48" s="28">
        <v>45116</v>
      </c>
      <c r="B48" s="22" t="s">
        <v>246</v>
      </c>
      <c r="C48" s="22" t="s">
        <v>249</v>
      </c>
      <c r="D48" s="22">
        <v>5271</v>
      </c>
      <c r="E48" s="32">
        <v>260</v>
      </c>
      <c r="F48" s="34" t="s">
        <v>194</v>
      </c>
      <c r="I48" s="33"/>
      <c r="J48" s="33"/>
      <c r="K48" s="33"/>
      <c r="L48" s="33"/>
      <c r="M48" s="31"/>
      <c r="N48" s="31"/>
      <c r="O48" s="31"/>
    </row>
    <row r="49" spans="1:15">
      <c r="A49" s="28">
        <v>45123</v>
      </c>
      <c r="B49" s="22" t="s">
        <v>246</v>
      </c>
      <c r="C49" s="22" t="s">
        <v>249</v>
      </c>
      <c r="D49" s="22">
        <v>5273</v>
      </c>
      <c r="E49" s="32">
        <v>260</v>
      </c>
      <c r="F49" s="34" t="s">
        <v>194</v>
      </c>
      <c r="I49" s="33"/>
      <c r="J49" s="33"/>
      <c r="K49" s="33"/>
      <c r="L49" s="33"/>
      <c r="M49" s="31"/>
      <c r="N49" s="31"/>
      <c r="O49" s="31"/>
    </row>
    <row r="50" spans="1:15">
      <c r="A50" s="28">
        <v>45123</v>
      </c>
      <c r="B50" s="22" t="s">
        <v>204</v>
      </c>
      <c r="C50" s="22" t="s">
        <v>199</v>
      </c>
      <c r="D50" s="22">
        <v>5272</v>
      </c>
      <c r="E50" s="32">
        <v>300</v>
      </c>
      <c r="F50" s="34" t="s">
        <v>194</v>
      </c>
      <c r="I50" s="31"/>
      <c r="J50" s="31"/>
      <c r="K50" s="31"/>
      <c r="L50" s="31"/>
      <c r="M50" s="31"/>
      <c r="N50" s="31"/>
      <c r="O50" s="31"/>
    </row>
    <row r="51" spans="1:15">
      <c r="A51" s="28">
        <v>45124</v>
      </c>
      <c r="B51" s="22" t="s">
        <v>205</v>
      </c>
      <c r="C51" s="22" t="s">
        <v>206</v>
      </c>
      <c r="D51" s="22">
        <v>5274</v>
      </c>
      <c r="E51" s="32">
        <v>1296</v>
      </c>
      <c r="F51" s="34" t="s">
        <v>194</v>
      </c>
      <c r="I51" s="31"/>
      <c r="J51" s="31"/>
      <c r="K51" s="31"/>
      <c r="L51" s="31"/>
      <c r="M51" s="31"/>
      <c r="N51" s="31"/>
      <c r="O51" s="31"/>
    </row>
    <row r="52" spans="1:15">
      <c r="A52" s="28">
        <v>45130</v>
      </c>
      <c r="B52" s="22" t="s">
        <v>246</v>
      </c>
      <c r="C52" s="22" t="s">
        <v>249</v>
      </c>
      <c r="D52" s="22">
        <v>5276</v>
      </c>
      <c r="E52" s="32">
        <v>260</v>
      </c>
      <c r="F52" s="34"/>
      <c r="I52" s="31"/>
      <c r="J52" s="31"/>
      <c r="K52" s="31"/>
      <c r="L52" s="31"/>
      <c r="M52" s="31"/>
      <c r="N52" s="31"/>
      <c r="O52" s="31"/>
    </row>
    <row r="53" spans="1:15">
      <c r="A53" s="28">
        <v>45130</v>
      </c>
      <c r="B53" s="22" t="s">
        <v>204</v>
      </c>
      <c r="C53" s="22" t="s">
        <v>199</v>
      </c>
      <c r="D53" s="22">
        <v>5275</v>
      </c>
      <c r="E53" s="32">
        <v>300</v>
      </c>
      <c r="F53" s="34"/>
      <c r="I53" s="31"/>
      <c r="J53" s="31"/>
      <c r="K53" s="31"/>
      <c r="L53" s="31"/>
      <c r="M53" s="31"/>
      <c r="N53" s="31"/>
      <c r="O53" s="31"/>
    </row>
    <row r="54" spans="1:15">
      <c r="A54" s="28">
        <v>45137</v>
      </c>
      <c r="B54" s="22" t="s">
        <v>246</v>
      </c>
      <c r="C54" s="22" t="s">
        <v>249</v>
      </c>
      <c r="D54" s="22">
        <v>5278</v>
      </c>
      <c r="E54" s="32">
        <v>260</v>
      </c>
      <c r="F54" s="34"/>
      <c r="I54" s="31"/>
      <c r="J54" s="31"/>
      <c r="K54" s="31"/>
      <c r="L54" s="31"/>
      <c r="M54" s="31"/>
      <c r="N54" s="31"/>
      <c r="O54" s="31"/>
    </row>
    <row r="55" spans="1:15">
      <c r="A55" s="28">
        <v>45137</v>
      </c>
      <c r="B55" s="28" t="s">
        <v>256</v>
      </c>
      <c r="C55" s="22" t="s">
        <v>199</v>
      </c>
      <c r="D55" s="22">
        <v>5277</v>
      </c>
      <c r="E55" s="32">
        <v>300</v>
      </c>
      <c r="F55" s="34" t="s">
        <v>194</v>
      </c>
      <c r="I55" s="31"/>
      <c r="J55" s="31"/>
      <c r="K55" s="31"/>
      <c r="L55" s="31"/>
      <c r="M55" s="31"/>
      <c r="N55" s="31"/>
      <c r="O55" s="31"/>
    </row>
    <row r="56" spans="1:15">
      <c r="A56" s="28">
        <v>45110</v>
      </c>
      <c r="B56" s="22" t="s">
        <v>209</v>
      </c>
      <c r="C56" s="22" t="s">
        <v>210</v>
      </c>
      <c r="E56" s="32">
        <v>258</v>
      </c>
      <c r="F56" s="34" t="s">
        <v>194</v>
      </c>
      <c r="I56" s="31"/>
      <c r="J56" s="31"/>
      <c r="K56" s="31"/>
      <c r="L56" s="31"/>
      <c r="M56" s="31"/>
      <c r="N56" s="31"/>
      <c r="O56" s="31"/>
    </row>
    <row r="57" spans="1:15">
      <c r="A57" s="28"/>
      <c r="B57" s="22" t="s">
        <v>261</v>
      </c>
      <c r="C57" s="22" t="s">
        <v>214</v>
      </c>
      <c r="E57" s="32">
        <f xml:space="preserve"> H67</f>
        <v>485.54999999999995</v>
      </c>
      <c r="F57" s="34"/>
      <c r="I57" s="31"/>
      <c r="J57" s="31"/>
      <c r="K57" s="31"/>
      <c r="L57" s="31"/>
      <c r="M57" s="31"/>
      <c r="N57" s="31"/>
      <c r="O57" s="31"/>
    </row>
    <row r="59" spans="1:15">
      <c r="A59" s="22" t="s">
        <v>169</v>
      </c>
      <c r="B59" s="22" t="s">
        <v>185</v>
      </c>
      <c r="C59" s="22" t="s">
        <v>176</v>
      </c>
      <c r="D59" s="22" t="s">
        <v>240</v>
      </c>
      <c r="E59" s="22" t="s">
        <v>186</v>
      </c>
      <c r="F59" s="22" t="s">
        <v>263</v>
      </c>
    </row>
    <row r="60" spans="1:15">
      <c r="A60" s="28">
        <v>45138</v>
      </c>
      <c r="B60" s="22" t="s">
        <v>6</v>
      </c>
      <c r="C60" s="22">
        <v>695</v>
      </c>
      <c r="D60" s="22" t="s">
        <v>241</v>
      </c>
      <c r="E60" s="34" t="s">
        <v>194</v>
      </c>
      <c r="F60" s="52"/>
    </row>
    <row r="61" spans="1:15">
      <c r="A61" s="28">
        <v>45138</v>
      </c>
      <c r="B61" s="22" t="s">
        <v>6</v>
      </c>
      <c r="C61" s="22">
        <v>4700</v>
      </c>
      <c r="D61" s="22" t="s">
        <v>241</v>
      </c>
      <c r="E61" s="34"/>
      <c r="F61" s="52"/>
    </row>
    <row r="62" spans="1:15">
      <c r="A62" s="28">
        <v>45138</v>
      </c>
      <c r="B62" s="22" t="s">
        <v>70</v>
      </c>
      <c r="C62" s="22">
        <v>200</v>
      </c>
      <c r="D62" s="22" t="s">
        <v>241</v>
      </c>
      <c r="E62" s="34"/>
      <c r="F62" s="52"/>
    </row>
    <row r="63" spans="1:15">
      <c r="A63" s="28">
        <v>45113</v>
      </c>
      <c r="B63" s="22" t="s">
        <v>70</v>
      </c>
      <c r="C63" s="22">
        <v>3610</v>
      </c>
      <c r="D63" s="22" t="s">
        <v>241</v>
      </c>
      <c r="E63" s="34" t="s">
        <v>194</v>
      </c>
      <c r="F63" s="52" t="s">
        <v>262</v>
      </c>
      <c r="G63" s="38"/>
      <c r="H63" s="50"/>
    </row>
    <row r="64" spans="1:15">
      <c r="A64" s="28">
        <v>45138</v>
      </c>
      <c r="B64" s="22" t="s">
        <v>147</v>
      </c>
      <c r="C64" s="22">
        <v>200</v>
      </c>
      <c r="D64" s="22" t="s">
        <v>241</v>
      </c>
      <c r="E64" s="34"/>
      <c r="F64" s="52"/>
      <c r="G64" s="38"/>
      <c r="H64" s="50"/>
    </row>
    <row r="65" spans="1:9">
      <c r="A65" s="28">
        <v>45138</v>
      </c>
      <c r="B65" s="22" t="s">
        <v>268</v>
      </c>
      <c r="C65" s="22">
        <v>100</v>
      </c>
      <c r="D65" s="22" t="s">
        <v>241</v>
      </c>
      <c r="E65" s="34"/>
      <c r="F65" s="52"/>
    </row>
    <row r="66" spans="1:9">
      <c r="A66" s="28">
        <v>45138</v>
      </c>
      <c r="B66" s="22" t="s">
        <v>269</v>
      </c>
      <c r="C66" s="22">
        <v>2700</v>
      </c>
      <c r="D66" s="22" t="s">
        <v>241</v>
      </c>
      <c r="E66" s="34"/>
      <c r="F66" s="52"/>
      <c r="G66" s="38" t="s">
        <v>242</v>
      </c>
      <c r="H66" s="50">
        <f>SUMIF(Offering07[Category], "G",Offering07[Amount])</f>
        <v>5395</v>
      </c>
    </row>
    <row r="67" spans="1:9">
      <c r="A67" s="28">
        <v>45138</v>
      </c>
      <c r="B67" s="22" t="s">
        <v>14</v>
      </c>
      <c r="C67" s="22">
        <v>0</v>
      </c>
      <c r="D67" s="22" t="s">
        <v>241</v>
      </c>
      <c r="E67" s="34" t="s">
        <v>194</v>
      </c>
      <c r="F67" s="52"/>
      <c r="G67" s="38" t="s">
        <v>215</v>
      </c>
      <c r="H67" s="51">
        <f xml:space="preserve"> H66 * 0.09</f>
        <v>485.54999999999995</v>
      </c>
      <c r="I67" s="22" t="s">
        <v>217</v>
      </c>
    </row>
    <row r="68" spans="1:9">
      <c r="A68" s="28">
        <v>45138</v>
      </c>
      <c r="B68" s="22" t="s">
        <v>228</v>
      </c>
      <c r="C68" s="22">
        <v>0.73</v>
      </c>
      <c r="D68" s="22" t="s">
        <v>70</v>
      </c>
      <c r="E68" s="34" t="s">
        <v>194</v>
      </c>
      <c r="F68" s="52"/>
    </row>
    <row r="69" spans="1:9">
      <c r="A69" s="28">
        <v>45138</v>
      </c>
      <c r="B69" s="22" t="s">
        <v>264</v>
      </c>
      <c r="C69" s="22">
        <v>1949.52</v>
      </c>
      <c r="D69" s="22" t="s">
        <v>223</v>
      </c>
      <c r="E69" s="34" t="s">
        <v>194</v>
      </c>
      <c r="F69" s="52"/>
    </row>
  </sheetData>
  <mergeCells count="5">
    <mergeCell ref="A3:F3"/>
    <mergeCell ref="A15:F15"/>
    <mergeCell ref="A26:C26"/>
    <mergeCell ref="E26:G26"/>
    <mergeCell ref="A43:F43"/>
  </mergeCells>
  <conditionalFormatting sqref="F52 F55">
    <cfRule type="containsText" dxfId="47" priority="27" operator="containsText" text="Y">
      <formula>NOT(ISERROR(SEARCH("Y",F52)))</formula>
    </cfRule>
    <cfRule type="containsText" priority="28" operator="containsText" text="&quot;&quot;">
      <formula>NOT(ISERROR(SEARCH("""""",F52)))</formula>
    </cfRule>
  </conditionalFormatting>
  <conditionalFormatting sqref="C28:C36 C40:C41 E60:E69">
    <cfRule type="containsText" dxfId="46" priority="26" operator="containsText" text="Y">
      <formula>NOT(ISERROR(SEARCH("Y",C28)))</formula>
    </cfRule>
  </conditionalFormatting>
  <conditionalFormatting sqref="F53:F54">
    <cfRule type="containsText" dxfId="45" priority="21" operator="containsText" text="Y">
      <formula>NOT(ISERROR(SEARCH("Y",F53)))</formula>
    </cfRule>
    <cfRule type="containsText" priority="22" operator="containsText" text="&quot;&quot;">
      <formula>NOT(ISERROR(SEARCH("""""",F53)))</formula>
    </cfRule>
  </conditionalFormatting>
  <conditionalFormatting sqref="F52:F57">
    <cfRule type="containsText" dxfId="44" priority="18" operator="containsText" text="Y">
      <formula>NOT(ISERROR(SEARCH("Y",F52)))</formula>
    </cfRule>
  </conditionalFormatting>
  <conditionalFormatting sqref="C39">
    <cfRule type="containsText" dxfId="43" priority="15" operator="containsText" text="Y">
      <formula>NOT(ISERROR(SEARCH("Y",C39)))</formula>
    </cfRule>
  </conditionalFormatting>
  <conditionalFormatting sqref="C37">
    <cfRule type="containsText" dxfId="42" priority="14" operator="containsText" text="Y">
      <formula>NOT(ISERROR(SEARCH("Y",C37)))</formula>
    </cfRule>
  </conditionalFormatting>
  <conditionalFormatting sqref="C38">
    <cfRule type="containsText" dxfId="41" priority="11" operator="containsText" text="Y">
      <formula>NOT(ISERROR(SEARCH("Y",C38)))</formula>
    </cfRule>
  </conditionalFormatting>
  <conditionalFormatting sqref="F45">
    <cfRule type="containsText" dxfId="40" priority="10" operator="containsText" text="Y">
      <formula>NOT(ISERROR(SEARCH("Y",F45)))</formula>
    </cfRule>
  </conditionalFormatting>
  <conditionalFormatting sqref="F47">
    <cfRule type="containsText" dxfId="39" priority="9" operator="containsText" text="Y">
      <formula>NOT(ISERROR(SEARCH("Y",F47)))</formula>
    </cfRule>
  </conditionalFormatting>
  <conditionalFormatting sqref="F48">
    <cfRule type="containsText" dxfId="38" priority="8" operator="containsText" text="Y">
      <formula>NOT(ISERROR(SEARCH("Y",F48)))</formula>
    </cfRule>
  </conditionalFormatting>
  <conditionalFormatting sqref="F50">
    <cfRule type="containsText" dxfId="37" priority="6" operator="containsText" text="Y">
      <formula>NOT(ISERROR(SEARCH("Y",F50)))</formula>
    </cfRule>
  </conditionalFormatting>
  <conditionalFormatting sqref="F46">
    <cfRule type="containsText" dxfId="36" priority="5" operator="containsText" text="Y">
      <formula>NOT(ISERROR(SEARCH("Y",F46)))</formula>
    </cfRule>
  </conditionalFormatting>
  <conditionalFormatting sqref="F49">
    <cfRule type="containsText" dxfId="35" priority="4" operator="containsText" text="Y">
      <formula>NOT(ISERROR(SEARCH("Y",F49)))</formula>
    </cfRule>
  </conditionalFormatting>
  <conditionalFormatting sqref="F51">
    <cfRule type="containsText" dxfId="34" priority="3" operator="containsText" text="Y">
      <formula>NOT(ISERROR(SEARCH("Y",F51)))</formula>
    </cfRule>
  </conditionalFormatting>
  <dataValidations count="1">
    <dataValidation type="list" allowBlank="1" showInputMessage="1" showErrorMessage="1" sqref="C45:C57" xr:uid="{B334C7B3-BAE3-4723-A11B-9B7A215F40A3}">
      <formula1 xml:space="preserve"> INDIRECT("ExpenseCategory!ExpenseCategory[Display List]" 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233B-F009-4F04-A815-003EB71E79BC}">
  <dimension ref="A1:S69"/>
  <sheetViews>
    <sheetView topLeftCell="A13" workbookViewId="0">
      <selection activeCell="E58" sqref="E58"/>
    </sheetView>
  </sheetViews>
  <sheetFormatPr defaultRowHeight="14.4"/>
  <cols>
    <col min="1" max="1" width="23.05078125" style="22" customWidth="1"/>
    <col min="2" max="2" width="23.9453125" style="22" customWidth="1"/>
    <col min="3" max="3" width="35.62890625" style="22" customWidth="1"/>
    <col min="4" max="4" width="19.26171875" style="22" customWidth="1"/>
    <col min="5" max="5" width="25.05078125" style="22" customWidth="1"/>
    <col min="6" max="6" width="31.15625" style="22" customWidth="1"/>
    <col min="7" max="7" width="20.47265625" style="22" customWidth="1"/>
    <col min="8" max="8" width="22.68359375" style="22" customWidth="1"/>
    <col min="9" max="9" width="25.20703125" style="22" customWidth="1"/>
    <col min="10" max="10" width="19" style="22" customWidth="1"/>
    <col min="11" max="11" width="20.7890625" style="22" customWidth="1"/>
    <col min="12" max="12" width="17.3671875" style="22" customWidth="1"/>
    <col min="13" max="13" width="14.62890625" style="22" customWidth="1"/>
    <col min="14" max="18" width="8.83984375" style="22"/>
    <col min="19" max="19" width="13.578125" style="22" customWidth="1"/>
    <col min="20" max="20" width="19.7890625" style="22" customWidth="1"/>
    <col min="21" max="21" width="9.15625" style="22" bestFit="1" customWidth="1"/>
    <col min="22" max="16384" width="8.83984375" style="22"/>
  </cols>
  <sheetData>
    <row r="1" spans="1:15" ht="28.2">
      <c r="A1" s="24" t="s">
        <v>168</v>
      </c>
      <c r="B1" s="25">
        <v>8</v>
      </c>
      <c r="C1" s="24" t="s">
        <v>172</v>
      </c>
      <c r="D1" s="42">
        <v>2023</v>
      </c>
    </row>
    <row r="2" spans="1:15" ht="14.7" customHeight="1" thickBot="1">
      <c r="I2" s="33"/>
      <c r="J2" s="33"/>
      <c r="K2" s="33"/>
      <c r="L2" s="33"/>
      <c r="M2" s="31"/>
      <c r="N2" s="31"/>
      <c r="O2" s="31"/>
    </row>
    <row r="3" spans="1:15" ht="15" thickTop="1" thickBot="1">
      <c r="A3" s="61" t="s">
        <v>154</v>
      </c>
      <c r="B3" s="61"/>
      <c r="C3" s="61"/>
      <c r="D3" s="61"/>
      <c r="E3" s="61"/>
      <c r="F3" s="61"/>
      <c r="I3" s="33"/>
      <c r="J3" s="33"/>
      <c r="K3" s="33"/>
      <c r="L3" s="33"/>
      <c r="M3" s="31"/>
      <c r="N3" s="31"/>
      <c r="O3" s="31"/>
    </row>
    <row r="4" spans="1:15" ht="14.7" thickTop="1">
      <c r="A4" s="22" t="s">
        <v>154</v>
      </c>
      <c r="B4" s="22" t="s">
        <v>162</v>
      </c>
      <c r="C4" s="22" t="s">
        <v>157</v>
      </c>
      <c r="D4" s="22" t="s">
        <v>159</v>
      </c>
      <c r="E4" s="22" t="s">
        <v>158</v>
      </c>
      <c r="F4" s="22" t="s">
        <v>229</v>
      </c>
      <c r="I4" s="33"/>
      <c r="J4" s="33"/>
      <c r="K4" s="33"/>
      <c r="L4" s="33"/>
      <c r="M4" s="31"/>
      <c r="N4" s="31"/>
      <c r="O4" s="31"/>
    </row>
    <row r="5" spans="1:15">
      <c r="A5" s="22" t="s">
        <v>65</v>
      </c>
      <c r="B5" s="27">
        <f xml:space="preserve"> Funds07[[#This Row],[Initial Amount]] + Funds07[[#This Row],[Income]] - Funds07[[#This Row],[Expense]]</f>
        <v>64363.35000000002</v>
      </c>
      <c r="C5" s="23">
        <v>64363.35000000002</v>
      </c>
      <c r="D5" s="23">
        <f>SUMIF(Offering08[Category], "G*",Offering08[Amount])</f>
        <v>250.73</v>
      </c>
      <c r="E5" s="27">
        <f>SUMIF(Expenses08[Category], "G*",Expenses08[Amount])</f>
        <v>1742.5</v>
      </c>
      <c r="F5" s="27">
        <f xml:space="preserve"> Funds08[[#This Row],[Initial Amount]] + Funds08[[#This Row],[Income]] - Funds08[[#This Row],[Expense]]</f>
        <v>62871.580000000024</v>
      </c>
      <c r="I5" s="33"/>
      <c r="J5" s="33"/>
      <c r="K5" s="33"/>
      <c r="L5" s="33"/>
      <c r="M5" s="31"/>
      <c r="N5" s="31"/>
      <c r="O5" s="31"/>
    </row>
    <row r="6" spans="1:15">
      <c r="A6" s="22" t="s">
        <v>11</v>
      </c>
      <c r="B6" s="27">
        <f xml:space="preserve"> Funds07[[#This Row],[Initial Amount]] + Funds07[[#This Row],[Income]] - Funds07[[#This Row],[Expense]]</f>
        <v>418313.98</v>
      </c>
      <c r="C6" s="27">
        <v>418313.98</v>
      </c>
      <c r="D6" s="27">
        <f>SUMIF(Offering08[Category], "B*",Offering08[Amount])</f>
        <v>0</v>
      </c>
      <c r="E6" s="27">
        <f>SUMIF(Expenses08[Category], "B*",Expenses08[Amount])</f>
        <v>738</v>
      </c>
      <c r="F6" s="27">
        <f xml:space="preserve"> Funds08[[#This Row],[Initial Amount]] + Funds08[[#This Row],[Income]] - Funds08[[#This Row],[Expense]]</f>
        <v>417575.98</v>
      </c>
      <c r="I6" s="33"/>
      <c r="J6" s="33"/>
      <c r="K6" s="33"/>
      <c r="L6" s="33"/>
      <c r="M6" s="31"/>
      <c r="N6" s="31"/>
      <c r="O6" s="31"/>
    </row>
    <row r="7" spans="1:15">
      <c r="A7" s="22" t="s">
        <v>67</v>
      </c>
      <c r="B7" s="27">
        <f xml:space="preserve"> Funds07[[#This Row],[Initial Amount]] + Funds07[[#This Row],[Income]] - Funds07[[#This Row],[Expense]]</f>
        <v>32655.040000000001</v>
      </c>
      <c r="C7" s="27">
        <v>32655.040000000001</v>
      </c>
      <c r="D7" s="27">
        <f>SUMIF(Offering08[Category], "M*",Offering08[Amount])</f>
        <v>0</v>
      </c>
      <c r="E7" s="27">
        <f>SUMIF(Expenses08[Category], "M*",Expenses08[Amount])</f>
        <v>7400</v>
      </c>
      <c r="F7" s="27">
        <f xml:space="preserve"> Funds08[[#This Row],[Initial Amount]] + Funds08[[#This Row],[Income]] - Funds08[[#This Row],[Expense]]</f>
        <v>25255.040000000001</v>
      </c>
      <c r="I7" s="33"/>
      <c r="J7" s="33"/>
      <c r="K7" s="33"/>
      <c r="L7" s="33"/>
      <c r="M7" s="31"/>
      <c r="N7" s="31"/>
      <c r="O7" s="31"/>
    </row>
    <row r="8" spans="1:15">
      <c r="A8" s="22" t="s">
        <v>155</v>
      </c>
      <c r="B8" s="27">
        <f xml:space="preserve"> Funds07[[#This Row],[Initial Amount]] + Funds07[[#This Row],[Income]] - Funds07[[#This Row],[Expense]]</f>
        <v>4950</v>
      </c>
      <c r="C8" s="27">
        <v>4950</v>
      </c>
      <c r="D8" s="27">
        <f>SUMIF(Offering08[Category], "O*",Offering08[Amount])</f>
        <v>0</v>
      </c>
      <c r="E8" s="27">
        <f>SUMIF(Expenses08[Category], "O*",Expenses08[Amount])</f>
        <v>0</v>
      </c>
      <c r="F8" s="27">
        <f xml:space="preserve"> Funds08[[#This Row],[Initial Amount]] + Funds08[[#This Row],[Income]] - Funds08[[#This Row],[Expense]]</f>
        <v>4950</v>
      </c>
      <c r="I8" s="33"/>
      <c r="J8" s="33"/>
      <c r="K8" s="33"/>
      <c r="L8" s="33"/>
      <c r="M8" s="31"/>
      <c r="N8" s="31"/>
      <c r="O8" s="31"/>
    </row>
    <row r="9" spans="1:15">
      <c r="A9" s="22" t="s">
        <v>160</v>
      </c>
      <c r="B9" s="27">
        <f xml:space="preserve"> Funds07[[#This Row],[Initial Amount]] + Funds07[[#This Row],[Income]] - Funds07[[#This Row],[Expense]]</f>
        <v>27013.79</v>
      </c>
      <c r="C9" s="27">
        <v>27013.79</v>
      </c>
      <c r="D9" s="27">
        <f>SUMIF(Offering08[Category], "EN*",Offering08[Amount])</f>
        <v>0</v>
      </c>
      <c r="E9" s="27">
        <f>SUMIF(Expenses08[Category], "EN*",Expenses08[Amount])</f>
        <v>0</v>
      </c>
      <c r="F9" s="27">
        <f xml:space="preserve"> Funds08[[#This Row],[Initial Amount]] + Funds08[[#This Row],[Income]] - Funds08[[#This Row],[Expense]]</f>
        <v>27013.79</v>
      </c>
      <c r="I9" s="33"/>
      <c r="J9" s="33"/>
      <c r="K9" s="33"/>
      <c r="L9" s="33"/>
      <c r="M9" s="31"/>
      <c r="N9" s="31"/>
      <c r="O9" s="31"/>
    </row>
    <row r="10" spans="1:15">
      <c r="A10" s="22" t="s">
        <v>156</v>
      </c>
      <c r="B10" s="27">
        <f xml:space="preserve"> Funds07[[#This Row],[Initial Amount]] + Funds07[[#This Row],[Income]] - Funds07[[#This Row],[Expense]]</f>
        <v>4456.7700000000004</v>
      </c>
      <c r="C10" s="27">
        <v>4456.7700000000004</v>
      </c>
      <c r="D10" s="27">
        <f>SUMIF(Offering08[Category], "L*",Offering08[Amount])</f>
        <v>0</v>
      </c>
      <c r="E10" s="27"/>
      <c r="F10" s="27">
        <f xml:space="preserve"> Funds08[[#This Row],[Initial Amount]] + Funds08[[#This Row],[Income]] - Funds08[[#This Row],[Expense]]</f>
        <v>4456.7700000000004</v>
      </c>
      <c r="I10" s="33"/>
      <c r="J10" s="33"/>
      <c r="K10" s="33"/>
      <c r="L10" s="33"/>
      <c r="M10" s="31"/>
      <c r="N10" s="31"/>
      <c r="O10" s="31"/>
    </row>
    <row r="11" spans="1:15">
      <c r="A11" s="22" t="s">
        <v>267</v>
      </c>
      <c r="B11" s="27">
        <f xml:space="preserve"> Funds07[[#This Row],[Initial Amount]] + Funds07[[#This Row],[Income]] - Funds07[[#This Row],[Expense]]</f>
        <v>2700</v>
      </c>
      <c r="C11" s="27">
        <v>2700</v>
      </c>
      <c r="D11" s="27"/>
      <c r="E11" s="27"/>
      <c r="F11" s="27">
        <f xml:space="preserve"> Funds08[[#This Row],[Initial Amount]] + Funds08[[#This Row],[Income]] - Funds08[[#This Row],[Expense]]</f>
        <v>2700</v>
      </c>
      <c r="I11" s="33"/>
      <c r="J11" s="33"/>
      <c r="K11" s="33"/>
      <c r="L11" s="33"/>
      <c r="M11" s="31"/>
      <c r="N11" s="31"/>
      <c r="O11" s="31"/>
    </row>
    <row r="12" spans="1:15">
      <c r="A12" s="22" t="s">
        <v>266</v>
      </c>
      <c r="B12" s="27">
        <f xml:space="preserve"> Funds07[[#This Row],[Initial Amount]] + Funds07[[#This Row],[Income]] - Funds07[[#This Row],[Expense]]</f>
        <v>100</v>
      </c>
      <c r="C12" s="27">
        <v>100</v>
      </c>
      <c r="D12" s="27"/>
      <c r="E12" s="27">
        <v>100</v>
      </c>
      <c r="F12" s="27">
        <f xml:space="preserve"> Funds08[[#This Row],[Initial Amount]] + Funds08[[#This Row],[Income]] - Funds08[[#This Row],[Expense]]</f>
        <v>0</v>
      </c>
      <c r="I12" s="33"/>
      <c r="J12" s="33"/>
      <c r="K12" s="33"/>
      <c r="L12" s="33"/>
      <c r="M12" s="31"/>
      <c r="N12" s="31"/>
      <c r="O12" s="31"/>
    </row>
    <row r="13" spans="1:15">
      <c r="B13" s="27"/>
      <c r="C13" s="27">
        <v>0</v>
      </c>
      <c r="D13" s="27"/>
      <c r="E13" s="27"/>
      <c r="F13" s="27">
        <f xml:space="preserve"> Funds08[[#This Row],[Initial Amount]] + Funds08[[#This Row],[Income]] - Funds08[[#This Row],[Expense]]</f>
        <v>0</v>
      </c>
      <c r="I13" s="33"/>
      <c r="J13" s="33"/>
      <c r="K13" s="33"/>
      <c r="L13" s="33"/>
      <c r="M13" s="31"/>
      <c r="N13" s="31"/>
      <c r="O13" s="31"/>
    </row>
    <row r="14" spans="1:15">
      <c r="B14" s="27">
        <f xml:space="preserve"> SUM(Funds08[Initial Amount (Auto Calculated)])</f>
        <v>554552.93000000005</v>
      </c>
      <c r="C14" s="27">
        <f xml:space="preserve"> SUM(Funds08[Initial Amount])</f>
        <v>554552.93000000005</v>
      </c>
      <c r="D14" s="27"/>
      <c r="E14" s="27">
        <f xml:space="preserve"> SUM(Funds08[Expense])</f>
        <v>9980.5</v>
      </c>
      <c r="F14" s="27">
        <f xml:space="preserve"> SUM(Funds08[End of Month Amount])</f>
        <v>544823.16</v>
      </c>
      <c r="I14" s="33"/>
      <c r="J14" s="33"/>
      <c r="K14" s="33"/>
      <c r="L14" s="33"/>
      <c r="M14" s="31"/>
      <c r="N14" s="31"/>
      <c r="O14" s="31"/>
    </row>
    <row r="15" spans="1:15" ht="14.7" thickBot="1">
      <c r="I15" s="33"/>
      <c r="J15" s="33"/>
      <c r="K15" s="33"/>
      <c r="L15" s="33"/>
      <c r="M15" s="31"/>
      <c r="N15" s="31"/>
      <c r="O15" s="31"/>
    </row>
    <row r="16" spans="1:15" ht="15" thickTop="1" thickBot="1">
      <c r="A16" s="61" t="s">
        <v>161</v>
      </c>
      <c r="B16" s="61"/>
      <c r="C16" s="61"/>
      <c r="D16" s="61"/>
      <c r="E16" s="61"/>
      <c r="F16" s="61"/>
      <c r="I16" s="33"/>
      <c r="J16" s="33"/>
      <c r="K16" s="33"/>
      <c r="L16" s="33"/>
      <c r="M16" s="31"/>
      <c r="N16" s="31"/>
      <c r="O16" s="31"/>
    </row>
    <row r="17" spans="1:15" ht="14.7" thickTop="1">
      <c r="A17" s="22" t="s">
        <v>161</v>
      </c>
      <c r="B17" s="22" t="s">
        <v>163</v>
      </c>
      <c r="C17" s="22" t="s">
        <v>164</v>
      </c>
      <c r="D17" s="22" t="s">
        <v>277</v>
      </c>
      <c r="E17" s="22" t="s">
        <v>278</v>
      </c>
      <c r="F17" s="22" t="s">
        <v>229</v>
      </c>
      <c r="H17" s="33"/>
      <c r="I17" s="33"/>
      <c r="J17" s="33"/>
      <c r="K17" s="33"/>
      <c r="L17" s="31"/>
      <c r="M17" s="31"/>
      <c r="N17" s="31"/>
    </row>
    <row r="18" spans="1:15">
      <c r="A18" s="22" t="s">
        <v>166</v>
      </c>
      <c r="B18" s="27">
        <f xml:space="preserve"> VLOOKUP(A18, BankAccounts07[], 6, FALSE)</f>
        <v>99776.34</v>
      </c>
      <c r="C18" s="27">
        <v>99776.34</v>
      </c>
      <c r="D18" s="27">
        <f>SUMIF(Offering08[Bank Account], "C",Offering08[Amount]) + InitialIncomeToDeposit08[[#Totals],[Amount]]</f>
        <v>8150</v>
      </c>
      <c r="E18" s="27">
        <f>SUMIF(Expenses08[Paid/Cashed ?], "Y",Expenses08[Amount]) + SUMIF(InitialOutstandingPayments08[Paid ?], "Y",InitialOutstandingPayments08[Amount])</f>
        <v>10778</v>
      </c>
      <c r="F18" s="27">
        <f xml:space="preserve"> BankAccounts08[[#This Row],[Initial Balance]] + BankAccounts08[[#This Row],[Increase]] - BankAccounts08[[#This Row],[Decrease]]</f>
        <v>97148.34</v>
      </c>
      <c r="H18" s="33"/>
      <c r="I18" s="33"/>
      <c r="J18" s="33"/>
      <c r="K18" s="33"/>
      <c r="L18" s="31"/>
      <c r="M18" s="31"/>
      <c r="N18" s="31"/>
    </row>
    <row r="19" spans="1:15">
      <c r="A19" s="22" t="s">
        <v>167</v>
      </c>
      <c r="B19" s="27">
        <f xml:space="preserve"> VLOOKUP(A19, BankAccounts07[], 6, FALSE)</f>
        <v>86471.42</v>
      </c>
      <c r="C19" s="27">
        <v>86471.42</v>
      </c>
      <c r="D19" s="27">
        <f>SUMIF(Offering08[Bank Account], "M*",Offering08[Amount])</f>
        <v>0.73</v>
      </c>
      <c r="E19" s="27"/>
      <c r="F19" s="27">
        <f xml:space="preserve"> BankAccounts08[[#This Row],[Initial Balance]] + BankAccounts08[[#This Row],[Increase]] - BankAccounts08[[#This Row],[Decrease]]</f>
        <v>86472.15</v>
      </c>
      <c r="H19" s="33"/>
      <c r="I19" s="22" t="s">
        <v>220</v>
      </c>
      <c r="J19" s="22" t="s">
        <v>221</v>
      </c>
      <c r="K19" s="22" t="s">
        <v>226</v>
      </c>
      <c r="L19" s="22" t="s">
        <v>222</v>
      </c>
      <c r="M19" s="22" t="s">
        <v>225</v>
      </c>
      <c r="N19" s="31"/>
    </row>
    <row r="20" spans="1:15">
      <c r="A20" s="22" t="s">
        <v>181</v>
      </c>
      <c r="B20" s="27">
        <f xml:space="preserve"> VLOOKUP(A20, BankAccounts07[], 6, FALSE)</f>
        <v>103844.08</v>
      </c>
      <c r="C20" s="27">
        <v>103844.08</v>
      </c>
      <c r="D20" s="27"/>
      <c r="E20" s="27"/>
      <c r="F20" s="27">
        <f xml:space="preserve"> BankAccounts08[[#This Row],[Initial Balance]] + BankAccounts08[[#This Row],[Increase]] - BankAccounts08[[#This Row],[Decrease]]</f>
        <v>103844.08</v>
      </c>
      <c r="H20" s="33"/>
      <c r="I20" s="22" t="s">
        <v>219</v>
      </c>
      <c r="J20" s="35">
        <v>4.2099999999999999E-2</v>
      </c>
      <c r="K20" s="22">
        <v>0</v>
      </c>
      <c r="L20" s="30">
        <v>103844.08</v>
      </c>
      <c r="M20" s="29">
        <v>45292</v>
      </c>
      <c r="N20" s="31"/>
    </row>
    <row r="21" spans="1:15">
      <c r="A21" s="22" t="s">
        <v>182</v>
      </c>
      <c r="B21" s="27">
        <f xml:space="preserve"> VLOOKUP(A21, BankAccounts07[], 6, FALSE)</f>
        <v>103844.08</v>
      </c>
      <c r="C21" s="27">
        <v>103844.08</v>
      </c>
      <c r="D21" s="27"/>
      <c r="E21" s="27"/>
      <c r="F21" s="27">
        <f xml:space="preserve"> BankAccounts08[[#This Row],[Initial Balance]] + BankAccounts08[[#This Row],[Increase]] - BankAccounts08[[#This Row],[Decrease]]</f>
        <v>103844.08</v>
      </c>
      <c r="H21" s="33"/>
      <c r="I21" s="22" t="s">
        <v>224</v>
      </c>
      <c r="J21" s="35">
        <v>4.2099999999999999E-2</v>
      </c>
      <c r="K21" s="22">
        <v>0</v>
      </c>
      <c r="L21" s="30">
        <v>103844.08</v>
      </c>
      <c r="M21" s="29">
        <v>45292</v>
      </c>
      <c r="N21" s="31"/>
    </row>
    <row r="22" spans="1:15">
      <c r="A22" s="22" t="s">
        <v>183</v>
      </c>
      <c r="B22" s="27">
        <f xml:space="preserve"> VLOOKUP(A22, BankAccounts07[], 6, FALSE)</f>
        <v>158180.59</v>
      </c>
      <c r="C22" s="27">
        <v>158180.59</v>
      </c>
      <c r="D22" s="27"/>
      <c r="E22" s="27"/>
      <c r="F22" s="27">
        <f xml:space="preserve"> BankAccounts08[[#This Row],[Initial Balance]] + BankAccounts08[[#This Row],[Increase]] - BankAccounts08[[#This Row],[Decrease]]</f>
        <v>158180.59</v>
      </c>
      <c r="H22" s="33"/>
      <c r="I22" s="22" t="s">
        <v>223</v>
      </c>
      <c r="J22" s="35">
        <v>4.9500000000000002E-2</v>
      </c>
      <c r="K22" s="30">
        <v>1949.52</v>
      </c>
      <c r="L22" s="30">
        <v>158180.59</v>
      </c>
      <c r="M22" s="29">
        <v>45319</v>
      </c>
      <c r="N22" s="31"/>
    </row>
    <row r="23" spans="1:15">
      <c r="A23" s="22" t="s">
        <v>187</v>
      </c>
      <c r="B23" s="27">
        <f xml:space="preserve"> VLOOKUP(A23, BankAccounts07[], 6, FALSE)</f>
        <v>7900</v>
      </c>
      <c r="C23" s="27">
        <v>7900</v>
      </c>
      <c r="D23" s="27"/>
      <c r="E23" s="27">
        <v>7900</v>
      </c>
      <c r="F23" s="27">
        <f xml:space="preserve"> BankAccounts08[[#This Row],[Initial Balance]] + BankAccounts08[[#This Row],[Increase]] - BankAccounts08[[#This Row],[Decrease]]</f>
        <v>0</v>
      </c>
      <c r="H23" s="33"/>
      <c r="I23" s="33"/>
      <c r="J23" s="33"/>
      <c r="K23" s="33"/>
      <c r="L23" s="31"/>
      <c r="M23" s="31"/>
      <c r="N23" s="31"/>
    </row>
    <row r="24" spans="1:15">
      <c r="A24" s="22" t="s">
        <v>188</v>
      </c>
      <c r="B24" s="27">
        <f xml:space="preserve"> VLOOKUP(A24, BankAccounts07[], 6, FALSE)</f>
        <v>5463.58</v>
      </c>
      <c r="C24" s="27">
        <v>5463.58</v>
      </c>
      <c r="D24" s="27">
        <f xml:space="preserve"> SUMIF(Expenses08[Paid/Cashed ?], "",Expenses08[Amount])</f>
        <v>22.5</v>
      </c>
      <c r="E24" s="27">
        <f xml:space="preserve"> SUMIF(InitialOutstandingPayments08[Paid ?], "Y", InitialOutstandingPayments08[Amount])</f>
        <v>820</v>
      </c>
      <c r="F24" s="27">
        <f xml:space="preserve"> BankAccounts08[[#This Row],[Initial Balance]] + BankAccounts08[[#This Row],[Increase]] - BankAccounts08[[#This Row],[Decrease]]</f>
        <v>4666.08</v>
      </c>
      <c r="H24" s="33"/>
      <c r="I24" s="33"/>
      <c r="J24" s="33"/>
      <c r="K24" s="33"/>
      <c r="L24" s="37">
        <f xml:space="preserve"> L22 - K22</f>
        <v>156231.07</v>
      </c>
      <c r="M24" s="31"/>
      <c r="N24" s="31"/>
    </row>
    <row r="25" spans="1:15">
      <c r="B25" s="27">
        <f xml:space="preserve"> SUM(B18:B22) + B23 - B24</f>
        <v>554552.93000000005</v>
      </c>
      <c r="C25" s="27">
        <f xml:space="preserve"> SUM(C18:C22) - C24</f>
        <v>546652.93000000005</v>
      </c>
      <c r="F25" s="27">
        <f xml:space="preserve"> SUM(F18:F22) + F23 - F24</f>
        <v>544823.16</v>
      </c>
      <c r="H25" s="33"/>
      <c r="I25" s="33"/>
      <c r="J25" s="33"/>
      <c r="K25" s="33"/>
      <c r="L25" s="31"/>
      <c r="M25" s="31"/>
      <c r="N25" s="31"/>
    </row>
    <row r="26" spans="1:15" ht="14.7" thickBot="1">
      <c r="I26" s="33"/>
      <c r="J26" s="33"/>
      <c r="K26" s="33"/>
      <c r="L26" s="33"/>
      <c r="M26" s="31"/>
      <c r="N26" s="31"/>
      <c r="O26" s="31"/>
    </row>
    <row r="27" spans="1:15" ht="15" thickTop="1" thickBot="1">
      <c r="A27" s="61" t="s">
        <v>218</v>
      </c>
      <c r="B27" s="61"/>
      <c r="C27" s="61"/>
      <c r="E27" s="61" t="s">
        <v>227</v>
      </c>
      <c r="F27" s="61"/>
      <c r="G27" s="61"/>
      <c r="I27" s="33"/>
      <c r="J27" s="33"/>
      <c r="K27" s="33"/>
      <c r="L27" s="33"/>
      <c r="M27" s="31"/>
      <c r="N27" s="31"/>
      <c r="O27" s="31"/>
    </row>
    <row r="28" spans="1:15" ht="14.7" thickTop="1">
      <c r="A28" s="22" t="s">
        <v>208</v>
      </c>
      <c r="B28" s="22" t="s">
        <v>176</v>
      </c>
      <c r="C28" s="22" t="s">
        <v>189</v>
      </c>
      <c r="E28" s="22" t="s">
        <v>178</v>
      </c>
      <c r="F28" s="31" t="s">
        <v>176</v>
      </c>
      <c r="G28" s="31" t="s">
        <v>186</v>
      </c>
      <c r="H28" s="31"/>
      <c r="I28" s="33"/>
      <c r="J28" s="33"/>
      <c r="K28" s="33"/>
      <c r="L28" s="33"/>
    </row>
    <row r="29" spans="1:15">
      <c r="A29" s="22" t="s">
        <v>234</v>
      </c>
      <c r="B29" s="32">
        <v>27.37</v>
      </c>
      <c r="C29" s="34"/>
      <c r="E29" s="22" t="s">
        <v>6</v>
      </c>
      <c r="F29" s="55">
        <v>4700</v>
      </c>
      <c r="G29" s="31" t="s">
        <v>194</v>
      </c>
      <c r="H29" s="31"/>
      <c r="I29" s="33"/>
      <c r="J29" s="33"/>
      <c r="K29" s="33"/>
      <c r="L29" s="33"/>
    </row>
    <row r="30" spans="1:15">
      <c r="A30" s="22" t="s">
        <v>213</v>
      </c>
      <c r="B30" s="32">
        <v>2019.3</v>
      </c>
      <c r="C30" s="34"/>
      <c r="E30" s="22" t="s">
        <v>70</v>
      </c>
      <c r="F30" s="55">
        <v>200</v>
      </c>
      <c r="G30" s="31" t="s">
        <v>194</v>
      </c>
      <c r="H30" s="31"/>
      <c r="I30" s="33"/>
      <c r="J30" s="33"/>
      <c r="K30" s="33"/>
      <c r="L30" s="33"/>
    </row>
    <row r="31" spans="1:15">
      <c r="A31" s="22" t="s">
        <v>233</v>
      </c>
      <c r="B31" s="32">
        <v>114</v>
      </c>
      <c r="C31" s="34"/>
      <c r="E31" s="22" t="s">
        <v>147</v>
      </c>
      <c r="F31" s="55">
        <v>200</v>
      </c>
      <c r="G31" s="31" t="s">
        <v>194</v>
      </c>
      <c r="H31" s="31"/>
      <c r="I31" s="33"/>
      <c r="J31" s="33"/>
      <c r="K31" s="33"/>
      <c r="L31" s="33"/>
    </row>
    <row r="32" spans="1:15">
      <c r="A32" s="22" t="s">
        <v>235</v>
      </c>
      <c r="B32" s="32">
        <v>250</v>
      </c>
      <c r="C32" s="34"/>
      <c r="E32" s="22" t="s">
        <v>268</v>
      </c>
      <c r="F32" s="56">
        <v>100</v>
      </c>
      <c r="G32" s="31" t="s">
        <v>194</v>
      </c>
      <c r="H32" s="31"/>
      <c r="I32" s="33"/>
      <c r="J32" s="33"/>
      <c r="K32" s="33"/>
      <c r="L32" s="33"/>
    </row>
    <row r="33" spans="1:19">
      <c r="A33" s="22" t="s">
        <v>231</v>
      </c>
      <c r="B33" s="32">
        <v>371.7</v>
      </c>
      <c r="C33" s="34"/>
      <c r="E33" s="22" t="s">
        <v>269</v>
      </c>
      <c r="F33" s="56">
        <v>2700</v>
      </c>
      <c r="G33" s="31" t="s">
        <v>194</v>
      </c>
      <c r="H33" s="31"/>
      <c r="I33" s="33"/>
      <c r="J33" s="33"/>
      <c r="K33" s="33"/>
      <c r="L33" s="33"/>
    </row>
    <row r="34" spans="1:19">
      <c r="A34" s="22" t="s">
        <v>239</v>
      </c>
      <c r="B34" s="32">
        <v>448.7</v>
      </c>
      <c r="C34" s="34"/>
      <c r="F34" s="56">
        <f xml:space="preserve"> SUM(InitialIncomeToDeposit08[Amount])</f>
        <v>7900</v>
      </c>
      <c r="G34" s="31"/>
      <c r="H34" s="31"/>
      <c r="I34" s="33"/>
      <c r="J34" s="33"/>
      <c r="K34" s="33"/>
      <c r="L34" s="33"/>
    </row>
    <row r="35" spans="1:19">
      <c r="A35" s="22" t="s">
        <v>253</v>
      </c>
      <c r="B35" s="32">
        <v>242.17</v>
      </c>
      <c r="C35" s="34"/>
      <c r="F35" s="31"/>
      <c r="G35" s="31"/>
      <c r="H35" s="31"/>
      <c r="I35" s="33"/>
      <c r="J35" s="33"/>
      <c r="K35" s="33"/>
      <c r="L35" s="33"/>
    </row>
    <row r="36" spans="1:19">
      <c r="A36" s="22" t="s">
        <v>257</v>
      </c>
      <c r="B36" s="32">
        <v>95.4</v>
      </c>
      <c r="C36" s="34"/>
      <c r="F36" s="31"/>
      <c r="G36" s="31"/>
      <c r="H36" s="31"/>
      <c r="I36" s="33"/>
      <c r="J36" s="33"/>
      <c r="K36" s="33"/>
      <c r="L36" s="33"/>
    </row>
    <row r="37" spans="1:19">
      <c r="A37" s="22">
        <v>5237</v>
      </c>
      <c r="B37" s="32">
        <v>39.99</v>
      </c>
      <c r="C37" s="34"/>
      <c r="F37" s="31"/>
      <c r="G37" s="31"/>
      <c r="H37" s="31"/>
      <c r="I37" s="33"/>
      <c r="J37" s="33"/>
      <c r="K37" s="33"/>
      <c r="L37" s="33"/>
    </row>
    <row r="38" spans="1:19">
      <c r="A38" s="22" t="s">
        <v>259</v>
      </c>
      <c r="B38" s="32">
        <v>443.59</v>
      </c>
      <c r="C38" s="34"/>
      <c r="F38" s="31"/>
      <c r="G38" s="31"/>
      <c r="H38" s="31"/>
      <c r="I38" s="33"/>
      <c r="J38" s="33"/>
      <c r="K38" s="33"/>
      <c r="L38" s="33"/>
    </row>
    <row r="39" spans="1:19">
      <c r="A39" s="22" t="s">
        <v>260</v>
      </c>
      <c r="B39" s="32">
        <v>105.81</v>
      </c>
      <c r="C39" s="34"/>
      <c r="F39" s="31"/>
      <c r="G39" s="31"/>
      <c r="H39" s="31"/>
      <c r="I39" s="33"/>
      <c r="J39" s="33"/>
      <c r="K39" s="33"/>
      <c r="L39" s="33"/>
    </row>
    <row r="40" spans="1:19">
      <c r="A40" s="22" t="s">
        <v>261</v>
      </c>
      <c r="B40" s="32">
        <v>485.54999999999995</v>
      </c>
      <c r="C40" s="34"/>
      <c r="F40" s="31"/>
      <c r="G40" s="31"/>
      <c r="H40" s="31"/>
      <c r="I40" s="33"/>
      <c r="J40" s="33"/>
      <c r="K40" s="33"/>
      <c r="L40" s="33"/>
    </row>
    <row r="41" spans="1:19">
      <c r="A41" s="22">
        <v>5276</v>
      </c>
      <c r="B41" s="32">
        <v>260</v>
      </c>
      <c r="C41" s="34" t="s">
        <v>194</v>
      </c>
      <c r="F41" s="31"/>
      <c r="G41" s="31"/>
      <c r="H41" s="31"/>
      <c r="I41" s="33"/>
      <c r="J41" s="33"/>
      <c r="K41" s="33"/>
      <c r="L41" s="33"/>
    </row>
    <row r="42" spans="1:19">
      <c r="A42" s="22">
        <v>5275</v>
      </c>
      <c r="B42" s="32">
        <v>300</v>
      </c>
      <c r="C42" s="34" t="s">
        <v>194</v>
      </c>
      <c r="F42" s="31"/>
      <c r="G42" s="31"/>
      <c r="H42" s="31"/>
      <c r="I42" s="33"/>
      <c r="J42" s="33"/>
      <c r="K42" s="33"/>
      <c r="L42" s="33"/>
    </row>
    <row r="43" spans="1:19">
      <c r="A43" s="22">
        <v>5278</v>
      </c>
      <c r="B43" s="32">
        <v>260</v>
      </c>
      <c r="C43" s="34" t="s">
        <v>194</v>
      </c>
      <c r="F43" s="31"/>
      <c r="G43" s="31"/>
      <c r="H43" s="31"/>
      <c r="I43" s="33"/>
      <c r="J43" s="33"/>
      <c r="K43" s="33"/>
      <c r="L43" s="33"/>
    </row>
    <row r="44" spans="1:19">
      <c r="I44" s="33"/>
      <c r="J44" s="33"/>
      <c r="K44" s="33"/>
      <c r="L44" s="33"/>
      <c r="M44" s="31"/>
      <c r="N44" s="31"/>
      <c r="O44" s="31"/>
    </row>
    <row r="45" spans="1:19">
      <c r="A45" s="62" t="s">
        <v>173</v>
      </c>
      <c r="B45" s="63"/>
      <c r="C45" s="63"/>
      <c r="D45" s="63"/>
      <c r="E45" s="63"/>
      <c r="F45" s="63"/>
      <c r="I45" s="33"/>
      <c r="J45" s="33"/>
      <c r="K45" s="33"/>
      <c r="L45" s="33"/>
      <c r="M45" s="31"/>
      <c r="N45" s="31"/>
      <c r="O45" s="31"/>
    </row>
    <row r="46" spans="1:19">
      <c r="A46" s="22" t="s">
        <v>169</v>
      </c>
      <c r="B46" s="22" t="s">
        <v>178</v>
      </c>
      <c r="C46" s="22" t="s">
        <v>185</v>
      </c>
      <c r="D46" s="22" t="s">
        <v>244</v>
      </c>
      <c r="E46" s="22" t="s">
        <v>176</v>
      </c>
      <c r="F46" s="22" t="s">
        <v>211</v>
      </c>
      <c r="I46" s="33"/>
      <c r="J46" s="33"/>
      <c r="K46" s="33"/>
      <c r="L46" s="33"/>
      <c r="M46" s="31"/>
      <c r="N46" s="31"/>
      <c r="O46" s="31"/>
    </row>
    <row r="47" spans="1:19">
      <c r="A47" s="28">
        <v>45141</v>
      </c>
      <c r="B47" s="22" t="s">
        <v>209</v>
      </c>
      <c r="C47" s="22" t="s">
        <v>210</v>
      </c>
      <c r="E47" s="32">
        <v>258</v>
      </c>
      <c r="F47" s="34" t="s">
        <v>194</v>
      </c>
      <c r="I47" s="33"/>
      <c r="J47" s="33"/>
      <c r="K47" s="33"/>
      <c r="L47" s="33"/>
      <c r="M47" s="31"/>
      <c r="N47" s="31"/>
      <c r="O47" s="31"/>
      <c r="R47" s="35"/>
      <c r="S47" s="27"/>
    </row>
    <row r="48" spans="1:19">
      <c r="A48" s="28">
        <v>45145</v>
      </c>
      <c r="B48" s="22" t="s">
        <v>271</v>
      </c>
      <c r="C48" s="22" t="s">
        <v>199</v>
      </c>
      <c r="D48" s="22">
        <v>5279</v>
      </c>
      <c r="E48" s="32">
        <v>300</v>
      </c>
      <c r="F48" s="34" t="s">
        <v>194</v>
      </c>
      <c r="I48" s="33"/>
      <c r="J48" s="33"/>
      <c r="K48" s="33"/>
      <c r="L48" s="33"/>
      <c r="M48" s="31"/>
      <c r="N48" s="31"/>
      <c r="O48" s="31"/>
    </row>
    <row r="49" spans="1:15">
      <c r="A49" s="28">
        <v>45145</v>
      </c>
      <c r="B49" s="22" t="s">
        <v>270</v>
      </c>
      <c r="C49" s="22" t="s">
        <v>249</v>
      </c>
      <c r="D49" s="22">
        <v>5280</v>
      </c>
      <c r="E49" s="32">
        <v>260</v>
      </c>
      <c r="F49" s="34" t="s">
        <v>194</v>
      </c>
      <c r="I49" s="33"/>
      <c r="J49" s="33"/>
      <c r="K49" s="33"/>
      <c r="L49" s="33"/>
      <c r="M49" s="31"/>
      <c r="N49" s="31"/>
      <c r="O49" s="31"/>
    </row>
    <row r="50" spans="1:15">
      <c r="A50" s="28">
        <v>45152</v>
      </c>
      <c r="B50" s="22" t="s">
        <v>272</v>
      </c>
      <c r="C50" s="22" t="s">
        <v>199</v>
      </c>
      <c r="D50" s="22">
        <v>5281</v>
      </c>
      <c r="E50" s="32">
        <v>300</v>
      </c>
      <c r="F50" s="34" t="s">
        <v>194</v>
      </c>
      <c r="I50" s="33"/>
      <c r="J50" s="33"/>
      <c r="K50" s="33"/>
      <c r="L50" s="33"/>
      <c r="M50" s="31"/>
      <c r="N50" s="31"/>
      <c r="O50" s="31"/>
    </row>
    <row r="51" spans="1:15">
      <c r="A51" s="28">
        <v>45152</v>
      </c>
      <c r="B51" s="22" t="s">
        <v>270</v>
      </c>
      <c r="C51" s="22" t="s">
        <v>249</v>
      </c>
      <c r="D51" s="22">
        <v>5282</v>
      </c>
      <c r="E51" s="32">
        <v>260</v>
      </c>
      <c r="F51" s="34" t="s">
        <v>194</v>
      </c>
      <c r="I51" s="33"/>
      <c r="J51" s="33"/>
      <c r="K51" s="33"/>
      <c r="L51" s="33"/>
      <c r="M51" s="31"/>
      <c r="N51" s="31"/>
      <c r="O51" s="31"/>
    </row>
    <row r="52" spans="1:15">
      <c r="A52" s="28">
        <v>45156</v>
      </c>
      <c r="B52" s="22" t="s">
        <v>20</v>
      </c>
      <c r="C52" s="22" t="s">
        <v>206</v>
      </c>
      <c r="D52" s="22">
        <v>5283</v>
      </c>
      <c r="E52" s="32">
        <v>480</v>
      </c>
      <c r="F52" s="34" t="s">
        <v>194</v>
      </c>
      <c r="I52" s="31"/>
      <c r="J52" s="31"/>
      <c r="K52" s="31"/>
      <c r="L52" s="31"/>
      <c r="M52" s="31"/>
      <c r="N52" s="31"/>
      <c r="O52" s="31"/>
    </row>
    <row r="53" spans="1:15">
      <c r="A53" s="28">
        <v>45159</v>
      </c>
      <c r="B53" s="22" t="s">
        <v>272</v>
      </c>
      <c r="C53" s="22" t="s">
        <v>199</v>
      </c>
      <c r="D53" s="22">
        <v>5284</v>
      </c>
      <c r="E53" s="32">
        <v>300</v>
      </c>
      <c r="F53" s="34" t="s">
        <v>194</v>
      </c>
      <c r="I53" s="31"/>
      <c r="J53" s="31"/>
      <c r="K53" s="31"/>
      <c r="L53" s="31"/>
      <c r="M53" s="31"/>
      <c r="N53" s="31"/>
      <c r="O53" s="31"/>
    </row>
    <row r="54" spans="1:15">
      <c r="A54" s="28">
        <v>45159</v>
      </c>
      <c r="B54" s="22" t="s">
        <v>275</v>
      </c>
      <c r="C54" s="22" t="s">
        <v>274</v>
      </c>
      <c r="D54" s="22">
        <v>5285</v>
      </c>
      <c r="E54" s="32">
        <v>5000</v>
      </c>
      <c r="F54" s="34" t="s">
        <v>194</v>
      </c>
      <c r="I54" s="31"/>
      <c r="J54" s="31"/>
      <c r="K54" s="31"/>
      <c r="L54" s="31"/>
      <c r="M54" s="31"/>
      <c r="N54" s="31"/>
      <c r="O54" s="31"/>
    </row>
    <row r="55" spans="1:15">
      <c r="A55" s="28">
        <v>45159</v>
      </c>
      <c r="B55" s="22" t="s">
        <v>279</v>
      </c>
      <c r="C55" s="22" t="s">
        <v>193</v>
      </c>
      <c r="D55" s="22">
        <v>5286</v>
      </c>
      <c r="E55" s="32">
        <v>100</v>
      </c>
      <c r="F55" s="34" t="s">
        <v>194</v>
      </c>
      <c r="I55" s="31"/>
      <c r="J55" s="31"/>
      <c r="K55" s="31"/>
      <c r="L55" s="31"/>
      <c r="M55" s="31"/>
      <c r="N55" s="31"/>
      <c r="O55" s="31"/>
    </row>
    <row r="56" spans="1:15">
      <c r="A56" s="28">
        <v>45159</v>
      </c>
      <c r="B56" s="22" t="s">
        <v>273</v>
      </c>
      <c r="C56" s="22" t="s">
        <v>274</v>
      </c>
      <c r="D56" s="22">
        <v>5286</v>
      </c>
      <c r="E56" s="32">
        <v>2400</v>
      </c>
      <c r="F56" s="34" t="s">
        <v>194</v>
      </c>
      <c r="I56" s="31"/>
      <c r="J56" s="31"/>
      <c r="K56" s="31"/>
      <c r="L56" s="31"/>
      <c r="M56" s="31"/>
      <c r="N56" s="31"/>
      <c r="O56" s="31"/>
    </row>
    <row r="57" spans="1:15">
      <c r="A57" s="28">
        <v>45166</v>
      </c>
      <c r="B57" s="22" t="s">
        <v>276</v>
      </c>
      <c r="C57" s="22" t="s">
        <v>199</v>
      </c>
      <c r="D57" s="22">
        <v>5287</v>
      </c>
      <c r="E57" s="32">
        <v>300</v>
      </c>
      <c r="F57" s="34" t="s">
        <v>194</v>
      </c>
      <c r="I57" s="31"/>
      <c r="J57" s="31"/>
      <c r="K57" s="31"/>
      <c r="L57" s="31"/>
      <c r="M57" s="31"/>
      <c r="N57" s="31"/>
      <c r="O57" s="31"/>
    </row>
    <row r="58" spans="1:15">
      <c r="A58" s="28"/>
      <c r="B58" s="22" t="s">
        <v>280</v>
      </c>
      <c r="C58" s="22" t="s">
        <v>214</v>
      </c>
      <c r="E58" s="32">
        <f xml:space="preserve"> H69</f>
        <v>22.5</v>
      </c>
      <c r="F58" s="34"/>
      <c r="I58" s="31"/>
      <c r="J58" s="31"/>
      <c r="K58" s="31"/>
      <c r="L58" s="31"/>
      <c r="M58" s="31"/>
      <c r="N58" s="31"/>
      <c r="O58" s="31"/>
    </row>
    <row r="59" spans="1:15">
      <c r="A59" s="28"/>
      <c r="E59" s="32"/>
      <c r="F59"/>
      <c r="I59" s="31"/>
      <c r="J59" s="31"/>
      <c r="K59" s="31"/>
      <c r="L59" s="31"/>
      <c r="M59" s="31"/>
      <c r="N59" s="31"/>
      <c r="O59" s="31"/>
    </row>
    <row r="60" spans="1:15" ht="14.7" thickBot="1">
      <c r="A60" s="28"/>
      <c r="E60" s="32"/>
      <c r="F60"/>
      <c r="I60" s="31"/>
      <c r="J60" s="31"/>
      <c r="K60" s="31"/>
      <c r="L60" s="31"/>
      <c r="M60" s="31"/>
      <c r="N60" s="31"/>
      <c r="O60" s="31"/>
    </row>
    <row r="61" spans="1:15" ht="15" thickTop="1" thickBot="1">
      <c r="A61" s="64" t="s">
        <v>265</v>
      </c>
      <c r="B61" s="65"/>
      <c r="C61" s="65"/>
      <c r="D61" s="65"/>
      <c r="E61" s="65"/>
      <c r="F61" s="66"/>
    </row>
    <row r="62" spans="1:15" ht="14.7" thickTop="1">
      <c r="A62" s="22" t="s">
        <v>169</v>
      </c>
      <c r="B62" s="22" t="s">
        <v>185</v>
      </c>
      <c r="C62" s="22" t="s">
        <v>176</v>
      </c>
      <c r="D62" s="22" t="s">
        <v>240</v>
      </c>
      <c r="E62" s="22" t="s">
        <v>186</v>
      </c>
      <c r="F62" s="22" t="s">
        <v>263</v>
      </c>
    </row>
    <row r="63" spans="1:15">
      <c r="A63" s="28">
        <v>45163</v>
      </c>
      <c r="B63" s="22" t="s">
        <v>6</v>
      </c>
      <c r="C63" s="22">
        <v>250</v>
      </c>
      <c r="D63" s="22" t="s">
        <v>241</v>
      </c>
      <c r="E63" s="34" t="s">
        <v>194</v>
      </c>
      <c r="F63" s="52"/>
    </row>
    <row r="64" spans="1:15">
      <c r="A64" s="28">
        <v>45139</v>
      </c>
      <c r="B64" s="22" t="s">
        <v>228</v>
      </c>
      <c r="C64" s="22">
        <v>0.73</v>
      </c>
      <c r="D64" s="22" t="s">
        <v>70</v>
      </c>
      <c r="E64" s="34" t="s">
        <v>194</v>
      </c>
      <c r="F64" s="52"/>
    </row>
    <row r="65" spans="7:9">
      <c r="G65" s="53"/>
      <c r="H65" s="50"/>
    </row>
    <row r="66" spans="7:9">
      <c r="G66" s="53"/>
      <c r="H66" s="50"/>
    </row>
    <row r="68" spans="7:9">
      <c r="G68" s="53" t="s">
        <v>242</v>
      </c>
      <c r="H68" s="50">
        <f>SUMIF(Offering08[Category], "G",Offering08[Amount])</f>
        <v>250</v>
      </c>
    </row>
    <row r="69" spans="7:9">
      <c r="G69" s="53" t="s">
        <v>215</v>
      </c>
      <c r="H69" s="51">
        <f xml:space="preserve"> H68 * 0.09</f>
        <v>22.5</v>
      </c>
      <c r="I69" s="22" t="s">
        <v>217</v>
      </c>
    </row>
  </sheetData>
  <mergeCells count="6">
    <mergeCell ref="A61:F61"/>
    <mergeCell ref="A3:F3"/>
    <mergeCell ref="A16:F16"/>
    <mergeCell ref="A27:C27"/>
    <mergeCell ref="E27:G27"/>
    <mergeCell ref="A45:F45"/>
  </mergeCells>
  <conditionalFormatting sqref="F54:F55 F58">
    <cfRule type="containsText" dxfId="33" priority="16" operator="containsText" text="Y">
      <formula>NOT(ISERROR(SEARCH("Y",F54)))</formula>
    </cfRule>
    <cfRule type="containsText" priority="17" operator="containsText" text="&quot;&quot;">
      <formula>NOT(ISERROR(SEARCH("""""",F54)))</formula>
    </cfRule>
  </conditionalFormatting>
  <conditionalFormatting sqref="C29:C37 C42:C43 E63:E64 F54:F60">
    <cfRule type="containsText" dxfId="32" priority="15" operator="containsText" text="Y">
      <formula>NOT(ISERROR(SEARCH("Y",C29)))</formula>
    </cfRule>
  </conditionalFormatting>
  <conditionalFormatting sqref="F56:F57">
    <cfRule type="containsText" dxfId="31" priority="12" operator="containsText" text="Y">
      <formula>NOT(ISERROR(SEARCH("Y",F56)))</formula>
    </cfRule>
    <cfRule type="containsText" priority="13" operator="containsText" text="&quot;&quot;">
      <formula>NOT(ISERROR(SEARCH("""""",F56)))</formula>
    </cfRule>
  </conditionalFormatting>
  <conditionalFormatting sqref="C40:C41">
    <cfRule type="containsText" dxfId="30" priority="10" operator="containsText" text="Y">
      <formula>NOT(ISERROR(SEARCH("Y",C40)))</formula>
    </cfRule>
  </conditionalFormatting>
  <conditionalFormatting sqref="C38">
    <cfRule type="containsText" dxfId="29" priority="9" operator="containsText" text="Y">
      <formula>NOT(ISERROR(SEARCH("Y",C38)))</formula>
    </cfRule>
  </conditionalFormatting>
  <conditionalFormatting sqref="C39">
    <cfRule type="containsText" dxfId="28" priority="8" operator="containsText" text="Y">
      <formula>NOT(ISERROR(SEARCH("Y",C39)))</formula>
    </cfRule>
  </conditionalFormatting>
  <conditionalFormatting sqref="F47">
    <cfRule type="containsText" dxfId="27" priority="7" operator="containsText" text="Y">
      <formula>NOT(ISERROR(SEARCH("Y",F47)))</formula>
    </cfRule>
  </conditionalFormatting>
  <conditionalFormatting sqref="F49">
    <cfRule type="containsText" dxfId="26" priority="6" operator="containsText" text="Y">
      <formula>NOT(ISERROR(SEARCH("Y",F49)))</formula>
    </cfRule>
  </conditionalFormatting>
  <conditionalFormatting sqref="F50">
    <cfRule type="containsText" dxfId="25" priority="5" operator="containsText" text="Y">
      <formula>NOT(ISERROR(SEARCH("Y",F50)))</formula>
    </cfRule>
  </conditionalFormatting>
  <conditionalFormatting sqref="F52">
    <cfRule type="containsText" dxfId="24" priority="4" operator="containsText" text="Y">
      <formula>NOT(ISERROR(SEARCH("Y",F52)))</formula>
    </cfRule>
  </conditionalFormatting>
  <conditionalFormatting sqref="F48">
    <cfRule type="containsText" dxfId="23" priority="3" operator="containsText" text="Y">
      <formula>NOT(ISERROR(SEARCH("Y",F48)))</formula>
    </cfRule>
  </conditionalFormatting>
  <conditionalFormatting sqref="F51">
    <cfRule type="containsText" dxfId="22" priority="2" operator="containsText" text="Y">
      <formula>NOT(ISERROR(SEARCH("Y",F51)))</formula>
    </cfRule>
  </conditionalFormatting>
  <conditionalFormatting sqref="F53">
    <cfRule type="containsText" dxfId="21" priority="1" operator="containsText" text="Y">
      <formula>NOT(ISERROR(SEARCH("Y",F53)))</formula>
    </cfRule>
  </conditionalFormatting>
  <dataValidations count="1">
    <dataValidation type="list" allowBlank="1" showInputMessage="1" showErrorMessage="1" sqref="C47:C60" xr:uid="{50C23C5E-6B80-4442-A554-D790967C5B0A}">
      <formula1 xml:space="preserve"> INDIRECT("ExpenseCategory!ExpenseCategory[Display List]" 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93B4-27D9-4704-BD68-3259D7BC490C}">
  <dimension ref="A1:S67"/>
  <sheetViews>
    <sheetView workbookViewId="0">
      <selection activeCell="A5" sqref="A5:F10"/>
    </sheetView>
  </sheetViews>
  <sheetFormatPr defaultRowHeight="14.4"/>
  <cols>
    <col min="1" max="1" width="23.05078125" style="22" customWidth="1"/>
    <col min="2" max="2" width="23.9453125" style="22" customWidth="1"/>
    <col min="3" max="3" width="35.62890625" style="22" customWidth="1"/>
    <col min="4" max="4" width="19.26171875" style="22" customWidth="1"/>
    <col min="5" max="5" width="25.05078125" style="22" customWidth="1"/>
    <col min="6" max="6" width="31.15625" style="22" customWidth="1"/>
    <col min="7" max="7" width="20.47265625" style="22" customWidth="1"/>
    <col min="8" max="8" width="22.68359375" style="22" customWidth="1"/>
    <col min="9" max="9" width="25.20703125" style="22" customWidth="1"/>
    <col min="10" max="10" width="19" style="22" customWidth="1"/>
    <col min="11" max="11" width="20.7890625" style="22" customWidth="1"/>
    <col min="12" max="12" width="17.3671875" style="22" customWidth="1"/>
    <col min="13" max="13" width="14.62890625" style="22" customWidth="1"/>
    <col min="14" max="18" width="8.83984375" style="22"/>
    <col min="19" max="19" width="13.578125" style="22" customWidth="1"/>
    <col min="20" max="20" width="19.7890625" style="22" customWidth="1"/>
    <col min="21" max="21" width="9.15625" style="22" bestFit="1" customWidth="1"/>
    <col min="22" max="16384" width="8.83984375" style="22"/>
  </cols>
  <sheetData>
    <row r="1" spans="1:15" ht="28.2">
      <c r="A1" s="24" t="s">
        <v>168</v>
      </c>
      <c r="B1" s="25">
        <v>8</v>
      </c>
      <c r="C1" s="24" t="s">
        <v>172</v>
      </c>
      <c r="D1" s="42">
        <v>2023</v>
      </c>
    </row>
    <row r="2" spans="1:15" ht="14.7" customHeight="1" thickBot="1">
      <c r="I2" s="33"/>
      <c r="J2" s="33"/>
      <c r="K2" s="33"/>
      <c r="L2" s="33"/>
      <c r="M2" s="31"/>
      <c r="N2" s="31"/>
      <c r="O2" s="31"/>
    </row>
    <row r="3" spans="1:15" ht="15" thickTop="1" thickBot="1">
      <c r="A3" s="61" t="s">
        <v>154</v>
      </c>
      <c r="B3" s="61"/>
      <c r="C3" s="61"/>
      <c r="D3" s="61"/>
      <c r="E3" s="61"/>
      <c r="F3" s="61"/>
      <c r="I3" s="33"/>
      <c r="J3" s="33"/>
      <c r="K3" s="33"/>
      <c r="L3" s="33"/>
      <c r="M3" s="31"/>
      <c r="N3" s="31"/>
      <c r="O3" s="31"/>
    </row>
    <row r="4" spans="1:15" ht="14.7" thickTop="1">
      <c r="A4" s="22" t="s">
        <v>154</v>
      </c>
      <c r="B4" s="22" t="s">
        <v>162</v>
      </c>
      <c r="C4" s="22" t="s">
        <v>157</v>
      </c>
      <c r="D4" s="22" t="s">
        <v>159</v>
      </c>
      <c r="E4" s="22" t="s">
        <v>158</v>
      </c>
      <c r="F4" s="22" t="s">
        <v>229</v>
      </c>
      <c r="I4" s="33"/>
      <c r="J4" s="33"/>
      <c r="K4" s="33"/>
      <c r="L4" s="33"/>
      <c r="M4" s="31"/>
      <c r="N4" s="31"/>
      <c r="O4" s="31"/>
    </row>
    <row r="5" spans="1:15">
      <c r="A5" s="22" t="s">
        <v>65</v>
      </c>
      <c r="B5" s="27">
        <f xml:space="preserve"> Funds08[[#This Row],[Initial Amount]] + Funds08[[#This Row],[Income]] - Funds08[[#This Row],[Expense]]</f>
        <v>62871.580000000024</v>
      </c>
      <c r="C5" s="23">
        <v>62871.580000000024</v>
      </c>
      <c r="D5" s="23">
        <f>SUMIF(Offering09[Category], "G*",Offering09[Amount])</f>
        <v>0</v>
      </c>
      <c r="E5" s="27">
        <f>SUMIF(Expenses09[Category], "G*",Expenses09[Amount])</f>
        <v>1120</v>
      </c>
      <c r="F5" s="27">
        <f xml:space="preserve"> Funds09[[#This Row],[Initial Amount]] + Funds09[[#This Row],[Income]] - Funds09[[#This Row],[Expense]]</f>
        <v>61751.580000000024</v>
      </c>
      <c r="I5" s="33"/>
      <c r="J5" s="33"/>
      <c r="K5" s="33"/>
      <c r="L5" s="33"/>
      <c r="M5" s="31"/>
      <c r="N5" s="31"/>
      <c r="O5" s="31"/>
    </row>
    <row r="6" spans="1:15">
      <c r="A6" s="22" t="s">
        <v>11</v>
      </c>
      <c r="B6" s="27">
        <f xml:space="preserve"> Funds08[[#This Row],[Initial Amount]] + Funds08[[#This Row],[Income]] - Funds08[[#This Row],[Expense]]</f>
        <v>417575.98</v>
      </c>
      <c r="C6" s="27">
        <v>417575.98</v>
      </c>
      <c r="D6" s="27">
        <f>SUMIF(Offering09[Category], "B*",Offering09[Amount])</f>
        <v>0</v>
      </c>
      <c r="E6" s="27">
        <f>SUMIF(Expenses09[Category], "B*",Expenses09[Amount])</f>
        <v>258</v>
      </c>
      <c r="F6" s="27">
        <f xml:space="preserve"> Funds09[[#This Row],[Initial Amount]] + Funds09[[#This Row],[Income]] - Funds09[[#This Row],[Expense]]</f>
        <v>417317.98</v>
      </c>
      <c r="I6" s="33"/>
      <c r="J6" s="33"/>
      <c r="K6" s="33"/>
      <c r="L6" s="33"/>
      <c r="M6" s="31"/>
      <c r="N6" s="31"/>
      <c r="O6" s="31"/>
    </row>
    <row r="7" spans="1:15">
      <c r="A7" s="22" t="s">
        <v>67</v>
      </c>
      <c r="B7" s="27">
        <f xml:space="preserve"> Funds08[[#This Row],[Initial Amount]] + Funds08[[#This Row],[Income]] - Funds08[[#This Row],[Expense]]</f>
        <v>25255.040000000001</v>
      </c>
      <c r="C7" s="27">
        <v>25255.040000000001</v>
      </c>
      <c r="D7" s="27">
        <f>SUMIF(Offering09[Category], "M*",Offering09[Amount])</f>
        <v>0</v>
      </c>
      <c r="E7" s="27">
        <f>SUMIF(Expenses09[Category], "M*",Expenses09[Amount])</f>
        <v>0</v>
      </c>
      <c r="F7" s="27">
        <f xml:space="preserve"> Funds09[[#This Row],[Initial Amount]] + Funds09[[#This Row],[Income]] - Funds09[[#This Row],[Expense]]</f>
        <v>25255.040000000001</v>
      </c>
      <c r="I7" s="33"/>
      <c r="J7" s="33"/>
      <c r="K7" s="33"/>
      <c r="L7" s="33"/>
      <c r="M7" s="31"/>
      <c r="N7" s="31"/>
      <c r="O7" s="31"/>
    </row>
    <row r="8" spans="1:15">
      <c r="A8" s="22" t="s">
        <v>155</v>
      </c>
      <c r="B8" s="27">
        <f xml:space="preserve"> Funds08[[#This Row],[Initial Amount]] + Funds08[[#This Row],[Income]] - Funds08[[#This Row],[Expense]]</f>
        <v>4950</v>
      </c>
      <c r="C8" s="27">
        <v>4950</v>
      </c>
      <c r="D8" s="27">
        <f>SUMIF(Offering09[Category], "O*",Offering09[Amount])</f>
        <v>0</v>
      </c>
      <c r="E8" s="27">
        <f>SUMIF(Expenses09[Category], "O*",Expenses09[Amount])</f>
        <v>0</v>
      </c>
      <c r="F8" s="27">
        <f xml:space="preserve"> Funds09[[#This Row],[Initial Amount]] + Funds09[[#This Row],[Income]] - Funds09[[#This Row],[Expense]]</f>
        <v>4950</v>
      </c>
      <c r="I8" s="33"/>
      <c r="J8" s="33"/>
      <c r="K8" s="33"/>
      <c r="L8" s="33"/>
      <c r="M8" s="31"/>
      <c r="N8" s="31"/>
      <c r="O8" s="31"/>
    </row>
    <row r="9" spans="1:15">
      <c r="A9" s="22" t="s">
        <v>160</v>
      </c>
      <c r="B9" s="27">
        <f xml:space="preserve"> Funds08[[#This Row],[Initial Amount]] + Funds08[[#This Row],[Income]] - Funds08[[#This Row],[Expense]]</f>
        <v>27013.79</v>
      </c>
      <c r="C9" s="27">
        <v>27013.79</v>
      </c>
      <c r="D9" s="27">
        <f>SUMIF(Offering09[Category], "EN*",Offering09[Amount])</f>
        <v>0</v>
      </c>
      <c r="E9" s="27">
        <f>SUMIF(Expenses09[Category], "EN*",Expenses09[Amount])</f>
        <v>0</v>
      </c>
      <c r="F9" s="27">
        <f xml:space="preserve"> Funds09[[#This Row],[Initial Amount]] + Funds09[[#This Row],[Income]] - Funds09[[#This Row],[Expense]]</f>
        <v>27013.79</v>
      </c>
      <c r="I9" s="33"/>
      <c r="J9" s="33"/>
      <c r="K9" s="33"/>
      <c r="L9" s="33"/>
      <c r="M9" s="31"/>
      <c r="N9" s="31"/>
      <c r="O9" s="31"/>
    </row>
    <row r="10" spans="1:15">
      <c r="A10" s="22" t="s">
        <v>156</v>
      </c>
      <c r="B10" s="27">
        <f xml:space="preserve"> Funds08[[#This Row],[Initial Amount]] + Funds08[[#This Row],[Income]] - Funds08[[#This Row],[Expense]]</f>
        <v>4456.7700000000004</v>
      </c>
      <c r="C10" s="27">
        <v>4456.7700000000004</v>
      </c>
      <c r="D10" s="27">
        <f>SUMIF(Offering09[Category], "L*",Offering09[Amount])</f>
        <v>0</v>
      </c>
      <c r="E10" s="27"/>
      <c r="F10" s="27">
        <f xml:space="preserve"> Funds09[[#This Row],[Initial Amount]] + Funds09[[#This Row],[Income]] - Funds09[[#This Row],[Expense]]</f>
        <v>4456.7700000000004</v>
      </c>
      <c r="I10" s="33"/>
      <c r="J10" s="33"/>
      <c r="K10" s="33"/>
      <c r="L10" s="33"/>
      <c r="M10" s="31"/>
      <c r="N10" s="31"/>
      <c r="O10" s="31"/>
    </row>
    <row r="11" spans="1:15">
      <c r="A11" s="22" t="s">
        <v>267</v>
      </c>
      <c r="B11" s="27">
        <f xml:space="preserve"> Funds08[[#This Row],[Initial Amount]] + Funds08[[#This Row],[Income]] - Funds08[[#This Row],[Expense]]</f>
        <v>2700</v>
      </c>
      <c r="C11" s="27">
        <v>2700</v>
      </c>
      <c r="D11" s="27"/>
      <c r="E11" s="27">
        <v>2700</v>
      </c>
      <c r="F11" s="27">
        <f xml:space="preserve"> Funds09[[#This Row],[Initial Amount]] + Funds09[[#This Row],[Income]] - Funds09[[#This Row],[Expense]]</f>
        <v>0</v>
      </c>
      <c r="I11" s="33"/>
      <c r="J11" s="33"/>
      <c r="K11" s="33"/>
      <c r="L11" s="33"/>
      <c r="M11" s="31"/>
      <c r="N11" s="31"/>
      <c r="O11" s="31"/>
    </row>
    <row r="12" spans="1:15">
      <c r="B12" s="27"/>
      <c r="C12" s="27">
        <v>0</v>
      </c>
      <c r="D12" s="27"/>
      <c r="E12" s="27"/>
      <c r="F12" s="27">
        <f xml:space="preserve"> Funds09[[#This Row],[Initial Amount]] + Funds09[[#This Row],[Income]] - Funds09[[#This Row],[Expense]]</f>
        <v>0</v>
      </c>
      <c r="I12" s="33"/>
      <c r="J12" s="33"/>
      <c r="K12" s="33"/>
      <c r="L12" s="33"/>
      <c r="M12" s="31"/>
      <c r="N12" s="31"/>
      <c r="O12" s="31"/>
    </row>
    <row r="13" spans="1:15">
      <c r="B13" s="27">
        <f xml:space="preserve"> SUM(Funds09[Initial Amount (Auto Calculated)])</f>
        <v>544823.16</v>
      </c>
      <c r="C13" s="27">
        <f xml:space="preserve"> SUM(Funds09[Initial Amount])</f>
        <v>544823.16</v>
      </c>
      <c r="D13" s="27"/>
      <c r="E13" s="27">
        <f xml:space="preserve"> SUM(Funds09[Expense])</f>
        <v>4078</v>
      </c>
      <c r="F13" s="27">
        <f xml:space="preserve"> SUM(Funds09[End of Month Amount])</f>
        <v>540745.16</v>
      </c>
      <c r="I13" s="33"/>
      <c r="J13" s="33"/>
      <c r="K13" s="33"/>
      <c r="L13" s="33"/>
      <c r="M13" s="31"/>
      <c r="N13" s="31"/>
      <c r="O13" s="31"/>
    </row>
    <row r="14" spans="1:15" ht="14.7" thickBot="1">
      <c r="I14" s="33"/>
      <c r="J14" s="33"/>
      <c r="K14" s="33"/>
      <c r="L14" s="33"/>
      <c r="M14" s="31"/>
      <c r="N14" s="31"/>
      <c r="O14" s="31"/>
    </row>
    <row r="15" spans="1:15" ht="15" thickTop="1" thickBot="1">
      <c r="A15" s="61" t="s">
        <v>161</v>
      </c>
      <c r="B15" s="61"/>
      <c r="C15" s="61"/>
      <c r="D15" s="61"/>
      <c r="E15" s="61"/>
      <c r="F15" s="61"/>
      <c r="I15" s="33"/>
      <c r="J15" s="33"/>
      <c r="K15" s="33"/>
      <c r="L15" s="33"/>
      <c r="M15" s="31"/>
      <c r="N15" s="31"/>
      <c r="O15" s="31"/>
    </row>
    <row r="16" spans="1:15" ht="14.7" thickTop="1">
      <c r="A16" s="22" t="s">
        <v>161</v>
      </c>
      <c r="B16" s="22" t="s">
        <v>163</v>
      </c>
      <c r="C16" s="22" t="s">
        <v>164</v>
      </c>
      <c r="D16" s="22" t="s">
        <v>277</v>
      </c>
      <c r="E16" s="22" t="s">
        <v>278</v>
      </c>
      <c r="F16" s="22" t="s">
        <v>229</v>
      </c>
      <c r="H16" s="33"/>
      <c r="I16" s="33"/>
      <c r="J16" s="33"/>
      <c r="K16" s="33"/>
      <c r="L16" s="31"/>
      <c r="M16" s="31"/>
      <c r="N16" s="31"/>
    </row>
    <row r="17" spans="1:15">
      <c r="A17" s="22" t="s">
        <v>166</v>
      </c>
      <c r="B17" s="27">
        <f xml:space="preserve"> VLOOKUP(A17, BankAccounts08[], 6, FALSE)</f>
        <v>97148.34</v>
      </c>
      <c r="C17" s="27">
        <v>97148.34</v>
      </c>
      <c r="D17" s="27">
        <f>SUMIF(Offering09[Bank Account], "C",Offering09[Amount]) + InitialIncomeToDeposit09[[#Totals],[Amount]]</f>
        <v>0</v>
      </c>
      <c r="E17" s="27">
        <f>SUMIF(Expenses09[Paid/Cashed ?], "Y",Expenses09[Amount]) + SUMIF(InitialOutstandingPayments09[Paid ?], "Y",InitialOutstandingPayments09[Amount])</f>
        <v>518</v>
      </c>
      <c r="F17" s="27">
        <f xml:space="preserve"> BankAccounts09[[#This Row],[Initial Balance]] + BankAccounts09[[#This Row],[Increase]] - BankAccounts09[[#This Row],[Decrease]]</f>
        <v>96630.34</v>
      </c>
      <c r="H17" s="33"/>
      <c r="I17" s="33"/>
      <c r="J17" s="33"/>
      <c r="K17" s="33"/>
      <c r="L17" s="31"/>
      <c r="M17" s="31"/>
      <c r="N17" s="31"/>
    </row>
    <row r="18" spans="1:15">
      <c r="A18" s="22" t="s">
        <v>167</v>
      </c>
      <c r="B18" s="27">
        <f xml:space="preserve"> VLOOKUP(A18, BankAccounts08[], 6, FALSE)</f>
        <v>86472.15</v>
      </c>
      <c r="C18" s="27">
        <v>86472.15</v>
      </c>
      <c r="D18" s="27">
        <f>SUMIF(Offering09[Bank Account], "M*",Offering09[Amount])</f>
        <v>0</v>
      </c>
      <c r="E18" s="27"/>
      <c r="F18" s="27">
        <f xml:space="preserve"> BankAccounts09[[#This Row],[Initial Balance]] + BankAccounts09[[#This Row],[Increase]] - BankAccounts09[[#This Row],[Decrease]]</f>
        <v>86472.15</v>
      </c>
      <c r="H18" s="33"/>
      <c r="I18" s="22" t="s">
        <v>220</v>
      </c>
      <c r="J18" s="22" t="s">
        <v>221</v>
      </c>
      <c r="K18" s="22" t="s">
        <v>226</v>
      </c>
      <c r="L18" s="22" t="s">
        <v>222</v>
      </c>
      <c r="M18" s="22" t="s">
        <v>225</v>
      </c>
      <c r="N18" s="31"/>
    </row>
    <row r="19" spans="1:15">
      <c r="A19" s="22" t="s">
        <v>181</v>
      </c>
      <c r="B19" s="27">
        <f xml:space="preserve"> VLOOKUP(A19, BankAccounts08[], 6, FALSE)</f>
        <v>103844.08</v>
      </c>
      <c r="C19" s="27">
        <v>103844.08</v>
      </c>
      <c r="D19" s="27"/>
      <c r="E19" s="27"/>
      <c r="F19" s="27">
        <f xml:space="preserve"> BankAccounts09[[#This Row],[Initial Balance]] + BankAccounts09[[#This Row],[Increase]] - BankAccounts09[[#This Row],[Decrease]]</f>
        <v>103844.08</v>
      </c>
      <c r="H19" s="33"/>
      <c r="I19" s="22" t="s">
        <v>219</v>
      </c>
      <c r="J19" s="35">
        <v>4.2099999999999999E-2</v>
      </c>
      <c r="K19" s="22">
        <v>0</v>
      </c>
      <c r="L19" s="30">
        <v>103844.08</v>
      </c>
      <c r="M19" s="29">
        <v>45292</v>
      </c>
      <c r="N19" s="31"/>
    </row>
    <row r="20" spans="1:15">
      <c r="A20" s="22" t="s">
        <v>182</v>
      </c>
      <c r="B20" s="27">
        <f xml:space="preserve"> VLOOKUP(A20, BankAccounts08[], 6, FALSE)</f>
        <v>103844.08</v>
      </c>
      <c r="C20" s="27">
        <v>103844.08</v>
      </c>
      <c r="D20" s="27"/>
      <c r="E20" s="27"/>
      <c r="F20" s="27">
        <f xml:space="preserve"> BankAccounts09[[#This Row],[Initial Balance]] + BankAccounts09[[#This Row],[Increase]] - BankAccounts09[[#This Row],[Decrease]]</f>
        <v>103844.08</v>
      </c>
      <c r="H20" s="33"/>
      <c r="I20" s="22" t="s">
        <v>224</v>
      </c>
      <c r="J20" s="35">
        <v>4.2099999999999999E-2</v>
      </c>
      <c r="K20" s="22">
        <v>0</v>
      </c>
      <c r="L20" s="30">
        <v>103844.08</v>
      </c>
      <c r="M20" s="29">
        <v>45292</v>
      </c>
      <c r="N20" s="31"/>
    </row>
    <row r="21" spans="1:15">
      <c r="A21" s="22" t="s">
        <v>183</v>
      </c>
      <c r="B21" s="27">
        <f xml:space="preserve"> VLOOKUP(A21, BankAccounts08[], 6, FALSE)</f>
        <v>158180.59</v>
      </c>
      <c r="C21" s="27">
        <v>158180.59</v>
      </c>
      <c r="D21" s="27"/>
      <c r="E21" s="27"/>
      <c r="F21" s="27">
        <f xml:space="preserve"> BankAccounts09[[#This Row],[Initial Balance]] + BankAccounts09[[#This Row],[Increase]] - BankAccounts09[[#This Row],[Decrease]]</f>
        <v>158180.59</v>
      </c>
      <c r="H21" s="33"/>
      <c r="I21" s="22" t="s">
        <v>223</v>
      </c>
      <c r="J21" s="35">
        <v>4.9500000000000002E-2</v>
      </c>
      <c r="K21" s="30">
        <v>1949.52</v>
      </c>
      <c r="L21" s="30">
        <v>158180.59</v>
      </c>
      <c r="M21" s="29">
        <v>45319</v>
      </c>
      <c r="N21" s="31"/>
    </row>
    <row r="22" spans="1:15">
      <c r="A22" s="22" t="s">
        <v>187</v>
      </c>
      <c r="B22" s="27">
        <f xml:space="preserve"> VLOOKUP(A22, BankAccounts08[], 6, FALSE)</f>
        <v>0</v>
      </c>
      <c r="C22" s="27">
        <v>0</v>
      </c>
      <c r="D22" s="27"/>
      <c r="E22" s="27"/>
      <c r="F22" s="27">
        <f xml:space="preserve"> BankAccounts09[[#This Row],[Initial Balance]] + BankAccounts09[[#This Row],[Increase]] - BankAccounts09[[#This Row],[Decrease]]</f>
        <v>0</v>
      </c>
      <c r="H22" s="33"/>
      <c r="I22" s="33"/>
      <c r="J22" s="33"/>
      <c r="K22" s="33"/>
      <c r="L22" s="31"/>
      <c r="M22" s="31"/>
      <c r="N22" s="31"/>
    </row>
    <row r="23" spans="1:15">
      <c r="A23" s="22" t="s">
        <v>188</v>
      </c>
      <c r="B23" s="27">
        <f xml:space="preserve"> VLOOKUP(A23, BankAccounts08[], 6, FALSE)</f>
        <v>4666.08</v>
      </c>
      <c r="C23" s="27">
        <v>4666.08</v>
      </c>
      <c r="D23" s="27">
        <f xml:space="preserve"> SUMIF(Expenses09[Paid/Cashed ?], "",Expenses09[Amount])</f>
        <v>3560</v>
      </c>
      <c r="E23" s="27">
        <f xml:space="preserve"> SUMIF(InitialOutstandingPayments09[Paid ?], "Y", InitialOutstandingPayments09[Amount])</f>
        <v>0</v>
      </c>
      <c r="F23" s="27">
        <f xml:space="preserve"> BankAccounts09[[#This Row],[Initial Balance]] + BankAccounts09[[#This Row],[Increase]] - BankAccounts09[[#This Row],[Decrease]]</f>
        <v>8226.08</v>
      </c>
      <c r="H23" s="33"/>
      <c r="I23" s="33"/>
      <c r="J23" s="33"/>
      <c r="K23" s="33"/>
      <c r="L23" s="37">
        <f xml:space="preserve"> L21 - K21</f>
        <v>156231.07</v>
      </c>
      <c r="M23" s="31"/>
      <c r="N23" s="31"/>
    </row>
    <row r="24" spans="1:15">
      <c r="B24" s="27">
        <f xml:space="preserve"> SUM(B17:B21) + B22 - B23</f>
        <v>544823.16</v>
      </c>
      <c r="C24" s="27">
        <f xml:space="preserve"> SUM(C17:C21) - C23</f>
        <v>544823.16</v>
      </c>
      <c r="F24" s="27">
        <f xml:space="preserve"> SUM(F17:F21) + F22 - F23</f>
        <v>540745.16</v>
      </c>
      <c r="H24" s="33"/>
      <c r="I24" s="33"/>
      <c r="J24" s="33"/>
      <c r="K24" s="33"/>
      <c r="L24" s="31"/>
      <c r="M24" s="31"/>
      <c r="N24" s="31"/>
    </row>
    <row r="25" spans="1:15" ht="14.7" thickBot="1">
      <c r="I25" s="33"/>
      <c r="J25" s="33"/>
      <c r="K25" s="33"/>
      <c r="L25" s="33"/>
      <c r="M25" s="31"/>
      <c r="N25" s="31"/>
      <c r="O25" s="31"/>
    </row>
    <row r="26" spans="1:15" ht="15" thickTop="1" thickBot="1">
      <c r="A26" s="61" t="s">
        <v>218</v>
      </c>
      <c r="B26" s="61"/>
      <c r="C26" s="61"/>
      <c r="E26" s="61" t="s">
        <v>227</v>
      </c>
      <c r="F26" s="61"/>
      <c r="G26" s="61"/>
      <c r="I26" s="33"/>
      <c r="J26" s="33"/>
      <c r="K26" s="33"/>
      <c r="L26" s="33"/>
      <c r="M26" s="31"/>
      <c r="N26" s="31"/>
      <c r="O26" s="31"/>
    </row>
    <row r="27" spans="1:15" ht="14.7" thickTop="1">
      <c r="A27" s="22" t="s">
        <v>208</v>
      </c>
      <c r="B27" s="22" t="s">
        <v>176</v>
      </c>
      <c r="C27" s="22" t="s">
        <v>189</v>
      </c>
      <c r="E27" s="22" t="s">
        <v>178</v>
      </c>
      <c r="F27" s="31" t="s">
        <v>176</v>
      </c>
      <c r="G27" s="31" t="s">
        <v>186</v>
      </c>
      <c r="H27" s="31"/>
      <c r="I27" s="33"/>
      <c r="J27" s="33"/>
      <c r="K27" s="33"/>
      <c r="L27" s="33"/>
    </row>
    <row r="28" spans="1:15">
      <c r="A28" s="22" t="s">
        <v>283</v>
      </c>
      <c r="B28" s="32">
        <v>22.5</v>
      </c>
      <c r="C28" s="34"/>
      <c r="F28" s="55"/>
      <c r="G28" s="31"/>
      <c r="H28" s="31"/>
      <c r="I28" s="33"/>
      <c r="J28" s="33"/>
      <c r="K28" s="33"/>
      <c r="L28" s="33"/>
    </row>
    <row r="29" spans="1:15">
      <c r="A29" s="22" t="s">
        <v>284</v>
      </c>
      <c r="B29" s="32">
        <v>485.54999999999995</v>
      </c>
      <c r="C29" s="34"/>
      <c r="F29" s="55"/>
      <c r="G29" s="31"/>
      <c r="H29" s="31"/>
      <c r="I29" s="33"/>
      <c r="J29" s="33"/>
      <c r="K29" s="33"/>
      <c r="L29" s="33"/>
    </row>
    <row r="30" spans="1:15">
      <c r="A30" s="22" t="s">
        <v>285</v>
      </c>
      <c r="B30" s="32">
        <v>105.81</v>
      </c>
      <c r="C30" s="34"/>
      <c r="F30" s="55"/>
      <c r="G30" s="31"/>
      <c r="H30" s="31"/>
      <c r="I30" s="33"/>
      <c r="J30" s="33"/>
      <c r="K30" s="33"/>
      <c r="L30" s="33"/>
    </row>
    <row r="31" spans="1:15">
      <c r="A31" s="22" t="s">
        <v>286</v>
      </c>
      <c r="B31" s="32">
        <v>443.59</v>
      </c>
      <c r="C31" s="34"/>
      <c r="F31" s="56"/>
      <c r="G31" s="31"/>
      <c r="H31" s="31"/>
      <c r="I31" s="33"/>
      <c r="J31" s="33"/>
      <c r="K31" s="33"/>
      <c r="L31" s="33"/>
    </row>
    <row r="32" spans="1:15">
      <c r="A32" s="22" t="s">
        <v>287</v>
      </c>
      <c r="B32" s="32">
        <v>95.4</v>
      </c>
      <c r="C32" s="34"/>
      <c r="F32" s="56"/>
      <c r="G32" s="31"/>
      <c r="H32" s="31"/>
      <c r="I32" s="33"/>
      <c r="J32" s="33"/>
      <c r="K32" s="33"/>
      <c r="L32" s="33"/>
    </row>
    <row r="33" spans="1:19">
      <c r="A33" s="22" t="s">
        <v>288</v>
      </c>
      <c r="B33" s="32">
        <v>242.17</v>
      </c>
      <c r="C33" s="34"/>
      <c r="F33" s="56">
        <f xml:space="preserve"> SUM(InitialIncomeToDeposit09[Amount])</f>
        <v>0</v>
      </c>
      <c r="G33" s="31"/>
      <c r="H33" s="31"/>
      <c r="I33" s="33"/>
      <c r="J33" s="33"/>
      <c r="K33" s="33"/>
      <c r="L33" s="33"/>
    </row>
    <row r="34" spans="1:19">
      <c r="A34" s="22" t="s">
        <v>289</v>
      </c>
      <c r="B34" s="32">
        <v>448.7</v>
      </c>
      <c r="C34" s="34"/>
      <c r="F34" s="31"/>
      <c r="G34" s="31"/>
      <c r="H34" s="31"/>
      <c r="I34" s="33"/>
      <c r="J34" s="33"/>
      <c r="K34" s="33"/>
      <c r="L34" s="33"/>
    </row>
    <row r="35" spans="1:19">
      <c r="A35" s="22" t="s">
        <v>290</v>
      </c>
      <c r="B35" s="32">
        <v>371.7</v>
      </c>
      <c r="C35" s="34"/>
      <c r="F35" s="31"/>
      <c r="G35" s="31"/>
      <c r="H35" s="31"/>
      <c r="I35" s="33"/>
      <c r="J35" s="33"/>
      <c r="K35" s="33"/>
      <c r="L35" s="33"/>
    </row>
    <row r="36" spans="1:19">
      <c r="A36" s="22" t="s">
        <v>292</v>
      </c>
      <c r="B36" s="32">
        <v>2019.3</v>
      </c>
      <c r="C36" s="34"/>
      <c r="F36" s="31"/>
      <c r="G36" s="31"/>
      <c r="H36" s="31"/>
      <c r="I36" s="33"/>
      <c r="J36" s="33"/>
      <c r="K36" s="33"/>
      <c r="L36" s="33"/>
    </row>
    <row r="37" spans="1:19">
      <c r="A37" s="22" t="s">
        <v>291</v>
      </c>
      <c r="B37" s="32">
        <v>114</v>
      </c>
      <c r="C37" s="34"/>
      <c r="F37" s="31"/>
      <c r="G37" s="31"/>
      <c r="H37" s="31"/>
      <c r="I37" s="33"/>
      <c r="J37" s="33"/>
      <c r="K37" s="33"/>
      <c r="L37" s="33"/>
    </row>
    <row r="38" spans="1:19">
      <c r="A38" s="22" t="s">
        <v>235</v>
      </c>
      <c r="B38" s="32">
        <v>250</v>
      </c>
      <c r="C38" s="34"/>
      <c r="F38" s="31"/>
      <c r="G38" s="31"/>
      <c r="H38" s="31"/>
      <c r="I38" s="33"/>
      <c r="J38" s="33"/>
      <c r="K38" s="33"/>
      <c r="L38" s="33"/>
    </row>
    <row r="39" spans="1:19">
      <c r="A39" s="22" t="s">
        <v>234</v>
      </c>
      <c r="B39" s="32">
        <v>27.37</v>
      </c>
      <c r="C39" s="34"/>
      <c r="F39" s="31"/>
      <c r="G39" s="31"/>
      <c r="H39" s="31"/>
      <c r="I39" s="33"/>
      <c r="J39" s="33"/>
      <c r="K39" s="33"/>
      <c r="L39" s="33"/>
    </row>
    <row r="40" spans="1:19">
      <c r="A40" s="22">
        <v>5237</v>
      </c>
      <c r="B40" s="32">
        <v>39.99</v>
      </c>
      <c r="C40" s="34"/>
      <c r="F40" s="31"/>
      <c r="G40" s="31"/>
      <c r="H40" s="31"/>
      <c r="I40" s="33"/>
      <c r="J40" s="33"/>
      <c r="K40" s="33"/>
      <c r="L40" s="33"/>
    </row>
    <row r="41" spans="1:19">
      <c r="B41" s="32">
        <f xml:space="preserve"> SUM(InitialOutstandingPayments09[Amount])</f>
        <v>4666.08</v>
      </c>
      <c r="C41" s="58"/>
      <c r="F41" s="31"/>
      <c r="G41" s="31"/>
      <c r="H41" s="31"/>
      <c r="I41" s="33"/>
      <c r="J41" s="33"/>
      <c r="K41" s="33"/>
      <c r="L41" s="33"/>
    </row>
    <row r="42" spans="1:19">
      <c r="I42" s="33"/>
      <c r="J42" s="33"/>
      <c r="K42" s="33"/>
      <c r="L42" s="33"/>
      <c r="M42" s="31"/>
      <c r="N42" s="31"/>
      <c r="O42" s="31"/>
    </row>
    <row r="43" spans="1:19">
      <c r="A43" s="62" t="s">
        <v>173</v>
      </c>
      <c r="B43" s="63"/>
      <c r="C43" s="63"/>
      <c r="D43" s="63"/>
      <c r="E43" s="63"/>
      <c r="F43" s="63"/>
      <c r="I43" s="33"/>
      <c r="J43" s="33"/>
      <c r="K43" s="33"/>
      <c r="L43" s="33"/>
      <c r="M43" s="31"/>
      <c r="N43" s="31"/>
      <c r="O43" s="31"/>
    </row>
    <row r="44" spans="1:19">
      <c r="A44" s="22" t="s">
        <v>169</v>
      </c>
      <c r="B44" s="22" t="s">
        <v>178</v>
      </c>
      <c r="C44" s="22" t="s">
        <v>185</v>
      </c>
      <c r="D44" s="22" t="s">
        <v>244</v>
      </c>
      <c r="E44" s="22" t="s">
        <v>176</v>
      </c>
      <c r="F44" s="22" t="s">
        <v>211</v>
      </c>
      <c r="I44" s="33"/>
      <c r="J44" s="33"/>
      <c r="K44" s="33"/>
      <c r="L44" s="33"/>
      <c r="M44" s="31"/>
      <c r="N44" s="31"/>
      <c r="O44" s="31"/>
    </row>
    <row r="45" spans="1:19">
      <c r="A45" s="28">
        <v>45174</v>
      </c>
      <c r="B45" s="22" t="s">
        <v>209</v>
      </c>
      <c r="C45" s="22" t="s">
        <v>210</v>
      </c>
      <c r="E45" s="32">
        <v>258</v>
      </c>
      <c r="F45" s="34" t="s">
        <v>194</v>
      </c>
      <c r="I45" s="33"/>
      <c r="J45" s="33"/>
      <c r="K45" s="33"/>
      <c r="L45" s="33"/>
      <c r="M45" s="31"/>
      <c r="N45" s="31"/>
      <c r="O45" s="31"/>
      <c r="R45" s="35"/>
      <c r="S45" s="27"/>
    </row>
    <row r="46" spans="1:19">
      <c r="A46" s="28">
        <v>45174</v>
      </c>
      <c r="B46" s="22" t="s">
        <v>270</v>
      </c>
      <c r="C46" s="22" t="s">
        <v>249</v>
      </c>
      <c r="D46" s="22">
        <v>5289</v>
      </c>
      <c r="E46" s="32">
        <v>260</v>
      </c>
      <c r="F46" s="34" t="s">
        <v>194</v>
      </c>
      <c r="I46" s="33"/>
      <c r="J46" s="33"/>
      <c r="K46" s="33"/>
      <c r="L46" s="33"/>
      <c r="M46" s="31"/>
      <c r="N46" s="31"/>
      <c r="O46" s="31"/>
    </row>
    <row r="47" spans="1:19">
      <c r="A47" s="28">
        <v>45174</v>
      </c>
      <c r="B47" s="22" t="s">
        <v>272</v>
      </c>
      <c r="C47" s="22" t="s">
        <v>199</v>
      </c>
      <c r="D47" s="22">
        <v>5288</v>
      </c>
      <c r="E47" s="32">
        <v>300</v>
      </c>
      <c r="F47" s="34"/>
      <c r="I47" s="57">
        <v>22.5</v>
      </c>
      <c r="J47" s="33"/>
      <c r="K47" s="33"/>
      <c r="L47" s="33"/>
      <c r="M47" s="31"/>
      <c r="N47" s="31"/>
      <c r="O47" s="31"/>
    </row>
    <row r="48" spans="1:19">
      <c r="A48" s="28">
        <v>45180</v>
      </c>
      <c r="B48" s="22" t="s">
        <v>270</v>
      </c>
      <c r="C48" s="22" t="s">
        <v>249</v>
      </c>
      <c r="D48" s="22">
        <v>5291</v>
      </c>
      <c r="E48" s="32">
        <v>260</v>
      </c>
      <c r="F48" s="34"/>
      <c r="I48" s="41">
        <v>485.54999999999995</v>
      </c>
      <c r="J48" s="33"/>
      <c r="K48" s="33"/>
      <c r="L48" s="33"/>
      <c r="M48" s="31"/>
      <c r="N48" s="31"/>
      <c r="O48" s="31"/>
    </row>
    <row r="49" spans="1:15">
      <c r="A49" s="28">
        <v>45180</v>
      </c>
      <c r="B49" s="22" t="s">
        <v>272</v>
      </c>
      <c r="C49" s="22" t="s">
        <v>199</v>
      </c>
      <c r="D49" s="22">
        <v>5290</v>
      </c>
      <c r="E49" s="32">
        <v>300</v>
      </c>
      <c r="F49" s="34"/>
      <c r="I49" s="57">
        <v>105.81</v>
      </c>
      <c r="J49" s="33"/>
      <c r="K49" s="33"/>
      <c r="L49" s="33"/>
      <c r="M49" s="31"/>
      <c r="N49" s="31"/>
      <c r="O49" s="31"/>
    </row>
    <row r="50" spans="1:15">
      <c r="A50" s="28">
        <v>45159</v>
      </c>
      <c r="B50" s="22" t="s">
        <v>282</v>
      </c>
      <c r="C50" s="22" t="s">
        <v>193</v>
      </c>
      <c r="D50" s="22">
        <v>5292</v>
      </c>
      <c r="E50" s="32">
        <v>2700</v>
      </c>
      <c r="F50" s="34"/>
      <c r="I50" s="41">
        <v>443.59</v>
      </c>
      <c r="J50" s="31"/>
      <c r="K50" s="31"/>
      <c r="L50" s="31"/>
      <c r="M50" s="31"/>
      <c r="N50" s="31"/>
      <c r="O50" s="31"/>
    </row>
    <row r="51" spans="1:15">
      <c r="A51" s="28"/>
      <c r="E51" s="32"/>
      <c r="F51" s="34"/>
      <c r="I51" s="57">
        <v>95.4</v>
      </c>
      <c r="J51" s="31"/>
      <c r="K51" s="31"/>
      <c r="L51" s="31"/>
      <c r="M51" s="31"/>
      <c r="N51" s="31"/>
      <c r="O51" s="31"/>
    </row>
    <row r="52" spans="1:15">
      <c r="A52" s="28"/>
      <c r="E52" s="32"/>
      <c r="F52" s="34"/>
      <c r="I52" s="41">
        <v>242.17</v>
      </c>
      <c r="J52" s="31"/>
      <c r="K52" s="31"/>
      <c r="L52" s="31"/>
      <c r="M52" s="31"/>
      <c r="N52" s="31"/>
      <c r="O52" s="31"/>
    </row>
    <row r="53" spans="1:15">
      <c r="A53" s="28"/>
      <c r="E53" s="32"/>
      <c r="F53" s="34"/>
      <c r="I53" s="57">
        <v>448.7</v>
      </c>
      <c r="J53" s="31"/>
      <c r="K53" s="31"/>
      <c r="L53" s="31"/>
      <c r="M53" s="31"/>
      <c r="N53" s="31"/>
      <c r="O53" s="31"/>
    </row>
    <row r="54" spans="1:15">
      <c r="A54" s="28"/>
      <c r="E54" s="32"/>
      <c r="F54" s="34"/>
      <c r="I54" s="41">
        <v>371.7</v>
      </c>
      <c r="J54" s="31"/>
      <c r="K54" s="31"/>
      <c r="L54" s="31"/>
      <c r="M54" s="31"/>
      <c r="N54" s="31"/>
      <c r="O54" s="31"/>
    </row>
    <row r="55" spans="1:15">
      <c r="A55" s="28"/>
      <c r="E55" s="32"/>
      <c r="F55" s="34"/>
      <c r="I55" s="57">
        <v>2019.3</v>
      </c>
      <c r="J55" s="31"/>
      <c r="K55" s="31"/>
      <c r="L55" s="31"/>
      <c r="M55" s="31"/>
      <c r="N55" s="31"/>
      <c r="O55" s="31"/>
    </row>
    <row r="56" spans="1:15">
      <c r="A56" s="28"/>
      <c r="B56" s="22" t="s">
        <v>281</v>
      </c>
      <c r="C56" s="22" t="s">
        <v>214</v>
      </c>
      <c r="E56" s="32">
        <f xml:space="preserve"> H67</f>
        <v>0</v>
      </c>
      <c r="F56" s="34"/>
      <c r="I56" s="41">
        <v>114</v>
      </c>
      <c r="J56" s="31"/>
      <c r="K56" s="31"/>
      <c r="L56" s="31"/>
      <c r="M56" s="31"/>
      <c r="N56" s="31"/>
      <c r="O56" s="31"/>
    </row>
    <row r="57" spans="1:15">
      <c r="A57" s="28"/>
      <c r="E57" s="32"/>
      <c r="F57"/>
      <c r="I57" s="59">
        <f xml:space="preserve"> SUM(I47:I56)</f>
        <v>4348.72</v>
      </c>
      <c r="J57" s="31"/>
      <c r="K57" s="31"/>
      <c r="L57" s="31"/>
      <c r="M57" s="31"/>
      <c r="N57" s="31"/>
      <c r="O57" s="31"/>
    </row>
    <row r="58" spans="1:15" ht="14.7" thickBot="1">
      <c r="A58" s="28"/>
      <c r="E58" s="32"/>
      <c r="F58"/>
      <c r="I58" s="31"/>
      <c r="J58" s="31"/>
      <c r="K58" s="31"/>
      <c r="L58" s="31"/>
      <c r="M58" s="31"/>
      <c r="N58" s="31"/>
      <c r="O58" s="31"/>
    </row>
    <row r="59" spans="1:15" ht="15" thickTop="1" thickBot="1">
      <c r="A59" s="64" t="s">
        <v>265</v>
      </c>
      <c r="B59" s="65"/>
      <c r="C59" s="65"/>
      <c r="D59" s="65"/>
      <c r="E59" s="65"/>
      <c r="F59" s="66"/>
    </row>
    <row r="60" spans="1:15" ht="14.7" thickTop="1">
      <c r="A60" s="22" t="s">
        <v>169</v>
      </c>
      <c r="B60" s="22" t="s">
        <v>185</v>
      </c>
      <c r="C60" s="22" t="s">
        <v>176</v>
      </c>
      <c r="D60" s="22" t="s">
        <v>240</v>
      </c>
      <c r="E60" s="22" t="s">
        <v>186</v>
      </c>
      <c r="F60" s="22" t="s">
        <v>263</v>
      </c>
    </row>
    <row r="61" spans="1:15">
      <c r="A61" s="28"/>
      <c r="E61" s="34" t="s">
        <v>194</v>
      </c>
      <c r="F61" s="52"/>
    </row>
    <row r="62" spans="1:15">
      <c r="A62" s="28"/>
      <c r="E62" s="34" t="s">
        <v>194</v>
      </c>
      <c r="F62" s="52"/>
    </row>
    <row r="63" spans="1:15">
      <c r="G63" s="54"/>
      <c r="H63" s="50"/>
    </row>
    <row r="64" spans="1:15">
      <c r="G64" s="54"/>
      <c r="H64" s="50"/>
    </row>
    <row r="66" spans="7:9">
      <c r="G66" s="54" t="s">
        <v>242</v>
      </c>
      <c r="H66" s="50">
        <f>SUMIF(Offering09[Category], "G",Offering09[Amount])</f>
        <v>0</v>
      </c>
    </row>
    <row r="67" spans="7:9">
      <c r="G67" s="54" t="s">
        <v>215</v>
      </c>
      <c r="H67" s="51">
        <f xml:space="preserve"> H66 * 0.09</f>
        <v>0</v>
      </c>
      <c r="I67" s="22" t="s">
        <v>217</v>
      </c>
    </row>
  </sheetData>
  <mergeCells count="6">
    <mergeCell ref="A59:F59"/>
    <mergeCell ref="A3:F3"/>
    <mergeCell ref="A15:F15"/>
    <mergeCell ref="A26:C26"/>
    <mergeCell ref="E26:G26"/>
    <mergeCell ref="A43:F43"/>
  </mergeCells>
  <conditionalFormatting sqref="F52:F53 F56">
    <cfRule type="containsText" dxfId="20" priority="14" operator="containsText" text="Y">
      <formula>NOT(ISERROR(SEARCH("Y",F52)))</formula>
    </cfRule>
    <cfRule type="containsText" priority="15" operator="containsText" text="&quot;&quot;">
      <formula>NOT(ISERROR(SEARCH("""""",F52)))</formula>
    </cfRule>
  </conditionalFormatting>
  <conditionalFormatting sqref="C28:C36 E61:E62 F52:F58">
    <cfRule type="containsText" dxfId="19" priority="13" operator="containsText" text="Y">
      <formula>NOT(ISERROR(SEARCH("Y",C28)))</formula>
    </cfRule>
  </conditionalFormatting>
  <conditionalFormatting sqref="F54:F55">
    <cfRule type="containsText" dxfId="18" priority="11" operator="containsText" text="Y">
      <formula>NOT(ISERROR(SEARCH("Y",F54)))</formula>
    </cfRule>
    <cfRule type="containsText" priority="12" operator="containsText" text="&quot;&quot;">
      <formula>NOT(ISERROR(SEARCH("""""",F54)))</formula>
    </cfRule>
  </conditionalFormatting>
  <conditionalFormatting sqref="C39:C41">
    <cfRule type="containsText" dxfId="17" priority="10" operator="containsText" text="Y">
      <formula>NOT(ISERROR(SEARCH("Y",C39)))</formula>
    </cfRule>
  </conditionalFormatting>
  <conditionalFormatting sqref="C37">
    <cfRule type="containsText" dxfId="16" priority="9" operator="containsText" text="Y">
      <formula>NOT(ISERROR(SEARCH("Y",C37)))</formula>
    </cfRule>
  </conditionalFormatting>
  <conditionalFormatting sqref="C38">
    <cfRule type="containsText" dxfId="15" priority="8" operator="containsText" text="Y">
      <formula>NOT(ISERROR(SEARCH("Y",C38)))</formula>
    </cfRule>
  </conditionalFormatting>
  <conditionalFormatting sqref="F45">
    <cfRule type="containsText" dxfId="14" priority="7" operator="containsText" text="Y">
      <formula>NOT(ISERROR(SEARCH("Y",F45)))</formula>
    </cfRule>
  </conditionalFormatting>
  <conditionalFormatting sqref="F47">
    <cfRule type="containsText" dxfId="13" priority="6" operator="containsText" text="Y">
      <formula>NOT(ISERROR(SEARCH("Y",F47)))</formula>
    </cfRule>
  </conditionalFormatting>
  <conditionalFormatting sqref="F48">
    <cfRule type="containsText" dxfId="12" priority="5" operator="containsText" text="Y">
      <formula>NOT(ISERROR(SEARCH("Y",F48)))</formula>
    </cfRule>
  </conditionalFormatting>
  <conditionalFormatting sqref="F50">
    <cfRule type="containsText" dxfId="11" priority="4" operator="containsText" text="Y">
      <formula>NOT(ISERROR(SEARCH("Y",F50)))</formula>
    </cfRule>
  </conditionalFormatting>
  <conditionalFormatting sqref="F46">
    <cfRule type="containsText" dxfId="10" priority="3" operator="containsText" text="Y">
      <formula>NOT(ISERROR(SEARCH("Y",F46)))</formula>
    </cfRule>
  </conditionalFormatting>
  <conditionalFormatting sqref="F49">
    <cfRule type="containsText" dxfId="9" priority="2" operator="containsText" text="Y">
      <formula>NOT(ISERROR(SEARCH("Y",F49)))</formula>
    </cfRule>
  </conditionalFormatting>
  <conditionalFormatting sqref="F51">
    <cfRule type="containsText" dxfId="8" priority="1" operator="containsText" text="Y">
      <formula>NOT(ISERROR(SEARCH("Y",F51)))</formula>
    </cfRule>
  </conditionalFormatting>
  <dataValidations count="1">
    <dataValidation type="list" allowBlank="1" showInputMessage="1" showErrorMessage="1" sqref="C52:C58 C45:C50" xr:uid="{5DEAD01A-9B38-478A-B24C-2683EDF4B46C}">
      <formula1 xml:space="preserve"> INDIRECT("ExpenseCategory!ExpenseCategory[Display List]" 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740D-4794-4E18-92EA-F653BB626EAF}">
  <dimension ref="A1:U93"/>
  <sheetViews>
    <sheetView tabSelected="1" topLeftCell="B1" workbookViewId="0">
      <selection activeCell="T6" sqref="T6"/>
    </sheetView>
  </sheetViews>
  <sheetFormatPr defaultRowHeight="14.4"/>
  <cols>
    <col min="1" max="1" width="24.1015625" customWidth="1"/>
    <col min="3" max="3" width="9.20703125" customWidth="1"/>
    <col min="4" max="4" width="31.3671875" style="73" customWidth="1"/>
    <col min="12" max="12" width="16.20703125" customWidth="1"/>
    <col min="13" max="13" width="30.05078125" customWidth="1"/>
    <col min="14" max="14" width="25.41796875" customWidth="1"/>
    <col min="15" max="15" width="9.89453125" customWidth="1"/>
    <col min="16" max="16" width="22" customWidth="1"/>
    <col min="18" max="18" width="9.62890625" bestFit="1" customWidth="1"/>
    <col min="21" max="21" width="9.62890625" bestFit="1" customWidth="1"/>
  </cols>
  <sheetData>
    <row r="1" spans="1:18" ht="321.3" customHeight="1"/>
    <row r="2" spans="1:18">
      <c r="A2" t="s">
        <v>169</v>
      </c>
      <c r="B2" t="s">
        <v>293</v>
      </c>
      <c r="C2" t="s">
        <v>176</v>
      </c>
      <c r="L2" t="s">
        <v>169</v>
      </c>
      <c r="M2" t="s">
        <v>294</v>
      </c>
      <c r="N2" t="s">
        <v>295</v>
      </c>
      <c r="O2" t="s">
        <v>230</v>
      </c>
      <c r="P2" t="s">
        <v>176</v>
      </c>
    </row>
    <row r="3" spans="1:18">
      <c r="A3" s="69">
        <v>45107</v>
      </c>
      <c r="B3" s="67" t="s">
        <v>14</v>
      </c>
      <c r="C3" s="67">
        <v>250</v>
      </c>
      <c r="L3" s="69">
        <v>44950</v>
      </c>
      <c r="M3" s="67" t="s">
        <v>205</v>
      </c>
      <c r="N3" s="67" t="s">
        <v>206</v>
      </c>
      <c r="O3" s="67">
        <v>5222</v>
      </c>
      <c r="P3" s="57">
        <v>1200</v>
      </c>
    </row>
    <row r="4" spans="1:18">
      <c r="A4" s="70">
        <v>45138</v>
      </c>
      <c r="B4" s="68" t="s">
        <v>14</v>
      </c>
      <c r="C4" s="68">
        <v>0</v>
      </c>
      <c r="D4" s="73" t="s">
        <v>11</v>
      </c>
      <c r="E4">
        <f xml:space="preserve"> SUM(C3:C4)</f>
        <v>250</v>
      </c>
      <c r="L4" s="69">
        <v>44978</v>
      </c>
      <c r="M4" s="67" t="s">
        <v>205</v>
      </c>
      <c r="N4" s="67" t="s">
        <v>206</v>
      </c>
      <c r="O4" s="67">
        <v>5228</v>
      </c>
      <c r="P4" s="57">
        <v>864</v>
      </c>
    </row>
    <row r="5" spans="1:18">
      <c r="A5" s="69">
        <v>44951</v>
      </c>
      <c r="B5" s="67" t="s">
        <v>6</v>
      </c>
      <c r="C5" s="67">
        <v>4130</v>
      </c>
      <c r="L5" s="69">
        <v>45004</v>
      </c>
      <c r="M5" s="71" t="s">
        <v>205</v>
      </c>
      <c r="N5" s="67" t="s">
        <v>206</v>
      </c>
      <c r="O5" s="67">
        <v>5238</v>
      </c>
      <c r="P5" s="57">
        <v>1728</v>
      </c>
    </row>
    <row r="6" spans="1:18">
      <c r="A6" s="69">
        <v>44985</v>
      </c>
      <c r="B6" s="67" t="s">
        <v>6</v>
      </c>
      <c r="C6" s="67">
        <v>5430</v>
      </c>
      <c r="L6" s="70">
        <v>45028</v>
      </c>
      <c r="M6" s="68" t="s">
        <v>205</v>
      </c>
      <c r="N6" s="68" t="s">
        <v>206</v>
      </c>
      <c r="O6" s="68">
        <v>5244</v>
      </c>
      <c r="P6" s="41">
        <v>1728</v>
      </c>
    </row>
    <row r="7" spans="1:18">
      <c r="A7" s="69">
        <v>45016</v>
      </c>
      <c r="B7" s="67" t="s">
        <v>6</v>
      </c>
      <c r="C7" s="67">
        <v>2690</v>
      </c>
      <c r="L7" s="70">
        <v>45061</v>
      </c>
      <c r="M7" s="68" t="s">
        <v>205</v>
      </c>
      <c r="N7" s="68" t="s">
        <v>206</v>
      </c>
      <c r="O7" s="68">
        <v>5257</v>
      </c>
      <c r="P7" s="41">
        <v>1728</v>
      </c>
    </row>
    <row r="8" spans="1:18">
      <c r="A8" s="69">
        <v>45046</v>
      </c>
      <c r="B8" s="67" t="s">
        <v>6</v>
      </c>
      <c r="C8" s="67">
        <v>1060</v>
      </c>
      <c r="L8" s="69">
        <v>45081</v>
      </c>
      <c r="M8" s="67" t="s">
        <v>205</v>
      </c>
      <c r="N8" s="67" t="s">
        <v>206</v>
      </c>
      <c r="O8" s="67">
        <v>5262</v>
      </c>
      <c r="P8" s="57">
        <v>1296</v>
      </c>
    </row>
    <row r="9" spans="1:18">
      <c r="A9" s="69">
        <v>45074</v>
      </c>
      <c r="B9" s="67" t="s">
        <v>6</v>
      </c>
      <c r="C9" s="67">
        <v>4928</v>
      </c>
      <c r="L9" s="69">
        <v>45124</v>
      </c>
      <c r="M9" s="67" t="s">
        <v>205</v>
      </c>
      <c r="N9" s="67" t="s">
        <v>206</v>
      </c>
      <c r="O9" s="67">
        <v>5274</v>
      </c>
      <c r="P9" s="57">
        <v>1296</v>
      </c>
    </row>
    <row r="10" spans="1:18">
      <c r="A10" s="69">
        <v>45107</v>
      </c>
      <c r="B10" s="67" t="s">
        <v>6</v>
      </c>
      <c r="C10" s="67">
        <v>1175</v>
      </c>
      <c r="L10" s="70">
        <v>45156</v>
      </c>
      <c r="M10" s="68" t="s">
        <v>20</v>
      </c>
      <c r="N10" s="68" t="s">
        <v>206</v>
      </c>
      <c r="O10" s="68">
        <v>5283</v>
      </c>
      <c r="P10" s="41">
        <v>480</v>
      </c>
      <c r="Q10" t="s">
        <v>298</v>
      </c>
      <c r="R10" s="74">
        <f xml:space="preserve"> SUM(P3:P10)</f>
        <v>10320</v>
      </c>
    </row>
    <row r="11" spans="1:18">
      <c r="A11" s="69">
        <v>45138</v>
      </c>
      <c r="B11" s="67" t="s">
        <v>6</v>
      </c>
      <c r="C11" s="67">
        <v>695</v>
      </c>
      <c r="L11" s="69">
        <v>44930</v>
      </c>
      <c r="M11" s="67" t="s">
        <v>209</v>
      </c>
      <c r="N11" s="67" t="s">
        <v>210</v>
      </c>
      <c r="O11" s="67"/>
      <c r="P11" s="57">
        <v>206</v>
      </c>
    </row>
    <row r="12" spans="1:18">
      <c r="A12" s="70">
        <v>45138</v>
      </c>
      <c r="B12" s="68" t="s">
        <v>6</v>
      </c>
      <c r="C12" s="68">
        <v>4700</v>
      </c>
      <c r="L12" s="69">
        <v>44961</v>
      </c>
      <c r="M12" s="67" t="s">
        <v>209</v>
      </c>
      <c r="N12" s="67" t="s">
        <v>210</v>
      </c>
      <c r="O12" s="67"/>
      <c r="P12" s="57">
        <v>206</v>
      </c>
    </row>
    <row r="13" spans="1:18">
      <c r="A13" s="69">
        <v>45163</v>
      </c>
      <c r="B13" s="67" t="s">
        <v>6</v>
      </c>
      <c r="C13" s="67">
        <v>250</v>
      </c>
      <c r="D13" s="73" t="s">
        <v>296</v>
      </c>
      <c r="E13">
        <f xml:space="preserve"> SUM(C5:C13)</f>
        <v>25058</v>
      </c>
      <c r="L13" s="70">
        <v>44988</v>
      </c>
      <c r="M13" s="68" t="s">
        <v>209</v>
      </c>
      <c r="N13" s="68" t="s">
        <v>210</v>
      </c>
      <c r="O13" s="68"/>
      <c r="P13" s="41">
        <v>258</v>
      </c>
    </row>
    <row r="14" spans="1:18">
      <c r="A14" s="70">
        <v>45138</v>
      </c>
      <c r="B14" s="68" t="s">
        <v>264</v>
      </c>
      <c r="C14" s="68">
        <v>1949.52</v>
      </c>
      <c r="L14" s="70">
        <v>45020</v>
      </c>
      <c r="M14" s="68" t="s">
        <v>209</v>
      </c>
      <c r="N14" s="68" t="s">
        <v>210</v>
      </c>
      <c r="O14" s="68"/>
      <c r="P14" s="41">
        <v>258</v>
      </c>
    </row>
    <row r="15" spans="1:18">
      <c r="A15" s="69">
        <v>44957</v>
      </c>
      <c r="B15" s="67" t="s">
        <v>228</v>
      </c>
      <c r="C15" s="67">
        <v>0.73</v>
      </c>
      <c r="L15" s="69">
        <v>45049</v>
      </c>
      <c r="M15" s="67" t="s">
        <v>209</v>
      </c>
      <c r="N15" s="67" t="s">
        <v>210</v>
      </c>
      <c r="O15" s="67"/>
      <c r="P15" s="57">
        <v>258</v>
      </c>
    </row>
    <row r="16" spans="1:18">
      <c r="A16" s="70">
        <v>44985</v>
      </c>
      <c r="B16" s="68" t="s">
        <v>228</v>
      </c>
      <c r="C16" s="68">
        <v>0.66</v>
      </c>
      <c r="L16" s="69">
        <v>45082</v>
      </c>
      <c r="M16" s="67" t="s">
        <v>209</v>
      </c>
      <c r="N16" s="67" t="s">
        <v>210</v>
      </c>
      <c r="O16" s="67"/>
      <c r="P16" s="57">
        <v>258</v>
      </c>
    </row>
    <row r="17" spans="1:21">
      <c r="A17" s="70">
        <v>45016</v>
      </c>
      <c r="B17" s="68" t="s">
        <v>228</v>
      </c>
      <c r="C17" s="68">
        <v>0.73</v>
      </c>
      <c r="L17" s="70">
        <v>45110</v>
      </c>
      <c r="M17" s="68" t="s">
        <v>209</v>
      </c>
      <c r="N17" s="68" t="s">
        <v>210</v>
      </c>
      <c r="O17" s="68"/>
      <c r="P17" s="41">
        <v>258</v>
      </c>
    </row>
    <row r="18" spans="1:21">
      <c r="A18" s="70">
        <v>45046</v>
      </c>
      <c r="B18" s="68" t="s">
        <v>228</v>
      </c>
      <c r="C18" s="68">
        <v>0.71</v>
      </c>
      <c r="L18" s="69">
        <v>45141</v>
      </c>
      <c r="M18" s="67" t="s">
        <v>209</v>
      </c>
      <c r="N18" s="67" t="s">
        <v>210</v>
      </c>
      <c r="O18" s="67"/>
      <c r="P18" s="57">
        <v>258</v>
      </c>
    </row>
    <row r="19" spans="1:21">
      <c r="A19" s="70">
        <v>45077</v>
      </c>
      <c r="B19" s="68" t="s">
        <v>228</v>
      </c>
      <c r="C19" s="68">
        <v>0.73</v>
      </c>
      <c r="L19" s="69">
        <v>45174</v>
      </c>
      <c r="M19" s="67" t="s">
        <v>209</v>
      </c>
      <c r="N19" s="67" t="s">
        <v>210</v>
      </c>
      <c r="O19" s="67"/>
      <c r="P19" s="57">
        <v>258</v>
      </c>
      <c r="Q19" t="s">
        <v>299</v>
      </c>
      <c r="R19" s="74">
        <f xml:space="preserve"> SUM(P11:P19)</f>
        <v>2218</v>
      </c>
      <c r="T19" t="s">
        <v>11</v>
      </c>
      <c r="U19" s="74">
        <f xml:space="preserve"> SUM(R10:R19)</f>
        <v>12538</v>
      </c>
    </row>
    <row r="20" spans="1:21">
      <c r="A20" s="70">
        <v>45107</v>
      </c>
      <c r="B20" s="68" t="s">
        <v>228</v>
      </c>
      <c r="C20" s="68">
        <v>0.71</v>
      </c>
      <c r="L20" s="69">
        <v>44997</v>
      </c>
      <c r="M20" s="67" t="s">
        <v>245</v>
      </c>
      <c r="N20" s="67" t="s">
        <v>250</v>
      </c>
      <c r="O20" s="67">
        <v>5232</v>
      </c>
      <c r="P20" s="57">
        <v>300</v>
      </c>
    </row>
    <row r="21" spans="1:21">
      <c r="A21" s="69">
        <v>45138</v>
      </c>
      <c r="B21" s="67" t="s">
        <v>228</v>
      </c>
      <c r="C21" s="67">
        <v>0.73</v>
      </c>
      <c r="L21" s="69">
        <v>45060</v>
      </c>
      <c r="M21" s="67" t="s">
        <v>245</v>
      </c>
      <c r="N21" s="67" t="s">
        <v>250</v>
      </c>
      <c r="O21" s="67">
        <v>5255</v>
      </c>
      <c r="P21" s="57">
        <v>300</v>
      </c>
      <c r="T21" t="s">
        <v>160</v>
      </c>
      <c r="U21" s="74">
        <f xml:space="preserve"> SUM(P20:P21)</f>
        <v>600</v>
      </c>
    </row>
    <row r="22" spans="1:21">
      <c r="A22" s="70">
        <v>45139</v>
      </c>
      <c r="B22" s="68" t="s">
        <v>228</v>
      </c>
      <c r="C22" s="68">
        <v>0.73</v>
      </c>
      <c r="D22" s="73" t="s">
        <v>297</v>
      </c>
      <c r="E22">
        <f xml:space="preserve"> SUM(C5:C22)</f>
        <v>27013.249999999996</v>
      </c>
      <c r="L22" s="70">
        <v>44970</v>
      </c>
      <c r="M22" s="68" t="s">
        <v>236</v>
      </c>
      <c r="N22" s="68" t="s">
        <v>238</v>
      </c>
      <c r="O22" s="68">
        <v>5226</v>
      </c>
      <c r="P22" s="41">
        <v>692.6</v>
      </c>
    </row>
    <row r="23" spans="1:21">
      <c r="A23" s="70">
        <v>45016</v>
      </c>
      <c r="B23" s="68" t="s">
        <v>70</v>
      </c>
      <c r="C23" s="68">
        <v>1250</v>
      </c>
      <c r="L23" s="70">
        <v>44957</v>
      </c>
      <c r="M23" s="68" t="s">
        <v>212</v>
      </c>
      <c r="N23" s="68" t="s">
        <v>214</v>
      </c>
      <c r="O23" s="68"/>
      <c r="P23" s="41">
        <v>371.7</v>
      </c>
    </row>
    <row r="24" spans="1:21">
      <c r="A24" s="69">
        <v>45046</v>
      </c>
      <c r="B24" s="67" t="s">
        <v>70</v>
      </c>
      <c r="C24" s="67">
        <v>250</v>
      </c>
      <c r="L24" s="70">
        <v>44985</v>
      </c>
      <c r="M24" s="68" t="s">
        <v>239</v>
      </c>
      <c r="N24" s="68" t="s">
        <v>214</v>
      </c>
      <c r="O24" s="68"/>
      <c r="P24" s="41">
        <v>448.7</v>
      </c>
    </row>
    <row r="25" spans="1:21">
      <c r="A25" s="69">
        <v>45074</v>
      </c>
      <c r="B25" s="67" t="s">
        <v>70</v>
      </c>
      <c r="C25" s="67">
        <v>0</v>
      </c>
      <c r="L25" s="69">
        <v>45016</v>
      </c>
      <c r="M25" s="67" t="s">
        <v>253</v>
      </c>
      <c r="N25" s="67" t="s">
        <v>214</v>
      </c>
      <c r="O25" s="67"/>
      <c r="P25" s="57">
        <v>242.17</v>
      </c>
    </row>
    <row r="26" spans="1:21">
      <c r="A26" s="69">
        <v>45138</v>
      </c>
      <c r="B26" s="67" t="s">
        <v>70</v>
      </c>
      <c r="C26" s="67">
        <v>200</v>
      </c>
      <c r="L26" s="69">
        <v>45046</v>
      </c>
      <c r="M26" s="67" t="s">
        <v>257</v>
      </c>
      <c r="N26" s="67" t="s">
        <v>214</v>
      </c>
      <c r="O26" s="67"/>
      <c r="P26" s="57">
        <v>95.4</v>
      </c>
    </row>
    <row r="27" spans="1:21">
      <c r="A27" s="70">
        <v>45113</v>
      </c>
      <c r="B27" s="68" t="s">
        <v>70</v>
      </c>
      <c r="C27" s="68">
        <v>3610</v>
      </c>
      <c r="D27" s="73" t="s">
        <v>144</v>
      </c>
      <c r="E27">
        <f xml:space="preserve"> SUM(C23:C27)</f>
        <v>5310</v>
      </c>
      <c r="L27" s="70">
        <v>45077</v>
      </c>
      <c r="M27" s="68" t="s">
        <v>259</v>
      </c>
      <c r="N27" s="68" t="s">
        <v>214</v>
      </c>
      <c r="O27" s="68"/>
      <c r="P27" s="41">
        <v>443.59</v>
      </c>
    </row>
    <row r="28" spans="1:21">
      <c r="A28" s="70">
        <v>44951</v>
      </c>
      <c r="B28" s="68" t="s">
        <v>147</v>
      </c>
      <c r="C28" s="68">
        <v>2000</v>
      </c>
      <c r="L28" s="70">
        <v>45107</v>
      </c>
      <c r="M28" s="68" t="s">
        <v>260</v>
      </c>
      <c r="N28" s="68" t="s">
        <v>214</v>
      </c>
      <c r="O28" s="68"/>
      <c r="P28" s="41">
        <v>105.81</v>
      </c>
    </row>
    <row r="29" spans="1:21">
      <c r="A29" s="69">
        <v>45016</v>
      </c>
      <c r="B29" s="67" t="s">
        <v>147</v>
      </c>
      <c r="C29" s="67">
        <v>250</v>
      </c>
      <c r="L29" s="69">
        <v>45138</v>
      </c>
      <c r="M29" s="67" t="s">
        <v>261</v>
      </c>
      <c r="N29" s="67" t="s">
        <v>214</v>
      </c>
      <c r="O29" s="67"/>
      <c r="P29" s="57">
        <v>485.54999999999995</v>
      </c>
    </row>
    <row r="30" spans="1:21">
      <c r="A30" s="70">
        <v>45046</v>
      </c>
      <c r="B30" s="68" t="s">
        <v>147</v>
      </c>
      <c r="C30" s="68">
        <v>250</v>
      </c>
      <c r="L30" s="70">
        <v>45169</v>
      </c>
      <c r="M30" s="68" t="s">
        <v>280</v>
      </c>
      <c r="N30" s="68" t="s">
        <v>214</v>
      </c>
      <c r="O30" s="68"/>
      <c r="P30" s="41">
        <v>22.5</v>
      </c>
      <c r="Q30" t="s">
        <v>300</v>
      </c>
      <c r="R30" s="74">
        <f xml:space="preserve"> SUM(P23:P30)</f>
        <v>2215.42</v>
      </c>
    </row>
    <row r="31" spans="1:21">
      <c r="A31" s="70">
        <v>45074</v>
      </c>
      <c r="B31" s="68" t="s">
        <v>147</v>
      </c>
      <c r="C31" s="68">
        <v>2000</v>
      </c>
      <c r="L31" s="70">
        <v>45037</v>
      </c>
      <c r="M31" s="68" t="s">
        <v>255</v>
      </c>
      <c r="N31" s="68" t="s">
        <v>258</v>
      </c>
      <c r="O31" s="68">
        <v>5248</v>
      </c>
      <c r="P31" s="41">
        <v>75.400000000000006</v>
      </c>
    </row>
    <row r="32" spans="1:21">
      <c r="A32" s="70">
        <v>45107</v>
      </c>
      <c r="B32" s="68" t="s">
        <v>147</v>
      </c>
      <c r="C32" s="68">
        <v>250</v>
      </c>
      <c r="L32" s="69">
        <v>44990</v>
      </c>
      <c r="M32" s="67" t="s">
        <v>243</v>
      </c>
      <c r="N32" s="67" t="s">
        <v>249</v>
      </c>
      <c r="O32" s="67">
        <v>5231</v>
      </c>
      <c r="P32" s="57">
        <v>260</v>
      </c>
    </row>
    <row r="33" spans="1:16">
      <c r="A33" s="69">
        <v>45138</v>
      </c>
      <c r="B33" s="67" t="s">
        <v>147</v>
      </c>
      <c r="C33" s="67">
        <v>200</v>
      </c>
      <c r="D33" s="73" t="s">
        <v>145</v>
      </c>
      <c r="E33">
        <f xml:space="preserve"> SUM(C28:C33)</f>
        <v>4950</v>
      </c>
      <c r="L33" s="70">
        <v>44997</v>
      </c>
      <c r="M33" s="68" t="s">
        <v>246</v>
      </c>
      <c r="N33" s="68" t="s">
        <v>249</v>
      </c>
      <c r="O33" s="68">
        <v>5233</v>
      </c>
      <c r="P33" s="41">
        <v>260</v>
      </c>
    </row>
    <row r="34" spans="1:16">
      <c r="L34" s="69">
        <v>45004</v>
      </c>
      <c r="M34" s="67" t="s">
        <v>246</v>
      </c>
      <c r="N34" s="67" t="s">
        <v>249</v>
      </c>
      <c r="O34" s="67">
        <v>5236</v>
      </c>
      <c r="P34" s="57">
        <v>260</v>
      </c>
    </row>
    <row r="35" spans="1:16">
      <c r="L35" s="70">
        <v>45011</v>
      </c>
      <c r="M35" s="72" t="s">
        <v>246</v>
      </c>
      <c r="N35" s="68" t="s">
        <v>249</v>
      </c>
      <c r="O35" s="68">
        <v>5240</v>
      </c>
      <c r="P35" s="41">
        <v>260</v>
      </c>
    </row>
    <row r="36" spans="1:16">
      <c r="L36" s="69">
        <v>45018</v>
      </c>
      <c r="M36" s="67" t="s">
        <v>246</v>
      </c>
      <c r="N36" s="67" t="s">
        <v>249</v>
      </c>
      <c r="O36" s="67">
        <v>5242</v>
      </c>
      <c r="P36" s="57">
        <v>260</v>
      </c>
    </row>
    <row r="37" spans="1:16">
      <c r="L37" s="69">
        <v>45028</v>
      </c>
      <c r="M37" s="67" t="s">
        <v>246</v>
      </c>
      <c r="N37" s="67" t="s">
        <v>249</v>
      </c>
      <c r="O37" s="67">
        <v>5246</v>
      </c>
      <c r="P37" s="57">
        <v>260</v>
      </c>
    </row>
    <row r="38" spans="1:16">
      <c r="L38" s="69">
        <v>45039</v>
      </c>
      <c r="M38" s="67" t="s">
        <v>246</v>
      </c>
      <c r="N38" s="67" t="s">
        <v>249</v>
      </c>
      <c r="O38" s="67">
        <v>5250</v>
      </c>
      <c r="P38" s="57">
        <v>260</v>
      </c>
    </row>
    <row r="39" spans="1:16">
      <c r="L39" s="70">
        <v>45046</v>
      </c>
      <c r="M39" s="68" t="s">
        <v>246</v>
      </c>
      <c r="N39" s="68" t="s">
        <v>249</v>
      </c>
      <c r="O39" s="68">
        <v>5252</v>
      </c>
      <c r="P39" s="41">
        <v>260</v>
      </c>
    </row>
    <row r="40" spans="1:16">
      <c r="L40" s="69">
        <v>45053</v>
      </c>
      <c r="M40" s="67" t="s">
        <v>246</v>
      </c>
      <c r="N40" s="67" t="s">
        <v>249</v>
      </c>
      <c r="O40" s="67">
        <v>5254</v>
      </c>
      <c r="P40" s="57">
        <v>260</v>
      </c>
    </row>
    <row r="41" spans="1:16">
      <c r="L41" s="69">
        <v>45060</v>
      </c>
      <c r="M41" s="67" t="s">
        <v>246</v>
      </c>
      <c r="N41" s="67" t="s">
        <v>249</v>
      </c>
      <c r="O41" s="67">
        <v>5256</v>
      </c>
      <c r="P41" s="57">
        <v>260</v>
      </c>
    </row>
    <row r="42" spans="1:16">
      <c r="L42" s="70">
        <v>45067</v>
      </c>
      <c r="M42" s="68" t="s">
        <v>246</v>
      </c>
      <c r="N42" s="68" t="s">
        <v>249</v>
      </c>
      <c r="O42" s="68">
        <v>5259</v>
      </c>
      <c r="P42" s="41">
        <v>260</v>
      </c>
    </row>
    <row r="43" spans="1:16">
      <c r="L43" s="69">
        <v>45081</v>
      </c>
      <c r="M43" s="67" t="s">
        <v>246</v>
      </c>
      <c r="N43" s="67" t="s">
        <v>249</v>
      </c>
      <c r="O43" s="67">
        <v>5261</v>
      </c>
      <c r="P43" s="57">
        <v>260</v>
      </c>
    </row>
    <row r="44" spans="1:16">
      <c r="L44" s="70">
        <v>45088</v>
      </c>
      <c r="M44" s="68" t="s">
        <v>246</v>
      </c>
      <c r="N44" s="68" t="s">
        <v>249</v>
      </c>
      <c r="O44" s="68">
        <v>5264</v>
      </c>
      <c r="P44" s="41">
        <v>260</v>
      </c>
    </row>
    <row r="45" spans="1:16">
      <c r="L45" s="69">
        <v>45095</v>
      </c>
      <c r="M45" s="67" t="s">
        <v>246</v>
      </c>
      <c r="N45" s="67" t="s">
        <v>249</v>
      </c>
      <c r="O45" s="67">
        <v>5266</v>
      </c>
      <c r="P45" s="57">
        <v>260</v>
      </c>
    </row>
    <row r="46" spans="1:16">
      <c r="L46" s="69">
        <v>45109</v>
      </c>
      <c r="M46" s="67" t="s">
        <v>246</v>
      </c>
      <c r="N46" s="67" t="s">
        <v>249</v>
      </c>
      <c r="O46" s="67">
        <v>5269</v>
      </c>
      <c r="P46" s="57">
        <v>260</v>
      </c>
    </row>
    <row r="47" spans="1:16">
      <c r="L47" s="70">
        <v>45116</v>
      </c>
      <c r="M47" s="68" t="s">
        <v>246</v>
      </c>
      <c r="N47" s="68" t="s">
        <v>249</v>
      </c>
      <c r="O47" s="68">
        <v>5271</v>
      </c>
      <c r="P47" s="41">
        <v>260</v>
      </c>
    </row>
    <row r="48" spans="1:16">
      <c r="L48" s="69">
        <v>45123</v>
      </c>
      <c r="M48" s="67" t="s">
        <v>246</v>
      </c>
      <c r="N48" s="67" t="s">
        <v>249</v>
      </c>
      <c r="O48" s="67">
        <v>5273</v>
      </c>
      <c r="P48" s="57">
        <v>260</v>
      </c>
    </row>
    <row r="49" spans="12:18">
      <c r="L49" s="70">
        <v>45130</v>
      </c>
      <c r="M49" s="68" t="s">
        <v>246</v>
      </c>
      <c r="N49" s="68" t="s">
        <v>249</v>
      </c>
      <c r="O49" s="68">
        <v>5276</v>
      </c>
      <c r="P49" s="41">
        <v>260</v>
      </c>
    </row>
    <row r="50" spans="12:18">
      <c r="L50" s="70">
        <v>45137</v>
      </c>
      <c r="M50" s="68" t="s">
        <v>246</v>
      </c>
      <c r="N50" s="68" t="s">
        <v>249</v>
      </c>
      <c r="O50" s="68">
        <v>5278</v>
      </c>
      <c r="P50" s="41">
        <v>260</v>
      </c>
    </row>
    <row r="51" spans="12:18">
      <c r="L51" s="69">
        <v>45145</v>
      </c>
      <c r="M51" s="67" t="s">
        <v>270</v>
      </c>
      <c r="N51" s="67" t="s">
        <v>249</v>
      </c>
      <c r="O51" s="67">
        <v>5280</v>
      </c>
      <c r="P51" s="57">
        <v>260</v>
      </c>
    </row>
    <row r="52" spans="12:18">
      <c r="L52" s="69">
        <v>45152</v>
      </c>
      <c r="M52" s="67" t="s">
        <v>270</v>
      </c>
      <c r="N52" s="67" t="s">
        <v>249</v>
      </c>
      <c r="O52" s="67">
        <v>5282</v>
      </c>
      <c r="P52" s="57">
        <v>260</v>
      </c>
    </row>
    <row r="53" spans="12:18">
      <c r="L53" s="70">
        <v>45174</v>
      </c>
      <c r="M53" s="68" t="s">
        <v>270</v>
      </c>
      <c r="N53" s="68" t="s">
        <v>249</v>
      </c>
      <c r="O53" s="68">
        <v>5289</v>
      </c>
      <c r="P53" s="41">
        <v>260</v>
      </c>
    </row>
    <row r="54" spans="12:18">
      <c r="L54" s="70">
        <v>45180</v>
      </c>
      <c r="M54" s="68" t="s">
        <v>270</v>
      </c>
      <c r="N54" s="68" t="s">
        <v>249</v>
      </c>
      <c r="O54" s="68">
        <v>5291</v>
      </c>
      <c r="P54" s="41">
        <v>260</v>
      </c>
      <c r="Q54" t="s">
        <v>270</v>
      </c>
      <c r="R54" s="74">
        <f xml:space="preserve"> SUM(P32:P54)</f>
        <v>5980</v>
      </c>
    </row>
    <row r="55" spans="12:18">
      <c r="L55" s="69">
        <v>44928</v>
      </c>
      <c r="M55" s="67" t="s">
        <v>198</v>
      </c>
      <c r="N55" s="67" t="s">
        <v>199</v>
      </c>
      <c r="O55" s="67">
        <v>5216</v>
      </c>
      <c r="P55" s="57">
        <v>300</v>
      </c>
    </row>
    <row r="56" spans="12:18">
      <c r="L56" s="70">
        <v>44934</v>
      </c>
      <c r="M56" s="68" t="s">
        <v>200</v>
      </c>
      <c r="N56" s="68" t="s">
        <v>199</v>
      </c>
      <c r="O56" s="68">
        <v>5217</v>
      </c>
      <c r="P56" s="41">
        <v>300</v>
      </c>
    </row>
    <row r="57" spans="12:18">
      <c r="L57" s="70">
        <v>44941</v>
      </c>
      <c r="M57" s="68" t="s">
        <v>204</v>
      </c>
      <c r="N57" s="68" t="s">
        <v>199</v>
      </c>
      <c r="O57" s="68">
        <v>5219</v>
      </c>
      <c r="P57" s="41">
        <v>300</v>
      </c>
    </row>
    <row r="58" spans="12:18">
      <c r="L58" s="70">
        <v>44955</v>
      </c>
      <c r="M58" s="68" t="s">
        <v>207</v>
      </c>
      <c r="N58" s="68" t="s">
        <v>199</v>
      </c>
      <c r="O58" s="68">
        <v>5223</v>
      </c>
      <c r="P58" s="41">
        <v>300</v>
      </c>
    </row>
    <row r="59" spans="12:18">
      <c r="L59" s="69">
        <v>44962</v>
      </c>
      <c r="M59" s="67" t="s">
        <v>198</v>
      </c>
      <c r="N59" s="67" t="s">
        <v>199</v>
      </c>
      <c r="O59" s="67">
        <v>5224</v>
      </c>
      <c r="P59" s="57">
        <v>300</v>
      </c>
    </row>
    <row r="60" spans="12:18">
      <c r="L60" s="69">
        <v>44969</v>
      </c>
      <c r="M60" s="67" t="s">
        <v>204</v>
      </c>
      <c r="N60" s="67" t="s">
        <v>199</v>
      </c>
      <c r="O60" s="67">
        <v>5225</v>
      </c>
      <c r="P60" s="57">
        <v>300</v>
      </c>
    </row>
    <row r="61" spans="12:18">
      <c r="L61" s="70">
        <v>44976</v>
      </c>
      <c r="M61" s="68" t="s">
        <v>237</v>
      </c>
      <c r="N61" s="68" t="s">
        <v>199</v>
      </c>
      <c r="O61" s="68">
        <v>5227</v>
      </c>
      <c r="P61" s="41">
        <v>300</v>
      </c>
    </row>
    <row r="62" spans="12:18">
      <c r="L62" s="70">
        <v>44983</v>
      </c>
      <c r="M62" s="68" t="s">
        <v>207</v>
      </c>
      <c r="N62" s="68" t="s">
        <v>199</v>
      </c>
      <c r="O62" s="68">
        <v>5229</v>
      </c>
      <c r="P62" s="41">
        <v>300</v>
      </c>
    </row>
    <row r="63" spans="12:18">
      <c r="L63" s="70">
        <v>44990</v>
      </c>
      <c r="M63" s="68" t="s">
        <v>198</v>
      </c>
      <c r="N63" s="68" t="s">
        <v>199</v>
      </c>
      <c r="O63" s="68">
        <v>5230</v>
      </c>
      <c r="P63" s="41">
        <v>300</v>
      </c>
    </row>
    <row r="64" spans="12:18">
      <c r="L64" s="70">
        <v>45004</v>
      </c>
      <c r="M64" s="68" t="s">
        <v>204</v>
      </c>
      <c r="N64" s="68" t="s">
        <v>199</v>
      </c>
      <c r="O64" s="68">
        <v>5235</v>
      </c>
      <c r="P64" s="41">
        <v>300</v>
      </c>
    </row>
    <row r="65" spans="12:16">
      <c r="L65" s="69">
        <v>45011</v>
      </c>
      <c r="M65" s="67" t="s">
        <v>207</v>
      </c>
      <c r="N65" s="67" t="s">
        <v>199</v>
      </c>
      <c r="O65" s="67">
        <v>5239</v>
      </c>
      <c r="P65" s="57">
        <v>300</v>
      </c>
    </row>
    <row r="66" spans="12:16">
      <c r="L66" s="70">
        <v>45018</v>
      </c>
      <c r="M66" s="68" t="s">
        <v>198</v>
      </c>
      <c r="N66" s="68" t="s">
        <v>199</v>
      </c>
      <c r="O66" s="68">
        <v>5241</v>
      </c>
      <c r="P66" s="41">
        <v>300</v>
      </c>
    </row>
    <row r="67" spans="12:16">
      <c r="L67" s="69">
        <v>45025</v>
      </c>
      <c r="M67" s="67" t="s">
        <v>204</v>
      </c>
      <c r="N67" s="67" t="s">
        <v>199</v>
      </c>
      <c r="O67" s="67">
        <v>5243</v>
      </c>
      <c r="P67" s="57">
        <v>300</v>
      </c>
    </row>
    <row r="68" spans="12:16">
      <c r="L68" s="70">
        <v>45028</v>
      </c>
      <c r="M68" s="68" t="s">
        <v>204</v>
      </c>
      <c r="N68" s="68" t="s">
        <v>199</v>
      </c>
      <c r="O68" s="68">
        <v>5245</v>
      </c>
      <c r="P68" s="41">
        <v>300</v>
      </c>
    </row>
    <row r="69" spans="12:16">
      <c r="L69" s="70">
        <v>45039</v>
      </c>
      <c r="M69" s="72" t="s">
        <v>256</v>
      </c>
      <c r="N69" s="68" t="s">
        <v>199</v>
      </c>
      <c r="O69" s="68">
        <v>5249</v>
      </c>
      <c r="P69" s="41">
        <v>300</v>
      </c>
    </row>
    <row r="70" spans="12:16">
      <c r="L70" s="69">
        <v>45046</v>
      </c>
      <c r="M70" s="67" t="s">
        <v>200</v>
      </c>
      <c r="N70" s="67" t="s">
        <v>199</v>
      </c>
      <c r="O70" s="67">
        <v>5251</v>
      </c>
      <c r="P70" s="57">
        <v>300</v>
      </c>
    </row>
    <row r="71" spans="12:16">
      <c r="L71" s="70">
        <v>45053</v>
      </c>
      <c r="M71" s="68" t="s">
        <v>198</v>
      </c>
      <c r="N71" s="68" t="s">
        <v>199</v>
      </c>
      <c r="O71" s="68">
        <v>5253</v>
      </c>
      <c r="P71" s="41">
        <v>300</v>
      </c>
    </row>
    <row r="72" spans="12:16">
      <c r="L72" s="69">
        <v>45067</v>
      </c>
      <c r="M72" s="71" t="s">
        <v>256</v>
      </c>
      <c r="N72" s="67" t="s">
        <v>199</v>
      </c>
      <c r="O72" s="67">
        <v>5258</v>
      </c>
      <c r="P72" s="57">
        <v>300</v>
      </c>
    </row>
    <row r="73" spans="12:16">
      <c r="L73" s="70">
        <v>45081</v>
      </c>
      <c r="M73" s="68" t="s">
        <v>198</v>
      </c>
      <c r="N73" s="68" t="s">
        <v>199</v>
      </c>
      <c r="O73" s="68">
        <v>5260</v>
      </c>
      <c r="P73" s="41">
        <v>300</v>
      </c>
    </row>
    <row r="74" spans="12:16">
      <c r="L74" s="69">
        <v>45088</v>
      </c>
      <c r="M74" s="71" t="s">
        <v>237</v>
      </c>
      <c r="N74" s="67" t="s">
        <v>199</v>
      </c>
      <c r="O74" s="67">
        <v>5263</v>
      </c>
      <c r="P74" s="57">
        <v>300</v>
      </c>
    </row>
    <row r="75" spans="12:16">
      <c r="L75" s="70">
        <v>45095</v>
      </c>
      <c r="M75" s="68" t="s">
        <v>200</v>
      </c>
      <c r="N75" s="68" t="s">
        <v>199</v>
      </c>
      <c r="O75" s="68">
        <v>5265</v>
      </c>
      <c r="P75" s="41">
        <v>300</v>
      </c>
    </row>
    <row r="76" spans="12:16">
      <c r="L76" s="70">
        <v>45102</v>
      </c>
      <c r="M76" s="72" t="s">
        <v>256</v>
      </c>
      <c r="N76" s="68" t="s">
        <v>199</v>
      </c>
      <c r="O76" s="68">
        <v>5267</v>
      </c>
      <c r="P76" s="41">
        <v>300</v>
      </c>
    </row>
    <row r="77" spans="12:16">
      <c r="L77" s="70">
        <v>45109</v>
      </c>
      <c r="M77" s="68" t="s">
        <v>198</v>
      </c>
      <c r="N77" s="68" t="s">
        <v>199</v>
      </c>
      <c r="O77" s="68">
        <v>5268</v>
      </c>
      <c r="P77" s="41">
        <v>300</v>
      </c>
    </row>
    <row r="78" spans="12:16">
      <c r="L78" s="69">
        <v>45116</v>
      </c>
      <c r="M78" s="67" t="s">
        <v>200</v>
      </c>
      <c r="N78" s="67" t="s">
        <v>199</v>
      </c>
      <c r="O78" s="67">
        <v>5270</v>
      </c>
      <c r="P78" s="57">
        <v>300</v>
      </c>
    </row>
    <row r="79" spans="12:16">
      <c r="L79" s="70">
        <v>45123</v>
      </c>
      <c r="M79" s="68" t="s">
        <v>204</v>
      </c>
      <c r="N79" s="68" t="s">
        <v>199</v>
      </c>
      <c r="O79" s="68">
        <v>5272</v>
      </c>
      <c r="P79" s="41">
        <v>300</v>
      </c>
    </row>
    <row r="80" spans="12:16">
      <c r="L80" s="69">
        <v>45130</v>
      </c>
      <c r="M80" s="67" t="s">
        <v>204</v>
      </c>
      <c r="N80" s="67" t="s">
        <v>199</v>
      </c>
      <c r="O80" s="67">
        <v>5275</v>
      </c>
      <c r="P80" s="57">
        <v>300</v>
      </c>
    </row>
    <row r="81" spans="12:21">
      <c r="L81" s="69">
        <v>45137</v>
      </c>
      <c r="M81" s="71" t="s">
        <v>256</v>
      </c>
      <c r="N81" s="67" t="s">
        <v>199</v>
      </c>
      <c r="O81" s="67">
        <v>5277</v>
      </c>
      <c r="P81" s="57">
        <v>300</v>
      </c>
    </row>
    <row r="82" spans="12:21">
      <c r="L82" s="70">
        <v>45145</v>
      </c>
      <c r="M82" s="68" t="s">
        <v>271</v>
      </c>
      <c r="N82" s="68" t="s">
        <v>199</v>
      </c>
      <c r="O82" s="68">
        <v>5279</v>
      </c>
      <c r="P82" s="41">
        <v>300</v>
      </c>
    </row>
    <row r="83" spans="12:21">
      <c r="L83" s="70">
        <v>45152</v>
      </c>
      <c r="M83" s="68" t="s">
        <v>272</v>
      </c>
      <c r="N83" s="68" t="s">
        <v>199</v>
      </c>
      <c r="O83" s="68">
        <v>5281</v>
      </c>
      <c r="P83" s="41">
        <v>300</v>
      </c>
    </row>
    <row r="84" spans="12:21">
      <c r="L84" s="69">
        <v>45159</v>
      </c>
      <c r="M84" s="67" t="s">
        <v>272</v>
      </c>
      <c r="N84" s="67" t="s">
        <v>199</v>
      </c>
      <c r="O84" s="67">
        <v>5284</v>
      </c>
      <c r="P84" s="57">
        <v>300</v>
      </c>
    </row>
    <row r="85" spans="12:21">
      <c r="L85" s="69">
        <v>45166</v>
      </c>
      <c r="M85" s="67" t="s">
        <v>276</v>
      </c>
      <c r="N85" s="67" t="s">
        <v>199</v>
      </c>
      <c r="O85" s="67">
        <v>5287</v>
      </c>
      <c r="P85" s="57">
        <v>300</v>
      </c>
    </row>
    <row r="86" spans="12:21">
      <c r="L86" s="69">
        <v>45174</v>
      </c>
      <c r="M86" s="67" t="s">
        <v>272</v>
      </c>
      <c r="N86" s="67" t="s">
        <v>199</v>
      </c>
      <c r="O86" s="67">
        <v>5288</v>
      </c>
      <c r="P86" s="57">
        <v>300</v>
      </c>
    </row>
    <row r="87" spans="12:21">
      <c r="L87" s="69">
        <v>45180</v>
      </c>
      <c r="M87" s="67" t="s">
        <v>272</v>
      </c>
      <c r="N87" s="67" t="s">
        <v>199</v>
      </c>
      <c r="O87" s="67">
        <v>5290</v>
      </c>
      <c r="P87" s="57">
        <v>300</v>
      </c>
      <c r="Q87" t="s">
        <v>301</v>
      </c>
      <c r="R87" s="74">
        <f xml:space="preserve"> SUM(P55:P87)</f>
        <v>9900</v>
      </c>
    </row>
    <row r="88" spans="12:21">
      <c r="L88" s="70">
        <v>45002</v>
      </c>
      <c r="M88" s="68" t="s">
        <v>248</v>
      </c>
      <c r="N88" s="68" t="s">
        <v>252</v>
      </c>
      <c r="O88" s="68">
        <v>5237</v>
      </c>
      <c r="P88" s="41">
        <v>39.99</v>
      </c>
      <c r="T88" t="s">
        <v>65</v>
      </c>
      <c r="U88" s="74">
        <f xml:space="preserve"> SUM(P22:P88)</f>
        <v>18903.41</v>
      </c>
    </row>
    <row r="89" spans="12:21">
      <c r="L89" s="70">
        <v>45159</v>
      </c>
      <c r="M89" s="68" t="s">
        <v>275</v>
      </c>
      <c r="N89" s="68" t="s">
        <v>274</v>
      </c>
      <c r="O89" s="68">
        <v>5285</v>
      </c>
      <c r="P89" s="41">
        <v>5000</v>
      </c>
    </row>
    <row r="90" spans="12:21">
      <c r="L90" s="70">
        <v>45159</v>
      </c>
      <c r="M90" s="68" t="s">
        <v>273</v>
      </c>
      <c r="N90" s="68" t="s">
        <v>274</v>
      </c>
      <c r="O90" s="68">
        <v>5286</v>
      </c>
      <c r="P90" s="41">
        <v>2400</v>
      </c>
    </row>
    <row r="91" spans="12:21">
      <c r="L91" s="69">
        <v>44939</v>
      </c>
      <c r="M91" s="67" t="s">
        <v>201</v>
      </c>
      <c r="N91" s="67" t="s">
        <v>203</v>
      </c>
      <c r="O91" s="67">
        <v>5218</v>
      </c>
      <c r="P91" s="57">
        <v>1507.5</v>
      </c>
    </row>
    <row r="92" spans="12:21">
      <c r="L92" s="69">
        <v>45037</v>
      </c>
      <c r="M92" s="67" t="s">
        <v>254</v>
      </c>
      <c r="N92" s="67" t="s">
        <v>203</v>
      </c>
      <c r="O92" s="67">
        <v>5147</v>
      </c>
      <c r="P92" s="57">
        <v>6930</v>
      </c>
    </row>
    <row r="93" spans="12:21">
      <c r="L93" s="69">
        <v>44997</v>
      </c>
      <c r="M93" s="67" t="s">
        <v>247</v>
      </c>
      <c r="N93" s="67" t="s">
        <v>251</v>
      </c>
      <c r="O93" s="67">
        <v>5234</v>
      </c>
      <c r="P93" s="57">
        <v>282.5</v>
      </c>
      <c r="T93" t="s">
        <v>67</v>
      </c>
      <c r="U93" s="74">
        <f xml:space="preserve"> SUM(P89:P93)</f>
        <v>16120</v>
      </c>
    </row>
  </sheetData>
  <dataValidations count="1">
    <dataValidation type="list" allowBlank="1" showInputMessage="1" showErrorMessage="1" sqref="N3:N93 O20" xr:uid="{D5251177-0911-4A96-9169-FC97892D4281}">
      <formula1 xml:space="preserve"> INDIRECT("ExpenseCategory!ExpenseCategory[Display List]" )</formula1>
    </dataValidation>
  </dataValidations>
  <pageMargins left="0.7" right="0.7" top="0.75" bottom="0.75" header="0.3" footer="0.3"/>
  <pageSetup orientation="portrait" verticalDpi="0" r:id="rId1"/>
  <drawing r:id="rId2"/>
  <tableParts count="2"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E310-5692-4082-8885-4991E0D4E0F6}">
  <dimension ref="A1:O9"/>
  <sheetViews>
    <sheetView workbookViewId="0">
      <selection activeCell="L10" sqref="L10"/>
    </sheetView>
  </sheetViews>
  <sheetFormatPr defaultRowHeight="14.4"/>
  <cols>
    <col min="1" max="1" width="18.83984375" customWidth="1"/>
    <col min="2" max="2" width="10.62890625" bestFit="1" customWidth="1"/>
    <col min="3" max="3" width="10.68359375" bestFit="1" customWidth="1"/>
    <col min="4" max="5" width="9.68359375" bestFit="1" customWidth="1"/>
    <col min="6" max="6" width="8.9453125" bestFit="1" customWidth="1"/>
    <col min="7" max="7" width="10.15625" customWidth="1"/>
    <col min="8" max="8" width="10.68359375" bestFit="1" customWidth="1"/>
    <col min="14" max="14" width="8.83984375" customWidth="1"/>
  </cols>
  <sheetData>
    <row r="1" spans="1:15" ht="281.39999999999998" customHeight="1"/>
    <row r="2" spans="1:15">
      <c r="A2" s="75" t="s">
        <v>303</v>
      </c>
      <c r="B2" s="75"/>
      <c r="C2" s="75"/>
      <c r="D2" s="75"/>
      <c r="E2" s="75"/>
      <c r="F2" s="75"/>
      <c r="G2" s="75"/>
    </row>
    <row r="3" spans="1:15">
      <c r="A3" t="s">
        <v>302</v>
      </c>
      <c r="B3" t="s">
        <v>65</v>
      </c>
      <c r="C3" t="s">
        <v>11</v>
      </c>
      <c r="D3" t="s">
        <v>67</v>
      </c>
      <c r="E3" t="s">
        <v>160</v>
      </c>
      <c r="F3" t="s">
        <v>63</v>
      </c>
      <c r="G3" t="s">
        <v>155</v>
      </c>
      <c r="H3" t="s">
        <v>304</v>
      </c>
      <c r="M3" t="s">
        <v>166</v>
      </c>
      <c r="N3" t="s">
        <v>305</v>
      </c>
      <c r="O3" t="s">
        <v>220</v>
      </c>
    </row>
    <row r="4" spans="1:15">
      <c r="A4">
        <v>2018</v>
      </c>
      <c r="B4" s="74">
        <v>122871.93259999997</v>
      </c>
      <c r="C4" s="74">
        <v>314844.14000000007</v>
      </c>
      <c r="D4" s="74">
        <v>13747.400000000009</v>
      </c>
      <c r="E4" s="74">
        <v>39713.79</v>
      </c>
      <c r="F4" s="74">
        <v>6044.86</v>
      </c>
      <c r="G4" s="74"/>
      <c r="H4" s="74">
        <f t="shared" ref="H4:H8" si="0" xml:space="preserve"> SUM(B4:G4)</f>
        <v>497222.12260000006</v>
      </c>
    </row>
    <row r="5" spans="1:15">
      <c r="A5">
        <v>2019</v>
      </c>
      <c r="B5" s="74">
        <v>65606.892599999992</v>
      </c>
      <c r="C5" s="74">
        <v>369415.90000000008</v>
      </c>
      <c r="D5" s="74">
        <v>17963.780000000002</v>
      </c>
      <c r="E5" s="74">
        <v>37713.79</v>
      </c>
      <c r="F5" s="74">
        <v>5444.86</v>
      </c>
      <c r="G5" s="74"/>
      <c r="H5" s="74">
        <f t="shared" si="0"/>
        <v>496145.22260000004</v>
      </c>
    </row>
    <row r="6" spans="1:15">
      <c r="A6">
        <v>2020</v>
      </c>
      <c r="B6" s="74">
        <v>45726.802600000003</v>
      </c>
      <c r="C6" s="74">
        <v>429221.01000000007</v>
      </c>
      <c r="D6" s="74">
        <v>18479.45</v>
      </c>
      <c r="E6" s="74">
        <v>35463.79</v>
      </c>
      <c r="F6" s="74">
        <v>4564.8599999999997</v>
      </c>
      <c r="G6" s="74"/>
      <c r="H6" s="74">
        <f t="shared" si="0"/>
        <v>533455.91260000004</v>
      </c>
    </row>
    <row r="7" spans="1:15">
      <c r="A7">
        <v>2021</v>
      </c>
      <c r="B7" s="74">
        <v>26420.58</v>
      </c>
      <c r="C7" s="74">
        <v>441614.35</v>
      </c>
      <c r="D7" s="74">
        <v>32133.45</v>
      </c>
      <c r="E7" s="74">
        <v>30913.79</v>
      </c>
      <c r="F7" s="74">
        <v>4456.7700000000004</v>
      </c>
      <c r="G7" s="74"/>
      <c r="H7" s="74">
        <f t="shared" si="0"/>
        <v>535538.94000000006</v>
      </c>
    </row>
    <row r="8" spans="1:15">
      <c r="A8">
        <v>2022</v>
      </c>
      <c r="B8" s="74">
        <v>49674.559999999998</v>
      </c>
      <c r="C8" s="74">
        <v>429605.98</v>
      </c>
      <c r="D8" s="74">
        <v>36065.040000000001</v>
      </c>
      <c r="E8" s="74">
        <v>27613.79</v>
      </c>
      <c r="F8" s="74">
        <v>4456.7700000000004</v>
      </c>
      <c r="G8" s="74"/>
      <c r="H8" s="74">
        <f t="shared" si="0"/>
        <v>547416.14</v>
      </c>
    </row>
    <row r="9" spans="1:15">
      <c r="A9" t="s">
        <v>306</v>
      </c>
      <c r="B9" s="74">
        <v>61751.580000000024</v>
      </c>
      <c r="C9" s="74">
        <v>417317.98</v>
      </c>
      <c r="D9" s="74">
        <v>25255.040000000001</v>
      </c>
      <c r="E9" s="74">
        <v>27013.79</v>
      </c>
      <c r="F9" s="74">
        <v>4456.7700000000004</v>
      </c>
      <c r="G9" s="74">
        <v>4950</v>
      </c>
      <c r="H9" s="74">
        <f xml:space="preserve"> SUM(B9:G9)</f>
        <v>540745.16</v>
      </c>
    </row>
  </sheetData>
  <mergeCells count="1">
    <mergeCell ref="A2:G2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800A-AD7B-4764-AE93-E3972D3C438E}">
  <dimension ref="A1:B6"/>
  <sheetViews>
    <sheetView workbookViewId="0">
      <selection activeCell="B54" sqref="B54"/>
    </sheetView>
  </sheetViews>
  <sheetFormatPr defaultRowHeight="14.4"/>
  <cols>
    <col min="1" max="1" width="33.20703125" customWidth="1"/>
    <col min="2" max="2" width="26.734375" customWidth="1"/>
    <col min="3" max="3" width="24.1015625" customWidth="1"/>
    <col min="4" max="4" width="25.578125" customWidth="1"/>
    <col min="5" max="5" width="24.7890625" customWidth="1"/>
    <col min="6" max="6" width="27.68359375" customWidth="1"/>
  </cols>
  <sheetData>
    <row r="1" spans="1:2">
      <c r="A1" t="s">
        <v>141</v>
      </c>
      <c r="B1" t="s">
        <v>6</v>
      </c>
    </row>
    <row r="2" spans="1:2">
      <c r="A2" t="s">
        <v>142</v>
      </c>
      <c r="B2" t="s">
        <v>51</v>
      </c>
    </row>
    <row r="3" spans="1:2">
      <c r="A3" t="s">
        <v>143</v>
      </c>
      <c r="B3" t="s">
        <v>14</v>
      </c>
    </row>
    <row r="4" spans="1:2">
      <c r="A4" t="s">
        <v>144</v>
      </c>
      <c r="B4" t="s">
        <v>70</v>
      </c>
    </row>
    <row r="5" spans="1:2">
      <c r="A5" t="s">
        <v>145</v>
      </c>
      <c r="B5" t="s">
        <v>147</v>
      </c>
    </row>
    <row r="6" spans="1:2">
      <c r="A6" t="s">
        <v>146</v>
      </c>
      <c r="B6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C46B-B497-42B6-8FD1-D76FA48A1286}">
  <dimension ref="A1:L6"/>
  <sheetViews>
    <sheetView workbookViewId="0">
      <selection activeCell="C59" sqref="C59"/>
    </sheetView>
  </sheetViews>
  <sheetFormatPr defaultRowHeight="14.4"/>
  <cols>
    <col min="1" max="2" width="20.41796875" customWidth="1"/>
    <col min="3" max="3" width="15.15625" customWidth="1"/>
    <col min="4" max="4" width="29.41796875" customWidth="1"/>
    <col min="5" max="5" width="26.578125" customWidth="1"/>
    <col min="6" max="6" width="14.5234375" customWidth="1"/>
    <col min="7" max="7" width="25.578125" customWidth="1"/>
    <col min="11" max="11" width="24.1015625" customWidth="1"/>
    <col min="12" max="12" width="29.89453125" customWidth="1"/>
  </cols>
  <sheetData>
    <row r="1" spans="1:12">
      <c r="A1" t="s">
        <v>174</v>
      </c>
    </row>
    <row r="3" spans="1:12">
      <c r="A3" t="s">
        <v>175</v>
      </c>
      <c r="B3" t="s">
        <v>179</v>
      </c>
      <c r="C3" t="s">
        <v>176</v>
      </c>
      <c r="D3" t="s">
        <v>177</v>
      </c>
      <c r="E3" t="s">
        <v>178</v>
      </c>
      <c r="F3" t="s">
        <v>171</v>
      </c>
      <c r="K3" t="s">
        <v>180</v>
      </c>
    </row>
    <row r="4" spans="1:12">
      <c r="A4" s="26">
        <v>44927</v>
      </c>
      <c r="K4" t="s">
        <v>170</v>
      </c>
      <c r="L4" t="s">
        <v>178</v>
      </c>
    </row>
    <row r="5" spans="1:12">
      <c r="K5" t="s">
        <v>159</v>
      </c>
    </row>
    <row r="6" spans="1:12">
      <c r="K6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2778-BB63-4DEA-AB39-346A865EC699}">
  <dimension ref="A1:S54"/>
  <sheetViews>
    <sheetView workbookViewId="0">
      <selection activeCell="A5" sqref="A5:B10"/>
    </sheetView>
  </sheetViews>
  <sheetFormatPr defaultRowHeight="14.4"/>
  <cols>
    <col min="1" max="1" width="23.05078125" style="22" customWidth="1"/>
    <col min="2" max="2" width="23.9453125" style="22" customWidth="1"/>
    <col min="3" max="3" width="35.62890625" style="22" customWidth="1"/>
    <col min="4" max="4" width="19.26171875" style="22" customWidth="1"/>
    <col min="5" max="5" width="25.05078125" style="22" customWidth="1"/>
    <col min="6" max="6" width="31.15625" style="22" customWidth="1"/>
    <col min="7" max="7" width="20.47265625" style="22" customWidth="1"/>
    <col min="8" max="8" width="22.68359375" style="22" customWidth="1"/>
    <col min="9" max="9" width="25.20703125" style="22" customWidth="1"/>
    <col min="10" max="10" width="19" style="22" customWidth="1"/>
    <col min="11" max="11" width="20.7890625" style="22" customWidth="1"/>
    <col min="12" max="12" width="17.3671875" style="22" customWidth="1"/>
    <col min="13" max="13" width="14.62890625" style="22" customWidth="1"/>
    <col min="14" max="18" width="8.83984375" style="22"/>
    <col min="19" max="19" width="13.578125" style="22" customWidth="1"/>
    <col min="20" max="20" width="19.7890625" style="22" customWidth="1"/>
    <col min="21" max="21" width="9.15625" style="22" bestFit="1" customWidth="1"/>
    <col min="22" max="16384" width="8.83984375" style="22"/>
  </cols>
  <sheetData>
    <row r="1" spans="1:15" ht="28.2">
      <c r="A1" s="24" t="s">
        <v>168</v>
      </c>
      <c r="B1" s="25">
        <v>1</v>
      </c>
      <c r="C1" s="24" t="s">
        <v>172</v>
      </c>
      <c r="D1" s="42">
        <v>2023</v>
      </c>
    </row>
    <row r="2" spans="1:15" ht="14.7" customHeight="1" thickBot="1">
      <c r="I2" s="33" t="s">
        <v>196</v>
      </c>
      <c r="J2" s="33"/>
      <c r="K2" s="33"/>
      <c r="L2" s="33"/>
      <c r="M2" s="31"/>
      <c r="N2" s="31"/>
      <c r="O2" s="31"/>
    </row>
    <row r="3" spans="1:15" ht="15" thickTop="1" thickBot="1">
      <c r="A3" s="61" t="s">
        <v>154</v>
      </c>
      <c r="B3" s="61"/>
      <c r="C3" s="61"/>
      <c r="D3" s="61"/>
      <c r="E3" s="61"/>
      <c r="F3" s="61"/>
      <c r="I3" s="33"/>
      <c r="J3" s="33"/>
      <c r="K3" s="33"/>
      <c r="L3" s="33"/>
      <c r="M3" s="31"/>
      <c r="N3" s="31"/>
      <c r="O3" s="31"/>
    </row>
    <row r="4" spans="1:15" ht="14.7" thickTop="1">
      <c r="A4" s="22" t="s">
        <v>154</v>
      </c>
      <c r="B4" s="22" t="s">
        <v>162</v>
      </c>
      <c r="C4" s="22" t="s">
        <v>157</v>
      </c>
      <c r="D4" s="22" t="s">
        <v>159</v>
      </c>
      <c r="E4" s="22" t="s">
        <v>158</v>
      </c>
      <c r="F4" s="22" t="s">
        <v>229</v>
      </c>
      <c r="I4" s="33"/>
      <c r="J4" s="33"/>
      <c r="K4" s="33"/>
      <c r="L4" s="33"/>
      <c r="M4" s="31"/>
      <c r="N4" s="31"/>
      <c r="O4" s="31"/>
    </row>
    <row r="5" spans="1:15">
      <c r="A5" s="22" t="s">
        <v>65</v>
      </c>
      <c r="B5" s="48">
        <v>49674.559999999998</v>
      </c>
      <c r="C5" s="48">
        <v>53641.74</v>
      </c>
      <c r="D5" s="48">
        <f>SUMIF(JanOffering[Category], "G*",JanOffering[Amount])</f>
        <v>4130.7299999999996</v>
      </c>
      <c r="E5" s="32">
        <f>SUMIF(JanExpenses[Category], "G*",JanExpenses[Amount])</f>
        <v>1571.7</v>
      </c>
      <c r="F5" s="32">
        <f xml:space="preserve"> JanFunds[[#This Row],[Initial Amount]] + JanFunds[[#This Row],[Income]] - JanFunds[[#This Row],[Expense]]</f>
        <v>56200.770000000004</v>
      </c>
      <c r="I5" s="47">
        <v>49674.559999999998</v>
      </c>
      <c r="J5" s="33"/>
      <c r="K5" s="33"/>
      <c r="L5" s="33"/>
      <c r="M5" s="31"/>
      <c r="N5" s="31"/>
      <c r="O5" s="31"/>
    </row>
    <row r="6" spans="1:15">
      <c r="A6" s="22" t="s">
        <v>11</v>
      </c>
      <c r="B6" s="32">
        <v>429605.98</v>
      </c>
      <c r="C6" s="32">
        <v>429605.98</v>
      </c>
      <c r="D6" s="32">
        <f>SUMIF(JanOffering[Category], "B*",JanOffering[Amount])</f>
        <v>0</v>
      </c>
      <c r="E6" s="32">
        <f>SUMIF(JanExpenses[Category], "B*",JanExpenses[Amount])</f>
        <v>1406</v>
      </c>
      <c r="F6" s="32">
        <f xml:space="preserve"> JanFunds[[#This Row],[Initial Amount]] + JanFunds[[#This Row],[Income]] - JanFunds[[#This Row],[Expense]]</f>
        <v>428199.98</v>
      </c>
      <c r="I6" s="41">
        <v>3967.18</v>
      </c>
      <c r="J6" s="33"/>
      <c r="K6" s="33"/>
      <c r="L6" s="33"/>
      <c r="M6" s="31"/>
      <c r="N6" s="31"/>
      <c r="O6" s="31"/>
    </row>
    <row r="7" spans="1:15">
      <c r="A7" s="22" t="s">
        <v>67</v>
      </c>
      <c r="B7" s="32">
        <v>36065.040000000001</v>
      </c>
      <c r="C7" s="32">
        <v>36065.040000000001</v>
      </c>
      <c r="D7" s="32">
        <f>SUMIF(JanOffering[Category], "M*",JanOffering[Amount])</f>
        <v>0</v>
      </c>
      <c r="E7" s="32">
        <f>SUMIF(JanExpenses[Category], "M*",JanExpenses[Amount])</f>
        <v>1507.5</v>
      </c>
      <c r="F7" s="32">
        <f xml:space="preserve"> JanFunds[[#This Row],[Initial Amount]] + JanFunds[[#This Row],[Income]] - JanFunds[[#This Row],[Expense]]</f>
        <v>34557.54</v>
      </c>
      <c r="I7" s="43">
        <f xml:space="preserve"> SUM(I5:I6)</f>
        <v>53641.74</v>
      </c>
      <c r="J7" s="33"/>
      <c r="K7" s="33"/>
      <c r="L7" s="33"/>
      <c r="M7" s="31"/>
      <c r="N7" s="31"/>
      <c r="O7" s="31"/>
    </row>
    <row r="8" spans="1:15">
      <c r="A8" s="22" t="s">
        <v>155</v>
      </c>
      <c r="B8" s="32">
        <v>0</v>
      </c>
      <c r="C8" s="32">
        <v>0</v>
      </c>
      <c r="D8" s="32">
        <f>SUMIF(JanOffering[Category], "O*",JanOffering[Amount])</f>
        <v>2000</v>
      </c>
      <c r="E8" s="32"/>
      <c r="F8" s="32">
        <f xml:space="preserve"> JanFunds[[#This Row],[Initial Amount]] + JanFunds[[#This Row],[Income]] - JanFunds[[#This Row],[Expense]]</f>
        <v>2000</v>
      </c>
      <c r="I8" s="33"/>
      <c r="J8" s="33"/>
      <c r="K8" s="33"/>
      <c r="L8" s="33"/>
      <c r="M8" s="31"/>
      <c r="N8" s="31"/>
      <c r="O8" s="31"/>
    </row>
    <row r="9" spans="1:15">
      <c r="A9" s="22" t="s">
        <v>160</v>
      </c>
      <c r="B9" s="32">
        <v>27613.79</v>
      </c>
      <c r="C9" s="32">
        <v>27613.79</v>
      </c>
      <c r="D9" s="32">
        <f>SUMIF(JanOffering[Category], "EN*",JanOffering[Amount])</f>
        <v>0</v>
      </c>
      <c r="E9" s="32"/>
      <c r="F9" s="32">
        <f xml:space="preserve"> JanFunds[[#This Row],[Initial Amount]] + JanFunds[[#This Row],[Income]] - JanFunds[[#This Row],[Expense]]</f>
        <v>27613.79</v>
      </c>
      <c r="I9" s="33"/>
      <c r="J9" s="33"/>
      <c r="K9" s="33"/>
      <c r="L9" s="33"/>
      <c r="M9" s="31"/>
      <c r="N9" s="31"/>
      <c r="O9" s="31"/>
    </row>
    <row r="10" spans="1:15">
      <c r="A10" s="22" t="s">
        <v>156</v>
      </c>
      <c r="B10" s="32">
        <v>4456.7700000000004</v>
      </c>
      <c r="C10" s="32">
        <v>4456.7700000000004</v>
      </c>
      <c r="D10" s="32">
        <f>SUMIF(JanOffering[Category], "L*",JanOffering[Amount])</f>
        <v>0</v>
      </c>
      <c r="E10" s="32"/>
      <c r="F10" s="32">
        <f xml:space="preserve"> JanFunds[[#This Row],[Initial Amount]] + JanFunds[[#This Row],[Income]] - JanFunds[[#This Row],[Expense]]</f>
        <v>4456.7700000000004</v>
      </c>
      <c r="I10" s="33"/>
      <c r="J10" s="33"/>
      <c r="K10" s="33"/>
      <c r="L10" s="33"/>
      <c r="M10" s="31"/>
      <c r="N10" s="31"/>
      <c r="O10" s="31"/>
    </row>
    <row r="11" spans="1:15">
      <c r="A11" s="22" t="s">
        <v>195</v>
      </c>
      <c r="B11" s="32">
        <v>17385.900000000001</v>
      </c>
      <c r="C11" s="32">
        <v>17385.900000000001</v>
      </c>
      <c r="D11" s="32"/>
      <c r="E11" s="32">
        <v>17385.900000000001</v>
      </c>
      <c r="F11" s="32">
        <f xml:space="preserve"> JanFunds[[#This Row],[Initial Amount]] + JanFunds[[#This Row],[Income]] - JanFunds[[#This Row],[Expense]]</f>
        <v>0</v>
      </c>
      <c r="I11" s="33"/>
      <c r="J11" s="33"/>
      <c r="K11" s="33"/>
      <c r="L11" s="33"/>
      <c r="M11" s="31"/>
      <c r="N11" s="31"/>
      <c r="O11" s="31"/>
    </row>
    <row r="12" spans="1:15">
      <c r="B12" s="32">
        <v>10000</v>
      </c>
      <c r="C12" s="32">
        <v>10000</v>
      </c>
      <c r="D12" s="32"/>
      <c r="E12" s="32">
        <v>10000</v>
      </c>
      <c r="F12" s="32">
        <f xml:space="preserve"> JanFunds[[#This Row],[Initial Amount]] + JanFunds[[#This Row],[Income]] - JanFunds[[#This Row],[Expense]]</f>
        <v>0</v>
      </c>
      <c r="I12" s="33"/>
      <c r="J12" s="33"/>
      <c r="K12" s="33"/>
      <c r="L12" s="33"/>
      <c r="M12" s="31"/>
      <c r="N12" s="31"/>
      <c r="O12" s="31"/>
    </row>
    <row r="13" spans="1:15">
      <c r="B13" s="32">
        <f xml:space="preserve"> SUM(JanFunds[Initial Amount (Auto Calculated)])</f>
        <v>574802.04</v>
      </c>
      <c r="C13" s="32">
        <f xml:space="preserve"> SUM(JanFunds[Initial Amount])</f>
        <v>578769.22</v>
      </c>
      <c r="D13" s="32"/>
      <c r="E13" s="32">
        <f xml:space="preserve"> SUM(JanFunds[Expense])</f>
        <v>31871.100000000002</v>
      </c>
      <c r="F13" s="32">
        <f xml:space="preserve"> SUM(JanFunds[End of Month Amount])</f>
        <v>553028.85</v>
      </c>
      <c r="I13" s="33"/>
      <c r="J13" s="33"/>
      <c r="K13" s="33"/>
      <c r="L13" s="33"/>
      <c r="M13" s="31"/>
      <c r="N13" s="31"/>
      <c r="O13" s="31"/>
    </row>
    <row r="14" spans="1:15" ht="14.7" thickBot="1">
      <c r="I14" s="33"/>
      <c r="J14" s="33"/>
      <c r="K14" s="33"/>
      <c r="L14" s="33"/>
      <c r="M14" s="31"/>
      <c r="N14" s="31"/>
      <c r="O14" s="31"/>
    </row>
    <row r="15" spans="1:15" ht="15" thickTop="1" thickBot="1">
      <c r="A15" s="61" t="s">
        <v>161</v>
      </c>
      <c r="B15" s="61"/>
      <c r="C15" s="61"/>
      <c r="D15" s="61"/>
      <c r="E15" s="61"/>
      <c r="F15" s="61"/>
      <c r="I15" s="33"/>
      <c r="J15" s="33"/>
      <c r="K15" s="33"/>
      <c r="L15" s="33"/>
      <c r="M15" s="31"/>
      <c r="N15" s="31"/>
      <c r="O15" s="31"/>
    </row>
    <row r="16" spans="1:15" ht="14.7" thickTop="1">
      <c r="A16" s="22" t="s">
        <v>161</v>
      </c>
      <c r="B16" s="22" t="s">
        <v>163</v>
      </c>
      <c r="C16" s="22" t="s">
        <v>164</v>
      </c>
      <c r="D16" s="22" t="s">
        <v>184</v>
      </c>
      <c r="E16" s="22" t="s">
        <v>165</v>
      </c>
      <c r="F16" s="22" t="s">
        <v>229</v>
      </c>
      <c r="H16" s="33"/>
      <c r="I16" s="33"/>
      <c r="J16" s="33"/>
      <c r="K16" s="33"/>
      <c r="L16" s="31"/>
      <c r="M16" s="31"/>
      <c r="N16" s="31"/>
    </row>
    <row r="17" spans="1:15">
      <c r="A17" s="22" t="s">
        <v>166</v>
      </c>
      <c r="B17" s="32">
        <v>129666.68</v>
      </c>
      <c r="C17" s="32">
        <v>129666.68</v>
      </c>
      <c r="D17" s="32">
        <f>SUMIF(JanOffering[Bank Account], "C",JanOffering[Amount])</f>
        <v>6130</v>
      </c>
      <c r="E17" s="32">
        <f>SUMIF(JanExpenses[Paid/Cashed ?], "Y",JanExpenses[Amount]) + SUMIF(JanInitialOutstandingPayment[Paid ?], "Y",JanInitialOutstandingPayment[Amount])</f>
        <v>29814.04</v>
      </c>
      <c r="F17" s="32">
        <f xml:space="preserve"> JanBankAccounts[[#This Row],[Initial Balance]] + JanBankAccounts[[#This Row],[Deposit/Interest]] - JanBankAccounts[[#This Row],[Withdraw]]</f>
        <v>105982.63999999998</v>
      </c>
      <c r="H17" s="33"/>
      <c r="I17" s="33"/>
      <c r="J17" s="33"/>
      <c r="K17" s="33"/>
      <c r="L17" s="31"/>
      <c r="M17" s="31"/>
      <c r="N17" s="31"/>
    </row>
    <row r="18" spans="1:15">
      <c r="A18" s="22" t="s">
        <v>167</v>
      </c>
      <c r="B18" s="32">
        <v>86466.42</v>
      </c>
      <c r="C18" s="32">
        <v>86466.42</v>
      </c>
      <c r="D18" s="32">
        <f>SUMIF(JanOffering[Bank Account], "M",JanOffering[Amount])</f>
        <v>0.73</v>
      </c>
      <c r="E18" s="32"/>
      <c r="F18" s="32">
        <f xml:space="preserve"> JanBankAccounts[[#This Row],[Initial Balance]] + JanBankAccounts[[#This Row],[Deposit/Interest]] - JanBankAccounts[[#This Row],[Withdraw]]</f>
        <v>86467.15</v>
      </c>
      <c r="H18" s="33"/>
      <c r="I18" s="22" t="s">
        <v>220</v>
      </c>
      <c r="J18" s="22" t="s">
        <v>221</v>
      </c>
      <c r="K18" s="22" t="s">
        <v>226</v>
      </c>
      <c r="L18" s="22" t="s">
        <v>222</v>
      </c>
      <c r="M18" s="22" t="s">
        <v>225</v>
      </c>
      <c r="N18" s="31"/>
    </row>
    <row r="19" spans="1:15">
      <c r="A19" s="22" t="s">
        <v>181</v>
      </c>
      <c r="B19" s="32">
        <v>103844.08</v>
      </c>
      <c r="C19" s="32">
        <v>103844.08</v>
      </c>
      <c r="D19" s="32"/>
      <c r="E19" s="32"/>
      <c r="F19" s="32">
        <f xml:space="preserve"> JanBankAccounts[[#This Row],[Initial Balance]] + JanBankAccounts[[#This Row],[Deposit/Interest]] - JanBankAccounts[[#This Row],[Withdraw]]</f>
        <v>103844.08</v>
      </c>
      <c r="H19" s="33"/>
      <c r="I19" s="22" t="s">
        <v>219</v>
      </c>
      <c r="J19" s="35">
        <v>4.2099999999999999E-2</v>
      </c>
      <c r="K19" s="22">
        <v>0</v>
      </c>
      <c r="L19" s="30">
        <v>103844.08</v>
      </c>
      <c r="M19" s="29">
        <v>45292</v>
      </c>
      <c r="N19" s="31"/>
    </row>
    <row r="20" spans="1:15">
      <c r="A20" s="22" t="s">
        <v>182</v>
      </c>
      <c r="B20" s="32">
        <v>103844.08</v>
      </c>
      <c r="C20" s="32">
        <v>103844.08</v>
      </c>
      <c r="D20" s="32"/>
      <c r="E20" s="32"/>
      <c r="F20" s="32">
        <f xml:space="preserve"> JanBankAccounts[[#This Row],[Initial Balance]] + JanBankAccounts[[#This Row],[Deposit/Interest]] - JanBankAccounts[[#This Row],[Withdraw]]</f>
        <v>103844.08</v>
      </c>
      <c r="H20" s="33"/>
      <c r="I20" s="22" t="s">
        <v>224</v>
      </c>
      <c r="J20" s="35">
        <v>4.2099999999999999E-2</v>
      </c>
      <c r="K20" s="22">
        <v>0</v>
      </c>
      <c r="L20" s="30">
        <v>103844.08</v>
      </c>
      <c r="M20" s="29">
        <v>45292</v>
      </c>
      <c r="N20" s="31"/>
    </row>
    <row r="21" spans="1:15">
      <c r="A21" s="22" t="s">
        <v>183</v>
      </c>
      <c r="B21" s="32">
        <v>156231.07</v>
      </c>
      <c r="C21" s="32">
        <v>156231.07</v>
      </c>
      <c r="D21" s="32"/>
      <c r="E21" s="32"/>
      <c r="F21" s="32">
        <f xml:space="preserve"> JanBankAccounts[[#This Row],[Initial Balance]] + JanBankAccounts[[#This Row],[Deposit/Interest]] - JanBankAccounts[[#This Row],[Withdraw]]</f>
        <v>156231.07</v>
      </c>
      <c r="G21" s="27">
        <f xml:space="preserve"> SUM(F17:F21)</f>
        <v>556369.02</v>
      </c>
      <c r="H21" s="33"/>
      <c r="I21" s="22" t="s">
        <v>223</v>
      </c>
      <c r="J21" s="35">
        <v>4.9500000000000002E-2</v>
      </c>
      <c r="K21" s="30">
        <v>1949.52</v>
      </c>
      <c r="L21" s="30">
        <v>158180.59</v>
      </c>
      <c r="M21" s="29">
        <v>45319</v>
      </c>
      <c r="N21" s="31"/>
    </row>
    <row r="22" spans="1:15">
      <c r="A22" s="22" t="s">
        <v>187</v>
      </c>
      <c r="B22" s="32"/>
      <c r="C22" s="32"/>
      <c r="D22" s="32"/>
      <c r="E22" s="32"/>
      <c r="F22" s="32"/>
      <c r="H22" s="33"/>
      <c r="I22" s="33"/>
      <c r="J22" s="33"/>
      <c r="K22" s="33"/>
      <c r="L22" s="31"/>
      <c r="M22" s="31"/>
      <c r="N22" s="31"/>
    </row>
    <row r="23" spans="1:15">
      <c r="A23" s="22" t="s">
        <v>188</v>
      </c>
      <c r="B23" s="32"/>
      <c r="C23" s="49">
        <f xml:space="preserve"> SUM(JanInitialOutstandingPayment[Amount])</f>
        <v>5283.11</v>
      </c>
      <c r="D23" s="32">
        <f xml:space="preserve"> SUMIF(JanExpenses[Paid/Cashed ?], "", JanExpenses[Amount])</f>
        <v>671.7</v>
      </c>
      <c r="E23" s="32">
        <f xml:space="preserve"> SUMIF(JanInitialOutstandingPayment[Paid ?], "Y", JanInitialOutstandingPayment[Amount])</f>
        <v>2614.64</v>
      </c>
      <c r="F23" s="32">
        <f xml:space="preserve"> JanBankAccounts[[#This Row],[Initial Balance]] + JanBankAccounts[[#This Row],[Deposit/Interest]] - JanBankAccounts[[#This Row],[Withdraw]]</f>
        <v>3340.1699999999996</v>
      </c>
      <c r="H23" s="33"/>
      <c r="I23" s="33"/>
      <c r="J23" s="33"/>
      <c r="K23" s="33"/>
      <c r="L23" s="37">
        <f xml:space="preserve"> L21 - K21</f>
        <v>156231.07</v>
      </c>
      <c r="M23" s="31"/>
      <c r="N23" s="31"/>
    </row>
    <row r="24" spans="1:15">
      <c r="B24" s="32">
        <f>SUBTOTAL(109,JanBankAccounts[Initial Balance (Auto Calculated)])</f>
        <v>580052.33000000007</v>
      </c>
      <c r="C24" s="32"/>
      <c r="D24" s="32"/>
      <c r="E24" s="32"/>
      <c r="F24" s="32">
        <f xml:space="preserve"> SUM(F17:F21) + F22 - F23</f>
        <v>553028.85</v>
      </c>
      <c r="H24" s="33"/>
      <c r="I24" s="33"/>
      <c r="J24" s="33"/>
      <c r="K24" s="33"/>
      <c r="L24" s="31"/>
      <c r="M24" s="31"/>
      <c r="N24" s="31"/>
    </row>
    <row r="25" spans="1:15" ht="14.7" thickBot="1">
      <c r="I25" s="33" t="s">
        <v>232</v>
      </c>
      <c r="J25" s="33"/>
      <c r="K25" s="33"/>
      <c r="L25" s="33"/>
      <c r="M25" s="31"/>
      <c r="N25" s="31"/>
      <c r="O25" s="31"/>
    </row>
    <row r="26" spans="1:15" ht="15" thickTop="1" thickBot="1">
      <c r="A26" s="61" t="s">
        <v>218</v>
      </c>
      <c r="B26" s="61"/>
      <c r="C26" s="61"/>
      <c r="E26" s="61" t="s">
        <v>227</v>
      </c>
      <c r="F26" s="61"/>
      <c r="G26" s="61"/>
      <c r="I26" s="33"/>
      <c r="J26" s="33"/>
      <c r="K26" s="33"/>
      <c r="L26" s="33"/>
      <c r="M26" s="31"/>
      <c r="N26" s="31"/>
      <c r="O26" s="31"/>
    </row>
    <row r="27" spans="1:15" ht="14.7" thickTop="1">
      <c r="A27" s="22" t="s">
        <v>208</v>
      </c>
      <c r="B27" s="22" t="s">
        <v>176</v>
      </c>
      <c r="C27" s="22" t="s">
        <v>189</v>
      </c>
      <c r="E27" s="22" t="s">
        <v>178</v>
      </c>
      <c r="F27" s="31" t="s">
        <v>176</v>
      </c>
      <c r="G27" s="31" t="s">
        <v>186</v>
      </c>
      <c r="H27" s="31"/>
      <c r="I27" s="33"/>
      <c r="J27" s="33"/>
      <c r="K27" s="33"/>
      <c r="L27" s="33"/>
    </row>
    <row r="28" spans="1:15">
      <c r="A28" s="22">
        <v>5209</v>
      </c>
      <c r="B28" s="32">
        <v>1728</v>
      </c>
      <c r="C28" s="34" t="s">
        <v>194</v>
      </c>
      <c r="F28" s="31"/>
      <c r="G28" s="31"/>
      <c r="H28" s="31"/>
      <c r="I28" s="33"/>
      <c r="J28" s="33"/>
      <c r="K28" s="33"/>
      <c r="L28" s="33"/>
    </row>
    <row r="29" spans="1:15" ht="14.7" thickBot="1">
      <c r="A29" s="22">
        <v>5215</v>
      </c>
      <c r="B29" s="32">
        <v>886.64</v>
      </c>
      <c r="C29" s="34" t="s">
        <v>194</v>
      </c>
      <c r="F29" s="31"/>
      <c r="G29" s="31"/>
      <c r="H29" s="31"/>
      <c r="I29" s="33">
        <v>556369.02</v>
      </c>
      <c r="J29" s="33"/>
      <c r="K29" s="33"/>
      <c r="L29" s="33"/>
    </row>
    <row r="30" spans="1:15" ht="14.7" thickTop="1">
      <c r="A30" s="22" t="s">
        <v>213</v>
      </c>
      <c r="B30" s="32">
        <v>2019.3</v>
      </c>
      <c r="C30" s="34"/>
      <c r="F30" s="31"/>
      <c r="G30" s="31"/>
      <c r="H30" s="31"/>
      <c r="I30" s="40">
        <f xml:space="preserve"> SUM(JanFunds[End of Month Amount])</f>
        <v>553028.85</v>
      </c>
      <c r="J30" s="43">
        <f xml:space="preserve"> I29-I30</f>
        <v>3340.1700000000419</v>
      </c>
      <c r="K30" s="33"/>
      <c r="L30" s="33"/>
    </row>
    <row r="31" spans="1:15">
      <c r="A31" s="22" t="s">
        <v>233</v>
      </c>
      <c r="B31" s="32">
        <v>114</v>
      </c>
      <c r="C31" s="34"/>
      <c r="F31" s="31"/>
      <c r="G31" s="31"/>
      <c r="H31" s="31"/>
      <c r="I31" s="44"/>
      <c r="J31" s="43"/>
      <c r="K31" s="33"/>
      <c r="L31" s="33"/>
    </row>
    <row r="32" spans="1:15">
      <c r="A32" s="22" t="s">
        <v>234</v>
      </c>
      <c r="B32" s="32">
        <v>27.37</v>
      </c>
      <c r="C32" s="34"/>
      <c r="F32" s="31"/>
      <c r="G32" s="31"/>
      <c r="H32" s="31"/>
      <c r="I32" s="44"/>
      <c r="J32" s="43"/>
      <c r="K32" s="33"/>
      <c r="L32" s="33"/>
    </row>
    <row r="33" spans="1:19">
      <c r="A33" s="22" t="s">
        <v>235</v>
      </c>
      <c r="B33" s="32">
        <v>250</v>
      </c>
      <c r="C33" s="34"/>
      <c r="F33" s="31"/>
      <c r="G33" s="31"/>
      <c r="H33" s="31"/>
      <c r="I33" s="44"/>
      <c r="J33" s="43"/>
      <c r="K33" s="33"/>
      <c r="L33" s="33"/>
    </row>
    <row r="34" spans="1:19">
      <c r="A34" s="22">
        <v>5213</v>
      </c>
      <c r="B34" s="32">
        <v>257.8</v>
      </c>
      <c r="C34" s="34"/>
      <c r="F34" s="31"/>
      <c r="G34" s="31"/>
      <c r="H34" s="31"/>
      <c r="I34" s="44"/>
      <c r="J34" s="43"/>
      <c r="K34" s="33"/>
      <c r="L34" s="33"/>
    </row>
    <row r="35" spans="1:19">
      <c r="B35" s="32"/>
      <c r="C35" s="34"/>
      <c r="F35" s="31"/>
      <c r="G35" s="31"/>
      <c r="H35" s="31"/>
      <c r="I35" s="44"/>
      <c r="J35" s="43"/>
      <c r="K35" s="33"/>
      <c r="L35" s="33"/>
    </row>
    <row r="36" spans="1:19">
      <c r="I36" s="33"/>
      <c r="J36" s="33"/>
      <c r="K36" s="33"/>
      <c r="L36" s="33"/>
      <c r="M36" s="31"/>
      <c r="N36" s="31"/>
      <c r="O36" s="31"/>
    </row>
    <row r="37" spans="1:19">
      <c r="A37" s="62" t="s">
        <v>173</v>
      </c>
      <c r="B37" s="63"/>
      <c r="C37" s="63"/>
      <c r="D37" s="63"/>
      <c r="E37" s="63"/>
      <c r="F37" s="63"/>
      <c r="I37" s="33"/>
      <c r="J37" s="33"/>
      <c r="K37" s="33"/>
      <c r="L37" s="33"/>
      <c r="M37" s="31"/>
      <c r="N37" s="31"/>
      <c r="O37" s="31"/>
    </row>
    <row r="38" spans="1:19">
      <c r="A38" s="22" t="s">
        <v>169</v>
      </c>
      <c r="B38" s="22" t="s">
        <v>178</v>
      </c>
      <c r="C38" s="22" t="s">
        <v>185</v>
      </c>
      <c r="D38" s="22" t="s">
        <v>171</v>
      </c>
      <c r="E38" s="22" t="s">
        <v>176</v>
      </c>
      <c r="F38" s="22" t="s">
        <v>211</v>
      </c>
      <c r="I38" s="33"/>
      <c r="J38" s="33"/>
      <c r="K38" s="33"/>
      <c r="L38" s="33"/>
      <c r="M38" s="31"/>
      <c r="N38" s="31"/>
      <c r="O38" s="31"/>
    </row>
    <row r="39" spans="1:19">
      <c r="A39" s="28">
        <v>44939</v>
      </c>
      <c r="B39" s="22" t="s">
        <v>190</v>
      </c>
      <c r="C39" s="22" t="s">
        <v>193</v>
      </c>
      <c r="D39" s="22">
        <v>5220</v>
      </c>
      <c r="E39" s="32">
        <v>6000</v>
      </c>
      <c r="F39" s="34" t="s">
        <v>194</v>
      </c>
      <c r="I39" s="33"/>
      <c r="J39" s="33"/>
      <c r="K39" s="33"/>
      <c r="L39" s="33"/>
      <c r="M39" s="31"/>
      <c r="N39" s="31"/>
      <c r="O39" s="31"/>
      <c r="R39" s="35"/>
      <c r="S39" s="27"/>
    </row>
    <row r="40" spans="1:19">
      <c r="A40" s="28">
        <v>44939</v>
      </c>
      <c r="B40" s="22" t="s">
        <v>197</v>
      </c>
      <c r="C40" s="22" t="s">
        <v>193</v>
      </c>
      <c r="D40" s="22">
        <v>5221</v>
      </c>
      <c r="E40" s="32">
        <v>17385.900000000001</v>
      </c>
      <c r="F40" s="34" t="s">
        <v>194</v>
      </c>
      <c r="I40" s="39">
        <v>7307.32</v>
      </c>
      <c r="J40" s="33"/>
      <c r="K40" s="33"/>
      <c r="L40" s="33"/>
      <c r="M40" s="31"/>
      <c r="N40" s="31"/>
      <c r="O40" s="31"/>
    </row>
    <row r="41" spans="1:19">
      <c r="A41" s="28">
        <v>44928</v>
      </c>
      <c r="B41" s="22" t="s">
        <v>198</v>
      </c>
      <c r="C41" s="22" t="s">
        <v>199</v>
      </c>
      <c r="D41" s="22">
        <v>5216</v>
      </c>
      <c r="E41" s="32">
        <v>300</v>
      </c>
      <c r="F41" s="34" t="s">
        <v>194</v>
      </c>
      <c r="I41" s="33">
        <v>2614.64</v>
      </c>
      <c r="J41" s="33"/>
      <c r="K41" s="33"/>
      <c r="L41" s="33"/>
      <c r="M41" s="31"/>
      <c r="N41" s="31"/>
      <c r="O41" s="31"/>
    </row>
    <row r="42" spans="1:19">
      <c r="A42" s="28">
        <v>44934</v>
      </c>
      <c r="B42" s="22" t="s">
        <v>200</v>
      </c>
      <c r="C42" s="22" t="s">
        <v>199</v>
      </c>
      <c r="D42" s="22">
        <v>5217</v>
      </c>
      <c r="E42" s="32">
        <v>300</v>
      </c>
      <c r="F42" s="34" t="s">
        <v>194</v>
      </c>
      <c r="I42" s="33">
        <v>671.7</v>
      </c>
      <c r="J42" s="33"/>
      <c r="K42" s="43">
        <f xml:space="preserve"> I40 + I41 - I42</f>
        <v>9250.2599999999984</v>
      </c>
      <c r="L42" s="33"/>
      <c r="M42" s="31"/>
      <c r="N42" s="31"/>
      <c r="O42" s="31"/>
    </row>
    <row r="43" spans="1:19">
      <c r="A43" s="28">
        <v>44939</v>
      </c>
      <c r="B43" s="22" t="s">
        <v>201</v>
      </c>
      <c r="C43" s="22" t="s">
        <v>203</v>
      </c>
      <c r="D43" s="22">
        <v>5218</v>
      </c>
      <c r="E43" s="32">
        <v>1507.5</v>
      </c>
      <c r="F43" s="34" t="s">
        <v>194</v>
      </c>
      <c r="I43" s="33"/>
      <c r="J43" s="33"/>
      <c r="K43" s="33"/>
      <c r="L43" s="33"/>
      <c r="M43" s="31"/>
      <c r="N43" s="31"/>
      <c r="O43" s="31"/>
    </row>
    <row r="44" spans="1:19">
      <c r="A44" s="28">
        <v>44941</v>
      </c>
      <c r="B44" s="22" t="s">
        <v>204</v>
      </c>
      <c r="C44" s="22" t="s">
        <v>199</v>
      </c>
      <c r="D44" s="22">
        <v>5219</v>
      </c>
      <c r="E44" s="32">
        <v>300</v>
      </c>
      <c r="F44" s="34"/>
      <c r="I44" s="33"/>
      <c r="J44" s="33"/>
      <c r="K44" s="33"/>
      <c r="L44" s="33"/>
      <c r="M44" s="31"/>
      <c r="N44" s="31"/>
      <c r="O44" s="31"/>
    </row>
    <row r="45" spans="1:19">
      <c r="A45" s="28">
        <v>44950</v>
      </c>
      <c r="B45" s="22" t="s">
        <v>205</v>
      </c>
      <c r="C45" s="22" t="s">
        <v>206</v>
      </c>
      <c r="D45" s="22">
        <v>5222</v>
      </c>
      <c r="E45" s="32">
        <v>1200</v>
      </c>
      <c r="F45" s="34" t="s">
        <v>194</v>
      </c>
      <c r="I45" s="31"/>
      <c r="J45" s="31"/>
      <c r="K45" s="31"/>
      <c r="L45" s="31"/>
      <c r="M45" s="31"/>
      <c r="N45" s="31"/>
      <c r="O45" s="31"/>
    </row>
    <row r="46" spans="1:19">
      <c r="A46" s="28">
        <v>44955</v>
      </c>
      <c r="B46" s="22" t="s">
        <v>207</v>
      </c>
      <c r="C46" s="22" t="s">
        <v>199</v>
      </c>
      <c r="D46" s="22">
        <v>5223</v>
      </c>
      <c r="E46" s="32">
        <v>300</v>
      </c>
      <c r="F46" s="34" t="s">
        <v>194</v>
      </c>
      <c r="I46" s="31"/>
      <c r="J46" s="31"/>
      <c r="K46" s="31"/>
      <c r="L46" s="31"/>
      <c r="M46" s="31"/>
      <c r="N46" s="31"/>
      <c r="O46" s="31"/>
    </row>
    <row r="47" spans="1:19">
      <c r="A47" s="28">
        <v>44930</v>
      </c>
      <c r="B47" s="22" t="s">
        <v>209</v>
      </c>
      <c r="C47" s="22" t="s">
        <v>210</v>
      </c>
      <c r="E47" s="32">
        <v>206</v>
      </c>
      <c r="F47" s="34" t="s">
        <v>194</v>
      </c>
      <c r="I47" s="31"/>
      <c r="J47" s="31"/>
      <c r="K47" s="31"/>
      <c r="L47" s="31"/>
      <c r="M47" s="31"/>
      <c r="N47" s="31"/>
      <c r="O47" s="31"/>
    </row>
    <row r="48" spans="1:19">
      <c r="A48" s="28">
        <v>44957</v>
      </c>
      <c r="B48" s="22" t="s">
        <v>212</v>
      </c>
      <c r="C48" s="22" t="s">
        <v>214</v>
      </c>
      <c r="E48" s="32">
        <v>371.7</v>
      </c>
      <c r="F48" s="34"/>
      <c r="I48" s="31"/>
      <c r="J48" s="31"/>
      <c r="K48" s="31"/>
      <c r="L48" s="31"/>
      <c r="M48" s="31"/>
      <c r="N48" s="31"/>
      <c r="O48" s="31"/>
    </row>
    <row r="51" spans="1:9">
      <c r="A51" s="22" t="s">
        <v>169</v>
      </c>
      <c r="B51" s="22" t="s">
        <v>185</v>
      </c>
      <c r="C51" s="22" t="s">
        <v>176</v>
      </c>
      <c r="D51" s="22" t="s">
        <v>240</v>
      </c>
      <c r="E51" s="22" t="s">
        <v>186</v>
      </c>
    </row>
    <row r="52" spans="1:9">
      <c r="A52" s="28">
        <v>44951</v>
      </c>
      <c r="B52" s="22" t="s">
        <v>6</v>
      </c>
      <c r="C52" s="22">
        <v>4130</v>
      </c>
      <c r="D52" s="22" t="s">
        <v>241</v>
      </c>
      <c r="E52" s="22" t="s">
        <v>194</v>
      </c>
      <c r="F52" s="60" t="s">
        <v>216</v>
      </c>
      <c r="G52" s="60"/>
      <c r="H52" s="36">
        <f>SUMIF(JanOffering[Category], "G*",JanOffering[Amount])</f>
        <v>4130.7299999999996</v>
      </c>
    </row>
    <row r="53" spans="1:9">
      <c r="A53" s="28">
        <v>44951</v>
      </c>
      <c r="B53" s="22" t="s">
        <v>147</v>
      </c>
      <c r="C53" s="22">
        <v>2000</v>
      </c>
      <c r="D53" s="22" t="s">
        <v>241</v>
      </c>
      <c r="E53" s="22" t="s">
        <v>194</v>
      </c>
      <c r="F53" s="60" t="s">
        <v>215</v>
      </c>
      <c r="G53" s="60"/>
      <c r="H53" s="36">
        <f xml:space="preserve"> H52 * 0.09</f>
        <v>371.76569999999992</v>
      </c>
      <c r="I53" s="22" t="s">
        <v>217</v>
      </c>
    </row>
    <row r="54" spans="1:9">
      <c r="A54" s="28">
        <v>44957</v>
      </c>
      <c r="B54" s="22" t="s">
        <v>228</v>
      </c>
      <c r="C54" s="22">
        <v>0.73</v>
      </c>
      <c r="D54" s="22" t="s">
        <v>70</v>
      </c>
      <c r="E54" s="22" t="s">
        <v>194</v>
      </c>
    </row>
  </sheetData>
  <mergeCells count="7">
    <mergeCell ref="F53:G53"/>
    <mergeCell ref="A26:C26"/>
    <mergeCell ref="F52:G52"/>
    <mergeCell ref="E26:G26"/>
    <mergeCell ref="A3:F3"/>
    <mergeCell ref="A15:F15"/>
    <mergeCell ref="A37:F37"/>
  </mergeCells>
  <conditionalFormatting sqref="F39:F47">
    <cfRule type="containsText" dxfId="92" priority="2" operator="containsText" text="Y">
      <formula>NOT(ISERROR(SEARCH("Y",F39)))</formula>
    </cfRule>
    <cfRule type="containsText" priority="3" operator="containsText" text="&quot;&quot;">
      <formula>NOT(ISERROR(SEARCH("""""",F39)))</formula>
    </cfRule>
  </conditionalFormatting>
  <conditionalFormatting sqref="C28:C35">
    <cfRule type="containsText" dxfId="91" priority="1" operator="containsText" text="Y">
      <formula>NOT(ISERROR(SEARCH("Y",C28)))</formula>
    </cfRule>
  </conditionalFormatting>
  <dataValidations disablePrompts="1" count="1">
    <dataValidation type="list" allowBlank="1" showInputMessage="1" showErrorMessage="1" sqref="C39:C48" xr:uid="{A1B77BA3-50A5-43E2-AC93-B81CA5B902C0}">
      <formula1 xml:space="preserve"> INDIRECT("ExpenseCategory!ExpenseCategory[Display List]" 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F691-57C1-4D3D-B839-88A3055CA488}">
  <dimension ref="A1:S54"/>
  <sheetViews>
    <sheetView workbookViewId="0">
      <selection activeCell="A39" sqref="A39:E46"/>
    </sheetView>
  </sheetViews>
  <sheetFormatPr defaultRowHeight="14.4"/>
  <cols>
    <col min="1" max="1" width="23.05078125" style="22" customWidth="1"/>
    <col min="2" max="2" width="23.9453125" style="22" customWidth="1"/>
    <col min="3" max="3" width="35.62890625" style="22" customWidth="1"/>
    <col min="4" max="4" width="19.26171875" style="22" customWidth="1"/>
    <col min="5" max="5" width="25.05078125" style="22" customWidth="1"/>
    <col min="6" max="6" width="31.15625" style="22" customWidth="1"/>
    <col min="7" max="7" width="20.47265625" style="22" customWidth="1"/>
    <col min="8" max="8" width="22.68359375" style="22" customWidth="1"/>
    <col min="9" max="9" width="25.20703125" style="22" customWidth="1"/>
    <col min="10" max="10" width="19" style="22" customWidth="1"/>
    <col min="11" max="11" width="20.7890625" style="22" customWidth="1"/>
    <col min="12" max="12" width="17.3671875" style="22" customWidth="1"/>
    <col min="13" max="13" width="14.62890625" style="22" customWidth="1"/>
    <col min="14" max="18" width="8.83984375" style="22"/>
    <col min="19" max="19" width="13.578125" style="22" customWidth="1"/>
    <col min="20" max="20" width="19.7890625" style="22" customWidth="1"/>
    <col min="21" max="21" width="9.15625" style="22" bestFit="1" customWidth="1"/>
    <col min="22" max="16384" width="8.83984375" style="22"/>
  </cols>
  <sheetData>
    <row r="1" spans="1:15" ht="28.2">
      <c r="A1" s="24" t="s">
        <v>168</v>
      </c>
      <c r="B1" s="25">
        <v>2</v>
      </c>
      <c r="C1" s="24" t="s">
        <v>172</v>
      </c>
      <c r="D1" s="42">
        <v>2023</v>
      </c>
    </row>
    <row r="2" spans="1:15" ht="14.7" customHeight="1" thickBot="1">
      <c r="I2" s="33"/>
      <c r="J2" s="33"/>
      <c r="K2" s="33"/>
      <c r="L2" s="33"/>
      <c r="M2" s="31"/>
      <c r="N2" s="31"/>
      <c r="O2" s="31"/>
    </row>
    <row r="3" spans="1:15" ht="15" thickTop="1" thickBot="1">
      <c r="A3" s="61" t="s">
        <v>154</v>
      </c>
      <c r="B3" s="61"/>
      <c r="C3" s="61"/>
      <c r="D3" s="61"/>
      <c r="E3" s="61"/>
      <c r="F3" s="61"/>
      <c r="I3" s="33"/>
      <c r="J3" s="33"/>
      <c r="K3" s="33"/>
      <c r="L3" s="33"/>
      <c r="M3" s="31"/>
      <c r="N3" s="31"/>
      <c r="O3" s="31"/>
    </row>
    <row r="4" spans="1:15" ht="14.7" thickTop="1">
      <c r="A4" s="22" t="s">
        <v>154</v>
      </c>
      <c r="B4" s="22" t="s">
        <v>162</v>
      </c>
      <c r="C4" s="22" t="s">
        <v>157</v>
      </c>
      <c r="D4" s="22" t="s">
        <v>159</v>
      </c>
      <c r="E4" s="22" t="s">
        <v>158</v>
      </c>
      <c r="F4" s="22" t="s">
        <v>229</v>
      </c>
      <c r="I4" s="33"/>
      <c r="J4" s="33"/>
      <c r="K4" s="33"/>
      <c r="L4" s="33"/>
      <c r="M4" s="31"/>
      <c r="N4" s="31"/>
      <c r="O4" s="31"/>
    </row>
    <row r="5" spans="1:15">
      <c r="A5" s="22" t="s">
        <v>65</v>
      </c>
      <c r="B5" s="23">
        <f xml:space="preserve"> VLOOKUP(A5, JanFunds[], 6, FALSE)</f>
        <v>56200.770000000004</v>
      </c>
      <c r="C5" s="23">
        <v>56200.770000000004</v>
      </c>
      <c r="D5" s="23">
        <f>SUMIF(Offering02[Category], "G*",Offering02[Amount])</f>
        <v>5430.66</v>
      </c>
      <c r="E5" s="27">
        <f>SUMIF(Expenses02[Category], "G*",Expenses02[Amount])</f>
        <v>2341.2999999999997</v>
      </c>
      <c r="F5" s="27">
        <f xml:space="preserve"> Funds02[[#This Row],[Initial Amount]] + Funds02[[#This Row],[Income]] - Funds02[[#This Row],[Expense]]</f>
        <v>59290.130000000005</v>
      </c>
      <c r="I5" s="33"/>
      <c r="J5" s="33"/>
      <c r="K5" s="33"/>
      <c r="L5" s="33"/>
      <c r="M5" s="31"/>
      <c r="N5" s="31"/>
      <c r="O5" s="31"/>
    </row>
    <row r="6" spans="1:15">
      <c r="A6" s="22" t="s">
        <v>11</v>
      </c>
      <c r="B6" s="23">
        <f xml:space="preserve"> VLOOKUP(A6, JanFunds[], 6, FALSE)</f>
        <v>428199.98</v>
      </c>
      <c r="C6" s="27">
        <v>428199.98</v>
      </c>
      <c r="D6" s="27">
        <f>SUMIF(Offering02[Category], "B*",Offering02[Amount])</f>
        <v>0</v>
      </c>
      <c r="E6" s="27">
        <f>SUMIF(Expenses02[Category], "B*",Expenses02[Amount])</f>
        <v>1070</v>
      </c>
      <c r="F6" s="27">
        <f xml:space="preserve"> Funds02[[#This Row],[Initial Amount]] + Funds02[[#This Row],[Income]] - Funds02[[#This Row],[Expense]]</f>
        <v>427129.98</v>
      </c>
      <c r="I6" s="33"/>
      <c r="J6" s="33"/>
      <c r="K6" s="33"/>
      <c r="L6" s="33"/>
      <c r="M6" s="31"/>
      <c r="N6" s="31"/>
      <c r="O6" s="31"/>
    </row>
    <row r="7" spans="1:15">
      <c r="A7" s="22" t="s">
        <v>67</v>
      </c>
      <c r="B7" s="23">
        <f xml:space="preserve"> VLOOKUP(A7, JanFunds[], 6, FALSE)</f>
        <v>34557.54</v>
      </c>
      <c r="C7" s="27">
        <v>34557.54</v>
      </c>
      <c r="D7" s="27">
        <f>SUMIF(Offering02[Category], "M*",Offering02[Amount])</f>
        <v>0</v>
      </c>
      <c r="E7" s="27">
        <f>SUMIF(Expenses02[Category], "M*",Expenses02[Amount])</f>
        <v>0</v>
      </c>
      <c r="F7" s="27">
        <f xml:space="preserve"> Funds02[[#This Row],[Initial Amount]] + Funds02[[#This Row],[Income]] - Funds02[[#This Row],[Expense]]</f>
        <v>34557.54</v>
      </c>
      <c r="I7" s="33"/>
      <c r="J7" s="33"/>
      <c r="K7" s="33"/>
      <c r="L7" s="33"/>
      <c r="M7" s="31"/>
      <c r="N7" s="31"/>
      <c r="O7" s="31"/>
    </row>
    <row r="8" spans="1:15">
      <c r="A8" s="22" t="s">
        <v>155</v>
      </c>
      <c r="B8" s="23">
        <f xml:space="preserve"> VLOOKUP(A8, JanFunds[], 6, FALSE)</f>
        <v>2000</v>
      </c>
      <c r="C8" s="27">
        <v>2000</v>
      </c>
      <c r="D8" s="27">
        <f>SUMIF(Offering02[Category], "O*",Offering02[Amount])</f>
        <v>0</v>
      </c>
      <c r="E8" s="27"/>
      <c r="F8" s="27">
        <f xml:space="preserve"> Funds02[[#This Row],[Initial Amount]] + Funds02[[#This Row],[Income]] - Funds02[[#This Row],[Expense]]</f>
        <v>2000</v>
      </c>
      <c r="I8" s="33"/>
      <c r="J8" s="33"/>
      <c r="K8" s="33"/>
      <c r="L8" s="33"/>
      <c r="M8" s="31"/>
      <c r="N8" s="31"/>
      <c r="O8" s="31"/>
    </row>
    <row r="9" spans="1:15">
      <c r="A9" s="22" t="s">
        <v>160</v>
      </c>
      <c r="B9" s="23">
        <f xml:space="preserve"> VLOOKUP(A9, JanFunds[], 6, FALSE)</f>
        <v>27613.79</v>
      </c>
      <c r="C9" s="27">
        <v>27613.79</v>
      </c>
      <c r="D9" s="27">
        <f>SUMIF(Offering02[Category], "EN*",Offering02[Amount])</f>
        <v>0</v>
      </c>
      <c r="E9" s="27"/>
      <c r="F9" s="27">
        <f xml:space="preserve"> Funds02[[#This Row],[Initial Amount]] + Funds02[[#This Row],[Income]] - Funds02[[#This Row],[Expense]]</f>
        <v>27613.79</v>
      </c>
      <c r="I9" s="33"/>
      <c r="J9" s="33"/>
      <c r="K9" s="33"/>
      <c r="L9" s="33"/>
      <c r="M9" s="31"/>
      <c r="N9" s="31"/>
      <c r="O9" s="31"/>
    </row>
    <row r="10" spans="1:15">
      <c r="A10" s="22" t="s">
        <v>156</v>
      </c>
      <c r="B10" s="23">
        <f xml:space="preserve"> VLOOKUP(A10, JanFunds[], 6, FALSE)</f>
        <v>4456.7700000000004</v>
      </c>
      <c r="C10" s="27">
        <v>4456.7700000000004</v>
      </c>
      <c r="D10" s="27">
        <f>SUMIF(Offering02[Category], "L*",Offering02[Amount])</f>
        <v>0</v>
      </c>
      <c r="E10" s="27"/>
      <c r="F10" s="27">
        <f xml:space="preserve"> Funds02[[#This Row],[Initial Amount]] + Funds02[[#This Row],[Income]] - Funds02[[#This Row],[Expense]]</f>
        <v>4456.7700000000004</v>
      </c>
      <c r="I10" s="33"/>
      <c r="J10" s="33"/>
      <c r="K10" s="33"/>
      <c r="L10" s="33"/>
      <c r="M10" s="31"/>
      <c r="N10" s="31"/>
      <c r="O10" s="31"/>
    </row>
    <row r="11" spans="1:15">
      <c r="A11" s="22" t="s">
        <v>195</v>
      </c>
      <c r="B11" s="27"/>
      <c r="C11" s="27">
        <v>0</v>
      </c>
      <c r="D11" s="27"/>
      <c r="E11" s="27"/>
      <c r="F11" s="27">
        <f xml:space="preserve"> Funds02[[#This Row],[Initial Amount]] + Funds02[[#This Row],[Income]] - Funds02[[#This Row],[Expense]]</f>
        <v>0</v>
      </c>
      <c r="I11" s="33"/>
      <c r="J11" s="33"/>
      <c r="K11" s="33"/>
      <c r="L11" s="33"/>
      <c r="M11" s="31"/>
      <c r="N11" s="31"/>
      <c r="O11" s="31"/>
    </row>
    <row r="12" spans="1:15">
      <c r="B12" s="27"/>
      <c r="C12" s="27">
        <v>0</v>
      </c>
      <c r="D12" s="27"/>
      <c r="E12" s="27"/>
      <c r="F12" s="27">
        <f xml:space="preserve"> Funds02[[#This Row],[Initial Amount]] + Funds02[[#This Row],[Income]] - Funds02[[#This Row],[Expense]]</f>
        <v>0</v>
      </c>
      <c r="I12" s="33"/>
      <c r="J12" s="33"/>
      <c r="K12" s="33"/>
      <c r="L12" s="33"/>
      <c r="M12" s="31"/>
      <c r="N12" s="31"/>
      <c r="O12" s="31"/>
    </row>
    <row r="13" spans="1:15">
      <c r="B13" s="27">
        <f xml:space="preserve"> SUM(Funds02[Initial Amount (Auto Calculated)])</f>
        <v>553028.85</v>
      </c>
      <c r="C13" s="27">
        <f xml:space="preserve"> SUM(Funds02[Initial Amount])</f>
        <v>553028.85</v>
      </c>
      <c r="D13" s="27"/>
      <c r="E13" s="27">
        <f xml:space="preserve"> SUM(Funds02[Expense])</f>
        <v>3411.2999999999997</v>
      </c>
      <c r="F13" s="27">
        <f xml:space="preserve"> SUM(Funds02[End of Month Amount])</f>
        <v>555048.21</v>
      </c>
      <c r="I13" s="33"/>
      <c r="J13" s="33"/>
      <c r="K13" s="33"/>
      <c r="L13" s="33"/>
      <c r="M13" s="31"/>
      <c r="N13" s="31"/>
      <c r="O13" s="31"/>
    </row>
    <row r="14" spans="1:15" ht="14.7" thickBot="1">
      <c r="I14" s="33"/>
      <c r="J14" s="33"/>
      <c r="K14" s="33"/>
      <c r="L14" s="33"/>
      <c r="M14" s="31"/>
      <c r="N14" s="31"/>
      <c r="O14" s="31"/>
    </row>
    <row r="15" spans="1:15" ht="15" thickTop="1" thickBot="1">
      <c r="A15" s="61" t="s">
        <v>161</v>
      </c>
      <c r="B15" s="61"/>
      <c r="C15" s="61"/>
      <c r="D15" s="61"/>
      <c r="E15" s="61"/>
      <c r="F15" s="61"/>
      <c r="I15" s="33"/>
      <c r="J15" s="33"/>
      <c r="K15" s="33"/>
      <c r="L15" s="33"/>
      <c r="M15" s="31"/>
      <c r="N15" s="31"/>
      <c r="O15" s="31"/>
    </row>
    <row r="16" spans="1:15" ht="14.7" thickTop="1">
      <c r="A16" s="22" t="s">
        <v>161</v>
      </c>
      <c r="B16" s="22" t="s">
        <v>163</v>
      </c>
      <c r="C16" s="22" t="s">
        <v>164</v>
      </c>
      <c r="D16" s="22" t="s">
        <v>184</v>
      </c>
      <c r="E16" s="22" t="s">
        <v>165</v>
      </c>
      <c r="F16" s="22" t="s">
        <v>229</v>
      </c>
      <c r="H16" s="33"/>
      <c r="I16" s="33"/>
      <c r="J16" s="33"/>
      <c r="K16" s="33"/>
      <c r="L16" s="31"/>
      <c r="M16" s="31"/>
      <c r="N16" s="31"/>
    </row>
    <row r="17" spans="1:15">
      <c r="A17" s="22" t="s">
        <v>166</v>
      </c>
      <c r="B17" s="27">
        <f xml:space="preserve"> VLOOKUP(A17, JanBankAccounts[], 6, FALSE)</f>
        <v>105982.63999999998</v>
      </c>
      <c r="C17" s="27">
        <v>105982.63999999998</v>
      </c>
      <c r="D17" s="27">
        <f>SUMIF(Offering02[Bank Account], "C",Offering02[Amount])</f>
        <v>5430</v>
      </c>
      <c r="E17" s="27">
        <f>SUMIF(Expenses02[Paid/Cashed ?], "Y",Expenses02[Amount]) + SUMIF(InitialOutstandingPayments02[Paid ?], "Y",InitialOutstandingPayments02[Amount])</f>
        <v>3220.3999999999996</v>
      </c>
      <c r="F17" s="27">
        <f xml:space="preserve"> BankAccounts02[[#This Row],[Initial Balance]] + BankAccounts02[[#This Row],[Deposit/Interest]] - BankAccounts02[[#This Row],[Withdraw]]</f>
        <v>108192.23999999999</v>
      </c>
      <c r="H17" s="33"/>
      <c r="I17" s="33"/>
      <c r="J17" s="33"/>
      <c r="K17" s="33"/>
      <c r="L17" s="31"/>
      <c r="M17" s="31"/>
      <c r="N17" s="31"/>
    </row>
    <row r="18" spans="1:15">
      <c r="A18" s="22" t="s">
        <v>167</v>
      </c>
      <c r="B18" s="27">
        <f xml:space="preserve"> VLOOKUP(A18, JanBankAccounts[], 6, FALSE)</f>
        <v>86467.15</v>
      </c>
      <c r="C18" s="27">
        <v>86467.15</v>
      </c>
      <c r="D18" s="27">
        <v>0.66</v>
      </c>
      <c r="E18" s="27"/>
      <c r="F18" s="27">
        <f xml:space="preserve"> BankAccounts02[[#This Row],[Initial Balance]] + BankAccounts02[[#This Row],[Deposit/Interest]] - BankAccounts02[[#This Row],[Withdraw]]</f>
        <v>86467.81</v>
      </c>
      <c r="H18" s="33"/>
      <c r="I18" s="22" t="s">
        <v>220</v>
      </c>
      <c r="J18" s="22" t="s">
        <v>221</v>
      </c>
      <c r="K18" s="22" t="s">
        <v>226</v>
      </c>
      <c r="L18" s="22" t="s">
        <v>222</v>
      </c>
      <c r="M18" s="22" t="s">
        <v>225</v>
      </c>
      <c r="N18" s="31"/>
    </row>
    <row r="19" spans="1:15">
      <c r="A19" s="22" t="s">
        <v>181</v>
      </c>
      <c r="B19" s="27">
        <f xml:space="preserve"> VLOOKUP(A19, JanBankAccounts[], 6, FALSE)</f>
        <v>103844.08</v>
      </c>
      <c r="C19" s="27">
        <v>103844.08</v>
      </c>
      <c r="D19" s="27"/>
      <c r="E19" s="27"/>
      <c r="F19" s="27">
        <f xml:space="preserve"> BankAccounts02[[#This Row],[Initial Balance]] + BankAccounts02[[#This Row],[Deposit/Interest]] - BankAccounts02[[#This Row],[Withdraw]]</f>
        <v>103844.08</v>
      </c>
      <c r="H19" s="33"/>
      <c r="I19" s="22" t="s">
        <v>219</v>
      </c>
      <c r="J19" s="35">
        <v>4.2099999999999999E-2</v>
      </c>
      <c r="K19" s="22">
        <v>0</v>
      </c>
      <c r="L19" s="30">
        <v>103844.08</v>
      </c>
      <c r="M19" s="29">
        <v>45292</v>
      </c>
      <c r="N19" s="31"/>
    </row>
    <row r="20" spans="1:15">
      <c r="A20" s="22" t="s">
        <v>182</v>
      </c>
      <c r="B20" s="27">
        <f xml:space="preserve"> VLOOKUP(A20, JanBankAccounts[], 6, FALSE)</f>
        <v>103844.08</v>
      </c>
      <c r="C20" s="27">
        <v>103844.08</v>
      </c>
      <c r="D20" s="27"/>
      <c r="E20" s="27"/>
      <c r="F20" s="27">
        <f xml:space="preserve"> BankAccounts02[[#This Row],[Initial Balance]] + BankAccounts02[[#This Row],[Deposit/Interest]] - BankAccounts02[[#This Row],[Withdraw]]</f>
        <v>103844.08</v>
      </c>
      <c r="H20" s="33"/>
      <c r="I20" s="22" t="s">
        <v>224</v>
      </c>
      <c r="J20" s="35">
        <v>4.2099999999999999E-2</v>
      </c>
      <c r="K20" s="22">
        <v>0</v>
      </c>
      <c r="L20" s="30">
        <v>103844.08</v>
      </c>
      <c r="M20" s="29">
        <v>45292</v>
      </c>
      <c r="N20" s="31"/>
    </row>
    <row r="21" spans="1:15">
      <c r="A21" s="22" t="s">
        <v>183</v>
      </c>
      <c r="B21" s="27">
        <f xml:space="preserve"> VLOOKUP(A21, JanBankAccounts[], 6, FALSE)</f>
        <v>156231.07</v>
      </c>
      <c r="C21" s="27">
        <v>156231.07</v>
      </c>
      <c r="D21" s="27"/>
      <c r="E21" s="27"/>
      <c r="F21" s="27">
        <f xml:space="preserve"> BankAccounts02[[#This Row],[Initial Balance]] + BankAccounts02[[#This Row],[Deposit/Interest]] - BankAccounts02[[#This Row],[Withdraw]]</f>
        <v>156231.07</v>
      </c>
      <c r="H21" s="33"/>
      <c r="I21" s="22" t="s">
        <v>223</v>
      </c>
      <c r="J21" s="35">
        <v>4.9500000000000002E-2</v>
      </c>
      <c r="K21" s="30">
        <v>1949.52</v>
      </c>
      <c r="L21" s="30">
        <v>158180.59</v>
      </c>
      <c r="M21" s="29">
        <v>45319</v>
      </c>
      <c r="N21" s="31"/>
    </row>
    <row r="22" spans="1:15">
      <c r="A22" s="22" t="s">
        <v>187</v>
      </c>
      <c r="B22" s="27"/>
      <c r="C22" s="27"/>
      <c r="D22" s="27"/>
      <c r="E22" s="27"/>
      <c r="F22" s="27"/>
      <c r="H22" s="33"/>
      <c r="I22" s="33"/>
      <c r="J22" s="33"/>
      <c r="K22" s="33"/>
      <c r="L22" s="31"/>
      <c r="M22" s="31"/>
      <c r="N22" s="31"/>
    </row>
    <row r="23" spans="1:15">
      <c r="A23" s="22" t="s">
        <v>188</v>
      </c>
      <c r="B23" s="27"/>
      <c r="C23" s="27">
        <f xml:space="preserve"> SUM(InitialOutstandingPayments02[Amount])</f>
        <v>3340.17</v>
      </c>
      <c r="D23" s="27">
        <f xml:space="preserve"> SUMIF(Expenses02[Paid/Cashed ?], "",Expenses02[Amount])</f>
        <v>748.7</v>
      </c>
      <c r="E23" s="27">
        <f xml:space="preserve"> SUMIF(InitialOutstandingPayments02[Paid ?], "Y", InitialOutstandingPayments02[Amount])</f>
        <v>557.79999999999995</v>
      </c>
      <c r="F23" s="27">
        <f xml:space="preserve"> BankAccounts02[[#This Row],[Initial Balance]] + BankAccounts02[[#This Row],[Deposit/Interest]] - BankAccounts02[[#This Row],[Withdraw]]</f>
        <v>3531.0699999999997</v>
      </c>
      <c r="H23" s="33"/>
      <c r="I23" s="33"/>
      <c r="J23" s="33"/>
      <c r="K23" s="33"/>
      <c r="L23" s="37">
        <f xml:space="preserve"> L21 - K21</f>
        <v>156231.07</v>
      </c>
      <c r="M23" s="31"/>
      <c r="N23" s="31"/>
    </row>
    <row r="24" spans="1:15">
      <c r="B24" s="27">
        <f xml:space="preserve"> SUM(B17:B21) + B22 - B23</f>
        <v>556369.02</v>
      </c>
      <c r="C24" s="22">
        <f xml:space="preserve"> SUM(InitialOutstandingPayments02[Amount])</f>
        <v>3340.17</v>
      </c>
      <c r="F24" s="27">
        <f xml:space="preserve"> SUM(F17:F21) + F22 - F23</f>
        <v>555048.21000000008</v>
      </c>
      <c r="H24" s="33"/>
      <c r="I24" s="33"/>
      <c r="J24" s="33"/>
      <c r="K24" s="33"/>
      <c r="L24" s="31"/>
      <c r="M24" s="31"/>
      <c r="N24" s="31"/>
    </row>
    <row r="25" spans="1:15" ht="14.7" thickBot="1">
      <c r="I25" s="33"/>
      <c r="J25" s="33"/>
      <c r="K25" s="33"/>
      <c r="L25" s="33"/>
      <c r="M25" s="31"/>
      <c r="N25" s="31"/>
      <c r="O25" s="31"/>
    </row>
    <row r="26" spans="1:15" ht="15" thickTop="1" thickBot="1">
      <c r="A26" s="61" t="s">
        <v>218</v>
      </c>
      <c r="B26" s="61"/>
      <c r="C26" s="61"/>
      <c r="E26" s="61" t="s">
        <v>227</v>
      </c>
      <c r="F26" s="61"/>
      <c r="G26" s="61"/>
      <c r="I26" s="33"/>
      <c r="J26" s="33"/>
      <c r="K26" s="33"/>
      <c r="L26" s="33"/>
      <c r="M26" s="31"/>
      <c r="N26" s="31"/>
      <c r="O26" s="31"/>
    </row>
    <row r="27" spans="1:15" ht="14.7" thickTop="1">
      <c r="A27" s="22" t="s">
        <v>208</v>
      </c>
      <c r="B27" s="22" t="s">
        <v>176</v>
      </c>
      <c r="C27" s="22" t="s">
        <v>189</v>
      </c>
      <c r="E27" s="22" t="s">
        <v>178</v>
      </c>
      <c r="F27" s="31" t="s">
        <v>176</v>
      </c>
      <c r="G27" s="31" t="s">
        <v>186</v>
      </c>
      <c r="H27" s="31"/>
      <c r="I27" s="33"/>
      <c r="J27" s="33"/>
      <c r="K27" s="33"/>
      <c r="L27" s="33"/>
    </row>
    <row r="28" spans="1:15">
      <c r="A28" s="22" t="s">
        <v>213</v>
      </c>
      <c r="B28" s="32">
        <v>2019.3</v>
      </c>
      <c r="C28" s="34"/>
      <c r="F28" s="31"/>
      <c r="G28" s="31"/>
      <c r="H28" s="31"/>
      <c r="I28" s="33"/>
      <c r="J28" s="33"/>
      <c r="K28" s="33"/>
      <c r="L28" s="33"/>
    </row>
    <row r="29" spans="1:15">
      <c r="A29" s="22" t="s">
        <v>233</v>
      </c>
      <c r="B29" s="32">
        <v>114</v>
      </c>
      <c r="C29" s="34"/>
      <c r="F29" s="31"/>
      <c r="G29" s="31"/>
      <c r="H29" s="31"/>
      <c r="I29" s="33"/>
      <c r="J29" s="33"/>
      <c r="K29" s="33"/>
      <c r="L29" s="33"/>
    </row>
    <row r="30" spans="1:15">
      <c r="A30" s="22" t="s">
        <v>234</v>
      </c>
      <c r="B30" s="32">
        <v>27.37</v>
      </c>
      <c r="C30" s="34"/>
      <c r="F30" s="31"/>
      <c r="G30" s="31"/>
      <c r="H30" s="31"/>
      <c r="I30" s="33"/>
      <c r="J30" s="33"/>
      <c r="K30" s="33"/>
      <c r="L30" s="33"/>
    </row>
    <row r="31" spans="1:15">
      <c r="A31" s="22" t="s">
        <v>235</v>
      </c>
      <c r="B31" s="32">
        <v>250</v>
      </c>
      <c r="C31" s="34"/>
      <c r="F31" s="31"/>
      <c r="G31" s="31"/>
      <c r="H31" s="31"/>
      <c r="I31" s="33"/>
      <c r="J31" s="33"/>
      <c r="K31" s="33"/>
      <c r="L31" s="33"/>
    </row>
    <row r="32" spans="1:15">
      <c r="A32" s="22">
        <v>5213</v>
      </c>
      <c r="B32" s="32">
        <v>257.8</v>
      </c>
      <c r="C32" s="34" t="s">
        <v>194</v>
      </c>
      <c r="F32" s="31"/>
      <c r="G32" s="31"/>
      <c r="H32" s="31"/>
      <c r="I32" s="33"/>
      <c r="J32" s="33"/>
      <c r="K32" s="33"/>
      <c r="L32" s="33"/>
    </row>
    <row r="33" spans="1:19">
      <c r="A33" s="22">
        <v>5219</v>
      </c>
      <c r="B33" s="32">
        <v>300</v>
      </c>
      <c r="C33" s="34" t="s">
        <v>194</v>
      </c>
      <c r="F33" s="31"/>
      <c r="G33" s="31"/>
      <c r="H33" s="31"/>
      <c r="I33" s="33"/>
      <c r="J33" s="33"/>
      <c r="K33" s="33"/>
      <c r="L33" s="33"/>
    </row>
    <row r="34" spans="1:19">
      <c r="A34" s="22" t="s">
        <v>231</v>
      </c>
      <c r="B34" s="32">
        <v>371.7</v>
      </c>
      <c r="C34" s="34"/>
      <c r="F34" s="31"/>
      <c r="G34" s="31"/>
      <c r="H34" s="31"/>
      <c r="I34" s="33"/>
      <c r="J34" s="33"/>
      <c r="K34" s="33"/>
      <c r="L34" s="33"/>
    </row>
    <row r="35" spans="1:19">
      <c r="B35" s="32"/>
      <c r="C35" s="34"/>
      <c r="F35" s="31"/>
      <c r="G35" s="31"/>
      <c r="H35" s="31"/>
      <c r="I35" s="33"/>
      <c r="J35" s="33"/>
      <c r="K35" s="33"/>
      <c r="L35" s="33"/>
    </row>
    <row r="36" spans="1:19">
      <c r="I36" s="33"/>
      <c r="J36" s="33"/>
      <c r="K36" s="33"/>
      <c r="L36" s="33"/>
      <c r="M36" s="31"/>
      <c r="N36" s="31"/>
      <c r="O36" s="31"/>
    </row>
    <row r="37" spans="1:19">
      <c r="A37" s="62" t="s">
        <v>173</v>
      </c>
      <c r="B37" s="63"/>
      <c r="C37" s="63"/>
      <c r="D37" s="63"/>
      <c r="E37" s="63"/>
      <c r="F37" s="63"/>
      <c r="I37" s="33"/>
      <c r="J37" s="33"/>
      <c r="K37" s="33"/>
      <c r="L37" s="33"/>
      <c r="M37" s="31"/>
      <c r="N37" s="31"/>
      <c r="O37" s="31"/>
    </row>
    <row r="38" spans="1:19">
      <c r="A38" s="22" t="s">
        <v>169</v>
      </c>
      <c r="B38" s="22" t="s">
        <v>178</v>
      </c>
      <c r="C38" s="22" t="s">
        <v>185</v>
      </c>
      <c r="D38" s="22" t="s">
        <v>230</v>
      </c>
      <c r="E38" s="22" t="s">
        <v>176</v>
      </c>
      <c r="F38" s="22" t="s">
        <v>211</v>
      </c>
      <c r="I38" s="33"/>
      <c r="J38" s="33"/>
      <c r="K38" s="33"/>
      <c r="L38" s="33"/>
      <c r="M38" s="31"/>
      <c r="N38" s="31"/>
      <c r="O38" s="31"/>
    </row>
    <row r="39" spans="1:19">
      <c r="A39" s="28">
        <v>44962</v>
      </c>
      <c r="B39" s="22" t="s">
        <v>198</v>
      </c>
      <c r="C39" s="22" t="s">
        <v>199</v>
      </c>
      <c r="D39" s="22">
        <v>5224</v>
      </c>
      <c r="E39" s="32">
        <v>300</v>
      </c>
      <c r="F39" s="34" t="s">
        <v>194</v>
      </c>
      <c r="I39" s="33"/>
      <c r="J39" s="33"/>
      <c r="K39" s="33"/>
      <c r="L39" s="33"/>
      <c r="M39" s="31"/>
      <c r="N39" s="31"/>
      <c r="O39" s="31"/>
      <c r="R39" s="35"/>
      <c r="S39" s="27"/>
    </row>
    <row r="40" spans="1:19">
      <c r="A40" s="28">
        <v>44970</v>
      </c>
      <c r="B40" s="22" t="s">
        <v>236</v>
      </c>
      <c r="C40" s="22" t="s">
        <v>238</v>
      </c>
      <c r="D40" s="22">
        <v>5226</v>
      </c>
      <c r="E40" s="32">
        <v>692.6</v>
      </c>
      <c r="F40" s="34" t="s">
        <v>194</v>
      </c>
      <c r="I40" s="33"/>
      <c r="J40" s="33"/>
      <c r="K40" s="33"/>
      <c r="L40" s="33"/>
      <c r="M40" s="31"/>
      <c r="N40" s="31"/>
      <c r="O40" s="31"/>
    </row>
    <row r="41" spans="1:19">
      <c r="A41" s="28">
        <v>44969</v>
      </c>
      <c r="B41" s="22" t="s">
        <v>204</v>
      </c>
      <c r="C41" s="22" t="s">
        <v>199</v>
      </c>
      <c r="D41" s="22">
        <v>5225</v>
      </c>
      <c r="E41" s="32">
        <v>300</v>
      </c>
      <c r="F41" s="34" t="s">
        <v>194</v>
      </c>
      <c r="I41" s="33"/>
      <c r="J41" s="33"/>
      <c r="K41" s="33"/>
      <c r="L41" s="33"/>
      <c r="M41" s="31"/>
      <c r="N41" s="31"/>
      <c r="O41" s="31"/>
    </row>
    <row r="42" spans="1:19">
      <c r="A42" s="28">
        <v>44976</v>
      </c>
      <c r="B42" s="22" t="s">
        <v>237</v>
      </c>
      <c r="C42" s="22" t="s">
        <v>199</v>
      </c>
      <c r="D42" s="22">
        <v>5227</v>
      </c>
      <c r="E42" s="32">
        <v>300</v>
      </c>
      <c r="F42" s="34" t="s">
        <v>194</v>
      </c>
      <c r="I42" s="33"/>
      <c r="J42" s="33"/>
      <c r="K42" s="33"/>
      <c r="L42" s="33"/>
      <c r="M42" s="31"/>
      <c r="N42" s="31"/>
      <c r="O42" s="31"/>
    </row>
    <row r="43" spans="1:19">
      <c r="A43" s="28">
        <v>44978</v>
      </c>
      <c r="B43" s="22" t="s">
        <v>205</v>
      </c>
      <c r="C43" s="22" t="s">
        <v>206</v>
      </c>
      <c r="D43" s="22">
        <v>5228</v>
      </c>
      <c r="E43" s="32">
        <v>864</v>
      </c>
      <c r="F43" s="34" t="s">
        <v>194</v>
      </c>
      <c r="I43" s="33"/>
      <c r="J43" s="33"/>
      <c r="K43" s="33"/>
      <c r="L43" s="33"/>
      <c r="M43" s="31"/>
      <c r="N43" s="31"/>
      <c r="O43" s="31"/>
    </row>
    <row r="44" spans="1:19">
      <c r="A44" s="28">
        <v>44983</v>
      </c>
      <c r="B44" s="22" t="s">
        <v>207</v>
      </c>
      <c r="C44" s="22" t="s">
        <v>199</v>
      </c>
      <c r="D44" s="22">
        <v>5229</v>
      </c>
      <c r="E44" s="32">
        <v>300</v>
      </c>
      <c r="F44" s="34"/>
      <c r="I44" s="33"/>
      <c r="J44" s="33"/>
      <c r="K44" s="33"/>
      <c r="L44" s="33"/>
      <c r="M44" s="31"/>
      <c r="N44" s="31"/>
      <c r="O44" s="31"/>
    </row>
    <row r="45" spans="1:19">
      <c r="A45" s="28">
        <v>44961</v>
      </c>
      <c r="B45" s="22" t="s">
        <v>209</v>
      </c>
      <c r="C45" s="22" t="s">
        <v>210</v>
      </c>
      <c r="E45" s="32">
        <v>206</v>
      </c>
      <c r="F45" s="34" t="s">
        <v>194</v>
      </c>
      <c r="I45" s="31"/>
      <c r="J45" s="31"/>
      <c r="K45" s="31"/>
      <c r="L45" s="31"/>
      <c r="M45" s="31"/>
      <c r="N45" s="31"/>
      <c r="O45" s="31"/>
    </row>
    <row r="46" spans="1:19">
      <c r="A46" s="28">
        <v>44985</v>
      </c>
      <c r="B46" s="22" t="s">
        <v>239</v>
      </c>
      <c r="C46" s="22" t="s">
        <v>214</v>
      </c>
      <c r="E46" s="32">
        <v>448.7</v>
      </c>
      <c r="F46" s="34"/>
      <c r="I46" s="31"/>
      <c r="J46" s="31"/>
      <c r="K46" s="31"/>
      <c r="L46" s="31"/>
      <c r="M46" s="31"/>
      <c r="N46" s="31"/>
      <c r="O46" s="31"/>
    </row>
    <row r="47" spans="1:19">
      <c r="A47" s="28"/>
      <c r="E47" s="32"/>
      <c r="F47" s="34"/>
      <c r="I47" s="31"/>
      <c r="J47" s="31"/>
      <c r="K47" s="31"/>
      <c r="L47" s="31"/>
      <c r="M47" s="31"/>
      <c r="N47" s="31"/>
      <c r="O47" s="31"/>
    </row>
    <row r="48" spans="1:19">
      <c r="A48" s="28"/>
      <c r="E48" s="32"/>
      <c r="F48" s="34"/>
      <c r="I48" s="31"/>
      <c r="J48" s="31"/>
      <c r="K48" s="31"/>
      <c r="L48" s="31"/>
      <c r="M48" s="31"/>
      <c r="N48" s="31"/>
      <c r="O48" s="31"/>
    </row>
    <row r="51" spans="1:9">
      <c r="A51" s="22" t="s">
        <v>169</v>
      </c>
      <c r="B51" s="22" t="s">
        <v>185</v>
      </c>
      <c r="C51" s="22" t="s">
        <v>176</v>
      </c>
      <c r="D51" s="22" t="s">
        <v>240</v>
      </c>
      <c r="E51" s="22" t="s">
        <v>186</v>
      </c>
    </row>
    <row r="52" spans="1:9">
      <c r="A52" s="28">
        <v>44985</v>
      </c>
      <c r="B52" s="22" t="s">
        <v>6</v>
      </c>
      <c r="C52" s="22">
        <v>5430</v>
      </c>
      <c r="D52" s="22" t="s">
        <v>241</v>
      </c>
      <c r="E52" s="22" t="s">
        <v>194</v>
      </c>
      <c r="F52" s="60" t="s">
        <v>242</v>
      </c>
      <c r="G52" s="60"/>
      <c r="H52" s="36">
        <f>SUMIF(Offering02[Category], "G*",Offering02[Amount])</f>
        <v>5430.66</v>
      </c>
    </row>
    <row r="53" spans="1:9">
      <c r="A53" s="28">
        <v>44985</v>
      </c>
      <c r="B53" s="22" t="s">
        <v>228</v>
      </c>
      <c r="C53" s="22">
        <v>0.66</v>
      </c>
      <c r="D53" s="22" t="s">
        <v>70</v>
      </c>
      <c r="E53" s="22" t="s">
        <v>194</v>
      </c>
      <c r="F53" s="60" t="s">
        <v>215</v>
      </c>
      <c r="G53" s="60"/>
      <c r="H53" s="36">
        <f xml:space="preserve"> H52 * 0.09</f>
        <v>488.75939999999997</v>
      </c>
      <c r="I53" s="22" t="s">
        <v>217</v>
      </c>
    </row>
    <row r="54" spans="1:9">
      <c r="A54" s="28"/>
    </row>
  </sheetData>
  <mergeCells count="7">
    <mergeCell ref="F53:G53"/>
    <mergeCell ref="A3:F3"/>
    <mergeCell ref="A15:F15"/>
    <mergeCell ref="A26:C26"/>
    <mergeCell ref="E26:G26"/>
    <mergeCell ref="A37:F37"/>
    <mergeCell ref="F52:G52"/>
  </mergeCells>
  <conditionalFormatting sqref="F39:F44 F46:F47">
    <cfRule type="containsText" dxfId="90" priority="4" operator="containsText" text="Y">
      <formula>NOT(ISERROR(SEARCH("Y",F39)))</formula>
    </cfRule>
    <cfRule type="containsText" priority="5" operator="containsText" text="&quot;&quot;">
      <formula>NOT(ISERROR(SEARCH("""""",F39)))</formula>
    </cfRule>
  </conditionalFormatting>
  <conditionalFormatting sqref="C28:C35">
    <cfRule type="containsText" dxfId="89" priority="3" operator="containsText" text="Y">
      <formula>NOT(ISERROR(SEARCH("Y",C28)))</formula>
    </cfRule>
  </conditionalFormatting>
  <conditionalFormatting sqref="F45">
    <cfRule type="containsText" dxfId="88" priority="1" operator="containsText" text="Y">
      <formula>NOT(ISERROR(SEARCH("Y",F45)))</formula>
    </cfRule>
    <cfRule type="containsText" priority="2" operator="containsText" text="&quot;&quot;">
      <formula>NOT(ISERROR(SEARCH("""""",F45)))</formula>
    </cfRule>
  </conditionalFormatting>
  <dataValidations count="1">
    <dataValidation type="list" allowBlank="1" showInputMessage="1" showErrorMessage="1" sqref="C39:C48 D46:D48" xr:uid="{DB8001EA-D8E6-4578-B4C8-C6364603E26E}">
      <formula1 xml:space="preserve"> INDIRECT("ExpenseCategory!ExpenseCategory[Display List]" 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43CE-92EE-410A-9602-A0DF5197613D}">
  <dimension ref="A1:S58"/>
  <sheetViews>
    <sheetView topLeftCell="A13" workbookViewId="0">
      <selection activeCell="A39" sqref="A39:E51"/>
    </sheetView>
  </sheetViews>
  <sheetFormatPr defaultRowHeight="14.4"/>
  <cols>
    <col min="1" max="1" width="23.05078125" style="22" customWidth="1"/>
    <col min="2" max="2" width="23.9453125" style="22" customWidth="1"/>
    <col min="3" max="3" width="35.62890625" style="22" customWidth="1"/>
    <col min="4" max="4" width="19.26171875" style="22" customWidth="1"/>
    <col min="5" max="5" width="25.05078125" style="22" customWidth="1"/>
    <col min="6" max="6" width="31.15625" style="22" customWidth="1"/>
    <col min="7" max="7" width="20.47265625" style="22" customWidth="1"/>
    <col min="8" max="8" width="22.68359375" style="22" customWidth="1"/>
    <col min="9" max="9" width="25.20703125" style="22" customWidth="1"/>
    <col min="10" max="10" width="19" style="22" customWidth="1"/>
    <col min="11" max="11" width="20.7890625" style="22" customWidth="1"/>
    <col min="12" max="12" width="17.3671875" style="22" customWidth="1"/>
    <col min="13" max="13" width="14.62890625" style="22" customWidth="1"/>
    <col min="14" max="18" width="8.83984375" style="22"/>
    <col min="19" max="19" width="13.578125" style="22" customWidth="1"/>
    <col min="20" max="20" width="19.7890625" style="22" customWidth="1"/>
    <col min="21" max="21" width="9.15625" style="22" bestFit="1" customWidth="1"/>
    <col min="22" max="16384" width="8.83984375" style="22"/>
  </cols>
  <sheetData>
    <row r="1" spans="1:15" ht="28.2">
      <c r="A1" s="24" t="s">
        <v>168</v>
      </c>
      <c r="B1" s="25">
        <v>3</v>
      </c>
      <c r="C1" s="24" t="s">
        <v>172</v>
      </c>
      <c r="D1" s="42">
        <v>2023</v>
      </c>
    </row>
    <row r="2" spans="1:15" ht="14.7" customHeight="1" thickBot="1">
      <c r="I2" s="33"/>
      <c r="J2" s="33"/>
      <c r="K2" s="33"/>
      <c r="L2" s="33"/>
      <c r="M2" s="31"/>
      <c r="N2" s="31"/>
      <c r="O2" s="31"/>
    </row>
    <row r="3" spans="1:15" ht="15" thickTop="1" thickBot="1">
      <c r="A3" s="61" t="s">
        <v>154</v>
      </c>
      <c r="B3" s="61"/>
      <c r="C3" s="61"/>
      <c r="D3" s="61"/>
      <c r="E3" s="61"/>
      <c r="F3" s="61"/>
      <c r="I3" s="33"/>
      <c r="J3" s="33"/>
      <c r="K3" s="33"/>
      <c r="L3" s="33"/>
      <c r="M3" s="31"/>
      <c r="N3" s="31"/>
      <c r="O3" s="31"/>
    </row>
    <row r="4" spans="1:15" ht="14.7" thickTop="1">
      <c r="A4" s="22" t="s">
        <v>154</v>
      </c>
      <c r="B4" s="22" t="s">
        <v>162</v>
      </c>
      <c r="C4" s="22" t="s">
        <v>157</v>
      </c>
      <c r="D4" s="22" t="s">
        <v>159</v>
      </c>
      <c r="E4" s="22" t="s">
        <v>158</v>
      </c>
      <c r="F4" s="22" t="s">
        <v>229</v>
      </c>
      <c r="I4" s="33"/>
      <c r="J4" s="33"/>
      <c r="K4" s="33"/>
      <c r="L4" s="33"/>
      <c r="M4" s="31"/>
      <c r="N4" s="31"/>
      <c r="O4" s="31"/>
    </row>
    <row r="5" spans="1:15">
      <c r="A5" s="22" t="s">
        <v>65</v>
      </c>
      <c r="B5" s="23">
        <f xml:space="preserve"> VLOOKUP(A5, Funds02[], 6, FALSE)</f>
        <v>59290.130000000005</v>
      </c>
      <c r="C5" s="23">
        <v>59290.130000000005</v>
      </c>
      <c r="D5" s="23">
        <f>SUMIF(Offering03[Category], "G*",Offering03[Amount])</f>
        <v>2690.73</v>
      </c>
      <c r="E5" s="27">
        <f>SUMIF(Expenses03[Category], "G*",Expenses03[Amount])</f>
        <v>2222.16</v>
      </c>
      <c r="F5" s="27">
        <f xml:space="preserve"> Funds03[[#This Row],[Initial Amount]] + Funds03[[#This Row],[Income]] - Funds03[[#This Row],[Expense]]</f>
        <v>59758.700000000012</v>
      </c>
      <c r="I5" s="33"/>
      <c r="J5" s="33"/>
      <c r="K5" s="33"/>
      <c r="L5" s="33"/>
      <c r="M5" s="31"/>
      <c r="N5" s="31"/>
      <c r="O5" s="31"/>
    </row>
    <row r="6" spans="1:15">
      <c r="A6" s="22" t="s">
        <v>11</v>
      </c>
      <c r="B6" s="23">
        <f xml:space="preserve"> VLOOKUP(A6, Funds02[], 6, FALSE)</f>
        <v>427129.98</v>
      </c>
      <c r="C6" s="27">
        <v>427129.98</v>
      </c>
      <c r="D6" s="27">
        <f>SUMIF(Offering03[Category], "B*",Offering03[Amount])</f>
        <v>0</v>
      </c>
      <c r="E6" s="27">
        <f>SUMIF(Expenses03[Category], "B*",Expenses03[Amount])</f>
        <v>1986</v>
      </c>
      <c r="F6" s="27">
        <f xml:space="preserve"> Funds03[[#This Row],[Initial Amount]] + Funds03[[#This Row],[Income]] - Funds03[[#This Row],[Expense]]</f>
        <v>425143.98</v>
      </c>
      <c r="I6" s="33"/>
      <c r="J6" s="33"/>
      <c r="K6" s="33"/>
      <c r="L6" s="33"/>
      <c r="M6" s="31"/>
      <c r="N6" s="31"/>
      <c r="O6" s="31"/>
    </row>
    <row r="7" spans="1:15">
      <c r="A7" s="22" t="s">
        <v>67</v>
      </c>
      <c r="B7" s="23">
        <f xml:space="preserve"> VLOOKUP(A7, Funds02[], 6, FALSE)</f>
        <v>34557.54</v>
      </c>
      <c r="C7" s="27">
        <v>34557.54</v>
      </c>
      <c r="D7" s="27">
        <f>SUMIF(Offering03[Category], "M*",Offering03[Amount])</f>
        <v>1250</v>
      </c>
      <c r="E7" s="27">
        <f>SUMIF(Expenses03[Category], "M*",Expenses03[Amount])</f>
        <v>282.5</v>
      </c>
      <c r="F7" s="27">
        <f xml:space="preserve"> Funds03[[#This Row],[Initial Amount]] + Funds03[[#This Row],[Income]] - Funds03[[#This Row],[Expense]]</f>
        <v>35525.040000000001</v>
      </c>
      <c r="I7" s="33"/>
      <c r="J7" s="33"/>
      <c r="K7" s="33"/>
      <c r="L7" s="33"/>
      <c r="M7" s="31"/>
      <c r="N7" s="31"/>
      <c r="O7" s="31"/>
    </row>
    <row r="8" spans="1:15">
      <c r="A8" s="22" t="s">
        <v>155</v>
      </c>
      <c r="B8" s="23">
        <f xml:space="preserve"> VLOOKUP(A8, Funds02[], 6, FALSE)</f>
        <v>2000</v>
      </c>
      <c r="C8" s="27">
        <v>2000</v>
      </c>
      <c r="D8" s="27">
        <f>SUMIF(Offering03[Category], "O*",Offering03[Amount])</f>
        <v>250</v>
      </c>
      <c r="E8" s="27">
        <f>SUMIF(Expenses03[Category], "O*",Expenses03[Amount])</f>
        <v>0</v>
      </c>
      <c r="F8" s="27">
        <f xml:space="preserve"> Funds03[[#This Row],[Initial Amount]] + Funds03[[#This Row],[Income]] - Funds03[[#This Row],[Expense]]</f>
        <v>2250</v>
      </c>
      <c r="I8" s="33"/>
      <c r="J8" s="33"/>
      <c r="K8" s="33"/>
      <c r="L8" s="33"/>
      <c r="M8" s="31"/>
      <c r="N8" s="31"/>
      <c r="O8" s="31"/>
    </row>
    <row r="9" spans="1:15">
      <c r="A9" s="22" t="s">
        <v>160</v>
      </c>
      <c r="B9" s="23">
        <f xml:space="preserve"> VLOOKUP(A9, Funds02[], 6, FALSE)</f>
        <v>27613.79</v>
      </c>
      <c r="C9" s="27">
        <v>27613.79</v>
      </c>
      <c r="D9" s="27">
        <f>SUMIF(Offering03[Category], "EN*",Offering03[Amount])</f>
        <v>0</v>
      </c>
      <c r="E9" s="27">
        <f>SUMIF(Expenses03[Category], "EN*",Expenses03[Amount])</f>
        <v>300</v>
      </c>
      <c r="F9" s="27">
        <f xml:space="preserve"> Funds03[[#This Row],[Initial Amount]] + Funds03[[#This Row],[Income]] - Funds03[[#This Row],[Expense]]</f>
        <v>27313.79</v>
      </c>
      <c r="I9" s="33"/>
      <c r="J9" s="33"/>
      <c r="K9" s="33"/>
      <c r="L9" s="33"/>
      <c r="M9" s="31"/>
      <c r="N9" s="31"/>
      <c r="O9" s="31"/>
    </row>
    <row r="10" spans="1:15">
      <c r="A10" s="22" t="s">
        <v>156</v>
      </c>
      <c r="B10" s="23">
        <f xml:space="preserve"> VLOOKUP(A10, Funds02[], 6, FALSE)</f>
        <v>4456.7700000000004</v>
      </c>
      <c r="C10" s="27">
        <v>4456.7700000000004</v>
      </c>
      <c r="D10" s="27">
        <f>SUMIF(Offering03[Category], "L*",Offering03[Amount])</f>
        <v>0</v>
      </c>
      <c r="E10" s="27"/>
      <c r="F10" s="27">
        <f xml:space="preserve"> Funds03[[#This Row],[Initial Amount]] + Funds03[[#This Row],[Income]] - Funds03[[#This Row],[Expense]]</f>
        <v>4456.7700000000004</v>
      </c>
      <c r="I10" s="33"/>
      <c r="J10" s="33"/>
      <c r="K10" s="33"/>
      <c r="L10" s="33"/>
      <c r="M10" s="31"/>
      <c r="N10" s="31"/>
      <c r="O10" s="31"/>
    </row>
    <row r="11" spans="1:15">
      <c r="A11" s="22" t="s">
        <v>195</v>
      </c>
      <c r="B11" s="27"/>
      <c r="C11" s="27">
        <v>0</v>
      </c>
      <c r="D11" s="27"/>
      <c r="E11" s="27"/>
      <c r="F11" s="27">
        <f xml:space="preserve"> Funds03[[#This Row],[Initial Amount]] + Funds03[[#This Row],[Income]] - Funds03[[#This Row],[Expense]]</f>
        <v>0</v>
      </c>
      <c r="I11" s="33"/>
      <c r="J11" s="33"/>
      <c r="K11" s="33"/>
      <c r="L11" s="33"/>
      <c r="M11" s="31"/>
      <c r="N11" s="31"/>
      <c r="O11" s="31"/>
    </row>
    <row r="12" spans="1:15">
      <c r="B12" s="27"/>
      <c r="C12" s="27">
        <v>0</v>
      </c>
      <c r="D12" s="27"/>
      <c r="E12" s="27"/>
      <c r="F12" s="27">
        <f xml:space="preserve"> Funds03[[#This Row],[Initial Amount]] + Funds03[[#This Row],[Income]] - Funds03[[#This Row],[Expense]]</f>
        <v>0</v>
      </c>
      <c r="I12" s="33"/>
      <c r="J12" s="33"/>
      <c r="K12" s="33"/>
      <c r="L12" s="33"/>
      <c r="M12" s="31"/>
      <c r="N12" s="31"/>
      <c r="O12" s="31"/>
    </row>
    <row r="13" spans="1:15">
      <c r="B13" s="27">
        <f xml:space="preserve"> SUM(Funds03[Initial Amount (Auto Calculated)])</f>
        <v>555048.21</v>
      </c>
      <c r="C13" s="27">
        <f xml:space="preserve"> SUM(Funds03[Initial Amount])</f>
        <v>555048.21</v>
      </c>
      <c r="D13" s="27"/>
      <c r="E13" s="27">
        <f xml:space="preserve"> SUM(Funds03[Expense])</f>
        <v>4790.66</v>
      </c>
      <c r="F13" s="27">
        <f xml:space="preserve"> SUM(Funds03[End of Month Amount])</f>
        <v>554448.28</v>
      </c>
      <c r="I13" s="33"/>
      <c r="J13" s="33"/>
      <c r="K13" s="33"/>
      <c r="L13" s="33"/>
      <c r="M13" s="31"/>
      <c r="N13" s="31"/>
      <c r="O13" s="31"/>
    </row>
    <row r="14" spans="1:15" ht="14.7" thickBot="1">
      <c r="I14" s="33"/>
      <c r="J14" s="33"/>
      <c r="K14" s="33"/>
      <c r="L14" s="33"/>
      <c r="M14" s="31"/>
      <c r="N14" s="31"/>
      <c r="O14" s="31"/>
    </row>
    <row r="15" spans="1:15" ht="15" thickTop="1" thickBot="1">
      <c r="A15" s="61" t="s">
        <v>161</v>
      </c>
      <c r="B15" s="61"/>
      <c r="C15" s="61"/>
      <c r="D15" s="61"/>
      <c r="E15" s="61"/>
      <c r="F15" s="61"/>
      <c r="I15" s="33"/>
      <c r="J15" s="33"/>
      <c r="K15" s="33"/>
      <c r="L15" s="33"/>
      <c r="M15" s="31"/>
      <c r="N15" s="31"/>
      <c r="O15" s="31"/>
    </row>
    <row r="16" spans="1:15" ht="14.7" thickTop="1">
      <c r="A16" s="22" t="s">
        <v>161</v>
      </c>
      <c r="B16" s="22" t="s">
        <v>163</v>
      </c>
      <c r="C16" s="22" t="s">
        <v>164</v>
      </c>
      <c r="D16" s="22" t="s">
        <v>184</v>
      </c>
      <c r="E16" s="22" t="s">
        <v>165</v>
      </c>
      <c r="F16" s="22" t="s">
        <v>229</v>
      </c>
      <c r="H16" s="33"/>
      <c r="I16" s="33"/>
      <c r="J16" s="33"/>
      <c r="K16" s="33"/>
      <c r="L16" s="31"/>
      <c r="M16" s="31"/>
      <c r="N16" s="31"/>
    </row>
    <row r="17" spans="1:15">
      <c r="A17" s="22" t="s">
        <v>166</v>
      </c>
      <c r="B17" s="27">
        <f xml:space="preserve"> VLOOKUP(A17, BankAccounts02[], 6, FALSE)</f>
        <v>108192.23999999999</v>
      </c>
      <c r="C17" s="27">
        <v>108192.23999999999</v>
      </c>
      <c r="D17" s="27">
        <f>SUMIF(Offering03[Bank Account], "C",Offering03[Amount])</f>
        <v>4190</v>
      </c>
      <c r="E17" s="27">
        <f>SUMIF(Expenses03[Paid/Cashed ?], "Y",Expenses03[Amount]) + SUMIF(InitialOutstandingPayments03[Paid ?], "Y",InitialOutstandingPayments03[Amount])</f>
        <v>3988.5</v>
      </c>
      <c r="F17" s="27">
        <f xml:space="preserve"> BankAccounts03[[#This Row],[Initial Balance]] + BankAccounts03[[#This Row],[Deposit/Interest]] - BankAccounts03[[#This Row],[Withdraw]]</f>
        <v>108393.73999999999</v>
      </c>
      <c r="H17" s="33"/>
      <c r="I17" s="33"/>
      <c r="J17" s="33"/>
      <c r="K17" s="33"/>
      <c r="L17" s="31"/>
      <c r="M17" s="31"/>
      <c r="N17" s="31"/>
    </row>
    <row r="18" spans="1:15">
      <c r="A18" s="22" t="s">
        <v>167</v>
      </c>
      <c r="B18" s="27">
        <f xml:space="preserve"> VLOOKUP(A18, BankAccounts02[], 6, FALSE)</f>
        <v>86467.81</v>
      </c>
      <c r="C18" s="27">
        <v>86467.81</v>
      </c>
      <c r="D18" s="27">
        <f>SUMIF(Offering03[Bank Account], "M*",Offering03[Amount])</f>
        <v>0.73</v>
      </c>
      <c r="E18" s="27"/>
      <c r="F18" s="27">
        <f xml:space="preserve"> BankAccounts03[[#This Row],[Initial Balance]] + BankAccounts03[[#This Row],[Deposit/Interest]] - BankAccounts03[[#This Row],[Withdraw]]</f>
        <v>86468.54</v>
      </c>
      <c r="H18" s="33"/>
      <c r="I18" s="22" t="s">
        <v>220</v>
      </c>
      <c r="J18" s="22" t="s">
        <v>221</v>
      </c>
      <c r="K18" s="22" t="s">
        <v>226</v>
      </c>
      <c r="L18" s="22" t="s">
        <v>222</v>
      </c>
      <c r="M18" s="22" t="s">
        <v>225</v>
      </c>
      <c r="N18" s="31"/>
    </row>
    <row r="19" spans="1:15">
      <c r="A19" s="22" t="s">
        <v>181</v>
      </c>
      <c r="B19" s="27">
        <f xml:space="preserve"> VLOOKUP(A19, BankAccounts02[], 6, FALSE)</f>
        <v>103844.08</v>
      </c>
      <c r="C19" s="27">
        <v>103844.08</v>
      </c>
      <c r="D19" s="27"/>
      <c r="E19" s="27"/>
      <c r="F19" s="27">
        <f xml:space="preserve"> BankAccounts03[[#This Row],[Initial Balance]] + BankAccounts03[[#This Row],[Deposit/Interest]] - BankAccounts03[[#This Row],[Withdraw]]</f>
        <v>103844.08</v>
      </c>
      <c r="H19" s="33"/>
      <c r="I19" s="22" t="s">
        <v>219</v>
      </c>
      <c r="J19" s="35">
        <v>4.2099999999999999E-2</v>
      </c>
      <c r="K19" s="22">
        <v>0</v>
      </c>
      <c r="L19" s="30">
        <v>103844.08</v>
      </c>
      <c r="M19" s="29">
        <v>45292</v>
      </c>
      <c r="N19" s="31"/>
    </row>
    <row r="20" spans="1:15">
      <c r="A20" s="22" t="s">
        <v>182</v>
      </c>
      <c r="B20" s="27">
        <f xml:space="preserve"> VLOOKUP(A20, BankAccounts02[], 6, FALSE)</f>
        <v>103844.08</v>
      </c>
      <c r="C20" s="27">
        <v>103844.08</v>
      </c>
      <c r="D20" s="27"/>
      <c r="E20" s="27"/>
      <c r="F20" s="27">
        <f xml:space="preserve"> BankAccounts03[[#This Row],[Initial Balance]] + BankAccounts03[[#This Row],[Deposit/Interest]] - BankAccounts03[[#This Row],[Withdraw]]</f>
        <v>103844.08</v>
      </c>
      <c r="H20" s="33"/>
      <c r="I20" s="22" t="s">
        <v>224</v>
      </c>
      <c r="J20" s="35">
        <v>4.2099999999999999E-2</v>
      </c>
      <c r="K20" s="22">
        <v>0</v>
      </c>
      <c r="L20" s="30">
        <v>103844.08</v>
      </c>
      <c r="M20" s="29">
        <v>45292</v>
      </c>
      <c r="N20" s="31"/>
    </row>
    <row r="21" spans="1:15">
      <c r="A21" s="22" t="s">
        <v>183</v>
      </c>
      <c r="B21" s="27">
        <f xml:space="preserve"> VLOOKUP(A21, BankAccounts02[], 6, FALSE)</f>
        <v>156231.07</v>
      </c>
      <c r="C21" s="27">
        <v>156231.07</v>
      </c>
      <c r="D21" s="27"/>
      <c r="E21" s="27"/>
      <c r="F21" s="27">
        <f xml:space="preserve"> BankAccounts03[[#This Row],[Initial Balance]] + BankAccounts03[[#This Row],[Deposit/Interest]] - BankAccounts03[[#This Row],[Withdraw]]</f>
        <v>156231.07</v>
      </c>
      <c r="H21" s="33"/>
      <c r="I21" s="22" t="s">
        <v>223</v>
      </c>
      <c r="J21" s="35">
        <v>4.9500000000000002E-2</v>
      </c>
      <c r="K21" s="30">
        <v>1949.52</v>
      </c>
      <c r="L21" s="30">
        <v>158180.59</v>
      </c>
      <c r="M21" s="29">
        <v>45319</v>
      </c>
      <c r="N21" s="31"/>
    </row>
    <row r="22" spans="1:15">
      <c r="A22" s="22" t="s">
        <v>187</v>
      </c>
      <c r="B22" s="27"/>
      <c r="C22" s="27"/>
      <c r="D22" s="27"/>
      <c r="E22" s="27"/>
      <c r="F22" s="27"/>
      <c r="H22" s="33"/>
      <c r="I22" s="33"/>
      <c r="J22" s="33"/>
      <c r="K22" s="33"/>
      <c r="L22" s="31"/>
      <c r="M22" s="31"/>
      <c r="N22" s="31"/>
    </row>
    <row r="23" spans="1:15">
      <c r="A23" s="22" t="s">
        <v>188</v>
      </c>
      <c r="B23" s="27"/>
      <c r="C23" s="27">
        <f xml:space="preserve"> SUM(InitialOutstandingPayments03[Amount])</f>
        <v>3531.0699999999997</v>
      </c>
      <c r="D23" s="27">
        <f xml:space="preserve"> SUMIF(Expenses03[Paid/Cashed ?], "",Expenses03[Amount])</f>
        <v>1102.1600000000001</v>
      </c>
      <c r="E23" s="27">
        <f xml:space="preserve"> SUMIF(InitialOutstandingPayments03[Paid ?], "Y", InitialOutstandingPayments03[Amount])</f>
        <v>300</v>
      </c>
      <c r="F23" s="27">
        <f xml:space="preserve"> BankAccounts03[[#This Row],[Initial Balance]] + BankAccounts03[[#This Row],[Deposit/Interest]] - BankAccounts03[[#This Row],[Withdraw]]</f>
        <v>4333.2299999999996</v>
      </c>
      <c r="H23" s="33"/>
      <c r="I23" s="33"/>
      <c r="J23" s="33"/>
      <c r="K23" s="33"/>
      <c r="L23" s="37">
        <f xml:space="preserve"> L21 - K21</f>
        <v>156231.07</v>
      </c>
      <c r="M23" s="31"/>
      <c r="N23" s="31"/>
    </row>
    <row r="24" spans="1:15">
      <c r="B24" s="27">
        <f xml:space="preserve"> SUM(B17:B21) + B22 - B23</f>
        <v>558579.28</v>
      </c>
      <c r="C24" s="27">
        <f xml:space="preserve"> SUM(C17:C21) - C23</f>
        <v>555048.21000000008</v>
      </c>
      <c r="F24" s="27">
        <f xml:space="preserve"> SUM(F17:F21) + F22 - F23</f>
        <v>554448.28</v>
      </c>
      <c r="H24" s="33"/>
      <c r="I24" s="33"/>
      <c r="J24" s="33"/>
      <c r="K24" s="33"/>
      <c r="L24" s="31"/>
      <c r="M24" s="31"/>
      <c r="N24" s="31"/>
    </row>
    <row r="25" spans="1:15" ht="14.7" thickBot="1">
      <c r="I25" s="33"/>
      <c r="J25" s="33"/>
      <c r="K25" s="33"/>
      <c r="L25" s="33"/>
      <c r="M25" s="31"/>
      <c r="N25" s="31"/>
      <c r="O25" s="31"/>
    </row>
    <row r="26" spans="1:15" ht="15" thickTop="1" thickBot="1">
      <c r="A26" s="61" t="s">
        <v>218</v>
      </c>
      <c r="B26" s="61"/>
      <c r="C26" s="61"/>
      <c r="E26" s="61" t="s">
        <v>227</v>
      </c>
      <c r="F26" s="61"/>
      <c r="G26" s="61"/>
      <c r="I26" s="33"/>
      <c r="J26" s="33"/>
      <c r="K26" s="33"/>
      <c r="L26" s="33"/>
      <c r="M26" s="31"/>
      <c r="N26" s="31"/>
      <c r="O26" s="31"/>
    </row>
    <row r="27" spans="1:15" ht="14.7" thickTop="1">
      <c r="A27" s="22" t="s">
        <v>208</v>
      </c>
      <c r="B27" s="22" t="s">
        <v>176</v>
      </c>
      <c r="C27" s="22" t="s">
        <v>189</v>
      </c>
      <c r="E27" s="22" t="s">
        <v>178</v>
      </c>
      <c r="F27" s="31" t="s">
        <v>176</v>
      </c>
      <c r="G27" s="31" t="s">
        <v>186</v>
      </c>
      <c r="H27" s="31"/>
      <c r="I27" s="33"/>
      <c r="J27" s="33"/>
      <c r="K27" s="33"/>
      <c r="L27" s="33"/>
    </row>
    <row r="28" spans="1:15">
      <c r="A28" s="22" t="s">
        <v>234</v>
      </c>
      <c r="B28" s="32">
        <v>27.37</v>
      </c>
      <c r="C28" s="34"/>
      <c r="F28" s="31"/>
      <c r="G28" s="31"/>
      <c r="H28" s="31"/>
      <c r="I28" s="33"/>
      <c r="J28" s="33"/>
      <c r="K28" s="33"/>
      <c r="L28" s="33"/>
    </row>
    <row r="29" spans="1:15">
      <c r="A29" s="22" t="s">
        <v>213</v>
      </c>
      <c r="B29" s="32">
        <v>2019.3</v>
      </c>
      <c r="C29" s="34"/>
      <c r="F29" s="31"/>
      <c r="G29" s="31"/>
      <c r="H29" s="31"/>
      <c r="I29" s="33"/>
      <c r="J29" s="33"/>
      <c r="K29" s="33"/>
      <c r="L29" s="33"/>
    </row>
    <row r="30" spans="1:15">
      <c r="A30" s="22" t="s">
        <v>233</v>
      </c>
      <c r="B30" s="32">
        <v>114</v>
      </c>
      <c r="C30" s="34"/>
      <c r="F30" s="31"/>
      <c r="G30" s="31"/>
      <c r="H30" s="31"/>
      <c r="I30" s="33"/>
      <c r="J30" s="33"/>
      <c r="K30" s="33"/>
      <c r="L30" s="33"/>
    </row>
    <row r="31" spans="1:15">
      <c r="A31" s="22" t="s">
        <v>235</v>
      </c>
      <c r="B31" s="32">
        <v>250</v>
      </c>
      <c r="C31" s="34"/>
      <c r="F31" s="31"/>
      <c r="G31" s="31"/>
      <c r="H31" s="31"/>
      <c r="I31" s="33"/>
      <c r="J31" s="33"/>
      <c r="K31" s="33"/>
      <c r="L31" s="33"/>
    </row>
    <row r="32" spans="1:15">
      <c r="A32" s="22" t="s">
        <v>231</v>
      </c>
      <c r="B32" s="32">
        <v>371.7</v>
      </c>
      <c r="C32" s="34"/>
      <c r="F32" s="31"/>
      <c r="G32" s="31"/>
      <c r="H32" s="31"/>
      <c r="I32" s="33"/>
      <c r="J32" s="33"/>
      <c r="K32" s="33"/>
      <c r="L32" s="33"/>
    </row>
    <row r="33" spans="1:19">
      <c r="A33" s="22" t="s">
        <v>239</v>
      </c>
      <c r="B33" s="32">
        <v>448.7</v>
      </c>
      <c r="C33" s="34"/>
      <c r="F33" s="31"/>
      <c r="G33" s="31"/>
      <c r="H33" s="31"/>
      <c r="I33" s="33"/>
      <c r="J33" s="33"/>
      <c r="K33" s="33"/>
      <c r="L33" s="33"/>
    </row>
    <row r="34" spans="1:19">
      <c r="A34" s="22">
        <v>5229</v>
      </c>
      <c r="B34" s="32">
        <v>300</v>
      </c>
      <c r="C34" s="34" t="s">
        <v>194</v>
      </c>
      <c r="F34" s="31"/>
      <c r="G34" s="31"/>
      <c r="H34" s="31"/>
      <c r="I34" s="33"/>
      <c r="J34" s="33"/>
      <c r="K34" s="33"/>
      <c r="L34" s="33"/>
    </row>
    <row r="35" spans="1:19">
      <c r="B35" s="32"/>
      <c r="C35" s="34"/>
      <c r="F35" s="31"/>
      <c r="G35" s="31"/>
      <c r="H35" s="31"/>
      <c r="I35" s="33"/>
      <c r="J35" s="33"/>
      <c r="K35" s="33"/>
      <c r="L35" s="33"/>
    </row>
    <row r="36" spans="1:19">
      <c r="I36" s="33"/>
      <c r="J36" s="33"/>
      <c r="K36" s="33"/>
      <c r="L36" s="33"/>
      <c r="M36" s="31"/>
      <c r="N36" s="31"/>
      <c r="O36" s="31"/>
    </row>
    <row r="37" spans="1:19">
      <c r="A37" s="62" t="s">
        <v>173</v>
      </c>
      <c r="B37" s="63"/>
      <c r="C37" s="63"/>
      <c r="D37" s="63"/>
      <c r="E37" s="63"/>
      <c r="F37" s="63"/>
      <c r="I37" s="33"/>
      <c r="J37" s="33"/>
      <c r="K37" s="33"/>
      <c r="L37" s="33"/>
      <c r="M37" s="31"/>
      <c r="N37" s="31"/>
      <c r="O37" s="31"/>
    </row>
    <row r="38" spans="1:19">
      <c r="A38" s="22" t="s">
        <v>169</v>
      </c>
      <c r="B38" s="22" t="s">
        <v>178</v>
      </c>
      <c r="C38" s="22" t="s">
        <v>185</v>
      </c>
      <c r="D38" s="22" t="s">
        <v>244</v>
      </c>
      <c r="E38" s="22" t="s">
        <v>176</v>
      </c>
      <c r="F38" s="22" t="s">
        <v>211</v>
      </c>
      <c r="I38" s="33"/>
      <c r="J38" s="33"/>
      <c r="K38" s="33"/>
      <c r="L38" s="33"/>
      <c r="M38" s="31"/>
      <c r="N38" s="31"/>
      <c r="O38" s="31"/>
    </row>
    <row r="39" spans="1:19">
      <c r="A39" s="28">
        <v>44990</v>
      </c>
      <c r="B39" s="22" t="s">
        <v>243</v>
      </c>
      <c r="C39" s="22" t="s">
        <v>249</v>
      </c>
      <c r="D39" s="22">
        <v>5231</v>
      </c>
      <c r="E39" s="32">
        <v>260</v>
      </c>
      <c r="F39" s="34" t="s">
        <v>194</v>
      </c>
      <c r="I39" s="33"/>
      <c r="J39" s="33"/>
      <c r="K39" s="33"/>
      <c r="L39" s="33"/>
      <c r="M39" s="31"/>
      <c r="N39" s="31"/>
      <c r="O39" s="31"/>
      <c r="R39" s="35"/>
      <c r="S39" s="27"/>
    </row>
    <row r="40" spans="1:19">
      <c r="A40" s="28">
        <v>44990</v>
      </c>
      <c r="B40" s="22" t="s">
        <v>198</v>
      </c>
      <c r="C40" s="22" t="s">
        <v>199</v>
      </c>
      <c r="D40" s="22">
        <v>5230</v>
      </c>
      <c r="E40" s="32">
        <v>300</v>
      </c>
      <c r="F40" s="34" t="s">
        <v>194</v>
      </c>
      <c r="I40" s="33"/>
      <c r="J40" s="33"/>
      <c r="K40" s="33"/>
      <c r="L40" s="33"/>
      <c r="M40" s="31"/>
      <c r="N40" s="31"/>
      <c r="O40" s="31"/>
    </row>
    <row r="41" spans="1:19">
      <c r="A41" s="28">
        <v>44997</v>
      </c>
      <c r="B41" s="22" t="s">
        <v>245</v>
      </c>
      <c r="C41" s="22" t="s">
        <v>250</v>
      </c>
      <c r="D41" s="22">
        <v>5232</v>
      </c>
      <c r="E41" s="32">
        <v>300</v>
      </c>
      <c r="F41" s="34" t="s">
        <v>194</v>
      </c>
      <c r="I41" s="33"/>
      <c r="J41" s="33"/>
      <c r="K41" s="33"/>
      <c r="L41" s="33"/>
      <c r="M41" s="31"/>
      <c r="N41" s="31"/>
      <c r="O41" s="31"/>
    </row>
    <row r="42" spans="1:19">
      <c r="A42" s="28">
        <v>44997</v>
      </c>
      <c r="B42" s="22" t="s">
        <v>246</v>
      </c>
      <c r="C42" s="22" t="s">
        <v>249</v>
      </c>
      <c r="D42" s="22">
        <v>5233</v>
      </c>
      <c r="E42" s="32">
        <v>260</v>
      </c>
      <c r="F42" s="34" t="s">
        <v>194</v>
      </c>
      <c r="I42" s="33"/>
      <c r="J42" s="33"/>
      <c r="K42" s="33"/>
      <c r="L42" s="33"/>
      <c r="M42" s="31"/>
      <c r="N42" s="31"/>
      <c r="O42" s="31"/>
    </row>
    <row r="43" spans="1:19">
      <c r="A43" s="28">
        <v>44997</v>
      </c>
      <c r="B43" s="22" t="s">
        <v>247</v>
      </c>
      <c r="C43" s="22" t="s">
        <v>251</v>
      </c>
      <c r="D43" s="22">
        <v>5234</v>
      </c>
      <c r="E43" s="32">
        <v>282.5</v>
      </c>
      <c r="F43" s="34" t="s">
        <v>194</v>
      </c>
      <c r="I43" s="33"/>
      <c r="J43" s="33"/>
      <c r="K43" s="33"/>
      <c r="L43" s="33"/>
      <c r="M43" s="31"/>
      <c r="N43" s="31"/>
      <c r="O43" s="31"/>
    </row>
    <row r="44" spans="1:19">
      <c r="A44" s="28">
        <v>45002</v>
      </c>
      <c r="B44" s="22" t="s">
        <v>248</v>
      </c>
      <c r="C44" s="22" t="s">
        <v>252</v>
      </c>
      <c r="D44" s="22">
        <v>5237</v>
      </c>
      <c r="E44" s="32">
        <v>39.99</v>
      </c>
      <c r="F44" s="34"/>
      <c r="I44" s="33"/>
      <c r="J44" s="33"/>
      <c r="K44" s="33"/>
      <c r="L44" s="33"/>
      <c r="M44" s="31"/>
      <c r="N44" s="31"/>
      <c r="O44" s="31"/>
    </row>
    <row r="45" spans="1:19">
      <c r="A45" s="28">
        <v>45004</v>
      </c>
      <c r="B45" s="22" t="s">
        <v>246</v>
      </c>
      <c r="C45" s="22" t="s">
        <v>249</v>
      </c>
      <c r="D45" s="22">
        <v>5236</v>
      </c>
      <c r="E45" s="32">
        <v>260</v>
      </c>
      <c r="F45" s="34"/>
      <c r="I45" s="31"/>
      <c r="J45" s="31"/>
      <c r="K45" s="31"/>
      <c r="L45" s="31"/>
      <c r="M45" s="31"/>
      <c r="N45" s="31"/>
      <c r="O45" s="31"/>
    </row>
    <row r="46" spans="1:19">
      <c r="A46" s="28">
        <v>45004</v>
      </c>
      <c r="B46" s="22" t="s">
        <v>204</v>
      </c>
      <c r="C46" s="22" t="s">
        <v>199</v>
      </c>
      <c r="D46" s="22">
        <v>5235</v>
      </c>
      <c r="E46" s="32">
        <v>300</v>
      </c>
      <c r="F46" s="34"/>
      <c r="I46" s="31"/>
      <c r="J46" s="31"/>
      <c r="K46" s="31"/>
      <c r="L46" s="31"/>
      <c r="M46" s="31"/>
      <c r="N46" s="31"/>
      <c r="O46" s="31"/>
    </row>
    <row r="47" spans="1:19">
      <c r="A47" s="28">
        <v>45004</v>
      </c>
      <c r="B47" s="28" t="s">
        <v>205</v>
      </c>
      <c r="C47" s="22" t="s">
        <v>206</v>
      </c>
      <c r="D47" s="22">
        <v>5238</v>
      </c>
      <c r="E47" s="32">
        <v>1728</v>
      </c>
      <c r="F47" s="34" t="s">
        <v>194</v>
      </c>
      <c r="I47" s="31"/>
      <c r="J47" s="31"/>
      <c r="K47" s="31"/>
      <c r="L47" s="31"/>
      <c r="M47" s="31"/>
      <c r="N47" s="31"/>
      <c r="O47" s="31"/>
    </row>
    <row r="48" spans="1:19">
      <c r="A48" s="28">
        <v>45011</v>
      </c>
      <c r="B48" s="28" t="s">
        <v>246</v>
      </c>
      <c r="C48" s="22" t="s">
        <v>249</v>
      </c>
      <c r="D48" s="22">
        <v>5240</v>
      </c>
      <c r="E48" s="32">
        <v>260</v>
      </c>
      <c r="F48" s="34"/>
      <c r="I48" s="31"/>
      <c r="J48" s="31"/>
      <c r="K48" s="31"/>
      <c r="L48" s="31"/>
      <c r="M48" s="31"/>
      <c r="N48" s="31"/>
      <c r="O48" s="31"/>
    </row>
    <row r="49" spans="1:15">
      <c r="A49" s="28">
        <v>45011</v>
      </c>
      <c r="B49" s="22" t="s">
        <v>207</v>
      </c>
      <c r="C49" s="22" t="s">
        <v>199</v>
      </c>
      <c r="D49" s="22">
        <v>5239</v>
      </c>
      <c r="E49" s="32">
        <v>300</v>
      </c>
      <c r="F49" s="34" t="s">
        <v>194</v>
      </c>
      <c r="I49" s="31"/>
      <c r="J49" s="31"/>
      <c r="K49" s="31"/>
      <c r="L49" s="31"/>
      <c r="M49" s="31"/>
      <c r="N49" s="31"/>
      <c r="O49" s="31"/>
    </row>
    <row r="50" spans="1:15">
      <c r="A50" s="28">
        <v>44988</v>
      </c>
      <c r="B50" s="22" t="s">
        <v>209</v>
      </c>
      <c r="C50" s="22" t="s">
        <v>210</v>
      </c>
      <c r="E50" s="32">
        <v>258</v>
      </c>
      <c r="F50" s="34" t="s">
        <v>194</v>
      </c>
    </row>
    <row r="51" spans="1:15">
      <c r="A51" s="28">
        <v>45016</v>
      </c>
      <c r="B51" s="22" t="s">
        <v>253</v>
      </c>
      <c r="C51" s="22" t="s">
        <v>214</v>
      </c>
      <c r="E51" s="32">
        <v>242.17</v>
      </c>
      <c r="F51" s="34"/>
    </row>
    <row r="53" spans="1:15">
      <c r="G53" s="38"/>
      <c r="H53" s="36">
        <f>SUMIF(Offering03[Category], "G*",Offering03[Amount])</f>
        <v>2690.73</v>
      </c>
    </row>
    <row r="54" spans="1:15">
      <c r="A54" s="22" t="s">
        <v>169</v>
      </c>
      <c r="B54" s="22" t="s">
        <v>185</v>
      </c>
      <c r="C54" s="22" t="s">
        <v>176</v>
      </c>
      <c r="D54" s="22" t="s">
        <v>240</v>
      </c>
      <c r="E54" s="22" t="s">
        <v>186</v>
      </c>
      <c r="G54" s="38"/>
      <c r="H54" s="36">
        <f xml:space="preserve"> H53 * 0.09</f>
        <v>242.16569999999999</v>
      </c>
      <c r="I54" s="22" t="s">
        <v>217</v>
      </c>
    </row>
    <row r="55" spans="1:15">
      <c r="A55" s="28">
        <v>45016</v>
      </c>
      <c r="B55" s="22" t="s">
        <v>6</v>
      </c>
      <c r="C55" s="22">
        <v>2690</v>
      </c>
      <c r="D55" s="22" t="s">
        <v>241</v>
      </c>
      <c r="E55" s="34" t="s">
        <v>194</v>
      </c>
      <c r="F55" s="38" t="s">
        <v>242</v>
      </c>
    </row>
    <row r="56" spans="1:15">
      <c r="A56" s="28">
        <v>45016</v>
      </c>
      <c r="B56" s="22" t="s">
        <v>70</v>
      </c>
      <c r="C56" s="22">
        <v>1250</v>
      </c>
      <c r="D56" s="22" t="s">
        <v>241</v>
      </c>
      <c r="E56" s="34" t="s">
        <v>194</v>
      </c>
      <c r="F56" s="38" t="s">
        <v>215</v>
      </c>
    </row>
    <row r="57" spans="1:15">
      <c r="A57" s="28">
        <v>45016</v>
      </c>
      <c r="B57" s="22" t="s">
        <v>147</v>
      </c>
      <c r="C57" s="22">
        <v>250</v>
      </c>
      <c r="D57" s="22" t="s">
        <v>241</v>
      </c>
      <c r="E57" s="34" t="s">
        <v>194</v>
      </c>
    </row>
    <row r="58" spans="1:15">
      <c r="A58" s="28">
        <v>45016</v>
      </c>
      <c r="B58" s="22" t="s">
        <v>228</v>
      </c>
      <c r="C58" s="22">
        <v>0.73</v>
      </c>
      <c r="D58" s="22" t="s">
        <v>70</v>
      </c>
      <c r="E58" s="34" t="s">
        <v>194</v>
      </c>
    </row>
  </sheetData>
  <mergeCells count="5">
    <mergeCell ref="A3:F3"/>
    <mergeCell ref="A15:F15"/>
    <mergeCell ref="A26:C26"/>
    <mergeCell ref="E26:G26"/>
    <mergeCell ref="A37:F37"/>
  </mergeCells>
  <conditionalFormatting sqref="F39:F44 F46:F48 F51">
    <cfRule type="containsText" dxfId="87" priority="9" operator="containsText" text="Y">
      <formula>NOT(ISERROR(SEARCH("Y",F39)))</formula>
    </cfRule>
    <cfRule type="containsText" priority="10" operator="containsText" text="&quot;&quot;">
      <formula>NOT(ISERROR(SEARCH("""""",F39)))</formula>
    </cfRule>
  </conditionalFormatting>
  <conditionalFormatting sqref="C28:C35 E58">
    <cfRule type="containsText" dxfId="86" priority="8" operator="containsText" text="Y">
      <formula>NOT(ISERROR(SEARCH("Y",C28)))</formula>
    </cfRule>
  </conditionalFormatting>
  <conditionalFormatting sqref="F45">
    <cfRule type="containsText" dxfId="85" priority="6" operator="containsText" text="Y">
      <formula>NOT(ISERROR(SEARCH("Y",F45)))</formula>
    </cfRule>
    <cfRule type="containsText" priority="7" operator="containsText" text="&quot;&quot;">
      <formula>NOT(ISERROR(SEARCH("""""",F45)))</formula>
    </cfRule>
  </conditionalFormatting>
  <conditionalFormatting sqref="E55:E58">
    <cfRule type="containsText" dxfId="84" priority="5" operator="containsText" text="Y">
      <formula>NOT(ISERROR(SEARCH("Y",E55)))</formula>
    </cfRule>
  </conditionalFormatting>
  <conditionalFormatting sqref="F50">
    <cfRule type="containsText" dxfId="83" priority="3" operator="containsText" text="Y">
      <formula>NOT(ISERROR(SEARCH("Y",F50)))</formula>
    </cfRule>
    <cfRule type="containsText" priority="4" operator="containsText" text="&quot;&quot;">
      <formula>NOT(ISERROR(SEARCH("""""",F50)))</formula>
    </cfRule>
  </conditionalFormatting>
  <conditionalFormatting sqref="F49">
    <cfRule type="containsText" dxfId="82" priority="1" operator="containsText" text="Y">
      <formula>NOT(ISERROR(SEARCH("Y",F49)))</formula>
    </cfRule>
    <cfRule type="containsText" priority="2" operator="containsText" text="&quot;&quot;">
      <formula>NOT(ISERROR(SEARCH("""""",F49)))</formula>
    </cfRule>
  </conditionalFormatting>
  <dataValidations count="1">
    <dataValidation type="list" allowBlank="1" showInputMessage="1" showErrorMessage="1" sqref="C39:C51" xr:uid="{27109C60-7046-41A5-98CB-34A16731E4C0}">
      <formula1 xml:space="preserve"> INDIRECT("ExpenseCategory!ExpenseCategory[Display List]" 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FEE8-A94A-49A4-BD96-1598468BDBA2}">
  <dimension ref="A1:S62"/>
  <sheetViews>
    <sheetView topLeftCell="A25" workbookViewId="0">
      <selection activeCell="A42" sqref="A42:E55"/>
    </sheetView>
  </sheetViews>
  <sheetFormatPr defaultRowHeight="14.4"/>
  <cols>
    <col min="1" max="1" width="23.05078125" style="22" customWidth="1"/>
    <col min="2" max="2" width="23.9453125" style="22" customWidth="1"/>
    <col min="3" max="3" width="35.62890625" style="22" customWidth="1"/>
    <col min="4" max="4" width="19.26171875" style="22" customWidth="1"/>
    <col min="5" max="5" width="25.05078125" style="22" customWidth="1"/>
    <col min="6" max="6" width="31.15625" style="22" customWidth="1"/>
    <col min="7" max="7" width="20.47265625" style="22" customWidth="1"/>
    <col min="8" max="8" width="22.68359375" style="22" customWidth="1"/>
    <col min="9" max="9" width="25.20703125" style="22" customWidth="1"/>
    <col min="10" max="10" width="19" style="22" customWidth="1"/>
    <col min="11" max="11" width="20.7890625" style="22" customWidth="1"/>
    <col min="12" max="12" width="17.3671875" style="22" customWidth="1"/>
    <col min="13" max="13" width="14.62890625" style="22" customWidth="1"/>
    <col min="14" max="18" width="8.83984375" style="22"/>
    <col min="19" max="19" width="13.578125" style="22" customWidth="1"/>
    <col min="20" max="20" width="19.7890625" style="22" customWidth="1"/>
    <col min="21" max="21" width="9.15625" style="22" bestFit="1" customWidth="1"/>
    <col min="22" max="16384" width="8.83984375" style="22"/>
  </cols>
  <sheetData>
    <row r="1" spans="1:15" ht="28.2">
      <c r="A1" s="24" t="s">
        <v>168</v>
      </c>
      <c r="B1" s="25">
        <v>4</v>
      </c>
      <c r="C1" s="24" t="s">
        <v>172</v>
      </c>
      <c r="D1" s="42">
        <v>2023</v>
      </c>
    </row>
    <row r="2" spans="1:15" ht="14.7" customHeight="1" thickBot="1">
      <c r="I2" s="33"/>
      <c r="J2" s="33"/>
      <c r="K2" s="33"/>
      <c r="L2" s="33"/>
      <c r="M2" s="31"/>
      <c r="N2" s="31"/>
      <c r="O2" s="31"/>
    </row>
    <row r="3" spans="1:15" ht="15" thickTop="1" thickBot="1">
      <c r="A3" s="61" t="s">
        <v>154</v>
      </c>
      <c r="B3" s="61"/>
      <c r="C3" s="61"/>
      <c r="D3" s="61"/>
      <c r="E3" s="61"/>
      <c r="F3" s="61"/>
      <c r="I3" s="33"/>
      <c r="J3" s="33"/>
      <c r="K3" s="33"/>
      <c r="L3" s="33"/>
      <c r="M3" s="31"/>
      <c r="N3" s="31"/>
      <c r="O3" s="31"/>
    </row>
    <row r="4" spans="1:15" ht="14.7" thickTop="1">
      <c r="A4" s="22" t="s">
        <v>154</v>
      </c>
      <c r="B4" s="22" t="s">
        <v>162</v>
      </c>
      <c r="C4" s="22" t="s">
        <v>157</v>
      </c>
      <c r="D4" s="22" t="s">
        <v>159</v>
      </c>
      <c r="E4" s="22" t="s">
        <v>158</v>
      </c>
      <c r="F4" s="22" t="s">
        <v>229</v>
      </c>
      <c r="I4" s="33"/>
      <c r="J4" s="33"/>
      <c r="K4" s="33"/>
      <c r="L4" s="33"/>
      <c r="M4" s="31"/>
      <c r="N4" s="31"/>
      <c r="O4" s="31"/>
    </row>
    <row r="5" spans="1:15">
      <c r="A5" s="22" t="s">
        <v>65</v>
      </c>
      <c r="B5" s="23">
        <f xml:space="preserve"> VLOOKUP(A5,Funds03[], 6, FALSE)</f>
        <v>59758.700000000012</v>
      </c>
      <c r="C5" s="23">
        <v>59758.700000000012</v>
      </c>
      <c r="D5" s="23">
        <f>SUMIF(Offering04[Category], "G*",Offering04[Amount])</f>
        <v>1060.71</v>
      </c>
      <c r="E5" s="27">
        <f>SUMIF(Expenses04[Category], "G*",Expenses04[Amount])</f>
        <v>2710.8</v>
      </c>
      <c r="F5" s="27">
        <f xml:space="preserve"> Funds04[[#This Row],[Initial Amount]] + Funds04[[#This Row],[Income]] - Funds04[[#This Row],[Expense]]</f>
        <v>58108.610000000008</v>
      </c>
      <c r="I5" s="33"/>
      <c r="J5" s="33"/>
      <c r="K5" s="33"/>
      <c r="L5" s="33"/>
      <c r="M5" s="31"/>
      <c r="N5" s="31"/>
      <c r="O5" s="31"/>
    </row>
    <row r="6" spans="1:15">
      <c r="A6" s="22" t="s">
        <v>11</v>
      </c>
      <c r="B6" s="23">
        <f xml:space="preserve"> VLOOKUP(A6, Funds03[], 6, FALSE)</f>
        <v>425143.98</v>
      </c>
      <c r="C6" s="27">
        <v>425143.98</v>
      </c>
      <c r="D6" s="27">
        <f>SUMIF(Offering04[Category], "B*",Offering04[Amount])</f>
        <v>0</v>
      </c>
      <c r="E6" s="27">
        <f>SUMIF(Expenses04[Category], "B*",Expenses04[Amount])</f>
        <v>1986</v>
      </c>
      <c r="F6" s="27">
        <f xml:space="preserve"> Funds04[[#This Row],[Initial Amount]] + Funds04[[#This Row],[Income]] - Funds04[[#This Row],[Expense]]</f>
        <v>423157.98</v>
      </c>
      <c r="I6" s="33"/>
      <c r="J6" s="33"/>
      <c r="K6" s="33"/>
      <c r="L6" s="33"/>
      <c r="M6" s="31"/>
      <c r="N6" s="31"/>
      <c r="O6" s="31"/>
    </row>
    <row r="7" spans="1:15">
      <c r="A7" s="22" t="s">
        <v>67</v>
      </c>
      <c r="B7" s="23">
        <f xml:space="preserve"> VLOOKUP(A7, Funds03[], 6, FALSE)</f>
        <v>35525.040000000001</v>
      </c>
      <c r="C7" s="27">
        <v>35525.040000000001</v>
      </c>
      <c r="D7" s="27">
        <f>SUMIF(Offering04[Category], "M*",Offering04[Amount])</f>
        <v>250</v>
      </c>
      <c r="E7" s="27">
        <f>SUMIF(Expenses04[Category], "M*",Expenses04[Amount])</f>
        <v>6930</v>
      </c>
      <c r="F7" s="27">
        <f xml:space="preserve"> Funds04[[#This Row],[Initial Amount]] + Funds04[[#This Row],[Income]] - Funds04[[#This Row],[Expense]]</f>
        <v>28845.040000000001</v>
      </c>
      <c r="I7" s="33"/>
      <c r="J7" s="33"/>
      <c r="K7" s="33"/>
      <c r="L7" s="33"/>
      <c r="M7" s="31"/>
      <c r="N7" s="31"/>
      <c r="O7" s="31"/>
    </row>
    <row r="8" spans="1:15">
      <c r="A8" s="22" t="s">
        <v>155</v>
      </c>
      <c r="B8" s="23">
        <f xml:space="preserve"> VLOOKUP(A8, Funds03[], 6, FALSE)</f>
        <v>2250</v>
      </c>
      <c r="C8" s="27">
        <v>2250</v>
      </c>
      <c r="D8" s="27">
        <f>SUMIF(Offering04[Category], "O*",Offering04[Amount])</f>
        <v>250</v>
      </c>
      <c r="E8" s="27">
        <f>SUMIF(Expenses04[Category], "O*",Expenses04[Amount])</f>
        <v>0</v>
      </c>
      <c r="F8" s="27">
        <f xml:space="preserve"> Funds04[[#This Row],[Initial Amount]] + Funds04[[#This Row],[Income]] - Funds04[[#This Row],[Expense]]</f>
        <v>2500</v>
      </c>
      <c r="I8" s="33"/>
      <c r="J8" s="33"/>
      <c r="K8" s="33"/>
      <c r="L8" s="33"/>
      <c r="M8" s="31"/>
      <c r="N8" s="31"/>
      <c r="O8" s="31"/>
    </row>
    <row r="9" spans="1:15">
      <c r="A9" s="22" t="s">
        <v>160</v>
      </c>
      <c r="B9" s="23">
        <f xml:space="preserve"> VLOOKUP(A9, Funds03[], 6, FALSE)</f>
        <v>27313.79</v>
      </c>
      <c r="C9" s="27">
        <v>27313.79</v>
      </c>
      <c r="D9" s="27">
        <f>SUMIF(Offering04[Category], "EN*",Offering04[Amount])</f>
        <v>0</v>
      </c>
      <c r="E9" s="27">
        <f>SUMIF(Expenses04[Category], "EN*",Expenses04[Amount])</f>
        <v>0</v>
      </c>
      <c r="F9" s="27">
        <f xml:space="preserve"> Funds04[[#This Row],[Initial Amount]] + Funds04[[#This Row],[Income]] - Funds04[[#This Row],[Expense]]</f>
        <v>27313.79</v>
      </c>
      <c r="I9" s="33"/>
      <c r="J9" s="33"/>
      <c r="K9" s="33"/>
      <c r="L9" s="33"/>
      <c r="M9" s="31"/>
      <c r="N9" s="31"/>
      <c r="O9" s="31"/>
    </row>
    <row r="10" spans="1:15">
      <c r="A10" s="22" t="s">
        <v>156</v>
      </c>
      <c r="B10" s="23">
        <f xml:space="preserve"> VLOOKUP(A10, Funds03[], 6, FALSE)</f>
        <v>4456.7700000000004</v>
      </c>
      <c r="C10" s="27">
        <v>4456.7700000000004</v>
      </c>
      <c r="D10" s="27">
        <f>SUMIF(Offering04[Category], "L*",Offering04[Amount])</f>
        <v>0</v>
      </c>
      <c r="E10" s="27"/>
      <c r="F10" s="27">
        <f xml:space="preserve"> Funds04[[#This Row],[Initial Amount]] + Funds04[[#This Row],[Income]] - Funds04[[#This Row],[Expense]]</f>
        <v>4456.7700000000004</v>
      </c>
      <c r="I10" s="33"/>
      <c r="J10" s="33"/>
      <c r="K10" s="33"/>
      <c r="L10" s="33"/>
      <c r="M10" s="31"/>
      <c r="N10" s="31"/>
      <c r="O10" s="31"/>
    </row>
    <row r="11" spans="1:15">
      <c r="A11" s="22" t="s">
        <v>195</v>
      </c>
      <c r="B11" s="27"/>
      <c r="C11" s="27">
        <v>0</v>
      </c>
      <c r="D11" s="27"/>
      <c r="E11" s="27"/>
      <c r="F11" s="27">
        <f xml:space="preserve"> Funds04[[#This Row],[Initial Amount]] + Funds04[[#This Row],[Income]] - Funds04[[#This Row],[Expense]]</f>
        <v>0</v>
      </c>
      <c r="I11" s="33"/>
      <c r="J11" s="33"/>
      <c r="K11" s="33"/>
      <c r="L11" s="33"/>
      <c r="M11" s="31"/>
      <c r="N11" s="31"/>
      <c r="O11" s="31"/>
    </row>
    <row r="12" spans="1:15">
      <c r="B12" s="27"/>
      <c r="C12" s="27">
        <v>0</v>
      </c>
      <c r="D12" s="27"/>
      <c r="E12" s="27"/>
      <c r="F12" s="27">
        <f xml:space="preserve"> Funds04[[#This Row],[Initial Amount]] + Funds04[[#This Row],[Income]] - Funds04[[#This Row],[Expense]]</f>
        <v>0</v>
      </c>
      <c r="I12" s="33"/>
      <c r="J12" s="33"/>
      <c r="K12" s="33"/>
      <c r="L12" s="33"/>
      <c r="M12" s="31"/>
      <c r="N12" s="31"/>
      <c r="O12" s="31"/>
    </row>
    <row r="13" spans="1:15">
      <c r="B13" s="27">
        <f xml:space="preserve"> SUM(Funds04[Initial Amount (Auto Calculated)])</f>
        <v>554448.28</v>
      </c>
      <c r="C13" s="27">
        <f xml:space="preserve"> SUM(Funds04[Initial Amount])</f>
        <v>554448.28</v>
      </c>
      <c r="D13" s="27"/>
      <c r="E13" s="27">
        <f xml:space="preserve"> SUM(Funds04[Expense])</f>
        <v>11626.8</v>
      </c>
      <c r="F13" s="27">
        <f xml:space="preserve"> SUM(Funds04[End of Month Amount])</f>
        <v>544382.18999999994</v>
      </c>
      <c r="I13" s="33"/>
      <c r="J13" s="33"/>
      <c r="K13" s="33"/>
      <c r="L13" s="33"/>
      <c r="M13" s="31"/>
      <c r="N13" s="31"/>
      <c r="O13" s="31"/>
    </row>
    <row r="14" spans="1:15" ht="14.7" thickBot="1">
      <c r="I14" s="33"/>
      <c r="J14" s="33"/>
      <c r="K14" s="33"/>
      <c r="L14" s="33"/>
      <c r="M14" s="31"/>
      <c r="N14" s="31"/>
      <c r="O14" s="31"/>
    </row>
    <row r="15" spans="1:15" ht="15" thickTop="1" thickBot="1">
      <c r="A15" s="61" t="s">
        <v>161</v>
      </c>
      <c r="B15" s="61"/>
      <c r="C15" s="61"/>
      <c r="D15" s="61"/>
      <c r="E15" s="61"/>
      <c r="F15" s="61"/>
      <c r="I15" s="33"/>
      <c r="J15" s="33"/>
      <c r="K15" s="33"/>
      <c r="L15" s="33"/>
      <c r="M15" s="31"/>
      <c r="N15" s="31"/>
      <c r="O15" s="31"/>
    </row>
    <row r="16" spans="1:15" ht="14.7" thickTop="1">
      <c r="A16" s="22" t="s">
        <v>161</v>
      </c>
      <c r="B16" s="22" t="s">
        <v>163</v>
      </c>
      <c r="C16" s="22" t="s">
        <v>164</v>
      </c>
      <c r="D16" s="22" t="s">
        <v>184</v>
      </c>
      <c r="E16" s="22" t="s">
        <v>165</v>
      </c>
      <c r="F16" s="22" t="s">
        <v>229</v>
      </c>
      <c r="H16" s="33"/>
      <c r="I16" s="33"/>
      <c r="J16" s="33"/>
      <c r="K16" s="33"/>
      <c r="L16" s="31"/>
      <c r="M16" s="31"/>
      <c r="N16" s="31"/>
    </row>
    <row r="17" spans="1:15">
      <c r="A17" s="22" t="s">
        <v>166</v>
      </c>
      <c r="B17" s="27">
        <f xml:space="preserve"> VLOOKUP(A17, BankAccounts03[], 6, FALSE)</f>
        <v>108393.73999999999</v>
      </c>
      <c r="C17" s="27">
        <v>108393.73999999999</v>
      </c>
      <c r="D17" s="27">
        <f>SUMIF(Offering04[Bank Account], "C",Offering04[Amount])</f>
        <v>1560</v>
      </c>
      <c r="E17" s="27">
        <f>SUMIF(Expenses04[Paid/Cashed ?], "Y",Expenses04[Amount]) + SUMIF(InitialOutstandingPayments04[Paid ?], "Y",InitialOutstandingPayments04[Amount])</f>
        <v>10971.4</v>
      </c>
      <c r="F17" s="27">
        <f xml:space="preserve"> BankAccounts04[[#This Row],[Initial Balance]] + BankAccounts04[[#This Row],[Deposit/Interest]] - BankAccounts04[[#This Row],[Withdraw]]</f>
        <v>98982.34</v>
      </c>
      <c r="H17" s="33"/>
      <c r="I17" s="33"/>
      <c r="J17" s="33"/>
      <c r="K17" s="33"/>
      <c r="L17" s="31"/>
      <c r="M17" s="31"/>
      <c r="N17" s="31"/>
    </row>
    <row r="18" spans="1:15">
      <c r="A18" s="22" t="s">
        <v>167</v>
      </c>
      <c r="B18" s="27">
        <f xml:space="preserve"> VLOOKUP(A18, BankAccounts03[], 6, FALSE)</f>
        <v>86468.54</v>
      </c>
      <c r="C18" s="27">
        <v>86468.54</v>
      </c>
      <c r="D18" s="27">
        <f>SUMIF(Offering04[Bank Account], "M*",Offering04[Amount])</f>
        <v>0.71</v>
      </c>
      <c r="E18" s="27"/>
      <c r="F18" s="27">
        <f xml:space="preserve"> BankAccounts04[[#This Row],[Initial Balance]] + BankAccounts04[[#This Row],[Deposit/Interest]] - BankAccounts04[[#This Row],[Withdraw]]</f>
        <v>86469.25</v>
      </c>
      <c r="H18" s="33"/>
      <c r="I18" s="22" t="s">
        <v>220</v>
      </c>
      <c r="J18" s="22" t="s">
        <v>221</v>
      </c>
      <c r="K18" s="22" t="s">
        <v>226</v>
      </c>
      <c r="L18" s="22" t="s">
        <v>222</v>
      </c>
      <c r="M18" s="22" t="s">
        <v>225</v>
      </c>
      <c r="N18" s="31"/>
    </row>
    <row r="19" spans="1:15">
      <c r="A19" s="22" t="s">
        <v>181</v>
      </c>
      <c r="B19" s="27">
        <f xml:space="preserve"> VLOOKUP(A19, BankAccounts03[], 6, FALSE)</f>
        <v>103844.08</v>
      </c>
      <c r="C19" s="27">
        <v>103844.08</v>
      </c>
      <c r="D19" s="27"/>
      <c r="E19" s="27"/>
      <c r="F19" s="27">
        <f xml:space="preserve"> BankAccounts04[[#This Row],[Initial Balance]] + BankAccounts04[[#This Row],[Deposit/Interest]] - BankAccounts04[[#This Row],[Withdraw]]</f>
        <v>103844.08</v>
      </c>
      <c r="H19" s="33"/>
      <c r="I19" s="22" t="s">
        <v>219</v>
      </c>
      <c r="J19" s="35">
        <v>4.2099999999999999E-2</v>
      </c>
      <c r="K19" s="22">
        <v>0</v>
      </c>
      <c r="L19" s="30">
        <v>103844.08</v>
      </c>
      <c r="M19" s="29">
        <v>45292</v>
      </c>
      <c r="N19" s="31"/>
    </row>
    <row r="20" spans="1:15">
      <c r="A20" s="22" t="s">
        <v>182</v>
      </c>
      <c r="B20" s="27">
        <f xml:space="preserve"> VLOOKUP(A20, BankAccounts03[], 6, FALSE)</f>
        <v>103844.08</v>
      </c>
      <c r="C20" s="27">
        <v>103844.08</v>
      </c>
      <c r="D20" s="27"/>
      <c r="E20" s="27"/>
      <c r="F20" s="27">
        <f xml:space="preserve"> BankAccounts04[[#This Row],[Initial Balance]] + BankAccounts04[[#This Row],[Deposit/Interest]] - BankAccounts04[[#This Row],[Withdraw]]</f>
        <v>103844.08</v>
      </c>
      <c r="H20" s="33"/>
      <c r="I20" s="22" t="s">
        <v>224</v>
      </c>
      <c r="J20" s="35">
        <v>4.2099999999999999E-2</v>
      </c>
      <c r="K20" s="22">
        <v>0</v>
      </c>
      <c r="L20" s="30">
        <v>103844.08</v>
      </c>
      <c r="M20" s="29">
        <v>45292</v>
      </c>
      <c r="N20" s="31"/>
    </row>
    <row r="21" spans="1:15">
      <c r="A21" s="22" t="s">
        <v>183</v>
      </c>
      <c r="B21" s="27">
        <f xml:space="preserve"> VLOOKUP(A21, BankAccounts03[], 6, FALSE)</f>
        <v>156231.07</v>
      </c>
      <c r="C21" s="27">
        <v>156231.07</v>
      </c>
      <c r="D21" s="27"/>
      <c r="E21" s="27"/>
      <c r="F21" s="27">
        <f xml:space="preserve"> BankAccounts04[[#This Row],[Initial Balance]] + BankAccounts04[[#This Row],[Deposit/Interest]] - BankAccounts04[[#This Row],[Withdraw]]</f>
        <v>156231.07</v>
      </c>
      <c r="H21" s="33"/>
      <c r="I21" s="22" t="s">
        <v>223</v>
      </c>
      <c r="J21" s="35">
        <v>4.9500000000000002E-2</v>
      </c>
      <c r="K21" s="30">
        <v>1949.52</v>
      </c>
      <c r="L21" s="30">
        <v>158180.59</v>
      </c>
      <c r="M21" s="29">
        <v>45319</v>
      </c>
      <c r="N21" s="31"/>
    </row>
    <row r="22" spans="1:15">
      <c r="A22" s="22" t="s">
        <v>187</v>
      </c>
      <c r="B22" s="27"/>
      <c r="C22" s="27"/>
      <c r="D22" s="27"/>
      <c r="E22" s="27"/>
      <c r="F22" s="27"/>
      <c r="H22" s="33"/>
      <c r="I22" s="33"/>
      <c r="J22" s="33"/>
      <c r="K22" s="33"/>
      <c r="L22" s="31"/>
      <c r="M22" s="31"/>
      <c r="N22" s="31"/>
    </row>
    <row r="23" spans="1:15">
      <c r="A23" s="22" t="s">
        <v>188</v>
      </c>
      <c r="B23" s="27"/>
      <c r="C23" s="27">
        <f xml:space="preserve"> SUM(InitialOutstandingPayments04[Amount])</f>
        <v>4333.2299999999996</v>
      </c>
      <c r="D23" s="27">
        <f xml:space="preserve"> SUMIF(Expenses04[Paid/Cashed ?], "",Expenses04[Amount])</f>
        <v>1475.4</v>
      </c>
      <c r="E23" s="27">
        <f xml:space="preserve"> SUMIF(InitialOutstandingPayments04[Paid ?], "Y", InitialOutstandingPayments04[Amount])</f>
        <v>820</v>
      </c>
      <c r="F23" s="27">
        <f xml:space="preserve"> BankAccounts04[[#This Row],[Initial Balance]] + BankAccounts04[[#This Row],[Deposit/Interest]] - BankAccounts04[[#This Row],[Withdraw]]</f>
        <v>4988.6299999999992</v>
      </c>
      <c r="H23" s="33"/>
      <c r="I23" s="33"/>
      <c r="J23" s="33"/>
      <c r="K23" s="33"/>
      <c r="L23" s="37">
        <f xml:space="preserve"> L21 - K21</f>
        <v>156231.07</v>
      </c>
      <c r="M23" s="31"/>
      <c r="N23" s="31"/>
    </row>
    <row r="24" spans="1:15">
      <c r="B24" s="27">
        <f xml:space="preserve"> SUM(B17:B21) + B22 - B23</f>
        <v>558781.51</v>
      </c>
      <c r="C24" s="27">
        <f xml:space="preserve"> SUM(C17:C21) - C23</f>
        <v>554448.28</v>
      </c>
      <c r="F24" s="27">
        <f xml:space="preserve"> SUM(F17:F21) + F22 - F23</f>
        <v>544382.19000000006</v>
      </c>
      <c r="H24" s="33"/>
      <c r="I24" s="33"/>
      <c r="J24" s="33"/>
      <c r="K24" s="33"/>
      <c r="L24" s="31"/>
      <c r="M24" s="31"/>
      <c r="N24" s="31"/>
    </row>
    <row r="25" spans="1:15" ht="14.7" thickBot="1">
      <c r="I25" s="33"/>
      <c r="J25" s="33"/>
      <c r="K25" s="33"/>
      <c r="L25" s="33"/>
      <c r="M25" s="31"/>
      <c r="N25" s="31"/>
      <c r="O25" s="31"/>
    </row>
    <row r="26" spans="1:15" ht="15" thickTop="1" thickBot="1">
      <c r="A26" s="61" t="s">
        <v>218</v>
      </c>
      <c r="B26" s="61"/>
      <c r="C26" s="61"/>
      <c r="E26" s="61" t="s">
        <v>227</v>
      </c>
      <c r="F26" s="61"/>
      <c r="G26" s="61"/>
      <c r="I26" s="33"/>
      <c r="J26" s="33"/>
      <c r="K26" s="33"/>
      <c r="L26" s="33"/>
      <c r="M26" s="31"/>
      <c r="N26" s="31"/>
      <c r="O26" s="31"/>
    </row>
    <row r="27" spans="1:15" ht="14.7" thickTop="1">
      <c r="A27" s="22" t="s">
        <v>208</v>
      </c>
      <c r="B27" s="22" t="s">
        <v>176</v>
      </c>
      <c r="C27" s="22" t="s">
        <v>189</v>
      </c>
      <c r="E27" s="22" t="s">
        <v>178</v>
      </c>
      <c r="F27" s="31" t="s">
        <v>176</v>
      </c>
      <c r="G27" s="31" t="s">
        <v>186</v>
      </c>
      <c r="H27" s="31"/>
      <c r="I27" s="33"/>
      <c r="J27" s="33"/>
      <c r="K27" s="33"/>
      <c r="L27" s="33"/>
    </row>
    <row r="28" spans="1:15">
      <c r="A28" s="22" t="s">
        <v>234</v>
      </c>
      <c r="B28" s="32">
        <v>27.37</v>
      </c>
      <c r="C28" s="34"/>
      <c r="F28" s="31"/>
      <c r="G28" s="31"/>
      <c r="H28" s="31"/>
      <c r="I28" s="33"/>
      <c r="J28" s="33"/>
      <c r="K28" s="33"/>
      <c r="L28" s="33"/>
    </row>
    <row r="29" spans="1:15">
      <c r="A29" s="22" t="s">
        <v>213</v>
      </c>
      <c r="B29" s="32">
        <v>2019.3</v>
      </c>
      <c r="C29" s="34"/>
      <c r="F29" s="31"/>
      <c r="G29" s="31"/>
      <c r="H29" s="31"/>
      <c r="I29" s="33"/>
      <c r="J29" s="33"/>
      <c r="K29" s="33"/>
      <c r="L29" s="33"/>
    </row>
    <row r="30" spans="1:15">
      <c r="A30" s="22" t="s">
        <v>233</v>
      </c>
      <c r="B30" s="32">
        <v>114</v>
      </c>
      <c r="C30" s="34"/>
      <c r="F30" s="31"/>
      <c r="G30" s="31"/>
      <c r="H30" s="31"/>
      <c r="I30" s="33"/>
      <c r="J30" s="33"/>
      <c r="K30" s="33"/>
      <c r="L30" s="33"/>
    </row>
    <row r="31" spans="1:15">
      <c r="A31" s="22" t="s">
        <v>235</v>
      </c>
      <c r="B31" s="32">
        <v>250</v>
      </c>
      <c r="C31" s="34"/>
      <c r="F31" s="31"/>
      <c r="G31" s="31"/>
      <c r="H31" s="31"/>
      <c r="I31" s="33"/>
      <c r="J31" s="33"/>
      <c r="K31" s="33"/>
      <c r="L31" s="33"/>
    </row>
    <row r="32" spans="1:15">
      <c r="A32" s="22" t="s">
        <v>231</v>
      </c>
      <c r="B32" s="32">
        <v>371.7</v>
      </c>
      <c r="C32" s="34"/>
      <c r="F32" s="31"/>
      <c r="G32" s="31"/>
      <c r="H32" s="31"/>
      <c r="I32" s="33"/>
      <c r="J32" s="33"/>
      <c r="K32" s="33"/>
      <c r="L32" s="33"/>
    </row>
    <row r="33" spans="1:19">
      <c r="A33" s="22" t="s">
        <v>239</v>
      </c>
      <c r="B33" s="32">
        <v>448.7</v>
      </c>
      <c r="C33" s="34"/>
      <c r="F33" s="31"/>
      <c r="G33" s="31"/>
      <c r="H33" s="31"/>
      <c r="I33" s="33"/>
      <c r="J33" s="33"/>
      <c r="K33" s="33"/>
      <c r="L33" s="33"/>
    </row>
    <row r="34" spans="1:19">
      <c r="A34" s="22" t="s">
        <v>253</v>
      </c>
      <c r="B34" s="32">
        <v>242.17</v>
      </c>
      <c r="C34" s="34"/>
      <c r="F34" s="31"/>
      <c r="G34" s="31"/>
      <c r="H34" s="31"/>
      <c r="I34" s="33"/>
      <c r="J34" s="33"/>
      <c r="K34" s="33"/>
      <c r="L34" s="33"/>
    </row>
    <row r="35" spans="1:19">
      <c r="A35" s="22">
        <v>5237</v>
      </c>
      <c r="B35" s="32">
        <v>39.99</v>
      </c>
      <c r="C35" s="34"/>
      <c r="F35" s="31"/>
      <c r="G35" s="31"/>
      <c r="H35" s="31"/>
      <c r="I35" s="33"/>
      <c r="J35" s="33"/>
      <c r="K35" s="33"/>
      <c r="L35" s="33"/>
    </row>
    <row r="36" spans="1:19">
      <c r="A36" s="22">
        <v>5236</v>
      </c>
      <c r="B36" s="32">
        <v>260</v>
      </c>
      <c r="C36" s="34" t="s">
        <v>194</v>
      </c>
      <c r="F36" s="31"/>
      <c r="G36" s="31"/>
      <c r="H36" s="31"/>
      <c r="I36" s="33"/>
      <c r="J36" s="33"/>
      <c r="K36" s="33"/>
      <c r="L36" s="33"/>
    </row>
    <row r="37" spans="1:19">
      <c r="A37" s="22">
        <v>5235</v>
      </c>
      <c r="B37" s="32">
        <v>300</v>
      </c>
      <c r="C37" s="34" t="s">
        <v>194</v>
      </c>
      <c r="F37" s="31"/>
      <c r="G37" s="31"/>
      <c r="H37" s="31"/>
      <c r="I37" s="33"/>
      <c r="J37" s="33"/>
      <c r="K37" s="33"/>
      <c r="L37" s="33"/>
    </row>
    <row r="38" spans="1:19">
      <c r="A38" s="22">
        <v>5240</v>
      </c>
      <c r="B38" s="32">
        <v>260</v>
      </c>
      <c r="C38" s="34" t="s">
        <v>194</v>
      </c>
      <c r="F38" s="31"/>
      <c r="G38" s="31"/>
      <c r="H38" s="31"/>
      <c r="I38" s="33"/>
      <c r="J38" s="33"/>
      <c r="K38" s="33"/>
      <c r="L38" s="33"/>
    </row>
    <row r="39" spans="1:19">
      <c r="I39" s="33"/>
      <c r="J39" s="33"/>
      <c r="K39" s="33"/>
      <c r="L39" s="33"/>
      <c r="M39" s="31"/>
      <c r="N39" s="31"/>
      <c r="O39" s="31"/>
    </row>
    <row r="40" spans="1:19">
      <c r="A40" s="62" t="s">
        <v>173</v>
      </c>
      <c r="B40" s="63"/>
      <c r="C40" s="63"/>
      <c r="D40" s="63"/>
      <c r="E40" s="63"/>
      <c r="F40" s="63"/>
      <c r="I40" s="33"/>
      <c r="J40" s="33"/>
      <c r="K40" s="33"/>
      <c r="L40" s="33"/>
      <c r="M40" s="31"/>
      <c r="N40" s="31"/>
      <c r="O40" s="31"/>
    </row>
    <row r="41" spans="1:19">
      <c r="A41" s="22" t="s">
        <v>169</v>
      </c>
      <c r="B41" s="22" t="s">
        <v>178</v>
      </c>
      <c r="C41" s="22" t="s">
        <v>185</v>
      </c>
      <c r="D41" s="22" t="s">
        <v>244</v>
      </c>
      <c r="E41" s="22" t="s">
        <v>176</v>
      </c>
      <c r="F41" s="22" t="s">
        <v>211</v>
      </c>
      <c r="I41" s="33"/>
      <c r="J41" s="33"/>
      <c r="K41" s="33"/>
      <c r="L41" s="33"/>
      <c r="M41" s="31"/>
      <c r="N41" s="31"/>
      <c r="O41" s="31"/>
    </row>
    <row r="42" spans="1:19">
      <c r="A42" s="28">
        <v>45018</v>
      </c>
      <c r="B42" s="22" t="s">
        <v>246</v>
      </c>
      <c r="C42" s="22" t="s">
        <v>249</v>
      </c>
      <c r="D42" s="22">
        <v>5242</v>
      </c>
      <c r="E42" s="32">
        <v>260</v>
      </c>
      <c r="F42" s="34" t="s">
        <v>194</v>
      </c>
      <c r="I42" s="33"/>
      <c r="J42" s="33"/>
      <c r="K42" s="33"/>
      <c r="L42" s="33"/>
      <c r="M42" s="31"/>
      <c r="N42" s="31"/>
      <c r="O42" s="31"/>
      <c r="R42" s="35"/>
      <c r="S42" s="27"/>
    </row>
    <row r="43" spans="1:19">
      <c r="A43" s="28">
        <v>45018</v>
      </c>
      <c r="B43" s="22" t="s">
        <v>198</v>
      </c>
      <c r="C43" s="22" t="s">
        <v>199</v>
      </c>
      <c r="D43" s="22">
        <v>5241</v>
      </c>
      <c r="E43" s="32">
        <v>300</v>
      </c>
      <c r="F43" s="34" t="s">
        <v>194</v>
      </c>
      <c r="I43" s="33"/>
      <c r="J43" s="33"/>
      <c r="K43" s="33"/>
      <c r="L43" s="33"/>
      <c r="M43" s="31"/>
      <c r="N43" s="31"/>
      <c r="O43" s="31"/>
    </row>
    <row r="44" spans="1:19">
      <c r="A44" s="28">
        <v>45025</v>
      </c>
      <c r="B44" s="22" t="s">
        <v>204</v>
      </c>
      <c r="C44" s="22" t="s">
        <v>199</v>
      </c>
      <c r="D44" s="22">
        <v>5243</v>
      </c>
      <c r="E44" s="32">
        <v>300</v>
      </c>
      <c r="F44" s="34" t="s">
        <v>194</v>
      </c>
      <c r="I44" s="33"/>
      <c r="J44" s="33"/>
      <c r="K44" s="33"/>
      <c r="L44" s="33"/>
      <c r="M44" s="31"/>
      <c r="N44" s="31"/>
      <c r="O44" s="31"/>
    </row>
    <row r="45" spans="1:19">
      <c r="A45" s="28">
        <v>45028</v>
      </c>
      <c r="B45" s="22" t="s">
        <v>205</v>
      </c>
      <c r="C45" s="22" t="s">
        <v>206</v>
      </c>
      <c r="D45" s="22">
        <v>5244</v>
      </c>
      <c r="E45" s="32">
        <v>1728</v>
      </c>
      <c r="F45" s="34" t="s">
        <v>194</v>
      </c>
      <c r="I45" s="33"/>
      <c r="J45" s="33"/>
      <c r="K45" s="33"/>
      <c r="L45" s="33"/>
      <c r="M45" s="31"/>
      <c r="N45" s="31"/>
      <c r="O45" s="31"/>
    </row>
    <row r="46" spans="1:19">
      <c r="A46" s="28">
        <v>45028</v>
      </c>
      <c r="B46" s="22" t="s">
        <v>246</v>
      </c>
      <c r="C46" s="22" t="s">
        <v>249</v>
      </c>
      <c r="D46" s="22">
        <v>5246</v>
      </c>
      <c r="E46" s="32">
        <v>260</v>
      </c>
      <c r="F46" s="34"/>
      <c r="I46" s="33"/>
      <c r="J46" s="33"/>
      <c r="K46" s="33"/>
      <c r="L46" s="33"/>
      <c r="M46" s="31"/>
      <c r="N46" s="31"/>
      <c r="O46" s="31"/>
    </row>
    <row r="47" spans="1:19">
      <c r="A47" s="28">
        <v>45028</v>
      </c>
      <c r="B47" s="22" t="s">
        <v>204</v>
      </c>
      <c r="C47" s="22" t="s">
        <v>199</v>
      </c>
      <c r="D47" s="22">
        <v>5245</v>
      </c>
      <c r="E47" s="32">
        <v>300</v>
      </c>
      <c r="F47" s="34"/>
      <c r="I47" s="33"/>
      <c r="J47" s="33"/>
      <c r="K47" s="33"/>
      <c r="L47" s="33"/>
      <c r="M47" s="31"/>
      <c r="N47" s="31"/>
      <c r="O47" s="31"/>
    </row>
    <row r="48" spans="1:19">
      <c r="A48" s="28">
        <v>45037</v>
      </c>
      <c r="B48" s="22" t="s">
        <v>254</v>
      </c>
      <c r="C48" s="22" t="s">
        <v>203</v>
      </c>
      <c r="D48" s="22">
        <v>5147</v>
      </c>
      <c r="E48" s="32">
        <v>6930</v>
      </c>
      <c r="F48" s="34" t="s">
        <v>194</v>
      </c>
      <c r="I48" s="31"/>
      <c r="J48" s="31"/>
      <c r="K48" s="31"/>
      <c r="L48" s="31"/>
      <c r="M48" s="31"/>
      <c r="N48" s="31"/>
      <c r="O48" s="31"/>
    </row>
    <row r="49" spans="1:15">
      <c r="A49" s="28">
        <v>45037</v>
      </c>
      <c r="B49" s="22" t="s">
        <v>255</v>
      </c>
      <c r="C49" s="22" t="s">
        <v>258</v>
      </c>
      <c r="D49" s="22">
        <v>5248</v>
      </c>
      <c r="E49" s="32">
        <v>75.400000000000006</v>
      </c>
      <c r="F49" s="34" t="s">
        <v>194</v>
      </c>
      <c r="I49" s="31"/>
      <c r="J49" s="31"/>
      <c r="K49" s="31"/>
      <c r="L49" s="31"/>
      <c r="M49" s="31"/>
      <c r="N49" s="31"/>
      <c r="O49" s="31"/>
    </row>
    <row r="50" spans="1:15">
      <c r="A50" s="28">
        <v>45039</v>
      </c>
      <c r="B50" s="22" t="s">
        <v>246</v>
      </c>
      <c r="C50" s="22" t="s">
        <v>249</v>
      </c>
      <c r="D50" s="22">
        <v>5250</v>
      </c>
      <c r="E50" s="32">
        <v>260</v>
      </c>
      <c r="F50" s="34"/>
      <c r="I50" s="31"/>
      <c r="J50" s="31"/>
      <c r="K50" s="31"/>
      <c r="L50" s="31"/>
      <c r="M50" s="31"/>
      <c r="N50" s="31"/>
      <c r="O50" s="31"/>
    </row>
    <row r="51" spans="1:15">
      <c r="A51" s="28">
        <v>45039</v>
      </c>
      <c r="B51" s="28" t="s">
        <v>256</v>
      </c>
      <c r="C51" s="22" t="s">
        <v>199</v>
      </c>
      <c r="D51" s="22">
        <v>5249</v>
      </c>
      <c r="E51" s="32">
        <v>300</v>
      </c>
      <c r="F51" s="34" t="s">
        <v>194</v>
      </c>
      <c r="I51" s="31"/>
      <c r="J51" s="31"/>
      <c r="K51" s="31"/>
      <c r="L51" s="31"/>
      <c r="M51" s="31"/>
      <c r="N51" s="31"/>
      <c r="O51" s="31"/>
    </row>
    <row r="52" spans="1:15">
      <c r="A52" s="28">
        <v>45046</v>
      </c>
      <c r="B52" s="22" t="s">
        <v>200</v>
      </c>
      <c r="C52" s="22" t="s">
        <v>199</v>
      </c>
      <c r="D52" s="22">
        <v>5251</v>
      </c>
      <c r="E52" s="32">
        <v>300</v>
      </c>
      <c r="F52" s="34"/>
      <c r="I52" s="31"/>
      <c r="J52" s="31"/>
      <c r="K52" s="31"/>
      <c r="L52" s="31"/>
      <c r="M52" s="31"/>
      <c r="N52" s="31"/>
      <c r="O52" s="31"/>
    </row>
    <row r="53" spans="1:15">
      <c r="A53" s="28">
        <v>45046</v>
      </c>
      <c r="B53" s="22" t="s">
        <v>246</v>
      </c>
      <c r="C53" s="22" t="s">
        <v>249</v>
      </c>
      <c r="D53" s="22">
        <v>5252</v>
      </c>
      <c r="E53" s="32">
        <v>260</v>
      </c>
      <c r="F53" s="34"/>
    </row>
    <row r="54" spans="1:15">
      <c r="A54" s="28">
        <v>45046</v>
      </c>
      <c r="B54" s="22" t="s">
        <v>257</v>
      </c>
      <c r="C54" s="22" t="s">
        <v>214</v>
      </c>
      <c r="E54" s="32">
        <v>95.4</v>
      </c>
      <c r="F54" s="34"/>
    </row>
    <row r="55" spans="1:15">
      <c r="A55" s="28">
        <v>45020</v>
      </c>
      <c r="B55" s="22" t="s">
        <v>209</v>
      </c>
      <c r="C55" s="22" t="s">
        <v>210</v>
      </c>
      <c r="E55" s="32">
        <v>258</v>
      </c>
      <c r="F55" s="34" t="s">
        <v>194</v>
      </c>
    </row>
    <row r="56" spans="1:15">
      <c r="G56" s="38"/>
      <c r="H56" s="36">
        <f>SUMIF(Offering04[Category], "G*",Offering04[Amount])</f>
        <v>1060.71</v>
      </c>
    </row>
    <row r="57" spans="1:15">
      <c r="G57" s="38"/>
      <c r="H57" s="36">
        <f xml:space="preserve"> H56 * 0.09</f>
        <v>95.463899999999995</v>
      </c>
      <c r="I57" s="22" t="s">
        <v>217</v>
      </c>
    </row>
    <row r="58" spans="1:15">
      <c r="A58" s="22" t="s">
        <v>169</v>
      </c>
      <c r="B58" s="22" t="s">
        <v>185</v>
      </c>
      <c r="C58" s="22" t="s">
        <v>176</v>
      </c>
      <c r="D58" s="22" t="s">
        <v>240</v>
      </c>
      <c r="E58" s="22" t="s">
        <v>186</v>
      </c>
    </row>
    <row r="59" spans="1:15">
      <c r="A59" s="28">
        <v>45046</v>
      </c>
      <c r="B59" s="22" t="s">
        <v>6</v>
      </c>
      <c r="C59" s="22">
        <v>1060</v>
      </c>
      <c r="D59" s="22" t="s">
        <v>241</v>
      </c>
      <c r="E59" s="34" t="s">
        <v>194</v>
      </c>
      <c r="F59" s="38" t="s">
        <v>242</v>
      </c>
    </row>
    <row r="60" spans="1:15">
      <c r="A60" s="28">
        <v>45046</v>
      </c>
      <c r="B60" s="22" t="s">
        <v>147</v>
      </c>
      <c r="C60" s="22">
        <v>250</v>
      </c>
      <c r="D60" s="22" t="s">
        <v>241</v>
      </c>
      <c r="E60" s="34" t="s">
        <v>194</v>
      </c>
      <c r="F60" s="38" t="s">
        <v>215</v>
      </c>
    </row>
    <row r="61" spans="1:15">
      <c r="A61" s="28">
        <v>45046</v>
      </c>
      <c r="B61" s="22" t="s">
        <v>70</v>
      </c>
      <c r="C61" s="22">
        <v>250</v>
      </c>
      <c r="D61" s="22" t="s">
        <v>241</v>
      </c>
      <c r="E61" s="34" t="s">
        <v>194</v>
      </c>
    </row>
    <row r="62" spans="1:15">
      <c r="A62" s="28">
        <v>45046</v>
      </c>
      <c r="B62" s="22" t="s">
        <v>228</v>
      </c>
      <c r="C62" s="22">
        <v>0.71</v>
      </c>
      <c r="D62" s="22" t="s">
        <v>70</v>
      </c>
      <c r="E62" s="34" t="s">
        <v>194</v>
      </c>
    </row>
  </sheetData>
  <mergeCells count="5">
    <mergeCell ref="A3:F3"/>
    <mergeCell ref="A15:F15"/>
    <mergeCell ref="A26:C26"/>
    <mergeCell ref="E26:G26"/>
    <mergeCell ref="A40:F40"/>
  </mergeCells>
  <conditionalFormatting sqref="F50 F46:F47 F54">
    <cfRule type="containsText" dxfId="81" priority="18" operator="containsText" text="Y">
      <formula>NOT(ISERROR(SEARCH("Y",F46)))</formula>
    </cfRule>
    <cfRule type="containsText" priority="19" operator="containsText" text="&quot;&quot;">
      <formula>NOT(ISERROR(SEARCH("""""",F46)))</formula>
    </cfRule>
  </conditionalFormatting>
  <conditionalFormatting sqref="E62 C28:C38">
    <cfRule type="containsText" dxfId="80" priority="17" operator="containsText" text="Y">
      <formula>NOT(ISERROR(SEARCH("Y",C28)))</formula>
    </cfRule>
  </conditionalFormatting>
  <conditionalFormatting sqref="F53">
    <cfRule type="containsText" dxfId="79" priority="12" operator="containsText" text="Y">
      <formula>NOT(ISERROR(SEARCH("Y",F53)))</formula>
    </cfRule>
    <cfRule type="containsText" priority="13" operator="containsText" text="&quot;&quot;">
      <formula>NOT(ISERROR(SEARCH("""""",F53)))</formula>
    </cfRule>
  </conditionalFormatting>
  <conditionalFormatting sqref="E59:E62">
    <cfRule type="containsText" dxfId="78" priority="14" operator="containsText" text="Y">
      <formula>NOT(ISERROR(SEARCH("Y",E59)))</formula>
    </cfRule>
  </conditionalFormatting>
  <conditionalFormatting sqref="F52">
    <cfRule type="containsText" dxfId="77" priority="10" operator="containsText" text="Y">
      <formula>NOT(ISERROR(SEARCH("Y",F52)))</formula>
    </cfRule>
    <cfRule type="containsText" priority="11" operator="containsText" text="&quot;&quot;">
      <formula>NOT(ISERROR(SEARCH("""""",F52)))</formula>
    </cfRule>
  </conditionalFormatting>
  <conditionalFormatting sqref="F42">
    <cfRule type="containsText" dxfId="76" priority="9" operator="containsText" text="Y">
      <formula>NOT(ISERROR(SEARCH("Y",F42)))</formula>
    </cfRule>
  </conditionalFormatting>
  <conditionalFormatting sqref="F44">
    <cfRule type="containsText" dxfId="75" priority="8" operator="containsText" text="Y">
      <formula>NOT(ISERROR(SEARCH("Y",F44)))</formula>
    </cfRule>
  </conditionalFormatting>
  <conditionalFormatting sqref="F43">
    <cfRule type="containsText" dxfId="74" priority="7" operator="containsText" text="Y">
      <formula>NOT(ISERROR(SEARCH("Y",F43)))</formula>
    </cfRule>
  </conditionalFormatting>
  <conditionalFormatting sqref="F45">
    <cfRule type="containsText" dxfId="73" priority="6" operator="containsText" text="Y">
      <formula>NOT(ISERROR(SEARCH("Y",F45)))</formula>
    </cfRule>
  </conditionalFormatting>
  <conditionalFormatting sqref="F48">
    <cfRule type="containsText" dxfId="72" priority="5" operator="containsText" text="Y">
      <formula>NOT(ISERROR(SEARCH("Y",F48)))</formula>
    </cfRule>
  </conditionalFormatting>
  <conditionalFormatting sqref="F49">
    <cfRule type="containsText" dxfId="71" priority="4" operator="containsText" text="Y">
      <formula>NOT(ISERROR(SEARCH("Y",F49)))</formula>
    </cfRule>
  </conditionalFormatting>
  <conditionalFormatting sqref="F51">
    <cfRule type="containsText" dxfId="70" priority="3" operator="containsText" text="Y">
      <formula>NOT(ISERROR(SEARCH("Y",F51)))</formula>
    </cfRule>
  </conditionalFormatting>
  <conditionalFormatting sqref="F55">
    <cfRule type="containsText" dxfId="69" priority="1" operator="containsText" text="Y">
      <formula>NOT(ISERROR(SEARCH("Y",F55)))</formula>
    </cfRule>
    <cfRule type="containsText" priority="2" operator="containsText" text="&quot;&quot;">
      <formula>NOT(ISERROR(SEARCH("""""",F55)))</formula>
    </cfRule>
  </conditionalFormatting>
  <dataValidations count="1">
    <dataValidation type="list" allowBlank="1" showInputMessage="1" showErrorMessage="1" sqref="C42:C55" xr:uid="{E7959EFB-8FDC-44EE-8D10-979071EAD481}">
      <formula1 xml:space="preserve"> INDIRECT("ExpenseCategory!ExpenseCategory[Display List]" 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A910-8525-42A2-96F3-FEB559298380}">
  <dimension ref="A1:S63"/>
  <sheetViews>
    <sheetView topLeftCell="A25" workbookViewId="0">
      <selection activeCell="A45" sqref="A45:E53"/>
    </sheetView>
  </sheetViews>
  <sheetFormatPr defaultRowHeight="14.4"/>
  <cols>
    <col min="1" max="1" width="23.05078125" style="22" customWidth="1"/>
    <col min="2" max="2" width="23.9453125" style="22" customWidth="1"/>
    <col min="3" max="3" width="35.62890625" style="22" customWidth="1"/>
    <col min="4" max="4" width="19.26171875" style="22" customWidth="1"/>
    <col min="5" max="5" width="25.05078125" style="22" customWidth="1"/>
    <col min="6" max="6" width="31.15625" style="22" customWidth="1"/>
    <col min="7" max="7" width="20.47265625" style="22" customWidth="1"/>
    <col min="8" max="8" width="22.68359375" style="22" customWidth="1"/>
    <col min="9" max="9" width="25.20703125" style="22" customWidth="1"/>
    <col min="10" max="10" width="19" style="22" customWidth="1"/>
    <col min="11" max="11" width="20.7890625" style="22" customWidth="1"/>
    <col min="12" max="12" width="17.3671875" style="22" customWidth="1"/>
    <col min="13" max="13" width="14.62890625" style="22" customWidth="1"/>
    <col min="14" max="18" width="8.83984375" style="22"/>
    <col min="19" max="19" width="13.578125" style="22" customWidth="1"/>
    <col min="20" max="20" width="19.7890625" style="22" customWidth="1"/>
    <col min="21" max="21" width="9.15625" style="22" bestFit="1" customWidth="1"/>
    <col min="22" max="16384" width="8.83984375" style="22"/>
  </cols>
  <sheetData>
    <row r="1" spans="1:15" ht="28.2">
      <c r="A1" s="24" t="s">
        <v>168</v>
      </c>
      <c r="B1" s="25">
        <v>5</v>
      </c>
      <c r="C1" s="24" t="s">
        <v>172</v>
      </c>
      <c r="D1" s="42">
        <v>2023</v>
      </c>
    </row>
    <row r="2" spans="1:15" ht="14.7" customHeight="1" thickBot="1">
      <c r="I2" s="33"/>
      <c r="J2" s="33"/>
      <c r="K2" s="33"/>
      <c r="L2" s="33"/>
      <c r="M2" s="31"/>
      <c r="N2" s="31"/>
      <c r="O2" s="31"/>
    </row>
    <row r="3" spans="1:15" ht="15" thickTop="1" thickBot="1">
      <c r="A3" s="61" t="s">
        <v>154</v>
      </c>
      <c r="B3" s="61"/>
      <c r="C3" s="61"/>
      <c r="D3" s="61"/>
      <c r="E3" s="61"/>
      <c r="F3" s="61"/>
      <c r="I3" s="33"/>
      <c r="J3" s="33"/>
      <c r="K3" s="33"/>
      <c r="L3" s="33"/>
      <c r="M3" s="31"/>
      <c r="N3" s="31"/>
      <c r="O3" s="31"/>
    </row>
    <row r="4" spans="1:15" ht="14.7" thickTop="1">
      <c r="A4" s="22" t="s">
        <v>154</v>
      </c>
      <c r="B4" s="22" t="s">
        <v>162</v>
      </c>
      <c r="C4" s="22" t="s">
        <v>157</v>
      </c>
      <c r="D4" s="22" t="s">
        <v>159</v>
      </c>
      <c r="E4" s="22" t="s">
        <v>158</v>
      </c>
      <c r="F4" s="22" t="s">
        <v>229</v>
      </c>
      <c r="I4" s="33"/>
      <c r="J4" s="33"/>
      <c r="K4" s="33"/>
      <c r="L4" s="33"/>
      <c r="M4" s="31"/>
      <c r="N4" s="31"/>
      <c r="O4" s="31"/>
    </row>
    <row r="5" spans="1:15">
      <c r="A5" s="22" t="s">
        <v>65</v>
      </c>
      <c r="B5" s="23">
        <f xml:space="preserve"> VLOOKUP(A5,Funds04[], 6, FALSE)</f>
        <v>58108.610000000008</v>
      </c>
      <c r="C5" s="23">
        <v>58108.610000000008</v>
      </c>
      <c r="D5" s="23">
        <f>SUMIF(Offering05[Category], "G*",Offering05[Amount])</f>
        <v>4928.7299999999996</v>
      </c>
      <c r="E5" s="27">
        <f>SUMIF(Expenses05[Category], "G*",Expenses05[Amount])</f>
        <v>1823.59</v>
      </c>
      <c r="F5" s="27">
        <f xml:space="preserve"> Funds05[[#This Row],[Initial Amount]] + Funds05[[#This Row],[Income]] - Funds05[[#This Row],[Expense]]</f>
        <v>61213.750000000015</v>
      </c>
      <c r="I5" s="33"/>
      <c r="J5" s="33"/>
      <c r="K5" s="33"/>
      <c r="L5" s="33"/>
      <c r="M5" s="31"/>
      <c r="N5" s="31"/>
      <c r="O5" s="31"/>
    </row>
    <row r="6" spans="1:15">
      <c r="A6" s="22" t="s">
        <v>11</v>
      </c>
      <c r="B6" s="23">
        <f xml:space="preserve"> VLOOKUP(A6, Funds04[], 6, FALSE)</f>
        <v>423157.98</v>
      </c>
      <c r="C6" s="27">
        <v>423157.98</v>
      </c>
      <c r="D6" s="27">
        <f>SUMIF(Offering05[Category], "B*",Offering05[Amount])</f>
        <v>0</v>
      </c>
      <c r="E6" s="27">
        <f>SUMIF(Expenses05[Category], "B*",Expenses05[Amount])</f>
        <v>1986</v>
      </c>
      <c r="F6" s="27">
        <f xml:space="preserve"> Funds05[[#This Row],[Initial Amount]] + Funds05[[#This Row],[Income]] - Funds05[[#This Row],[Expense]]</f>
        <v>421171.98</v>
      </c>
      <c r="I6" s="33"/>
      <c r="J6" s="33"/>
      <c r="K6" s="33"/>
      <c r="L6" s="33"/>
      <c r="M6" s="31"/>
      <c r="N6" s="31"/>
      <c r="O6" s="31"/>
    </row>
    <row r="7" spans="1:15">
      <c r="A7" s="22" t="s">
        <v>67</v>
      </c>
      <c r="B7" s="23">
        <f xml:space="preserve"> VLOOKUP(A7, Funds04[], 6, FALSE)</f>
        <v>28845.040000000001</v>
      </c>
      <c r="C7" s="27">
        <v>28845.040000000001</v>
      </c>
      <c r="D7" s="27">
        <f>SUMIF(Offering05[Category], "M*",Offering05[Amount])</f>
        <v>0</v>
      </c>
      <c r="E7" s="27">
        <f>SUMIF(Expenses05[Category], "M*",Expenses05[Amount])</f>
        <v>0</v>
      </c>
      <c r="F7" s="27">
        <f xml:space="preserve"> Funds05[[#This Row],[Initial Amount]] + Funds05[[#This Row],[Income]] - Funds05[[#This Row],[Expense]]</f>
        <v>28845.040000000001</v>
      </c>
      <c r="I7" s="33"/>
      <c r="J7" s="33"/>
      <c r="K7" s="33"/>
      <c r="L7" s="33"/>
      <c r="M7" s="31"/>
      <c r="N7" s="31"/>
      <c r="O7" s="31"/>
    </row>
    <row r="8" spans="1:15">
      <c r="A8" s="22" t="s">
        <v>155</v>
      </c>
      <c r="B8" s="23">
        <f xml:space="preserve"> VLOOKUP(A8, Funds04[], 6, FALSE)</f>
        <v>2500</v>
      </c>
      <c r="C8" s="27">
        <v>2500</v>
      </c>
      <c r="D8" s="27">
        <f>SUMIF(Offering05[Category], "O*",Offering05[Amount])</f>
        <v>2000</v>
      </c>
      <c r="E8" s="27">
        <f>SUMIF(Expenses05[Category], "O*",Expenses05[Amount])</f>
        <v>0</v>
      </c>
      <c r="F8" s="27">
        <f xml:space="preserve"> Funds05[[#This Row],[Initial Amount]] + Funds05[[#This Row],[Income]] - Funds05[[#This Row],[Expense]]</f>
        <v>4500</v>
      </c>
      <c r="I8" s="33"/>
      <c r="J8" s="33"/>
      <c r="K8" s="33"/>
      <c r="L8" s="33"/>
      <c r="M8" s="31"/>
      <c r="N8" s="31"/>
      <c r="O8" s="31"/>
    </row>
    <row r="9" spans="1:15">
      <c r="A9" s="22" t="s">
        <v>160</v>
      </c>
      <c r="B9" s="23">
        <f xml:space="preserve"> VLOOKUP(A9, Funds04[], 6, FALSE)</f>
        <v>27313.79</v>
      </c>
      <c r="C9" s="27">
        <v>27313.79</v>
      </c>
      <c r="D9" s="27">
        <f>SUMIF(Offering05[Category], "EN*",Offering05[Amount])</f>
        <v>0</v>
      </c>
      <c r="E9" s="27">
        <f>SUMIF(Expenses05[Category], "EN*",Expenses05[Amount])</f>
        <v>300</v>
      </c>
      <c r="F9" s="27">
        <f xml:space="preserve"> Funds05[[#This Row],[Initial Amount]] + Funds05[[#This Row],[Income]] - Funds05[[#This Row],[Expense]]</f>
        <v>27013.79</v>
      </c>
      <c r="I9" s="33"/>
      <c r="J9" s="33"/>
      <c r="K9" s="33"/>
      <c r="L9" s="33"/>
      <c r="M9" s="31"/>
      <c r="N9" s="31"/>
      <c r="O9" s="31"/>
    </row>
    <row r="10" spans="1:15">
      <c r="A10" s="22" t="s">
        <v>156</v>
      </c>
      <c r="B10" s="23">
        <f xml:space="preserve"> VLOOKUP(A10, Funds04[], 6, FALSE)</f>
        <v>4456.7700000000004</v>
      </c>
      <c r="C10" s="27">
        <v>4456.7700000000004</v>
      </c>
      <c r="D10" s="27">
        <f>SUMIF(Offering05[Category], "L*",Offering05[Amount])</f>
        <v>0</v>
      </c>
      <c r="E10" s="27"/>
      <c r="F10" s="27">
        <f xml:space="preserve"> Funds05[[#This Row],[Initial Amount]] + Funds05[[#This Row],[Income]] - Funds05[[#This Row],[Expense]]</f>
        <v>4456.7700000000004</v>
      </c>
      <c r="I10" s="33"/>
      <c r="J10" s="33"/>
      <c r="K10" s="33"/>
      <c r="L10" s="33"/>
      <c r="M10" s="31"/>
      <c r="N10" s="31"/>
      <c r="O10" s="31"/>
    </row>
    <row r="11" spans="1:15">
      <c r="A11" s="22" t="s">
        <v>195</v>
      </c>
      <c r="B11" s="27"/>
      <c r="C11" s="27">
        <v>0</v>
      </c>
      <c r="D11" s="27"/>
      <c r="E11" s="27"/>
      <c r="F11" s="27">
        <f xml:space="preserve"> Funds05[[#This Row],[Initial Amount]] + Funds05[[#This Row],[Income]] - Funds05[[#This Row],[Expense]]</f>
        <v>0</v>
      </c>
      <c r="I11" s="33"/>
      <c r="J11" s="33"/>
      <c r="K11" s="33"/>
      <c r="L11" s="33"/>
      <c r="M11" s="31"/>
      <c r="N11" s="31"/>
      <c r="O11" s="31"/>
    </row>
    <row r="12" spans="1:15">
      <c r="B12" s="27"/>
      <c r="C12" s="27">
        <v>0</v>
      </c>
      <c r="D12" s="27"/>
      <c r="E12" s="27"/>
      <c r="F12" s="27">
        <f xml:space="preserve"> Funds05[[#This Row],[Initial Amount]] + Funds05[[#This Row],[Income]] - Funds05[[#This Row],[Expense]]</f>
        <v>0</v>
      </c>
      <c r="I12" s="33"/>
      <c r="J12" s="33"/>
      <c r="K12" s="33"/>
      <c r="L12" s="33"/>
      <c r="M12" s="31"/>
      <c r="N12" s="31"/>
      <c r="O12" s="31"/>
    </row>
    <row r="13" spans="1:15">
      <c r="B13" s="27">
        <f xml:space="preserve"> SUM(Funds05[Initial Amount (Auto Calculated)])</f>
        <v>544382.18999999994</v>
      </c>
      <c r="C13" s="27">
        <f xml:space="preserve"> SUM(Funds05[Initial Amount])</f>
        <v>544382.18999999994</v>
      </c>
      <c r="D13" s="27"/>
      <c r="E13" s="27">
        <f xml:space="preserve"> SUM(Funds05[Expense])</f>
        <v>4109.59</v>
      </c>
      <c r="F13" s="27">
        <f xml:space="preserve"> SUM(Funds05[End of Month Amount])</f>
        <v>547201.32999999996</v>
      </c>
      <c r="I13" s="33"/>
      <c r="J13" s="33"/>
      <c r="K13" s="33"/>
      <c r="L13" s="33"/>
      <c r="M13" s="31"/>
      <c r="N13" s="31"/>
      <c r="O13" s="31"/>
    </row>
    <row r="14" spans="1:15" ht="14.7" thickBot="1">
      <c r="I14" s="33"/>
      <c r="J14" s="33"/>
      <c r="K14" s="33"/>
      <c r="L14" s="33"/>
      <c r="M14" s="31"/>
      <c r="N14" s="31"/>
      <c r="O14" s="31"/>
    </row>
    <row r="15" spans="1:15" ht="15" thickTop="1" thickBot="1">
      <c r="A15" s="61" t="s">
        <v>161</v>
      </c>
      <c r="B15" s="61"/>
      <c r="C15" s="61"/>
      <c r="D15" s="61"/>
      <c r="E15" s="61"/>
      <c r="F15" s="61"/>
      <c r="I15" s="33"/>
      <c r="J15" s="33"/>
      <c r="K15" s="33"/>
      <c r="L15" s="33"/>
      <c r="M15" s="31"/>
      <c r="N15" s="31"/>
      <c r="O15" s="31"/>
    </row>
    <row r="16" spans="1:15" ht="14.7" thickTop="1">
      <c r="A16" s="22" t="s">
        <v>161</v>
      </c>
      <c r="B16" s="22" t="s">
        <v>163</v>
      </c>
      <c r="C16" s="22" t="s">
        <v>164</v>
      </c>
      <c r="D16" s="22" t="s">
        <v>184</v>
      </c>
      <c r="E16" s="22" t="s">
        <v>165</v>
      </c>
      <c r="F16" s="22" t="s">
        <v>229</v>
      </c>
      <c r="H16" s="33"/>
      <c r="I16" s="33"/>
      <c r="J16" s="33"/>
      <c r="K16" s="33"/>
      <c r="L16" s="31"/>
      <c r="M16" s="31"/>
      <c r="N16" s="31"/>
    </row>
    <row r="17" spans="1:15">
      <c r="A17" s="22" t="s">
        <v>166</v>
      </c>
      <c r="B17" s="27">
        <f xml:space="preserve"> VLOOKUP(A17, BankAccounts04[], 6, FALSE)</f>
        <v>98982.34</v>
      </c>
      <c r="C17" s="27">
        <v>98982.34</v>
      </c>
      <c r="D17" s="27">
        <f>SUMIF(Offering05[Bank Account], "C",Offering05[Amount])</f>
        <v>6928</v>
      </c>
      <c r="E17" s="27">
        <f>SUMIF(Expenses05[Paid/Cashed ?], "Y",Expenses05[Amount]) + SUMIF(InitialOutstandingPayments05[Paid ?], "Y",InitialOutstandingPayments05[Amount])</f>
        <v>4266</v>
      </c>
      <c r="F17" s="27">
        <f xml:space="preserve"> BankAccounts05[[#This Row],[Initial Balance]] + BankAccounts05[[#This Row],[Deposit/Interest]] - BankAccounts05[[#This Row],[Withdraw]]</f>
        <v>101644.34</v>
      </c>
      <c r="H17" s="33"/>
      <c r="I17" s="33"/>
      <c r="J17" s="33"/>
      <c r="K17" s="33"/>
      <c r="L17" s="31"/>
      <c r="M17" s="31"/>
      <c r="N17" s="31"/>
    </row>
    <row r="18" spans="1:15">
      <c r="A18" s="22" t="s">
        <v>167</v>
      </c>
      <c r="B18" s="27">
        <f xml:space="preserve"> VLOOKUP(A18, BankAccounts04[], 6, FALSE)</f>
        <v>86469.25</v>
      </c>
      <c r="C18" s="27">
        <v>86469.25</v>
      </c>
      <c r="D18" s="27">
        <f>SUMIF(Offering05[Bank Account], "M*",Offering05[Amount])</f>
        <v>0.73</v>
      </c>
      <c r="E18" s="27"/>
      <c r="F18" s="27">
        <f xml:space="preserve"> BankAccounts05[[#This Row],[Initial Balance]] + BankAccounts05[[#This Row],[Deposit/Interest]] - BankAccounts05[[#This Row],[Withdraw]]</f>
        <v>86469.98</v>
      </c>
      <c r="H18" s="33"/>
      <c r="I18" s="22" t="s">
        <v>220</v>
      </c>
      <c r="J18" s="22" t="s">
        <v>221</v>
      </c>
      <c r="K18" s="22" t="s">
        <v>226</v>
      </c>
      <c r="L18" s="22" t="s">
        <v>222</v>
      </c>
      <c r="M18" s="22" t="s">
        <v>225</v>
      </c>
      <c r="N18" s="31"/>
    </row>
    <row r="19" spans="1:15">
      <c r="A19" s="22" t="s">
        <v>181</v>
      </c>
      <c r="B19" s="27">
        <f xml:space="preserve"> VLOOKUP(A19, BankAccounts03[], 6, FALSE)</f>
        <v>103844.08</v>
      </c>
      <c r="C19" s="27">
        <v>103844.08</v>
      </c>
      <c r="D19" s="27"/>
      <c r="E19" s="27"/>
      <c r="F19" s="27">
        <f xml:space="preserve"> BankAccounts05[[#This Row],[Initial Balance]] + BankAccounts05[[#This Row],[Deposit/Interest]] - BankAccounts05[[#This Row],[Withdraw]]</f>
        <v>103844.08</v>
      </c>
      <c r="H19" s="33"/>
      <c r="I19" s="22" t="s">
        <v>219</v>
      </c>
      <c r="J19" s="35">
        <v>4.2099999999999999E-2</v>
      </c>
      <c r="K19" s="22">
        <v>0</v>
      </c>
      <c r="L19" s="30">
        <v>103844.08</v>
      </c>
      <c r="M19" s="29">
        <v>45292</v>
      </c>
      <c r="N19" s="31"/>
    </row>
    <row r="20" spans="1:15">
      <c r="A20" s="22" t="s">
        <v>182</v>
      </c>
      <c r="B20" s="27">
        <f xml:space="preserve"> VLOOKUP(A20, BankAccounts04[], 6, FALSE)</f>
        <v>103844.08</v>
      </c>
      <c r="C20" s="27">
        <v>103844.08</v>
      </c>
      <c r="D20" s="27"/>
      <c r="E20" s="27"/>
      <c r="F20" s="27">
        <f xml:space="preserve"> BankAccounts05[[#This Row],[Initial Balance]] + BankAccounts05[[#This Row],[Deposit/Interest]] - BankAccounts05[[#This Row],[Withdraw]]</f>
        <v>103844.08</v>
      </c>
      <c r="H20" s="33"/>
      <c r="I20" s="22" t="s">
        <v>224</v>
      </c>
      <c r="J20" s="35">
        <v>4.2099999999999999E-2</v>
      </c>
      <c r="K20" s="22">
        <v>0</v>
      </c>
      <c r="L20" s="30">
        <v>103844.08</v>
      </c>
      <c r="M20" s="29">
        <v>45292</v>
      </c>
      <c r="N20" s="31"/>
    </row>
    <row r="21" spans="1:15">
      <c r="A21" s="22" t="s">
        <v>183</v>
      </c>
      <c r="B21" s="27">
        <f xml:space="preserve"> VLOOKUP(A21, BankAccounts04[], 6, FALSE)</f>
        <v>156231.07</v>
      </c>
      <c r="C21" s="27">
        <v>156231.07</v>
      </c>
      <c r="D21" s="27"/>
      <c r="E21" s="27"/>
      <c r="F21" s="27">
        <f xml:space="preserve"> BankAccounts05[[#This Row],[Initial Balance]] + BankAccounts05[[#This Row],[Deposit/Interest]] - BankAccounts05[[#This Row],[Withdraw]]</f>
        <v>156231.07</v>
      </c>
      <c r="H21" s="33"/>
      <c r="I21" s="22" t="s">
        <v>223</v>
      </c>
      <c r="J21" s="35">
        <v>4.9500000000000002E-2</v>
      </c>
      <c r="K21" s="30">
        <v>1949.52</v>
      </c>
      <c r="L21" s="30">
        <v>158180.59</v>
      </c>
      <c r="M21" s="29">
        <v>45319</v>
      </c>
      <c r="N21" s="31"/>
    </row>
    <row r="22" spans="1:15">
      <c r="A22" s="22" t="s">
        <v>187</v>
      </c>
      <c r="B22" s="27"/>
      <c r="C22" s="27"/>
      <c r="D22" s="27"/>
      <c r="E22" s="27"/>
      <c r="F22" s="27"/>
      <c r="H22" s="33"/>
      <c r="I22" s="33"/>
      <c r="J22" s="33"/>
      <c r="K22" s="33"/>
      <c r="L22" s="31"/>
      <c r="M22" s="31"/>
      <c r="N22" s="31"/>
    </row>
    <row r="23" spans="1:15">
      <c r="A23" s="22" t="s">
        <v>188</v>
      </c>
      <c r="B23" s="27"/>
      <c r="C23" s="27">
        <f xml:space="preserve"> SUM(InitialOutstandingPayments05[Amount])</f>
        <v>4988.6299999999992</v>
      </c>
      <c r="D23" s="27">
        <f xml:space="preserve"> SUMIF(Expenses05[Paid/Cashed ?], "",Expenses05[Amount])</f>
        <v>1223.5899999999999</v>
      </c>
      <c r="E23" s="27">
        <f xml:space="preserve"> SUMIF(InitialOutstandingPayments05[Paid ?], "Y", InitialOutstandingPayments05[Amount])</f>
        <v>1380</v>
      </c>
      <c r="F23" s="27">
        <f xml:space="preserve"> BankAccounts05[[#This Row],[Initial Balance]] + BankAccounts05[[#This Row],[Deposit/Interest]] - BankAccounts05[[#This Row],[Withdraw]]</f>
        <v>4832.2199999999993</v>
      </c>
      <c r="H23" s="33"/>
      <c r="I23" s="33"/>
      <c r="J23" s="33"/>
      <c r="K23" s="33"/>
      <c r="L23" s="37">
        <f xml:space="preserve"> L21 - K21</f>
        <v>156231.07</v>
      </c>
      <c r="M23" s="31"/>
      <c r="N23" s="31"/>
    </row>
    <row r="24" spans="1:15">
      <c r="B24" s="27">
        <f xml:space="preserve"> SUM(B17:B21) + B22 - B23</f>
        <v>549370.82000000007</v>
      </c>
      <c r="C24" s="27">
        <f xml:space="preserve"> SUM(C17:C21) - C23</f>
        <v>544382.19000000006</v>
      </c>
      <c r="F24" s="27">
        <f xml:space="preserve"> SUM(F17:F21) + F22 - F23</f>
        <v>547201.33000000007</v>
      </c>
      <c r="H24" s="33"/>
      <c r="I24" s="33"/>
      <c r="J24" s="33"/>
      <c r="K24" s="33"/>
      <c r="L24" s="31"/>
      <c r="M24" s="31"/>
      <c r="N24" s="31"/>
    </row>
    <row r="25" spans="1:15" ht="14.7" thickBot="1">
      <c r="I25" s="33"/>
      <c r="J25" s="33"/>
      <c r="K25" s="33"/>
      <c r="L25" s="33"/>
      <c r="M25" s="31"/>
      <c r="N25" s="31"/>
      <c r="O25" s="31"/>
    </row>
    <row r="26" spans="1:15" ht="15" thickTop="1" thickBot="1">
      <c r="A26" s="61" t="s">
        <v>218</v>
      </c>
      <c r="B26" s="61"/>
      <c r="C26" s="61"/>
      <c r="E26" s="61" t="s">
        <v>227</v>
      </c>
      <c r="F26" s="61"/>
      <c r="G26" s="61"/>
      <c r="I26" s="33"/>
      <c r="J26" s="33"/>
      <c r="K26" s="33"/>
      <c r="L26" s="33"/>
      <c r="M26" s="31"/>
      <c r="N26" s="31"/>
      <c r="O26" s="31"/>
    </row>
    <row r="27" spans="1:15" ht="14.7" thickTop="1">
      <c r="A27" s="22" t="s">
        <v>208</v>
      </c>
      <c r="B27" s="22" t="s">
        <v>176</v>
      </c>
      <c r="C27" s="22" t="s">
        <v>189</v>
      </c>
      <c r="E27" s="22" t="s">
        <v>178</v>
      </c>
      <c r="F27" s="31" t="s">
        <v>176</v>
      </c>
      <c r="G27" s="31" t="s">
        <v>186</v>
      </c>
      <c r="H27" s="31"/>
      <c r="I27" s="33"/>
      <c r="J27" s="33"/>
      <c r="K27" s="33"/>
      <c r="L27" s="33"/>
    </row>
    <row r="28" spans="1:15">
      <c r="A28" s="22" t="s">
        <v>234</v>
      </c>
      <c r="B28" s="32">
        <v>27.37</v>
      </c>
      <c r="C28" s="34"/>
      <c r="F28" s="31"/>
      <c r="G28" s="31"/>
      <c r="H28" s="31"/>
      <c r="I28" s="33"/>
      <c r="J28" s="33"/>
      <c r="K28" s="33"/>
      <c r="L28" s="33"/>
    </row>
    <row r="29" spans="1:15">
      <c r="A29" s="22" t="s">
        <v>213</v>
      </c>
      <c r="B29" s="32">
        <v>2019.3</v>
      </c>
      <c r="C29" s="34"/>
      <c r="F29" s="31"/>
      <c r="G29" s="31"/>
      <c r="H29" s="31"/>
      <c r="I29" s="33"/>
      <c r="J29" s="33"/>
      <c r="K29" s="33"/>
      <c r="L29" s="33"/>
    </row>
    <row r="30" spans="1:15">
      <c r="A30" s="22" t="s">
        <v>233</v>
      </c>
      <c r="B30" s="32">
        <v>114</v>
      </c>
      <c r="C30" s="34"/>
      <c r="F30" s="31"/>
      <c r="G30" s="31"/>
      <c r="H30" s="31"/>
      <c r="I30" s="33"/>
      <c r="J30" s="33"/>
      <c r="K30" s="33"/>
      <c r="L30" s="33"/>
    </row>
    <row r="31" spans="1:15">
      <c r="A31" s="22" t="s">
        <v>235</v>
      </c>
      <c r="B31" s="32">
        <v>250</v>
      </c>
      <c r="C31" s="34"/>
      <c r="F31" s="31"/>
      <c r="G31" s="31"/>
      <c r="H31" s="31"/>
      <c r="I31" s="33"/>
      <c r="J31" s="33"/>
      <c r="K31" s="33"/>
      <c r="L31" s="33"/>
    </row>
    <row r="32" spans="1:15">
      <c r="A32" s="22" t="s">
        <v>231</v>
      </c>
      <c r="B32" s="32">
        <v>371.7</v>
      </c>
      <c r="C32" s="34"/>
      <c r="F32" s="31"/>
      <c r="G32" s="31"/>
      <c r="H32" s="31"/>
      <c r="I32" s="33"/>
      <c r="J32" s="33"/>
      <c r="K32" s="33"/>
      <c r="L32" s="33"/>
    </row>
    <row r="33" spans="1:19">
      <c r="A33" s="22" t="s">
        <v>239</v>
      </c>
      <c r="B33" s="32">
        <v>448.7</v>
      </c>
      <c r="C33" s="34"/>
      <c r="F33" s="31"/>
      <c r="G33" s="31"/>
      <c r="H33" s="31"/>
      <c r="I33" s="33"/>
      <c r="J33" s="33"/>
      <c r="K33" s="33"/>
      <c r="L33" s="33"/>
    </row>
    <row r="34" spans="1:19">
      <c r="A34" s="22" t="s">
        <v>253</v>
      </c>
      <c r="B34" s="32">
        <v>242.17</v>
      </c>
      <c r="C34" s="34"/>
      <c r="F34" s="31"/>
      <c r="G34" s="31"/>
      <c r="H34" s="31"/>
      <c r="I34" s="33"/>
      <c r="J34" s="33"/>
      <c r="K34" s="33"/>
      <c r="L34" s="33"/>
    </row>
    <row r="35" spans="1:19">
      <c r="A35" s="22">
        <v>5237</v>
      </c>
      <c r="B35" s="32">
        <v>39.99</v>
      </c>
      <c r="C35" s="34"/>
      <c r="F35" s="31"/>
      <c r="G35" s="31"/>
      <c r="H35" s="31"/>
      <c r="I35" s="33"/>
      <c r="J35" s="33"/>
      <c r="K35" s="33"/>
      <c r="L35" s="33"/>
    </row>
    <row r="36" spans="1:19">
      <c r="A36" s="22">
        <v>5246</v>
      </c>
      <c r="B36" s="32">
        <v>260</v>
      </c>
      <c r="C36" s="34" t="s">
        <v>194</v>
      </c>
      <c r="F36" s="31"/>
      <c r="G36" s="31"/>
      <c r="H36" s="31"/>
      <c r="I36" s="33"/>
      <c r="J36" s="33"/>
      <c r="K36" s="33"/>
      <c r="L36" s="33"/>
    </row>
    <row r="37" spans="1:19">
      <c r="A37" s="22">
        <v>5245</v>
      </c>
      <c r="B37" s="32">
        <v>300</v>
      </c>
      <c r="C37" s="34" t="s">
        <v>194</v>
      </c>
      <c r="F37" s="31"/>
      <c r="G37" s="31"/>
      <c r="H37" s="31"/>
      <c r="I37" s="33"/>
      <c r="J37" s="33"/>
      <c r="K37" s="33"/>
      <c r="L37" s="33"/>
    </row>
    <row r="38" spans="1:19">
      <c r="A38" s="22">
        <v>5250</v>
      </c>
      <c r="B38" s="32">
        <v>260</v>
      </c>
      <c r="C38" s="34" t="s">
        <v>194</v>
      </c>
      <c r="F38" s="31"/>
      <c r="G38" s="31"/>
      <c r="H38" s="31"/>
      <c r="I38" s="33"/>
      <c r="J38" s="33"/>
      <c r="K38" s="33"/>
      <c r="L38" s="33"/>
    </row>
    <row r="39" spans="1:19">
      <c r="A39" s="22">
        <v>5251</v>
      </c>
      <c r="B39" s="32">
        <v>300</v>
      </c>
      <c r="C39" s="34" t="s">
        <v>194</v>
      </c>
      <c r="F39" s="31"/>
      <c r="G39" s="31"/>
      <c r="H39" s="31"/>
      <c r="I39" s="33"/>
      <c r="J39" s="33"/>
      <c r="K39" s="33"/>
      <c r="L39" s="33"/>
    </row>
    <row r="40" spans="1:19">
      <c r="A40" s="22">
        <v>5252</v>
      </c>
      <c r="B40" s="32">
        <v>260</v>
      </c>
      <c r="C40" s="34" t="s">
        <v>194</v>
      </c>
      <c r="F40" s="31"/>
      <c r="G40" s="31"/>
      <c r="H40" s="31"/>
      <c r="I40" s="33"/>
      <c r="J40" s="33"/>
      <c r="K40" s="33"/>
      <c r="L40" s="33"/>
    </row>
    <row r="41" spans="1:19">
      <c r="A41" s="22" t="s">
        <v>257</v>
      </c>
      <c r="B41" s="32">
        <v>95.4</v>
      </c>
      <c r="C41" s="34"/>
      <c r="F41" s="31"/>
      <c r="G41" s="31"/>
      <c r="H41" s="31"/>
      <c r="I41" s="33"/>
      <c r="J41" s="33"/>
      <c r="K41" s="33"/>
      <c r="L41" s="33"/>
    </row>
    <row r="42" spans="1:19">
      <c r="I42" s="33"/>
      <c r="J42" s="33"/>
      <c r="K42" s="33"/>
      <c r="L42" s="33"/>
      <c r="M42" s="31"/>
      <c r="N42" s="31"/>
      <c r="O42" s="31"/>
    </row>
    <row r="43" spans="1:19">
      <c r="A43" s="62" t="s">
        <v>173</v>
      </c>
      <c r="B43" s="63"/>
      <c r="C43" s="63"/>
      <c r="D43" s="63"/>
      <c r="E43" s="63"/>
      <c r="F43" s="63"/>
      <c r="I43" s="33"/>
      <c r="J43" s="33"/>
      <c r="K43" s="33"/>
      <c r="L43" s="33"/>
      <c r="M43" s="31"/>
      <c r="N43" s="31"/>
      <c r="O43" s="31"/>
    </row>
    <row r="44" spans="1:19">
      <c r="A44" s="22" t="s">
        <v>169</v>
      </c>
      <c r="B44" s="22" t="s">
        <v>178</v>
      </c>
      <c r="C44" s="22" t="s">
        <v>185</v>
      </c>
      <c r="D44" s="22" t="s">
        <v>244</v>
      </c>
      <c r="E44" s="22" t="s">
        <v>176</v>
      </c>
      <c r="F44" s="22" t="s">
        <v>211</v>
      </c>
      <c r="I44" s="33"/>
      <c r="J44" s="33"/>
      <c r="K44" s="33"/>
      <c r="L44" s="33"/>
      <c r="M44" s="31"/>
      <c r="N44" s="31"/>
      <c r="O44" s="31"/>
    </row>
    <row r="45" spans="1:19">
      <c r="A45" s="28">
        <v>45053</v>
      </c>
      <c r="B45" s="22" t="s">
        <v>246</v>
      </c>
      <c r="C45" s="22" t="s">
        <v>249</v>
      </c>
      <c r="D45" s="22">
        <v>5254</v>
      </c>
      <c r="E45" s="32">
        <v>260</v>
      </c>
      <c r="F45" s="34"/>
      <c r="I45" s="33"/>
      <c r="J45" s="33"/>
      <c r="K45" s="33"/>
      <c r="L45" s="33"/>
      <c r="M45" s="31"/>
      <c r="N45" s="31"/>
      <c r="O45" s="31"/>
      <c r="R45" s="35"/>
      <c r="S45" s="27"/>
    </row>
    <row r="46" spans="1:19">
      <c r="A46" s="28">
        <v>45053</v>
      </c>
      <c r="B46" s="22" t="s">
        <v>198</v>
      </c>
      <c r="C46" s="22" t="s">
        <v>199</v>
      </c>
      <c r="D46" s="22">
        <v>5253</v>
      </c>
      <c r="E46" s="32">
        <v>300</v>
      </c>
      <c r="F46" s="34" t="s">
        <v>194</v>
      </c>
      <c r="I46" s="33"/>
      <c r="J46" s="33"/>
      <c r="K46" s="33"/>
      <c r="L46" s="33"/>
      <c r="M46" s="31"/>
      <c r="N46" s="31"/>
      <c r="O46" s="31"/>
    </row>
    <row r="47" spans="1:19">
      <c r="A47" s="28">
        <v>45060</v>
      </c>
      <c r="B47" s="22" t="s">
        <v>245</v>
      </c>
      <c r="C47" s="22" t="s">
        <v>250</v>
      </c>
      <c r="D47" s="22">
        <v>5255</v>
      </c>
      <c r="E47" s="32">
        <v>300</v>
      </c>
      <c r="F47" s="34" t="s">
        <v>194</v>
      </c>
      <c r="I47" s="33"/>
      <c r="J47" s="33"/>
      <c r="K47" s="33"/>
      <c r="L47" s="33"/>
      <c r="M47" s="31"/>
      <c r="N47" s="31"/>
      <c r="O47" s="31"/>
    </row>
    <row r="48" spans="1:19">
      <c r="A48" s="28">
        <v>45061</v>
      </c>
      <c r="B48" s="22" t="s">
        <v>205</v>
      </c>
      <c r="C48" s="22" t="s">
        <v>206</v>
      </c>
      <c r="D48" s="22">
        <v>5257</v>
      </c>
      <c r="E48" s="32">
        <v>1728</v>
      </c>
      <c r="F48" s="34" t="s">
        <v>194</v>
      </c>
      <c r="I48" s="33"/>
      <c r="J48" s="33"/>
      <c r="K48" s="33"/>
      <c r="L48" s="33"/>
      <c r="M48" s="31"/>
      <c r="N48" s="31"/>
      <c r="O48" s="31"/>
    </row>
    <row r="49" spans="1:15">
      <c r="A49" s="28">
        <v>45060</v>
      </c>
      <c r="B49" s="22" t="s">
        <v>246</v>
      </c>
      <c r="C49" s="22" t="s">
        <v>249</v>
      </c>
      <c r="D49" s="22">
        <v>5256</v>
      </c>
      <c r="E49" s="32">
        <v>260</v>
      </c>
      <c r="F49" s="34"/>
      <c r="I49" s="33"/>
      <c r="J49" s="33"/>
      <c r="K49" s="33"/>
      <c r="L49" s="33"/>
      <c r="M49" s="31"/>
      <c r="N49" s="31"/>
      <c r="O49" s="31"/>
    </row>
    <row r="50" spans="1:15">
      <c r="A50" s="28">
        <v>45067</v>
      </c>
      <c r="B50" s="22" t="s">
        <v>246</v>
      </c>
      <c r="C50" s="22" t="s">
        <v>249</v>
      </c>
      <c r="D50" s="22">
        <v>5259</v>
      </c>
      <c r="E50" s="32">
        <v>260</v>
      </c>
      <c r="F50" s="34"/>
      <c r="I50" s="33"/>
      <c r="J50" s="33"/>
      <c r="K50" s="33"/>
      <c r="L50" s="33"/>
      <c r="M50" s="31"/>
      <c r="N50" s="31"/>
      <c r="O50" s="31"/>
    </row>
    <row r="51" spans="1:15">
      <c r="A51" s="28">
        <v>45067</v>
      </c>
      <c r="B51" s="28" t="s">
        <v>256</v>
      </c>
      <c r="C51" s="22" t="s">
        <v>199</v>
      </c>
      <c r="D51" s="22">
        <v>5258</v>
      </c>
      <c r="E51" s="32">
        <v>300</v>
      </c>
      <c r="F51" s="34" t="s">
        <v>194</v>
      </c>
      <c r="I51" s="31"/>
      <c r="J51" s="31"/>
      <c r="K51" s="31"/>
      <c r="L51" s="31"/>
      <c r="M51" s="31"/>
      <c r="N51" s="31"/>
      <c r="O51" s="31"/>
    </row>
    <row r="52" spans="1:15">
      <c r="A52" s="28">
        <v>45077</v>
      </c>
      <c r="B52" s="22" t="s">
        <v>259</v>
      </c>
      <c r="C52" s="22" t="s">
        <v>214</v>
      </c>
      <c r="E52" s="32">
        <v>443.59</v>
      </c>
      <c r="F52" s="34"/>
      <c r="I52" s="31"/>
      <c r="J52" s="31"/>
      <c r="K52" s="31"/>
      <c r="L52" s="31"/>
      <c r="M52" s="31"/>
      <c r="N52" s="31"/>
      <c r="O52" s="31"/>
    </row>
    <row r="53" spans="1:15">
      <c r="A53" s="28">
        <v>45049</v>
      </c>
      <c r="B53" s="22" t="s">
        <v>209</v>
      </c>
      <c r="C53" s="22" t="s">
        <v>210</v>
      </c>
      <c r="E53" s="32">
        <v>258</v>
      </c>
      <c r="F53" s="34" t="s">
        <v>194</v>
      </c>
      <c r="I53" s="31"/>
      <c r="J53" s="31"/>
      <c r="K53" s="31"/>
      <c r="L53" s="31"/>
      <c r="M53" s="31"/>
      <c r="N53" s="31"/>
      <c r="O53" s="31"/>
    </row>
    <row r="54" spans="1:15">
      <c r="I54" s="31"/>
      <c r="J54" s="31"/>
      <c r="K54" s="31"/>
      <c r="L54" s="31"/>
      <c r="M54" s="31"/>
      <c r="N54" s="31"/>
      <c r="O54" s="31"/>
    </row>
    <row r="55" spans="1:15">
      <c r="I55" s="31"/>
      <c r="J55" s="31"/>
      <c r="K55" s="31"/>
      <c r="L55" s="31"/>
      <c r="M55" s="31"/>
      <c r="N55" s="31"/>
      <c r="O55" s="31"/>
    </row>
    <row r="56" spans="1:15">
      <c r="A56" s="22" t="s">
        <v>169</v>
      </c>
      <c r="B56" s="22" t="s">
        <v>185</v>
      </c>
      <c r="C56" s="22" t="s">
        <v>176</v>
      </c>
      <c r="D56" s="22" t="s">
        <v>240</v>
      </c>
      <c r="E56" s="22" t="s">
        <v>186</v>
      </c>
    </row>
    <row r="57" spans="1:15">
      <c r="A57" s="28">
        <v>45074</v>
      </c>
      <c r="B57" s="22" t="s">
        <v>6</v>
      </c>
      <c r="C57" s="22">
        <v>4928</v>
      </c>
      <c r="D57" s="22" t="s">
        <v>241</v>
      </c>
      <c r="E57" s="34" t="s">
        <v>194</v>
      </c>
    </row>
    <row r="58" spans="1:15">
      <c r="A58" s="28">
        <v>45074</v>
      </c>
      <c r="B58" s="22" t="s">
        <v>147</v>
      </c>
      <c r="C58" s="22">
        <v>2000</v>
      </c>
      <c r="D58" s="22" t="s">
        <v>241</v>
      </c>
      <c r="E58" s="34" t="s">
        <v>194</v>
      </c>
    </row>
    <row r="59" spans="1:15">
      <c r="A59" s="28">
        <v>45074</v>
      </c>
      <c r="B59" s="22" t="s">
        <v>70</v>
      </c>
      <c r="C59" s="22">
        <v>0</v>
      </c>
      <c r="D59" s="22" t="s">
        <v>241</v>
      </c>
      <c r="E59" s="34" t="s">
        <v>194</v>
      </c>
      <c r="G59" s="38"/>
      <c r="H59" s="50"/>
    </row>
    <row r="60" spans="1:15">
      <c r="A60" s="28">
        <v>45077</v>
      </c>
      <c r="B60" s="22" t="s">
        <v>228</v>
      </c>
      <c r="C60" s="22">
        <v>0.73</v>
      </c>
      <c r="D60" s="22" t="s">
        <v>70</v>
      </c>
      <c r="E60" s="34" t="s">
        <v>194</v>
      </c>
      <c r="G60" s="38"/>
      <c r="H60" s="50"/>
    </row>
    <row r="62" spans="1:15">
      <c r="G62" s="38" t="s">
        <v>242</v>
      </c>
      <c r="H62" s="50">
        <f>SUMIF(Offering05[Category], "G*",Offering05[Amount])</f>
        <v>4928.7299999999996</v>
      </c>
    </row>
    <row r="63" spans="1:15">
      <c r="G63" s="38" t="s">
        <v>215</v>
      </c>
      <c r="H63" s="51">
        <f xml:space="preserve"> H62 * 0.09</f>
        <v>443.58569999999992</v>
      </c>
      <c r="I63" s="22" t="s">
        <v>217</v>
      </c>
    </row>
  </sheetData>
  <mergeCells count="5">
    <mergeCell ref="A3:F3"/>
    <mergeCell ref="A15:F15"/>
    <mergeCell ref="A26:C26"/>
    <mergeCell ref="E26:G26"/>
    <mergeCell ref="A43:F43"/>
  </mergeCells>
  <conditionalFormatting sqref="F49:F50 F52">
    <cfRule type="containsText" dxfId="68" priority="20" operator="containsText" text="Y">
      <formula>NOT(ISERROR(SEARCH("Y",F49)))</formula>
    </cfRule>
    <cfRule type="containsText" priority="21" operator="containsText" text="&quot;&quot;">
      <formula>NOT(ISERROR(SEARCH("""""",F49)))</formula>
    </cfRule>
  </conditionalFormatting>
  <conditionalFormatting sqref="E60 C28:C41">
    <cfRule type="containsText" dxfId="67" priority="19" operator="containsText" text="Y">
      <formula>NOT(ISERROR(SEARCH("Y",C28)))</formula>
    </cfRule>
  </conditionalFormatting>
  <conditionalFormatting sqref="E57:E60">
    <cfRule type="containsText" dxfId="66" priority="18" operator="containsText" text="Y">
      <formula>NOT(ISERROR(SEARCH("Y",E57)))</formula>
    </cfRule>
  </conditionalFormatting>
  <conditionalFormatting sqref="F45">
    <cfRule type="containsText" dxfId="65" priority="13" operator="containsText" text="Y">
      <formula>NOT(ISERROR(SEARCH("Y",F45)))</formula>
    </cfRule>
  </conditionalFormatting>
  <conditionalFormatting sqref="F48">
    <cfRule type="containsText" dxfId="64" priority="10" operator="containsText" text="Y">
      <formula>NOT(ISERROR(SEARCH("Y",F48)))</formula>
    </cfRule>
  </conditionalFormatting>
  <conditionalFormatting sqref="F46">
    <cfRule type="containsText" dxfId="63" priority="4" operator="containsText" text="Y">
      <formula>NOT(ISERROR(SEARCH("Y",F46)))</formula>
    </cfRule>
  </conditionalFormatting>
  <conditionalFormatting sqref="F53">
    <cfRule type="containsText" dxfId="62" priority="5" operator="containsText" text="Y">
      <formula>NOT(ISERROR(SEARCH("Y",F53)))</formula>
    </cfRule>
    <cfRule type="containsText" priority="6" operator="containsText" text="&quot;&quot;">
      <formula>NOT(ISERROR(SEARCH("""""",F53)))</formula>
    </cfRule>
  </conditionalFormatting>
  <conditionalFormatting sqref="F47">
    <cfRule type="containsText" dxfId="61" priority="3" operator="containsText" text="Y">
      <formula>NOT(ISERROR(SEARCH("Y",F47)))</formula>
    </cfRule>
  </conditionalFormatting>
  <conditionalFormatting sqref="F51">
    <cfRule type="containsText" dxfId="60" priority="1" operator="containsText" text="Y">
      <formula>NOT(ISERROR(SEARCH("Y",F51)))</formula>
    </cfRule>
  </conditionalFormatting>
  <dataValidations count="1">
    <dataValidation type="list" allowBlank="1" showInputMessage="1" showErrorMessage="1" sqref="C45:C53" xr:uid="{4534001C-E886-43D0-9F17-D67F540940E6}">
      <formula1 xml:space="preserve"> INDIRECT("ExpenseCategory!ExpenseCategory[Display List]" 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B65A-D158-4322-B162-CF1D9440C607}">
  <dimension ref="A1:S62"/>
  <sheetViews>
    <sheetView topLeftCell="A25" workbookViewId="0">
      <selection activeCell="A45" sqref="A45:E54"/>
    </sheetView>
  </sheetViews>
  <sheetFormatPr defaultRowHeight="14.4"/>
  <cols>
    <col min="1" max="1" width="23.05078125" style="22" customWidth="1"/>
    <col min="2" max="2" width="23.9453125" style="22" customWidth="1"/>
    <col min="3" max="3" width="35.62890625" style="22" customWidth="1"/>
    <col min="4" max="4" width="19.26171875" style="22" customWidth="1"/>
    <col min="5" max="5" width="25.05078125" style="22" customWidth="1"/>
    <col min="6" max="6" width="31.15625" style="22" customWidth="1"/>
    <col min="7" max="7" width="20.47265625" style="22" customWidth="1"/>
    <col min="8" max="8" width="22.68359375" style="22" customWidth="1"/>
    <col min="9" max="9" width="25.20703125" style="22" customWidth="1"/>
    <col min="10" max="10" width="19" style="22" customWidth="1"/>
    <col min="11" max="11" width="20.7890625" style="22" customWidth="1"/>
    <col min="12" max="12" width="17.3671875" style="22" customWidth="1"/>
    <col min="13" max="13" width="14.62890625" style="22" customWidth="1"/>
    <col min="14" max="18" width="8.83984375" style="22"/>
    <col min="19" max="19" width="13.578125" style="22" customWidth="1"/>
    <col min="20" max="20" width="19.7890625" style="22" customWidth="1"/>
    <col min="21" max="21" width="9.15625" style="22" bestFit="1" customWidth="1"/>
    <col min="22" max="16384" width="8.83984375" style="22"/>
  </cols>
  <sheetData>
    <row r="1" spans="1:15" ht="28.2">
      <c r="A1" s="24" t="s">
        <v>168</v>
      </c>
      <c r="B1" s="25">
        <v>6</v>
      </c>
      <c r="C1" s="24" t="s">
        <v>172</v>
      </c>
      <c r="D1" s="42">
        <v>2023</v>
      </c>
    </row>
    <row r="2" spans="1:15" ht="14.7" customHeight="1" thickBot="1">
      <c r="I2" s="33"/>
      <c r="J2" s="33"/>
      <c r="K2" s="33"/>
      <c r="L2" s="33"/>
      <c r="M2" s="31"/>
      <c r="N2" s="31"/>
      <c r="O2" s="31"/>
    </row>
    <row r="3" spans="1:15" ht="15" thickTop="1" thickBot="1">
      <c r="A3" s="61" t="s">
        <v>154</v>
      </c>
      <c r="B3" s="61"/>
      <c r="C3" s="61"/>
      <c r="D3" s="61"/>
      <c r="E3" s="61"/>
      <c r="F3" s="61"/>
      <c r="I3" s="33"/>
      <c r="J3" s="33"/>
      <c r="K3" s="33"/>
      <c r="L3" s="33"/>
      <c r="M3" s="31"/>
      <c r="N3" s="31"/>
      <c r="O3" s="31"/>
    </row>
    <row r="4" spans="1:15" ht="14.7" thickTop="1">
      <c r="A4" s="22" t="s">
        <v>154</v>
      </c>
      <c r="B4" s="22" t="s">
        <v>162</v>
      </c>
      <c r="C4" s="22" t="s">
        <v>157</v>
      </c>
      <c r="D4" s="22" t="s">
        <v>159</v>
      </c>
      <c r="E4" s="22" t="s">
        <v>158</v>
      </c>
      <c r="F4" s="22" t="s">
        <v>229</v>
      </c>
      <c r="I4" s="33"/>
      <c r="J4" s="33"/>
      <c r="K4" s="33"/>
      <c r="L4" s="33"/>
      <c r="M4" s="31"/>
      <c r="N4" s="31"/>
      <c r="O4" s="31"/>
    </row>
    <row r="5" spans="1:15">
      <c r="A5" s="22" t="s">
        <v>65</v>
      </c>
      <c r="B5" s="23">
        <f xml:space="preserve"> VLOOKUP(A5,Funds05[], 6, FALSE)</f>
        <v>61213.750000000015</v>
      </c>
      <c r="C5" s="23">
        <v>61213.750000000015</v>
      </c>
      <c r="D5" s="23">
        <f>SUMIF(Offering06[Category], "G*",Offering06[Amount])</f>
        <v>1175.71</v>
      </c>
      <c r="E5" s="27">
        <f>SUMIF(Expenses06[Category], "G*",Expenses06[Amount])</f>
        <v>2085.81</v>
      </c>
      <c r="F5" s="27">
        <f xml:space="preserve"> Funds06[[#This Row],[Initial Amount]] + Funds06[[#This Row],[Income]] - Funds06[[#This Row],[Expense]]</f>
        <v>60303.650000000016</v>
      </c>
      <c r="I5" s="33"/>
      <c r="J5" s="33"/>
      <c r="K5" s="33"/>
      <c r="L5" s="33"/>
      <c r="M5" s="31"/>
      <c r="N5" s="31"/>
      <c r="O5" s="31"/>
    </row>
    <row r="6" spans="1:15">
      <c r="A6" s="22" t="s">
        <v>11</v>
      </c>
      <c r="B6" s="23">
        <f xml:space="preserve"> VLOOKUP(A6, Funds05[], 6, FALSE)</f>
        <v>421171.98</v>
      </c>
      <c r="C6" s="27">
        <v>421171.98</v>
      </c>
      <c r="D6" s="27">
        <f>SUMIF(Offering06[Category], "B*",Offering06[Amount])</f>
        <v>250</v>
      </c>
      <c r="E6" s="27">
        <f>SUMIF(Expenses06[Category], "B*",Expenses06[Amount])</f>
        <v>1554</v>
      </c>
      <c r="F6" s="27">
        <f xml:space="preserve"> Funds06[[#This Row],[Initial Amount]] + Funds06[[#This Row],[Income]] - Funds06[[#This Row],[Expense]]</f>
        <v>419867.98</v>
      </c>
      <c r="I6" s="33"/>
      <c r="J6" s="33"/>
      <c r="K6" s="33"/>
      <c r="L6" s="33"/>
      <c r="M6" s="31"/>
      <c r="N6" s="31"/>
      <c r="O6" s="31"/>
    </row>
    <row r="7" spans="1:15">
      <c r="A7" s="22" t="s">
        <v>67</v>
      </c>
      <c r="B7" s="23">
        <f xml:space="preserve"> VLOOKUP(A7, Funds05[], 6, FALSE)</f>
        <v>28845.040000000001</v>
      </c>
      <c r="C7" s="27">
        <v>28845.040000000001</v>
      </c>
      <c r="D7" s="27">
        <f>SUMIF(Offering06[Category], "M*",Offering06[Amount])</f>
        <v>0</v>
      </c>
      <c r="E7" s="27">
        <f>SUMIF(Expenses06[Category], "M*",Expenses06[Amount])</f>
        <v>0</v>
      </c>
      <c r="F7" s="27">
        <f xml:space="preserve"> Funds06[[#This Row],[Initial Amount]] + Funds06[[#This Row],[Income]] - Funds06[[#This Row],[Expense]]</f>
        <v>28845.040000000001</v>
      </c>
      <c r="I7" s="33"/>
      <c r="J7" s="33"/>
      <c r="K7" s="33"/>
      <c r="L7" s="33"/>
      <c r="M7" s="31"/>
      <c r="N7" s="31"/>
      <c r="O7" s="31"/>
    </row>
    <row r="8" spans="1:15">
      <c r="A8" s="22" t="s">
        <v>155</v>
      </c>
      <c r="B8" s="23">
        <f xml:space="preserve"> VLOOKUP(A8, Funds05[], 6, FALSE)</f>
        <v>4500</v>
      </c>
      <c r="C8" s="27">
        <v>4500</v>
      </c>
      <c r="D8" s="27">
        <f>SUMIF(Offering06[Category], "O*",Offering06[Amount])</f>
        <v>250</v>
      </c>
      <c r="E8" s="27">
        <f>SUMIF(Expenses06[Category], "O*",Expenses06[Amount])</f>
        <v>0</v>
      </c>
      <c r="F8" s="27">
        <f xml:space="preserve"> Funds06[[#This Row],[Initial Amount]] + Funds06[[#This Row],[Income]] - Funds06[[#This Row],[Expense]]</f>
        <v>4750</v>
      </c>
      <c r="I8" s="33"/>
      <c r="J8" s="33"/>
      <c r="K8" s="33"/>
      <c r="L8" s="33"/>
      <c r="M8" s="31"/>
      <c r="N8" s="31"/>
      <c r="O8" s="31"/>
    </row>
    <row r="9" spans="1:15">
      <c r="A9" s="22" t="s">
        <v>160</v>
      </c>
      <c r="B9" s="23">
        <f xml:space="preserve"> VLOOKUP(A9, Funds05[], 6, FALSE)</f>
        <v>27013.79</v>
      </c>
      <c r="C9" s="27">
        <v>27013.79</v>
      </c>
      <c r="D9" s="27">
        <f>SUMIF(Offering06[Category], "EN*",Offering06[Amount])</f>
        <v>0</v>
      </c>
      <c r="E9" s="27">
        <f>SUMIF(Expenses06[Category], "EN*",Expenses06[Amount])</f>
        <v>0</v>
      </c>
      <c r="F9" s="27">
        <f xml:space="preserve"> Funds06[[#This Row],[Initial Amount]] + Funds06[[#This Row],[Income]] - Funds06[[#This Row],[Expense]]</f>
        <v>27013.79</v>
      </c>
      <c r="I9" s="33"/>
      <c r="J9" s="33"/>
      <c r="K9" s="33"/>
      <c r="L9" s="33"/>
      <c r="M9" s="31"/>
      <c r="N9" s="31"/>
      <c r="O9" s="31"/>
    </row>
    <row r="10" spans="1:15">
      <c r="A10" s="22" t="s">
        <v>156</v>
      </c>
      <c r="B10" s="23">
        <f xml:space="preserve"> VLOOKUP(A10, Funds05[], 6, FALSE)</f>
        <v>4456.7700000000004</v>
      </c>
      <c r="C10" s="27">
        <v>4456.7700000000004</v>
      </c>
      <c r="D10" s="27">
        <f>SUMIF(Offering06[Category], "L*",Offering06[Amount])</f>
        <v>0</v>
      </c>
      <c r="E10" s="27"/>
      <c r="F10" s="27">
        <f xml:space="preserve"> Funds06[[#This Row],[Initial Amount]] + Funds06[[#This Row],[Income]] - Funds06[[#This Row],[Expense]]</f>
        <v>4456.7700000000004</v>
      </c>
      <c r="I10" s="33"/>
      <c r="J10" s="33"/>
      <c r="K10" s="33"/>
      <c r="L10" s="33"/>
      <c r="M10" s="31"/>
      <c r="N10" s="31"/>
      <c r="O10" s="31"/>
    </row>
    <row r="11" spans="1:15">
      <c r="A11" s="22" t="s">
        <v>195</v>
      </c>
      <c r="B11" s="27"/>
      <c r="C11" s="27">
        <v>0</v>
      </c>
      <c r="D11" s="27"/>
      <c r="E11" s="27"/>
      <c r="F11" s="27">
        <f xml:space="preserve"> Funds06[[#This Row],[Initial Amount]] + Funds06[[#This Row],[Income]] - Funds06[[#This Row],[Expense]]</f>
        <v>0</v>
      </c>
      <c r="I11" s="33"/>
      <c r="J11" s="33"/>
      <c r="K11" s="33"/>
      <c r="L11" s="33"/>
      <c r="M11" s="31"/>
      <c r="N11" s="31"/>
      <c r="O11" s="31"/>
    </row>
    <row r="12" spans="1:15">
      <c r="B12" s="27"/>
      <c r="C12" s="27">
        <v>0</v>
      </c>
      <c r="D12" s="27"/>
      <c r="E12" s="27"/>
      <c r="F12" s="27">
        <f xml:space="preserve"> Funds06[[#This Row],[Initial Amount]] + Funds06[[#This Row],[Income]] - Funds06[[#This Row],[Expense]]</f>
        <v>0</v>
      </c>
      <c r="I12" s="33"/>
      <c r="J12" s="33"/>
      <c r="K12" s="33"/>
      <c r="L12" s="33"/>
      <c r="M12" s="31"/>
      <c r="N12" s="31"/>
      <c r="O12" s="31"/>
    </row>
    <row r="13" spans="1:15">
      <c r="B13" s="27">
        <f xml:space="preserve"> SUM(Funds06[Initial Amount (Auto Calculated)])</f>
        <v>547201.32999999996</v>
      </c>
      <c r="C13" s="27">
        <f xml:space="preserve"> SUM(Funds06[Initial Amount])</f>
        <v>547201.32999999996</v>
      </c>
      <c r="D13" s="27"/>
      <c r="E13" s="27">
        <f xml:space="preserve"> SUM(Funds06[Expense])</f>
        <v>3639.81</v>
      </c>
      <c r="F13" s="27">
        <f xml:space="preserve"> SUM(Funds06[End of Month Amount])</f>
        <v>545237.23</v>
      </c>
      <c r="I13" s="33"/>
      <c r="J13" s="33"/>
      <c r="K13" s="33"/>
      <c r="L13" s="33"/>
      <c r="M13" s="31"/>
      <c r="N13" s="31"/>
      <c r="O13" s="31"/>
    </row>
    <row r="14" spans="1:15" ht="14.7" thickBot="1">
      <c r="I14" s="33"/>
      <c r="J14" s="33"/>
      <c r="K14" s="33"/>
      <c r="L14" s="33"/>
      <c r="M14" s="31"/>
      <c r="N14" s="31"/>
      <c r="O14" s="31"/>
    </row>
    <row r="15" spans="1:15" ht="15" thickTop="1" thickBot="1">
      <c r="A15" s="61" t="s">
        <v>161</v>
      </c>
      <c r="B15" s="61"/>
      <c r="C15" s="61"/>
      <c r="D15" s="61"/>
      <c r="E15" s="61"/>
      <c r="F15" s="61"/>
      <c r="I15" s="33"/>
      <c r="J15" s="33"/>
      <c r="K15" s="33"/>
      <c r="L15" s="33"/>
      <c r="M15" s="31"/>
      <c r="N15" s="31"/>
      <c r="O15" s="31"/>
    </row>
    <row r="16" spans="1:15" ht="14.7" thickTop="1">
      <c r="A16" s="22" t="s">
        <v>161</v>
      </c>
      <c r="B16" s="22" t="s">
        <v>163</v>
      </c>
      <c r="C16" s="22" t="s">
        <v>164</v>
      </c>
      <c r="D16" s="22" t="s">
        <v>184</v>
      </c>
      <c r="E16" s="22" t="s">
        <v>165</v>
      </c>
      <c r="F16" s="22" t="s">
        <v>229</v>
      </c>
      <c r="H16" s="33"/>
      <c r="I16" s="33"/>
      <c r="J16" s="33"/>
      <c r="K16" s="33"/>
      <c r="L16" s="31"/>
      <c r="M16" s="31"/>
      <c r="N16" s="31"/>
    </row>
    <row r="17" spans="1:15">
      <c r="A17" s="22" t="s">
        <v>166</v>
      </c>
      <c r="B17" s="27">
        <f xml:space="preserve"> VLOOKUP(A17, BankAccounts05[], 6, FALSE)</f>
        <v>101644.34</v>
      </c>
      <c r="C17" s="27">
        <v>101644.34</v>
      </c>
      <c r="D17" s="27">
        <f>SUMIF(Offering06[Bank Account], "C",Offering06[Amount])</f>
        <v>1675</v>
      </c>
      <c r="E17" s="27">
        <f>SUMIF(Expenses06[Paid/Cashed ?], "Y",Expenses06[Amount]) + SUMIF(InitialOutstandingPayments06[Paid ?], "Y",InitialOutstandingPayments06[Amount])</f>
        <v>3754</v>
      </c>
      <c r="F17" s="27">
        <f xml:space="preserve"> BankAccounts06[[#This Row],[Initial Balance]] + BankAccounts06[[#This Row],[Deposit/Interest]] - BankAccounts06[[#This Row],[Withdraw]]</f>
        <v>99565.34</v>
      </c>
      <c r="H17" s="33"/>
      <c r="I17" s="33"/>
      <c r="J17" s="33"/>
      <c r="K17" s="33"/>
      <c r="L17" s="31"/>
      <c r="M17" s="31"/>
      <c r="N17" s="31"/>
    </row>
    <row r="18" spans="1:15">
      <c r="A18" s="22" t="s">
        <v>167</v>
      </c>
      <c r="B18" s="27">
        <f xml:space="preserve"> VLOOKUP(A18, BankAccounts05[], 6, FALSE)</f>
        <v>86469.98</v>
      </c>
      <c r="C18" s="27">
        <v>86469.98</v>
      </c>
      <c r="D18" s="27">
        <f>SUMIF(Offering06[Bank Account], "M*",Offering06[Amount])</f>
        <v>0.71</v>
      </c>
      <c r="E18" s="27"/>
      <c r="F18" s="27">
        <f xml:space="preserve"> BankAccounts06[[#This Row],[Initial Balance]] + BankAccounts06[[#This Row],[Deposit/Interest]] - BankAccounts06[[#This Row],[Withdraw]]</f>
        <v>86470.69</v>
      </c>
      <c r="H18" s="33"/>
      <c r="I18" s="22" t="s">
        <v>220</v>
      </c>
      <c r="J18" s="22" t="s">
        <v>221</v>
      </c>
      <c r="K18" s="22" t="s">
        <v>226</v>
      </c>
      <c r="L18" s="22" t="s">
        <v>222</v>
      </c>
      <c r="M18" s="22" t="s">
        <v>225</v>
      </c>
      <c r="N18" s="31"/>
    </row>
    <row r="19" spans="1:15">
      <c r="A19" s="22" t="s">
        <v>181</v>
      </c>
      <c r="B19" s="27">
        <f xml:space="preserve"> VLOOKUP(A19, BankAccounts05[], 6, FALSE)</f>
        <v>103844.08</v>
      </c>
      <c r="C19" s="27">
        <v>103844.08</v>
      </c>
      <c r="D19" s="27"/>
      <c r="E19" s="27"/>
      <c r="F19" s="27">
        <f xml:space="preserve"> BankAccounts06[[#This Row],[Initial Balance]] + BankAccounts06[[#This Row],[Deposit/Interest]] - BankAccounts06[[#This Row],[Withdraw]]</f>
        <v>103844.08</v>
      </c>
      <c r="H19" s="33"/>
      <c r="I19" s="22" t="s">
        <v>219</v>
      </c>
      <c r="J19" s="35">
        <v>4.2099999999999999E-2</v>
      </c>
      <c r="K19" s="22">
        <v>0</v>
      </c>
      <c r="L19" s="30">
        <v>103844.08</v>
      </c>
      <c r="M19" s="29">
        <v>45292</v>
      </c>
      <c r="N19" s="31"/>
    </row>
    <row r="20" spans="1:15">
      <c r="A20" s="22" t="s">
        <v>182</v>
      </c>
      <c r="B20" s="27">
        <f xml:space="preserve"> VLOOKUP(A20, BankAccounts05[], 6, FALSE)</f>
        <v>103844.08</v>
      </c>
      <c r="C20" s="27">
        <v>103844.08</v>
      </c>
      <c r="D20" s="27"/>
      <c r="E20" s="27"/>
      <c r="F20" s="27">
        <f xml:space="preserve"> BankAccounts06[[#This Row],[Initial Balance]] + BankAccounts06[[#This Row],[Deposit/Interest]] - BankAccounts06[[#This Row],[Withdraw]]</f>
        <v>103844.08</v>
      </c>
      <c r="H20" s="33"/>
      <c r="I20" s="22" t="s">
        <v>224</v>
      </c>
      <c r="J20" s="35">
        <v>4.2099999999999999E-2</v>
      </c>
      <c r="K20" s="22">
        <v>0</v>
      </c>
      <c r="L20" s="30">
        <v>103844.08</v>
      </c>
      <c r="M20" s="29">
        <v>45292</v>
      </c>
      <c r="N20" s="31"/>
    </row>
    <row r="21" spans="1:15">
      <c r="A21" s="22" t="s">
        <v>183</v>
      </c>
      <c r="B21" s="27">
        <f xml:space="preserve"> VLOOKUP(A21, BankAccounts05[], 6, FALSE)</f>
        <v>156231.07</v>
      </c>
      <c r="C21" s="27">
        <v>156231.07</v>
      </c>
      <c r="D21" s="27"/>
      <c r="E21" s="27"/>
      <c r="F21" s="27">
        <f xml:space="preserve"> BankAccounts06[[#This Row],[Initial Balance]] + BankAccounts06[[#This Row],[Deposit/Interest]] - BankAccounts06[[#This Row],[Withdraw]]</f>
        <v>156231.07</v>
      </c>
      <c r="H21" s="33"/>
      <c r="I21" s="22" t="s">
        <v>223</v>
      </c>
      <c r="J21" s="35">
        <v>4.9500000000000002E-2</v>
      </c>
      <c r="K21" s="30">
        <v>1949.52</v>
      </c>
      <c r="L21" s="30">
        <v>158180.59</v>
      </c>
      <c r="M21" s="29">
        <v>45319</v>
      </c>
      <c r="N21" s="31"/>
    </row>
    <row r="22" spans="1:15">
      <c r="A22" s="22" t="s">
        <v>187</v>
      </c>
      <c r="B22" s="27"/>
      <c r="C22" s="27"/>
      <c r="D22" s="27"/>
      <c r="E22" s="27"/>
      <c r="F22" s="27"/>
      <c r="H22" s="33"/>
      <c r="I22" s="33"/>
      <c r="J22" s="33"/>
      <c r="K22" s="33"/>
      <c r="L22" s="31"/>
      <c r="M22" s="31"/>
      <c r="N22" s="31"/>
    </row>
    <row r="23" spans="1:15">
      <c r="A23" s="22" t="s">
        <v>188</v>
      </c>
      <c r="B23" s="27"/>
      <c r="C23" s="27">
        <f xml:space="preserve"> SUM(InitialOutstandingPayments06[Amount])</f>
        <v>4832.2199999999993</v>
      </c>
      <c r="D23" s="27">
        <f xml:space="preserve"> SUMIF(Expenses06[Paid/Cashed ?], "",Expenses06[Amount])</f>
        <v>665.81</v>
      </c>
      <c r="E23" s="27">
        <f xml:space="preserve"> SUMIF(InitialOutstandingPayments06[Paid ?], "Y", InitialOutstandingPayments06[Amount])</f>
        <v>780</v>
      </c>
      <c r="F23" s="27">
        <f xml:space="preserve"> BankAccounts06[[#This Row],[Initial Balance]] + BankAccounts06[[#This Row],[Deposit/Interest]] - BankAccounts06[[#This Row],[Withdraw]]</f>
        <v>4718.0299999999988</v>
      </c>
      <c r="H23" s="33"/>
      <c r="I23" s="33"/>
      <c r="J23" s="33"/>
      <c r="K23" s="33"/>
      <c r="L23" s="37">
        <f xml:space="preserve"> L21 - K21</f>
        <v>156231.07</v>
      </c>
      <c r="M23" s="31"/>
      <c r="N23" s="31"/>
    </row>
    <row r="24" spans="1:15">
      <c r="B24" s="27">
        <f xml:space="preserve"> SUM(B17:B21) + B22 - B23</f>
        <v>552033.55000000005</v>
      </c>
      <c r="C24" s="27">
        <f xml:space="preserve"> SUM(C17:C21) - C23</f>
        <v>547201.33000000007</v>
      </c>
      <c r="F24" s="27">
        <f xml:space="preserve"> SUM(F17:F21) + F22 - F23</f>
        <v>545237.23</v>
      </c>
      <c r="H24" s="33"/>
      <c r="I24" s="33"/>
      <c r="J24" s="33"/>
      <c r="K24" s="33"/>
      <c r="L24" s="31"/>
      <c r="M24" s="31"/>
      <c r="N24" s="31"/>
    </row>
    <row r="25" spans="1:15" ht="14.7" thickBot="1">
      <c r="I25" s="33"/>
      <c r="J25" s="33"/>
      <c r="K25" s="33"/>
      <c r="L25" s="33"/>
      <c r="M25" s="31"/>
      <c r="N25" s="31"/>
      <c r="O25" s="31"/>
    </row>
    <row r="26" spans="1:15" ht="15" thickTop="1" thickBot="1">
      <c r="A26" s="61" t="s">
        <v>218</v>
      </c>
      <c r="B26" s="61"/>
      <c r="C26" s="61"/>
      <c r="E26" s="61" t="s">
        <v>227</v>
      </c>
      <c r="F26" s="61"/>
      <c r="G26" s="61"/>
      <c r="I26" s="33"/>
      <c r="J26" s="33"/>
      <c r="K26" s="33"/>
      <c r="L26" s="33"/>
      <c r="M26" s="31"/>
      <c r="N26" s="31"/>
      <c r="O26" s="31"/>
    </row>
    <row r="27" spans="1:15" ht="14.7" thickTop="1">
      <c r="A27" s="22" t="s">
        <v>208</v>
      </c>
      <c r="B27" s="22" t="s">
        <v>176</v>
      </c>
      <c r="C27" s="22" t="s">
        <v>189</v>
      </c>
      <c r="E27" s="22" t="s">
        <v>178</v>
      </c>
      <c r="F27" s="31" t="s">
        <v>176</v>
      </c>
      <c r="G27" s="31" t="s">
        <v>186</v>
      </c>
      <c r="H27" s="31"/>
      <c r="I27" s="33"/>
      <c r="J27" s="33"/>
      <c r="K27" s="33"/>
      <c r="L27" s="33"/>
    </row>
    <row r="28" spans="1:15">
      <c r="A28" s="22" t="s">
        <v>234</v>
      </c>
      <c r="B28" s="32">
        <v>27.37</v>
      </c>
      <c r="C28" s="34"/>
      <c r="F28" s="31"/>
      <c r="G28" s="31"/>
      <c r="H28" s="31"/>
      <c r="I28" s="33"/>
      <c r="J28" s="33"/>
      <c r="K28" s="33"/>
      <c r="L28" s="33"/>
    </row>
    <row r="29" spans="1:15">
      <c r="A29" s="22" t="s">
        <v>213</v>
      </c>
      <c r="B29" s="32">
        <v>2019.3</v>
      </c>
      <c r="C29" s="34"/>
      <c r="F29" s="31"/>
      <c r="G29" s="31"/>
      <c r="H29" s="31"/>
      <c r="I29" s="33"/>
      <c r="J29" s="33"/>
      <c r="K29" s="33"/>
      <c r="L29" s="33"/>
    </row>
    <row r="30" spans="1:15">
      <c r="A30" s="22" t="s">
        <v>233</v>
      </c>
      <c r="B30" s="32">
        <v>114</v>
      </c>
      <c r="C30" s="34"/>
      <c r="F30" s="31"/>
      <c r="G30" s="31"/>
      <c r="H30" s="31"/>
      <c r="I30" s="33"/>
      <c r="J30" s="33"/>
      <c r="K30" s="33"/>
      <c r="L30" s="33"/>
    </row>
    <row r="31" spans="1:15">
      <c r="A31" s="22" t="s">
        <v>235</v>
      </c>
      <c r="B31" s="32">
        <v>250</v>
      </c>
      <c r="C31" s="34"/>
      <c r="F31" s="31"/>
      <c r="G31" s="31"/>
      <c r="H31" s="31"/>
      <c r="I31" s="33"/>
      <c r="J31" s="33"/>
      <c r="K31" s="33"/>
      <c r="L31" s="33"/>
    </row>
    <row r="32" spans="1:15">
      <c r="A32" s="22" t="s">
        <v>231</v>
      </c>
      <c r="B32" s="32">
        <v>371.7</v>
      </c>
      <c r="C32" s="34"/>
      <c r="F32" s="31"/>
      <c r="G32" s="31"/>
      <c r="H32" s="31"/>
      <c r="I32" s="33"/>
      <c r="J32" s="33"/>
      <c r="K32" s="33"/>
      <c r="L32" s="33"/>
    </row>
    <row r="33" spans="1:19">
      <c r="A33" s="22" t="s">
        <v>239</v>
      </c>
      <c r="B33" s="32">
        <v>448.7</v>
      </c>
      <c r="C33" s="34"/>
      <c r="F33" s="31"/>
      <c r="G33" s="31"/>
      <c r="H33" s="31"/>
      <c r="I33" s="33"/>
      <c r="J33" s="33"/>
      <c r="K33" s="33"/>
      <c r="L33" s="33"/>
    </row>
    <row r="34" spans="1:19">
      <c r="A34" s="22" t="s">
        <v>253</v>
      </c>
      <c r="B34" s="32">
        <v>242.17</v>
      </c>
      <c r="C34" s="34"/>
      <c r="F34" s="31"/>
      <c r="G34" s="31"/>
      <c r="H34" s="31"/>
      <c r="I34" s="33"/>
      <c r="J34" s="33"/>
      <c r="K34" s="33"/>
      <c r="L34" s="33"/>
    </row>
    <row r="35" spans="1:19">
      <c r="A35" s="22" t="s">
        <v>257</v>
      </c>
      <c r="B35" s="32">
        <v>95.4</v>
      </c>
      <c r="C35" s="34"/>
      <c r="F35" s="31"/>
      <c r="G35" s="31"/>
      <c r="H35" s="31"/>
      <c r="I35" s="33"/>
      <c r="J35" s="33"/>
      <c r="K35" s="33"/>
      <c r="L35" s="33"/>
    </row>
    <row r="36" spans="1:19">
      <c r="A36" s="22">
        <v>5237</v>
      </c>
      <c r="B36" s="32">
        <v>39.99</v>
      </c>
      <c r="C36" s="34"/>
      <c r="F36" s="31"/>
      <c r="G36" s="31"/>
      <c r="H36" s="31"/>
      <c r="I36" s="33"/>
      <c r="J36" s="33"/>
      <c r="K36" s="33"/>
      <c r="L36" s="33"/>
    </row>
    <row r="37" spans="1:19">
      <c r="A37" s="22">
        <v>5254</v>
      </c>
      <c r="B37" s="32">
        <v>260</v>
      </c>
      <c r="C37" s="34" t="s">
        <v>194</v>
      </c>
      <c r="F37" s="31"/>
      <c r="G37" s="31"/>
      <c r="H37" s="31"/>
      <c r="I37" s="33"/>
      <c r="J37" s="33"/>
      <c r="K37" s="33"/>
      <c r="L37" s="33"/>
    </row>
    <row r="38" spans="1:19">
      <c r="A38" s="22">
        <v>5256</v>
      </c>
      <c r="B38" s="32">
        <v>260</v>
      </c>
      <c r="C38" s="34" t="s">
        <v>194</v>
      </c>
      <c r="F38" s="31"/>
      <c r="G38" s="31"/>
      <c r="H38" s="31"/>
      <c r="I38" s="33"/>
      <c r="J38" s="33"/>
      <c r="K38" s="33"/>
      <c r="L38" s="33"/>
    </row>
    <row r="39" spans="1:19">
      <c r="A39" s="22">
        <v>5259</v>
      </c>
      <c r="B39" s="32">
        <v>260</v>
      </c>
      <c r="C39" s="34" t="s">
        <v>194</v>
      </c>
      <c r="F39" s="31"/>
      <c r="G39" s="31"/>
      <c r="H39" s="31"/>
      <c r="I39" s="33"/>
      <c r="J39" s="33"/>
      <c r="K39" s="33"/>
      <c r="L39" s="33"/>
    </row>
    <row r="40" spans="1:19">
      <c r="A40" s="22" t="s">
        <v>259</v>
      </c>
      <c r="B40" s="32">
        <v>443.59</v>
      </c>
      <c r="C40" s="34"/>
      <c r="F40" s="31"/>
      <c r="G40" s="31"/>
      <c r="H40" s="31"/>
      <c r="I40" s="33"/>
      <c r="J40" s="33"/>
      <c r="K40" s="33"/>
      <c r="L40" s="33"/>
    </row>
    <row r="41" spans="1:19">
      <c r="B41" s="32"/>
      <c r="C41" s="34"/>
      <c r="F41" s="31"/>
      <c r="G41" s="31"/>
      <c r="H41" s="31"/>
      <c r="I41" s="33"/>
      <c r="J41" s="33"/>
      <c r="K41" s="33"/>
      <c r="L41" s="33"/>
    </row>
    <row r="42" spans="1:19">
      <c r="I42" s="33"/>
      <c r="J42" s="33"/>
      <c r="K42" s="33"/>
      <c r="L42" s="33"/>
      <c r="M42" s="31"/>
      <c r="N42" s="31"/>
      <c r="O42" s="31"/>
    </row>
    <row r="43" spans="1:19">
      <c r="A43" s="62" t="s">
        <v>173</v>
      </c>
      <c r="B43" s="63"/>
      <c r="C43" s="63"/>
      <c r="D43" s="63"/>
      <c r="E43" s="63"/>
      <c r="F43" s="63"/>
      <c r="I43" s="33"/>
      <c r="J43" s="33"/>
      <c r="K43" s="33"/>
      <c r="L43" s="33"/>
      <c r="M43" s="31"/>
      <c r="N43" s="31"/>
      <c r="O43" s="31"/>
    </row>
    <row r="44" spans="1:19">
      <c r="A44" s="22" t="s">
        <v>169</v>
      </c>
      <c r="B44" s="22" t="s">
        <v>178</v>
      </c>
      <c r="C44" s="22" t="s">
        <v>185</v>
      </c>
      <c r="D44" s="22" t="s">
        <v>244</v>
      </c>
      <c r="E44" s="22" t="s">
        <v>176</v>
      </c>
      <c r="F44" s="22" t="s">
        <v>211</v>
      </c>
      <c r="I44" s="33"/>
      <c r="J44" s="33"/>
      <c r="K44" s="33"/>
      <c r="L44" s="33"/>
      <c r="M44" s="31"/>
      <c r="N44" s="31"/>
      <c r="O44" s="31"/>
    </row>
    <row r="45" spans="1:19">
      <c r="A45" s="28">
        <v>45081</v>
      </c>
      <c r="B45" s="22" t="s">
        <v>246</v>
      </c>
      <c r="C45" s="22" t="s">
        <v>249</v>
      </c>
      <c r="D45" s="22">
        <v>5261</v>
      </c>
      <c r="E45" s="32">
        <v>260</v>
      </c>
      <c r="F45" s="34" t="s">
        <v>194</v>
      </c>
      <c r="I45" s="33"/>
      <c r="J45" s="33"/>
      <c r="K45" s="33"/>
      <c r="L45" s="33"/>
      <c r="M45" s="31"/>
      <c r="N45" s="31"/>
      <c r="O45" s="31"/>
      <c r="R45" s="35"/>
      <c r="S45" s="27"/>
    </row>
    <row r="46" spans="1:19">
      <c r="A46" s="28">
        <v>45081</v>
      </c>
      <c r="B46" s="22" t="s">
        <v>198</v>
      </c>
      <c r="C46" s="22" t="s">
        <v>199</v>
      </c>
      <c r="D46" s="22">
        <v>5260</v>
      </c>
      <c r="E46" s="32">
        <v>300</v>
      </c>
      <c r="F46" s="34" t="s">
        <v>194</v>
      </c>
      <c r="I46" s="33"/>
      <c r="J46" s="33"/>
      <c r="K46" s="33"/>
      <c r="L46" s="33"/>
      <c r="M46" s="31"/>
      <c r="N46" s="31"/>
      <c r="O46" s="31"/>
    </row>
    <row r="47" spans="1:19">
      <c r="A47" s="28">
        <v>45081</v>
      </c>
      <c r="B47" s="22" t="s">
        <v>205</v>
      </c>
      <c r="C47" s="22" t="s">
        <v>206</v>
      </c>
      <c r="D47" s="22">
        <v>5262</v>
      </c>
      <c r="E47" s="32">
        <v>1296</v>
      </c>
      <c r="F47" s="34" t="s">
        <v>194</v>
      </c>
      <c r="I47" s="33"/>
      <c r="J47" s="33"/>
      <c r="K47" s="33"/>
      <c r="L47" s="33"/>
      <c r="M47" s="31"/>
      <c r="N47" s="31"/>
      <c r="O47" s="31"/>
    </row>
    <row r="48" spans="1:19">
      <c r="A48" s="28">
        <v>45088</v>
      </c>
      <c r="B48" s="22" t="s">
        <v>246</v>
      </c>
      <c r="C48" s="22" t="s">
        <v>249</v>
      </c>
      <c r="D48" s="22">
        <v>5264</v>
      </c>
      <c r="E48" s="32">
        <v>260</v>
      </c>
      <c r="F48" s="34" t="s">
        <v>194</v>
      </c>
      <c r="I48" s="33"/>
      <c r="J48" s="33"/>
      <c r="K48" s="33"/>
      <c r="L48" s="33"/>
      <c r="M48" s="31"/>
      <c r="N48" s="31"/>
      <c r="O48" s="31"/>
    </row>
    <row r="49" spans="1:15">
      <c r="A49" s="28">
        <v>45088</v>
      </c>
      <c r="B49" s="28" t="s">
        <v>237</v>
      </c>
      <c r="C49" s="22" t="s">
        <v>199</v>
      </c>
      <c r="D49" s="22">
        <v>5263</v>
      </c>
      <c r="E49" s="32">
        <v>300</v>
      </c>
      <c r="F49" s="34" t="s">
        <v>194</v>
      </c>
      <c r="I49" s="33"/>
      <c r="J49" s="33"/>
      <c r="K49" s="33"/>
      <c r="L49" s="33"/>
      <c r="M49" s="31"/>
      <c r="N49" s="31"/>
      <c r="O49" s="31"/>
    </row>
    <row r="50" spans="1:15">
      <c r="A50" s="28">
        <v>45095</v>
      </c>
      <c r="B50" s="22" t="s">
        <v>200</v>
      </c>
      <c r="C50" s="22" t="s">
        <v>199</v>
      </c>
      <c r="D50" s="22">
        <v>5265</v>
      </c>
      <c r="E50" s="32">
        <v>300</v>
      </c>
      <c r="F50" s="34" t="s">
        <v>194</v>
      </c>
      <c r="I50" s="31"/>
      <c r="J50" s="31"/>
      <c r="K50" s="31"/>
      <c r="L50" s="31"/>
      <c r="M50" s="31"/>
      <c r="N50" s="31"/>
      <c r="O50" s="31"/>
    </row>
    <row r="51" spans="1:15">
      <c r="A51" s="28">
        <v>45095</v>
      </c>
      <c r="B51" s="22" t="s">
        <v>246</v>
      </c>
      <c r="C51" s="22" t="s">
        <v>249</v>
      </c>
      <c r="D51" s="22">
        <v>5266</v>
      </c>
      <c r="E51" s="32">
        <v>260</v>
      </c>
      <c r="F51" s="34"/>
      <c r="I51" s="31"/>
      <c r="J51" s="31"/>
      <c r="K51" s="31"/>
      <c r="L51" s="31"/>
      <c r="M51" s="31"/>
      <c r="N51" s="31"/>
      <c r="O51" s="31"/>
    </row>
    <row r="52" spans="1:15">
      <c r="A52" s="28">
        <v>45102</v>
      </c>
      <c r="B52" s="28" t="s">
        <v>256</v>
      </c>
      <c r="C52" s="22" t="s">
        <v>199</v>
      </c>
      <c r="D52" s="22">
        <v>5267</v>
      </c>
      <c r="E52" s="32">
        <v>300</v>
      </c>
      <c r="F52" s="34"/>
      <c r="I52" s="31"/>
      <c r="J52" s="31"/>
      <c r="K52" s="31"/>
      <c r="L52" s="31"/>
      <c r="M52" s="31"/>
      <c r="N52" s="31"/>
      <c r="O52" s="31"/>
    </row>
    <row r="53" spans="1:15">
      <c r="A53" s="28"/>
      <c r="B53" s="22" t="s">
        <v>209</v>
      </c>
      <c r="C53" s="22" t="s">
        <v>210</v>
      </c>
      <c r="E53" s="32">
        <v>258</v>
      </c>
      <c r="F53" s="34" t="s">
        <v>194</v>
      </c>
      <c r="I53" s="31"/>
      <c r="J53" s="31"/>
      <c r="K53" s="31"/>
      <c r="L53" s="31"/>
      <c r="M53" s="31"/>
      <c r="N53" s="31"/>
      <c r="O53" s="31"/>
    </row>
    <row r="54" spans="1:15">
      <c r="A54" s="28"/>
      <c r="B54" s="22" t="s">
        <v>260</v>
      </c>
      <c r="C54" s="22" t="s">
        <v>214</v>
      </c>
      <c r="E54" s="32">
        <v>105.81</v>
      </c>
      <c r="F54" s="34"/>
      <c r="I54" s="31"/>
      <c r="J54" s="31"/>
      <c r="K54" s="31"/>
      <c r="L54" s="31"/>
      <c r="M54" s="31"/>
      <c r="N54" s="31"/>
      <c r="O54" s="31"/>
    </row>
    <row r="56" spans="1:15">
      <c r="A56" s="22" t="s">
        <v>169</v>
      </c>
      <c r="B56" s="22" t="s">
        <v>185</v>
      </c>
      <c r="C56" s="22" t="s">
        <v>176</v>
      </c>
      <c r="D56" s="22" t="s">
        <v>240</v>
      </c>
      <c r="E56" s="22" t="s">
        <v>186</v>
      </c>
    </row>
    <row r="57" spans="1:15">
      <c r="A57" s="28">
        <v>45107</v>
      </c>
      <c r="B57" s="22" t="s">
        <v>6</v>
      </c>
      <c r="C57" s="22">
        <v>1175</v>
      </c>
      <c r="D57" s="22" t="s">
        <v>241</v>
      </c>
      <c r="E57" s="34" t="s">
        <v>194</v>
      </c>
    </row>
    <row r="58" spans="1:15">
      <c r="A58" s="28">
        <v>45107</v>
      </c>
      <c r="B58" s="22" t="s">
        <v>147</v>
      </c>
      <c r="C58" s="22">
        <v>250</v>
      </c>
      <c r="D58" s="22" t="s">
        <v>241</v>
      </c>
      <c r="E58" s="34" t="s">
        <v>194</v>
      </c>
      <c r="G58" s="38"/>
      <c r="H58" s="50"/>
    </row>
    <row r="59" spans="1:15">
      <c r="A59" s="28">
        <v>45107</v>
      </c>
      <c r="B59" s="22" t="s">
        <v>14</v>
      </c>
      <c r="C59" s="22">
        <v>250</v>
      </c>
      <c r="D59" s="22" t="s">
        <v>241</v>
      </c>
      <c r="E59" s="34" t="s">
        <v>194</v>
      </c>
      <c r="G59" s="38"/>
      <c r="H59" s="50"/>
    </row>
    <row r="60" spans="1:15">
      <c r="A60" s="28">
        <v>45107</v>
      </c>
      <c r="B60" s="22" t="s">
        <v>228</v>
      </c>
      <c r="C60" s="22">
        <v>0.71</v>
      </c>
      <c r="D60" s="22" t="s">
        <v>70</v>
      </c>
      <c r="E60" s="34" t="s">
        <v>194</v>
      </c>
    </row>
    <row r="61" spans="1:15">
      <c r="G61" s="38" t="s">
        <v>242</v>
      </c>
      <c r="H61" s="50">
        <f>SUMIF(Offering06[Category], "G*",Offering06[Amount])</f>
        <v>1175.71</v>
      </c>
    </row>
    <row r="62" spans="1:15">
      <c r="G62" s="38" t="s">
        <v>215</v>
      </c>
      <c r="H62" s="51">
        <f xml:space="preserve"> H61 * 0.09</f>
        <v>105.8139</v>
      </c>
      <c r="I62" s="22" t="s">
        <v>217</v>
      </c>
    </row>
  </sheetData>
  <mergeCells count="5">
    <mergeCell ref="A3:F3"/>
    <mergeCell ref="A15:F15"/>
    <mergeCell ref="A26:C26"/>
    <mergeCell ref="E26:G26"/>
    <mergeCell ref="A43:F43"/>
  </mergeCells>
  <conditionalFormatting sqref="F50 F48 F52">
    <cfRule type="containsText" dxfId="59" priority="14" operator="containsText" text="Y">
      <formula>NOT(ISERROR(SEARCH("Y",F48)))</formula>
    </cfRule>
    <cfRule type="containsText" priority="15" operator="containsText" text="&quot;&quot;">
      <formula>NOT(ISERROR(SEARCH("""""",F48)))</formula>
    </cfRule>
  </conditionalFormatting>
  <conditionalFormatting sqref="E60 C28:C36 C40:C41">
    <cfRule type="containsText" dxfId="58" priority="13" operator="containsText" text="Y">
      <formula>NOT(ISERROR(SEARCH("Y",C28)))</formula>
    </cfRule>
  </conditionalFormatting>
  <conditionalFormatting sqref="E57:E60">
    <cfRule type="containsText" dxfId="57" priority="12" operator="containsText" text="Y">
      <formula>NOT(ISERROR(SEARCH("Y",E57)))</formula>
    </cfRule>
  </conditionalFormatting>
  <conditionalFormatting sqref="F45">
    <cfRule type="containsText" dxfId="56" priority="11" operator="containsText" text="Y">
      <formula>NOT(ISERROR(SEARCH("Y",F45)))</formula>
    </cfRule>
  </conditionalFormatting>
  <conditionalFormatting sqref="F47">
    <cfRule type="containsText" dxfId="55" priority="10" operator="containsText" text="Y">
      <formula>NOT(ISERROR(SEARCH("Y",F47)))</formula>
    </cfRule>
  </conditionalFormatting>
  <conditionalFormatting sqref="F51">
    <cfRule type="containsText" dxfId="54" priority="8" operator="containsText" text="Y">
      <formula>NOT(ISERROR(SEARCH("Y",F51)))</formula>
    </cfRule>
    <cfRule type="containsText" priority="9" operator="containsText" text="&quot;&quot;">
      <formula>NOT(ISERROR(SEARCH("""""",F51)))</formula>
    </cfRule>
  </conditionalFormatting>
  <conditionalFormatting sqref="F46">
    <cfRule type="containsText" dxfId="53" priority="7" operator="containsText" text="Y">
      <formula>NOT(ISERROR(SEARCH("Y",F46)))</formula>
    </cfRule>
  </conditionalFormatting>
  <conditionalFormatting sqref="F49">
    <cfRule type="containsText" dxfId="52" priority="5" operator="containsText" text="Y">
      <formula>NOT(ISERROR(SEARCH("Y",F49)))</formula>
    </cfRule>
  </conditionalFormatting>
  <conditionalFormatting sqref="F45:F54">
    <cfRule type="containsText" dxfId="51" priority="4" operator="containsText" text="Y">
      <formula>NOT(ISERROR(SEARCH("Y",F45)))</formula>
    </cfRule>
  </conditionalFormatting>
  <conditionalFormatting sqref="C37">
    <cfRule type="containsText" dxfId="50" priority="3" operator="containsText" text="Y">
      <formula>NOT(ISERROR(SEARCH("Y",C37)))</formula>
    </cfRule>
  </conditionalFormatting>
  <conditionalFormatting sqref="C38">
    <cfRule type="containsText" dxfId="49" priority="2" operator="containsText" text="Y">
      <formula>NOT(ISERROR(SEARCH("Y",C38)))</formula>
    </cfRule>
  </conditionalFormatting>
  <conditionalFormatting sqref="C39">
    <cfRule type="containsText" dxfId="48" priority="1" operator="containsText" text="Y">
      <formula>NOT(ISERROR(SEARCH("Y",C39)))</formula>
    </cfRule>
  </conditionalFormatting>
  <dataValidations count="1">
    <dataValidation type="list" allowBlank="1" showInputMessage="1" showErrorMessage="1" sqref="C45:C54" xr:uid="{538FDF85-1EAA-498F-8DEF-4DD244C0FA66}">
      <formula1 xml:space="preserve"> INDIRECT("ExpenseCategory!ExpenseCategory[Display List]" 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ExpenseCategory</vt:lpstr>
      <vt:lpstr>IncomeCategory</vt:lpstr>
      <vt:lpstr>AllTransactions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Expense By FundCategory</vt:lpstr>
      <vt:lpstr>Yearly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Chou</dc:creator>
  <cp:lastModifiedBy>Harry Chou</cp:lastModifiedBy>
  <dcterms:created xsi:type="dcterms:W3CDTF">2023-07-24T14:48:57Z</dcterms:created>
  <dcterms:modified xsi:type="dcterms:W3CDTF">2023-09-10T00:06:43Z</dcterms:modified>
</cp:coreProperties>
</file>