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15" activeTab="2"/>
  </bookViews>
  <sheets>
    <sheet name="Well Monitoring" sheetId="1" r:id="rId1"/>
    <sheet name="TANK ON SITE MONITORING" sheetId="2" r:id="rId2"/>
    <sheet name="Fluid Sample Properties" sheetId="4" r:id="rId3"/>
    <sheet name="QAS GAS" sheetId="3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20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flowrate fluida
</t>
        </r>
      </text>
    </comment>
    <comment ref="I20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 ambil dari nilai Flowline Pressure
</t>
        </r>
      </text>
    </comment>
    <comment ref="J20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nilai temperature
</t>
        </r>
      </text>
    </comment>
    <comment ref="H37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flowrate fluida
</t>
        </r>
      </text>
    </comment>
    <comment ref="I37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 ambil dari nilai Flowline Pressure
</t>
        </r>
      </text>
    </comment>
    <comment ref="J37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nilai temperature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L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manual input</t>
        </r>
      </text>
    </comment>
    <comment ref="L6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manual input
</t>
        </r>
      </text>
    </comment>
    <comment ref="L8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manual input</t>
        </r>
      </text>
    </comment>
    <comment ref="L9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manual input</t>
        </r>
      </text>
    </comment>
    <comment ref="L1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manual input
</t>
        </r>
      </text>
    </comment>
    <comment ref="L15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Pembacaan alat leveling
</t>
        </r>
      </text>
    </comment>
    <comment ref="L29" authorId="0">
      <text>
        <r>
          <rPr>
            <b/>
            <sz val="9"/>
            <rFont val="Tahoma"/>
            <charset val="1"/>
          </rPr>
          <t>Administrator:</t>
        </r>
        <r>
          <rPr>
            <sz val="9"/>
            <rFont val="Tahoma"/>
            <charset val="1"/>
          </rPr>
          <t xml:space="preserve">
ambil dari flowrate fluida
</t>
        </r>
      </text>
    </comment>
  </commentList>
</comments>
</file>

<file path=xl/comments3.xml><?xml version="1.0" encoding="utf-8"?>
<comments xmlns="http://schemas.openxmlformats.org/spreadsheetml/2006/main">
  <authors>
    <author>Taufik Fansuri</author>
  </authors>
  <commentList>
    <comment ref="C21" authorId="0">
      <text>
        <r>
          <rPr>
            <b/>
            <sz val="9"/>
            <rFont val="Tahoma"/>
            <charset val="134"/>
          </rPr>
          <t>Taufik Fansuri:</t>
        </r>
        <r>
          <rPr>
            <sz val="9"/>
            <rFont val="Tahoma"/>
            <charset val="134"/>
          </rPr>
          <t xml:space="preserve">
Didapat dari grafik pada gambar 3.1 dengan memasukkan SG minyak</t>
        </r>
      </text>
    </comment>
    <comment ref="C22" authorId="0">
      <text>
        <r>
          <rPr>
            <b/>
            <sz val="9"/>
            <rFont val="Tahoma"/>
            <charset val="134"/>
          </rPr>
          <t>Taufik Fansuri:</t>
        </r>
        <r>
          <rPr>
            <sz val="9"/>
            <rFont val="Tahoma"/>
            <charset val="134"/>
          </rPr>
          <t xml:space="preserve">
Didapat dari grafik pada gambar 3.1 dengan memasukkan SG minyak</t>
        </r>
      </text>
    </comment>
  </commentList>
</comments>
</file>

<file path=xl/sharedStrings.xml><?xml version="1.0" encoding="utf-8"?>
<sst xmlns="http://schemas.openxmlformats.org/spreadsheetml/2006/main" count="182" uniqueCount="113">
  <si>
    <t xml:space="preserve"> </t>
  </si>
  <si>
    <t>Date</t>
  </si>
  <si>
    <t>Well Name</t>
  </si>
  <si>
    <t>AS-19</t>
  </si>
  <si>
    <t>Location</t>
  </si>
  <si>
    <t>Struktur Aldo</t>
  </si>
  <si>
    <t>Village</t>
  </si>
  <si>
    <t>Prabumulih</t>
  </si>
  <si>
    <t>Well Status</t>
  </si>
  <si>
    <t>Running</t>
  </si>
  <si>
    <t>GS Name</t>
  </si>
  <si>
    <t>SP ALDO</t>
  </si>
  <si>
    <t>Lifting Method</t>
  </si>
  <si>
    <t>ESP</t>
  </si>
  <si>
    <t>Water Cut</t>
  </si>
  <si>
    <t>BS&amp;W</t>
  </si>
  <si>
    <t>Flowline Pressure (FLP)</t>
  </si>
  <si>
    <t>psi</t>
  </si>
  <si>
    <t>Casing Head Pressure (CHP)</t>
  </si>
  <si>
    <t>Tubing Head Pressure (THP)</t>
  </si>
  <si>
    <t>Temperature</t>
  </si>
  <si>
    <t>F</t>
  </si>
  <si>
    <t>Flowrate Fluida</t>
  </si>
  <si>
    <t>Barrel/day</t>
  </si>
  <si>
    <t>Time Production</t>
  </si>
  <si>
    <t>Time (Hours)</t>
  </si>
  <si>
    <t>Gross Production (bbl/h)</t>
  </si>
  <si>
    <t>Pressure</t>
  </si>
  <si>
    <t>Daily Production</t>
  </si>
  <si>
    <t>Gross Production (BOPD)</t>
  </si>
  <si>
    <t>Total Volume</t>
  </si>
  <si>
    <t>BBL</t>
  </si>
  <si>
    <t>capacity</t>
  </si>
  <si>
    <t>Trucking Tranportation</t>
  </si>
  <si>
    <t>Stock Akhir</t>
  </si>
  <si>
    <t>Temperatur</t>
  </si>
  <si>
    <t>Deg C</t>
  </si>
  <si>
    <t>Density</t>
  </si>
  <si>
    <t>Status</t>
  </si>
  <si>
    <t>Aktif</t>
  </si>
  <si>
    <t>1 cm</t>
  </si>
  <si>
    <t>bbl</t>
  </si>
  <si>
    <t>Level Cairan (cm)</t>
  </si>
  <si>
    <t>Volume Cairan BBL</t>
  </si>
  <si>
    <t>Total Produksi (bbl)</t>
  </si>
  <si>
    <t>Card</t>
  </si>
  <si>
    <t>TextEditingController</t>
  </si>
  <si>
    <t>Claculation of Density, Specific Gravity &amp; API</t>
  </si>
  <si>
    <t>Kesimpulan</t>
  </si>
  <si>
    <t>Solution GOR (Rs)</t>
  </si>
  <si>
    <t>scf/STB</t>
  </si>
  <si>
    <t>INPUT DATA</t>
  </si>
  <si>
    <t>Bubble Point Pressure (Pb)</t>
  </si>
  <si>
    <t>Massa Picno Kosong</t>
  </si>
  <si>
    <t>gr</t>
  </si>
  <si>
    <t>Compressibilitas Minyak (Co)</t>
  </si>
  <si>
    <t>1/psi</t>
  </si>
  <si>
    <t>Massa Picno isi Oil</t>
  </si>
  <si>
    <t>Formation Volume Factor (Bo)</t>
  </si>
  <si>
    <t>bbl/STB</t>
  </si>
  <si>
    <t>Massa Jenis Water</t>
  </si>
  <si>
    <t>gr/ml</t>
  </si>
  <si>
    <r>
      <rPr>
        <b/>
        <sz val="12"/>
        <color theme="1"/>
        <rFont val="Calibri"/>
        <charset val="134"/>
        <scheme val="minor"/>
      </rPr>
      <t>Viscositas Minyak (</t>
    </r>
    <r>
      <rPr>
        <b/>
        <sz val="12"/>
        <color theme="1"/>
        <rFont val="Calibri"/>
        <charset val="134"/>
      </rPr>
      <t>µo)</t>
    </r>
  </si>
  <si>
    <t>cp</t>
  </si>
  <si>
    <t>Volume Picno</t>
  </si>
  <si>
    <t>ml</t>
  </si>
  <si>
    <t>OUTPUT DATA</t>
  </si>
  <si>
    <t>Specific Gravity</t>
  </si>
  <si>
    <t>°API</t>
  </si>
  <si>
    <t>Claculation of Pseudocritical Temperature &amp; Pressure</t>
  </si>
  <si>
    <t>Input :</t>
  </si>
  <si>
    <t>API</t>
  </si>
  <si>
    <t>Output :</t>
  </si>
  <si>
    <t>Gravity Oil</t>
  </si>
  <si>
    <t>Tpc</t>
  </si>
  <si>
    <t>°R</t>
  </si>
  <si>
    <t>Ppc</t>
  </si>
  <si>
    <t>psia</t>
  </si>
  <si>
    <t>Claculation of Solution GOR (Rs)</t>
  </si>
  <si>
    <t>Tekanan Reservoir</t>
  </si>
  <si>
    <t>Gravity gas</t>
  </si>
  <si>
    <t>Temperature Reservoir</t>
  </si>
  <si>
    <t>°F</t>
  </si>
  <si>
    <t>Solution GOR</t>
  </si>
  <si>
    <t>Claculation of Bubbe Point Pressure</t>
  </si>
  <si>
    <t>GOR</t>
  </si>
  <si>
    <t>Specific Gravity Gas</t>
  </si>
  <si>
    <t>Specific Gravity Minyak</t>
  </si>
  <si>
    <t>Bubble Point Pressure</t>
  </si>
  <si>
    <t>Claculation of Compressibilitas Oil</t>
  </si>
  <si>
    <t>densitas water</t>
  </si>
  <si>
    <t>lbm/ft^3</t>
  </si>
  <si>
    <t>specific gravity oil</t>
  </si>
  <si>
    <t>densitas oil</t>
  </si>
  <si>
    <t>Compresibilitas Oil</t>
  </si>
  <si>
    <t>Claculation of Formation Volume Factor</t>
  </si>
  <si>
    <t>Compresibiltas Oil</t>
  </si>
  <si>
    <t>Output at or below bubble point pressure :</t>
  </si>
  <si>
    <t>Formation Volume Factor</t>
  </si>
  <si>
    <t>Output above bubble point pressure :</t>
  </si>
  <si>
    <t xml:space="preserve">Formation volume factor at Bubble Point </t>
  </si>
  <si>
    <t xml:space="preserve">Formation volume factor above Bubble Point </t>
  </si>
  <si>
    <t>Claculation of Formation Viscocity</t>
  </si>
  <si>
    <t>Tekanan Bubble Point</t>
  </si>
  <si>
    <t>A</t>
  </si>
  <si>
    <t>µod</t>
  </si>
  <si>
    <t>a</t>
  </si>
  <si>
    <t>b</t>
  </si>
  <si>
    <t>c</t>
  </si>
  <si>
    <t>d</t>
  </si>
  <si>
    <t>e</t>
  </si>
  <si>
    <t>µob</t>
  </si>
  <si>
    <t>µo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</si>
</sst>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color theme="1"/>
      <name val="Calibri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8" borderId="1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18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1" fillId="3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vertical="center"/>
    </xf>
    <xf numFmtId="0" fontId="0" fillId="5" borderId="0" xfId="0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8" xfId="0" applyFill="1" applyBorder="1" applyAlignment="1">
      <alignment horizontal="center"/>
    </xf>
    <xf numFmtId="0" fontId="3" fillId="6" borderId="9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3" borderId="3" xfId="0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/>
    <xf numFmtId="0" fontId="0" fillId="7" borderId="3" xfId="0" applyFill="1" applyBorder="1"/>
    <xf numFmtId="0" fontId="3" fillId="7" borderId="11" xfId="0" applyFont="1" applyFill="1" applyBorder="1"/>
    <xf numFmtId="0" fontId="0" fillId="7" borderId="4" xfId="0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/>
    <xf numFmtId="0" fontId="0" fillId="2" borderId="8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7" borderId="3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0" fillId="7" borderId="9" xfId="0" applyFill="1" applyBorder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0" xfId="0" applyBorder="1"/>
    <xf numFmtId="5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Monitoring</a:t>
            </a:r>
            <a:r>
              <a:rPr lang="en-US" b="1" baseline="0"/>
              <a:t> Hours </a:t>
            </a:r>
            <a:r>
              <a:rPr lang="en-US" b="1"/>
              <a:t>Well AS-19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"Gross Production"</c:f>
              <c:strCache>
                <c:ptCount val="1"/>
                <c:pt idx="0">
                  <c:v>Gross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Monitoring'!$G$21:$G$33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'Well Monitoring'!$H$21:$H$33</c:f>
              <c:numCache>
                <c:formatCode>General</c:formatCode>
                <c:ptCount val="13"/>
                <c:pt idx="0">
                  <c:v>135.05</c:v>
                </c:pt>
                <c:pt idx="1">
                  <c:v>132.44</c:v>
                </c:pt>
                <c:pt idx="2">
                  <c:v>129.96</c:v>
                </c:pt>
                <c:pt idx="3">
                  <c:v>127.45</c:v>
                </c:pt>
                <c:pt idx="4">
                  <c:v>125.07</c:v>
                </c:pt>
                <c:pt idx="5">
                  <c:v>122.66</c:v>
                </c:pt>
                <c:pt idx="6">
                  <c:v>120.29</c:v>
                </c:pt>
                <c:pt idx="7">
                  <c:v>118.04</c:v>
                </c:pt>
                <c:pt idx="8">
                  <c:v>115.76</c:v>
                </c:pt>
                <c:pt idx="9">
                  <c:v>113.6</c:v>
                </c:pt>
                <c:pt idx="10">
                  <c:v>111.4</c:v>
                </c:pt>
                <c:pt idx="11">
                  <c:v>109.25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"Temperature"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Monitoring'!$G$21:$G$33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'Well Monitoring'!$J$21:$J$33</c:f>
              <c:numCache>
                <c:formatCode>General</c:formatCode>
                <c:ptCount val="13"/>
                <c:pt idx="0">
                  <c:v>145</c:v>
                </c:pt>
                <c:pt idx="1">
                  <c:v>140</c:v>
                </c:pt>
                <c:pt idx="2">
                  <c:v>144</c:v>
                </c:pt>
                <c:pt idx="3">
                  <c:v>144</c:v>
                </c:pt>
                <c:pt idx="4">
                  <c:v>143.5</c:v>
                </c:pt>
                <c:pt idx="5">
                  <c:v>143.6</c:v>
                </c:pt>
                <c:pt idx="6">
                  <c:v>143.7</c:v>
                </c:pt>
                <c:pt idx="7">
                  <c:v>143.8</c:v>
                </c:pt>
                <c:pt idx="8">
                  <c:v>143.9</c:v>
                </c:pt>
                <c:pt idx="9">
                  <c:v>144</c:v>
                </c:pt>
                <c:pt idx="10">
                  <c:v>144.1</c:v>
                </c:pt>
                <c:pt idx="11">
                  <c:v>144.2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65535"/>
        <c:axId val="363437343"/>
      </c:scatterChart>
      <c:scatterChart>
        <c:scatterStyle val="smoothMarker"/>
        <c:varyColors val="0"/>
        <c:ser>
          <c:idx val="1"/>
          <c:order val="1"/>
          <c:tx>
            <c:strRef>
              <c:f>"Pressure"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Monitoring'!$G$21:$G$33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xVal>
          <c:yVal>
            <c:numRef>
              <c:f>'Well Monitoring'!$I$21:$I$33</c:f>
              <c:numCache>
                <c:formatCode>General</c:formatCode>
                <c:ptCount val="13"/>
                <c:pt idx="0">
                  <c:v>35</c:v>
                </c:pt>
                <c:pt idx="1">
                  <c:v>33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35</c:v>
                </c:pt>
                <c:pt idx="6">
                  <c:v>34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33</c:v>
                </c:pt>
                <c:pt idx="11">
                  <c:v>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848415"/>
        <c:axId val="644838847"/>
      </c:scatterChart>
      <c:valAx>
        <c:axId val="431765535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Time, Hours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437343"/>
        <c:crosses val="autoZero"/>
        <c:crossBetween val="midCat"/>
        <c:majorUnit val="2"/>
        <c:minorUnit val="0.2"/>
      </c:valAx>
      <c:valAx>
        <c:axId val="3634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Gross</a:t>
                </a:r>
                <a:r>
                  <a:rPr lang="en-US" b="1" baseline="0"/>
                  <a:t> Production, bbl/h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765535"/>
        <c:crosses val="autoZero"/>
        <c:crossBetween val="midCat"/>
      </c:valAx>
      <c:valAx>
        <c:axId val="644848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4838847"/>
        <c:crosses val="autoZero"/>
        <c:crossBetween val="midCat"/>
      </c:valAx>
      <c:valAx>
        <c:axId val="644838847"/>
        <c:scaling>
          <c:orientation val="minMax"/>
          <c:max val="5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Pressure, Psig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4848415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Daily</a:t>
            </a:r>
            <a:r>
              <a:rPr lang="en-US" b="1" baseline="0"/>
              <a:t> Production </a:t>
            </a:r>
            <a:r>
              <a:rPr lang="en-US" b="1"/>
              <a:t>Well</a:t>
            </a:r>
            <a:r>
              <a:rPr lang="en-US" b="1" baseline="0"/>
              <a:t> AS-19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"Gross Production"</c:f>
              <c:strCache>
                <c:ptCount val="1"/>
                <c:pt idx="0">
                  <c:v>Gross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Monitoring'!$G$38:$G$55</c:f>
              <c:numCache>
                <c:formatCode>dd/mm/yyyy</c:formatCode>
                <c:ptCount val="18"/>
                <c:pt idx="0">
                  <c:v>44985</c:v>
                </c:pt>
                <c:pt idx="1">
                  <c:v>44986</c:v>
                </c:pt>
                <c:pt idx="2">
                  <c:v>44987</c:v>
                </c:pt>
                <c:pt idx="3">
                  <c:v>44988</c:v>
                </c:pt>
                <c:pt idx="4">
                  <c:v>44989</c:v>
                </c:pt>
                <c:pt idx="5">
                  <c:v>44990</c:v>
                </c:pt>
                <c:pt idx="6">
                  <c:v>44991</c:v>
                </c:pt>
                <c:pt idx="7">
                  <c:v>44992</c:v>
                </c:pt>
                <c:pt idx="8">
                  <c:v>44993</c:v>
                </c:pt>
                <c:pt idx="9">
                  <c:v>44994</c:v>
                </c:pt>
                <c:pt idx="10">
                  <c:v>44995</c:v>
                </c:pt>
                <c:pt idx="11">
                  <c:v>44996</c:v>
                </c:pt>
                <c:pt idx="12">
                  <c:v>44997</c:v>
                </c:pt>
                <c:pt idx="13">
                  <c:v>44998</c:v>
                </c:pt>
                <c:pt idx="14">
                  <c:v>44999</c:v>
                </c:pt>
                <c:pt idx="15">
                  <c:v>45000</c:v>
                </c:pt>
                <c:pt idx="16">
                  <c:v>45001</c:v>
                </c:pt>
                <c:pt idx="17">
                  <c:v>45002</c:v>
                </c:pt>
              </c:numCache>
            </c:numRef>
          </c:xVal>
          <c:yVal>
            <c:numRef>
              <c:f>'Well Monitoring'!$H$38:$H$55</c:f>
              <c:numCache>
                <c:formatCode>General</c:formatCode>
                <c:ptCount val="18"/>
                <c:pt idx="0">
                  <c:v>135.05</c:v>
                </c:pt>
                <c:pt idx="1">
                  <c:v>132.44</c:v>
                </c:pt>
                <c:pt idx="2">
                  <c:v>129.96</c:v>
                </c:pt>
                <c:pt idx="3">
                  <c:v>127.45</c:v>
                </c:pt>
                <c:pt idx="4">
                  <c:v>125.07</c:v>
                </c:pt>
                <c:pt idx="5">
                  <c:v>122.66</c:v>
                </c:pt>
                <c:pt idx="6">
                  <c:v>120.29</c:v>
                </c:pt>
                <c:pt idx="7">
                  <c:v>118.04</c:v>
                </c:pt>
                <c:pt idx="8">
                  <c:v>115.76</c:v>
                </c:pt>
                <c:pt idx="9">
                  <c:v>113.6</c:v>
                </c:pt>
                <c:pt idx="10">
                  <c:v>111.4</c:v>
                </c:pt>
                <c:pt idx="11">
                  <c:v>109.25</c:v>
                </c:pt>
                <c:pt idx="12">
                  <c:v>107.35</c:v>
                </c:pt>
                <c:pt idx="13">
                  <c:v>105.27</c:v>
                </c:pt>
                <c:pt idx="14">
                  <c:v>103.3</c:v>
                </c:pt>
                <c:pt idx="15">
                  <c:v>101.31</c:v>
                </c:pt>
                <c:pt idx="16">
                  <c:v>99.42</c:v>
                </c:pt>
                <c:pt idx="17">
                  <c:v>97.5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"Temperature"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Monitoring'!$G$38:$G$55</c:f>
              <c:numCache>
                <c:formatCode>dd/mm/yyyy</c:formatCode>
                <c:ptCount val="18"/>
                <c:pt idx="0">
                  <c:v>44985</c:v>
                </c:pt>
                <c:pt idx="1">
                  <c:v>44986</c:v>
                </c:pt>
                <c:pt idx="2">
                  <c:v>44987</c:v>
                </c:pt>
                <c:pt idx="3">
                  <c:v>44988</c:v>
                </c:pt>
                <c:pt idx="4">
                  <c:v>44989</c:v>
                </c:pt>
                <c:pt idx="5">
                  <c:v>44990</c:v>
                </c:pt>
                <c:pt idx="6">
                  <c:v>44991</c:v>
                </c:pt>
                <c:pt idx="7">
                  <c:v>44992</c:v>
                </c:pt>
                <c:pt idx="8">
                  <c:v>44993</c:v>
                </c:pt>
                <c:pt idx="9">
                  <c:v>44994</c:v>
                </c:pt>
                <c:pt idx="10">
                  <c:v>44995</c:v>
                </c:pt>
                <c:pt idx="11">
                  <c:v>44996</c:v>
                </c:pt>
                <c:pt idx="12">
                  <c:v>44997</c:v>
                </c:pt>
                <c:pt idx="13">
                  <c:v>44998</c:v>
                </c:pt>
                <c:pt idx="14">
                  <c:v>44999</c:v>
                </c:pt>
                <c:pt idx="15">
                  <c:v>45000</c:v>
                </c:pt>
                <c:pt idx="16">
                  <c:v>45001</c:v>
                </c:pt>
                <c:pt idx="17">
                  <c:v>45002</c:v>
                </c:pt>
              </c:numCache>
            </c:numRef>
          </c:xVal>
          <c:yVal>
            <c:numRef>
              <c:f>'Well Monitoring'!$J$38:$J$55</c:f>
              <c:numCache>
                <c:formatCode>General</c:formatCode>
                <c:ptCount val="18"/>
                <c:pt idx="0">
                  <c:v>145</c:v>
                </c:pt>
                <c:pt idx="1">
                  <c:v>140</c:v>
                </c:pt>
                <c:pt idx="2">
                  <c:v>144</c:v>
                </c:pt>
                <c:pt idx="3">
                  <c:v>144</c:v>
                </c:pt>
                <c:pt idx="4">
                  <c:v>143.5</c:v>
                </c:pt>
                <c:pt idx="5">
                  <c:v>143.6</c:v>
                </c:pt>
                <c:pt idx="6">
                  <c:v>143.7</c:v>
                </c:pt>
                <c:pt idx="7">
                  <c:v>143.8</c:v>
                </c:pt>
                <c:pt idx="8">
                  <c:v>143.9</c:v>
                </c:pt>
                <c:pt idx="9">
                  <c:v>144</c:v>
                </c:pt>
                <c:pt idx="10">
                  <c:v>144.1</c:v>
                </c:pt>
                <c:pt idx="11">
                  <c:v>144.2</c:v>
                </c:pt>
                <c:pt idx="12">
                  <c:v>144.3</c:v>
                </c:pt>
                <c:pt idx="13">
                  <c:v>144.4</c:v>
                </c:pt>
                <c:pt idx="14">
                  <c:v>144.5</c:v>
                </c:pt>
                <c:pt idx="15">
                  <c:v>144.6</c:v>
                </c:pt>
                <c:pt idx="16">
                  <c:v>144.7</c:v>
                </c:pt>
                <c:pt idx="17">
                  <c:v>144.8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518079"/>
        <c:axId val="692570335"/>
      </c:scatterChart>
      <c:scatterChart>
        <c:scatterStyle val="smoothMarker"/>
        <c:varyColors val="0"/>
        <c:ser>
          <c:idx val="1"/>
          <c:order val="1"/>
          <c:tx>
            <c:strRef>
              <c:f>"Pressure"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'Well Monitoring'!$G$38:$G$55</c:f>
              <c:numCache>
                <c:formatCode>dd/mm/yyyy</c:formatCode>
                <c:ptCount val="18"/>
                <c:pt idx="0">
                  <c:v>44985</c:v>
                </c:pt>
                <c:pt idx="1">
                  <c:v>44986</c:v>
                </c:pt>
                <c:pt idx="2">
                  <c:v>44987</c:v>
                </c:pt>
                <c:pt idx="3">
                  <c:v>44988</c:v>
                </c:pt>
                <c:pt idx="4">
                  <c:v>44989</c:v>
                </c:pt>
                <c:pt idx="5">
                  <c:v>44990</c:v>
                </c:pt>
                <c:pt idx="6">
                  <c:v>44991</c:v>
                </c:pt>
                <c:pt idx="7">
                  <c:v>44992</c:v>
                </c:pt>
                <c:pt idx="8">
                  <c:v>44993</c:v>
                </c:pt>
                <c:pt idx="9">
                  <c:v>44994</c:v>
                </c:pt>
                <c:pt idx="10">
                  <c:v>44995</c:v>
                </c:pt>
                <c:pt idx="11">
                  <c:v>44996</c:v>
                </c:pt>
                <c:pt idx="12">
                  <c:v>44997</c:v>
                </c:pt>
                <c:pt idx="13">
                  <c:v>44998</c:v>
                </c:pt>
                <c:pt idx="14">
                  <c:v>44999</c:v>
                </c:pt>
                <c:pt idx="15">
                  <c:v>45000</c:v>
                </c:pt>
                <c:pt idx="16">
                  <c:v>45001</c:v>
                </c:pt>
                <c:pt idx="17">
                  <c:v>45002</c:v>
                </c:pt>
              </c:numCache>
            </c:numRef>
          </c:xVal>
          <c:yVal>
            <c:numRef>
              <c:f>'Well Monitoring'!$I$38:$I$55</c:f>
              <c:numCache>
                <c:formatCode>General</c:formatCode>
                <c:ptCount val="18"/>
                <c:pt idx="0">
                  <c:v>35</c:v>
                </c:pt>
                <c:pt idx="1">
                  <c:v>33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35</c:v>
                </c:pt>
                <c:pt idx="6">
                  <c:v>34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33</c:v>
                </c:pt>
                <c:pt idx="11">
                  <c:v>34</c:v>
                </c:pt>
                <c:pt idx="12">
                  <c:v>32</c:v>
                </c:pt>
                <c:pt idx="13">
                  <c:v>31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708031"/>
        <c:axId val="692714687"/>
      </c:scatterChart>
      <c:valAx>
        <c:axId val="69751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570335"/>
        <c:crosses val="autoZero"/>
        <c:crossBetween val="midCat"/>
      </c:valAx>
      <c:valAx>
        <c:axId val="69257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Gross Production, BOPD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518079"/>
        <c:crosses val="autoZero"/>
        <c:crossBetween val="midCat"/>
      </c:valAx>
      <c:valAx>
        <c:axId val="69270803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714687"/>
        <c:crosses val="autoZero"/>
        <c:crossBetween val="midCat"/>
      </c:valAx>
      <c:valAx>
        <c:axId val="692714687"/>
        <c:scaling>
          <c:orientation val="minMax"/>
          <c:max val="5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Pressure, Psig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708031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MONITORING</a:t>
            </a:r>
            <a:r>
              <a:rPr lang="en-US" b="1" baseline="0"/>
              <a:t> HOURS TOS WELL-A19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'TANK ON SITE MONITORING'!$M$15</c:f>
              <c:strCache>
                <c:ptCount val="1"/>
                <c:pt idx="0">
                  <c:v>Volume Cairan BBL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'TANK ON SITE MONITORING'!$K$16:$K$27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cat>
          <c:val>
            <c:numRef>
              <c:f>'TANK ON SITE MONITORING'!$M$16:$M$27</c:f>
              <c:numCache>
                <c:formatCode>General</c:formatCode>
                <c:ptCount val="12"/>
                <c:pt idx="0">
                  <c:v>18.8</c:v>
                </c:pt>
                <c:pt idx="1">
                  <c:v>37.6</c:v>
                </c:pt>
                <c:pt idx="2">
                  <c:v>56.4</c:v>
                </c:pt>
                <c:pt idx="3">
                  <c:v>75.2</c:v>
                </c:pt>
                <c:pt idx="4">
                  <c:v>94</c:v>
                </c:pt>
                <c:pt idx="5">
                  <c:v>112.8</c:v>
                </c:pt>
                <c:pt idx="6">
                  <c:v>131.6</c:v>
                </c:pt>
                <c:pt idx="7">
                  <c:v>150.4</c:v>
                </c:pt>
                <c:pt idx="8">
                  <c:v>169.2</c:v>
                </c:pt>
                <c:pt idx="9">
                  <c:v>188</c:v>
                </c:pt>
                <c:pt idx="10">
                  <c:v>206.8</c:v>
                </c:pt>
                <c:pt idx="11">
                  <c:v>225.6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1450911"/>
        <c:axId val="882577327"/>
      </c:barChart>
      <c:lineChart>
        <c:grouping val="standard"/>
        <c:varyColors val="0"/>
        <c:ser>
          <c:idx val="1"/>
          <c:order val="1"/>
          <c:tx>
            <c:strRef>
              <c:f>'TANK ON SITE MONITORING'!$L$15</c:f>
              <c:strCache>
                <c:ptCount val="1"/>
                <c:pt idx="0">
                  <c:v>Level Cairan 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'TANK ON SITE MONITORING'!$L$16:$L$27</c:f>
              <c:numCache>
                <c:formatCode>General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9499263"/>
        <c:axId val="947921263"/>
      </c:lineChart>
      <c:catAx>
        <c:axId val="78145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2577327"/>
        <c:crosses val="autoZero"/>
        <c:auto val="1"/>
        <c:lblAlgn val="ctr"/>
        <c:lblOffset val="100"/>
        <c:noMultiLvlLbl val="0"/>
      </c:catAx>
      <c:valAx>
        <c:axId val="88257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Volume Cairan, BBL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450911"/>
        <c:crosses val="autoZero"/>
        <c:crossBetween val="between"/>
        <c:majorUnit val="25"/>
      </c:valAx>
      <c:catAx>
        <c:axId val="859499263"/>
        <c:scaling>
          <c:orientation val="minMax"/>
        </c:scaling>
        <c:delete val="1"/>
        <c:axPos val="t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921263"/>
        <c:crosses val="max"/>
        <c:auto val="1"/>
        <c:lblAlgn val="ctr"/>
        <c:lblOffset val="100"/>
        <c:noMultiLvlLbl val="0"/>
      </c:catAx>
      <c:valAx>
        <c:axId val="947921263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499263"/>
        <c:crosses val="max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DAILY</a:t>
            </a:r>
            <a:r>
              <a:rPr lang="en-US" b="1" baseline="0"/>
              <a:t> PRODUCTION </a:t>
            </a:r>
            <a:r>
              <a:rPr lang="en-US" b="1"/>
              <a:t>TOS WE</a:t>
            </a:r>
            <a:r>
              <a:rPr lang="en-US" b="1" baseline="0"/>
              <a:t>LL AS-19 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'TANK ON SITE MONITORING'!$L$29</c:f>
              <c:strCache>
                <c:ptCount val="1"/>
                <c:pt idx="0">
                  <c:v>Total Produksi (bbl)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'TANK ON SITE MONITORING'!$K$30:$K$47</c:f>
              <c:numCache>
                <c:formatCode>dd/mm/yyyy</c:formatCode>
                <c:ptCount val="18"/>
                <c:pt idx="0">
                  <c:v>44985</c:v>
                </c:pt>
                <c:pt idx="1">
                  <c:v>44986</c:v>
                </c:pt>
                <c:pt idx="2">
                  <c:v>44987</c:v>
                </c:pt>
                <c:pt idx="3">
                  <c:v>44988</c:v>
                </c:pt>
                <c:pt idx="4">
                  <c:v>44989</c:v>
                </c:pt>
                <c:pt idx="5">
                  <c:v>44990</c:v>
                </c:pt>
                <c:pt idx="6">
                  <c:v>44991</c:v>
                </c:pt>
                <c:pt idx="7">
                  <c:v>44992</c:v>
                </c:pt>
                <c:pt idx="8">
                  <c:v>44993</c:v>
                </c:pt>
                <c:pt idx="9">
                  <c:v>44994</c:v>
                </c:pt>
                <c:pt idx="10">
                  <c:v>44995</c:v>
                </c:pt>
                <c:pt idx="11">
                  <c:v>44996</c:v>
                </c:pt>
                <c:pt idx="12">
                  <c:v>44997</c:v>
                </c:pt>
                <c:pt idx="13">
                  <c:v>44998</c:v>
                </c:pt>
                <c:pt idx="14">
                  <c:v>44999</c:v>
                </c:pt>
                <c:pt idx="15">
                  <c:v>45000</c:v>
                </c:pt>
                <c:pt idx="16">
                  <c:v>45001</c:v>
                </c:pt>
                <c:pt idx="17">
                  <c:v>45002</c:v>
                </c:pt>
              </c:numCache>
            </c:numRef>
          </c:xVal>
          <c:yVal>
            <c:numRef>
              <c:f>'TANK ON SITE MONITORING'!$L$30:$L$47</c:f>
              <c:numCache>
                <c:formatCode>General</c:formatCode>
                <c:ptCount val="18"/>
                <c:pt idx="0">
                  <c:v>1466.4</c:v>
                </c:pt>
                <c:pt idx="1">
                  <c:v>1320</c:v>
                </c:pt>
                <c:pt idx="2">
                  <c:v>1290</c:v>
                </c:pt>
                <c:pt idx="3">
                  <c:v>1300</c:v>
                </c:pt>
                <c:pt idx="4">
                  <c:v>1400</c:v>
                </c:pt>
                <c:pt idx="5">
                  <c:v>1100</c:v>
                </c:pt>
                <c:pt idx="6">
                  <c:v>1400</c:v>
                </c:pt>
                <c:pt idx="7">
                  <c:v>1500</c:v>
                </c:pt>
                <c:pt idx="8">
                  <c:v>1250</c:v>
                </c:pt>
                <c:pt idx="9">
                  <c:v>1400</c:v>
                </c:pt>
                <c:pt idx="10">
                  <c:v>1100</c:v>
                </c:pt>
                <c:pt idx="11">
                  <c:v>1400</c:v>
                </c:pt>
                <c:pt idx="12">
                  <c:v>1500</c:v>
                </c:pt>
                <c:pt idx="13">
                  <c:v>1250</c:v>
                </c:pt>
                <c:pt idx="14">
                  <c:v>1250</c:v>
                </c:pt>
                <c:pt idx="15">
                  <c:v>1250</c:v>
                </c:pt>
                <c:pt idx="16">
                  <c:v>1250</c:v>
                </c:pt>
                <c:pt idx="17">
                  <c:v>1250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55407"/>
        <c:axId val="842550719"/>
      </c:scatterChart>
      <c:valAx>
        <c:axId val="84535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DATE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2550719"/>
        <c:crosses val="autoZero"/>
        <c:crossBetween val="midCat"/>
      </c:valAx>
      <c:valAx>
        <c:axId val="842550719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</a:t>
                </a:r>
                <a:r>
                  <a:rPr lang="en-US" sz="1100" b="1" baseline="0"/>
                  <a:t> PRODUKSI, BBL</a:t>
                </a:r>
                <a:endParaRPr lang="en-US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35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419100</xdr:colOff>
      <xdr:row>18</xdr:row>
      <xdr:rowOff>166687</xdr:rowOff>
    </xdr:from>
    <xdr:to>
      <xdr:col>5</xdr:col>
      <xdr:colOff>676275</xdr:colOff>
      <xdr:row>32</xdr:row>
      <xdr:rowOff>52387</xdr:rowOff>
    </xdr:to>
    <xdr:graphicFrame>
      <xdr:nvGraphicFramePr>
        <xdr:cNvPr id="2" name="Chart 1"/>
        <xdr:cNvGraphicFramePr/>
      </xdr:nvGraphicFramePr>
      <xdr:xfrm>
        <a:off x="419100" y="3595370"/>
        <a:ext cx="527685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442912</xdr:colOff>
      <xdr:row>32</xdr:row>
      <xdr:rowOff>147637</xdr:rowOff>
    </xdr:from>
    <xdr:to>
      <xdr:col>5</xdr:col>
      <xdr:colOff>700087</xdr:colOff>
      <xdr:row>46</xdr:row>
      <xdr:rowOff>33337</xdr:rowOff>
    </xdr:to>
    <xdr:graphicFrame>
      <xdr:nvGraphicFramePr>
        <xdr:cNvPr id="3" name="Chart 2"/>
        <xdr:cNvGraphicFramePr/>
      </xdr:nvGraphicFramePr>
      <xdr:xfrm>
        <a:off x="442595" y="6624320"/>
        <a:ext cx="5276850" cy="293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301625</xdr:colOff>
      <xdr:row>1</xdr:row>
      <xdr:rowOff>104775</xdr:rowOff>
    </xdr:from>
    <xdr:to>
      <xdr:col>9</xdr:col>
      <xdr:colOff>82550</xdr:colOff>
      <xdr:row>15</xdr:row>
      <xdr:rowOff>142875</xdr:rowOff>
    </xdr:to>
    <xdr:sp>
      <xdr:nvSpPr>
        <xdr:cNvPr id="4" name="Flowchart: Magnetic Disk 3"/>
        <xdr:cNvSpPr/>
      </xdr:nvSpPr>
      <xdr:spPr>
        <a:xfrm>
          <a:off x="2701925" y="295275"/>
          <a:ext cx="2781300" cy="3086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390524</xdr:colOff>
      <xdr:row>13</xdr:row>
      <xdr:rowOff>100012</xdr:rowOff>
    </xdr:from>
    <xdr:to>
      <xdr:col>23</xdr:col>
      <xdr:colOff>171449</xdr:colOff>
      <xdr:row>28</xdr:row>
      <xdr:rowOff>361950</xdr:rowOff>
    </xdr:to>
    <xdr:graphicFrame>
      <xdr:nvGraphicFramePr>
        <xdr:cNvPr id="10" name="Chart 9"/>
        <xdr:cNvGraphicFramePr/>
      </xdr:nvGraphicFramePr>
      <xdr:xfrm>
        <a:off x="9410065" y="2576195"/>
        <a:ext cx="5781675" cy="3500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371474</xdr:colOff>
      <xdr:row>29</xdr:row>
      <xdr:rowOff>119061</xdr:rowOff>
    </xdr:from>
    <xdr:to>
      <xdr:col>23</xdr:col>
      <xdr:colOff>285749</xdr:colOff>
      <xdr:row>47</xdr:row>
      <xdr:rowOff>123824</xdr:rowOff>
    </xdr:to>
    <xdr:graphicFrame>
      <xdr:nvGraphicFramePr>
        <xdr:cNvPr id="11" name="Chart 10"/>
        <xdr:cNvGraphicFramePr/>
      </xdr:nvGraphicFramePr>
      <xdr:xfrm>
        <a:off x="9391015" y="6214745"/>
        <a:ext cx="5915025" cy="3433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152400</xdr:colOff>
      <xdr:row>22</xdr:row>
      <xdr:rowOff>120650</xdr:rowOff>
    </xdr:from>
    <xdr:to>
      <xdr:col>13</xdr:col>
      <xdr:colOff>540672</xdr:colOff>
      <xdr:row>26</xdr:row>
      <xdr:rowOff>17517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05450" y="4406900"/>
          <a:ext cx="7055485" cy="668020"/>
        </a:xfrm>
        <a:prstGeom prst="rect">
          <a:avLst/>
        </a:prstGeom>
      </xdr:spPr>
    </xdr:pic>
    <xdr:clientData/>
  </xdr:twoCellAnchor>
  <xdr:twoCellAnchor editAs="oneCell">
    <xdr:from>
      <xdr:col>7</xdr:col>
      <xdr:colOff>879475</xdr:colOff>
      <xdr:row>37</xdr:row>
      <xdr:rowOff>31750</xdr:rowOff>
    </xdr:from>
    <xdr:to>
      <xdr:col>8</xdr:col>
      <xdr:colOff>1612564</xdr:colOff>
      <xdr:row>39</xdr:row>
      <xdr:rowOff>60274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32600" y="7213600"/>
          <a:ext cx="2656840" cy="40894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77</xdr:row>
      <xdr:rowOff>6350</xdr:rowOff>
    </xdr:from>
    <xdr:to>
      <xdr:col>8</xdr:col>
      <xdr:colOff>736166</xdr:colOff>
      <xdr:row>79</xdr:row>
      <xdr:rowOff>171205</xdr:rowOff>
    </xdr:to>
    <xdr:pic>
      <xdr:nvPicPr>
        <xdr:cNvPr id="2" name="Picture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78525" y="14855825"/>
          <a:ext cx="2634615" cy="55499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79</xdr:row>
      <xdr:rowOff>177800</xdr:rowOff>
    </xdr:from>
    <xdr:to>
      <xdr:col>8</xdr:col>
      <xdr:colOff>358398</xdr:colOff>
      <xdr:row>84</xdr:row>
      <xdr:rowOff>10802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72175" y="15417800"/>
          <a:ext cx="2263140" cy="785495"/>
        </a:xfrm>
        <a:prstGeom prst="rect">
          <a:avLst/>
        </a:prstGeom>
      </xdr:spPr>
    </xdr:pic>
    <xdr:clientData/>
  </xdr:twoCellAnchor>
  <xdr:twoCellAnchor editAs="oneCell">
    <xdr:from>
      <xdr:col>6</xdr:col>
      <xdr:colOff>596900</xdr:colOff>
      <xdr:row>84</xdr:row>
      <xdr:rowOff>0</xdr:rowOff>
    </xdr:from>
    <xdr:to>
      <xdr:col>8</xdr:col>
      <xdr:colOff>1733550</xdr:colOff>
      <xdr:row>101</xdr:row>
      <xdr:rowOff>65676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49950" y="16192500"/>
          <a:ext cx="3660775" cy="332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5"/>
  <sheetViews>
    <sheetView topLeftCell="A27" workbookViewId="0">
      <selection activeCell="J45" sqref="J45"/>
    </sheetView>
  </sheetViews>
  <sheetFormatPr defaultColWidth="9" defaultRowHeight="15"/>
  <cols>
    <col min="2" max="2" width="26.4285714285714" customWidth="1"/>
    <col min="3" max="3" width="20" customWidth="1"/>
    <col min="4" max="4" width="10.8571428571429" customWidth="1"/>
    <col min="6" max="6" width="10.7142857142857" style="6" customWidth="1"/>
    <col min="7" max="7" width="11.4285714285714" style="6" customWidth="1"/>
    <col min="8" max="8" width="12.7142857142857" style="6" customWidth="1"/>
    <col min="9" max="9" width="12.8571428571429" style="6" customWidth="1"/>
    <col min="10" max="10" width="13.5714285714286" customWidth="1"/>
  </cols>
  <sheetData>
    <row r="1" spans="7:9">
      <c r="G1" t="s">
        <v>0</v>
      </c>
      <c r="H1"/>
      <c r="I1"/>
    </row>
    <row r="2" spans="7:9">
      <c r="G2"/>
      <c r="H2"/>
      <c r="I2"/>
    </row>
    <row r="3" spans="2:9">
      <c r="B3" s="74" t="s">
        <v>1</v>
      </c>
      <c r="C3" s="75">
        <v>45013</v>
      </c>
      <c r="G3"/>
      <c r="H3"/>
      <c r="I3"/>
    </row>
    <row r="4" spans="2:9">
      <c r="B4" s="74" t="s">
        <v>2</v>
      </c>
      <c r="C4" s="76" t="s">
        <v>3</v>
      </c>
      <c r="G4"/>
      <c r="H4"/>
      <c r="I4"/>
    </row>
    <row r="5" spans="2:9">
      <c r="B5" s="74" t="s">
        <v>4</v>
      </c>
      <c r="C5" s="76" t="s">
        <v>5</v>
      </c>
      <c r="G5"/>
      <c r="H5"/>
      <c r="I5"/>
    </row>
    <row r="6" spans="2:9">
      <c r="B6" s="74" t="s">
        <v>6</v>
      </c>
      <c r="C6" s="76" t="s">
        <v>7</v>
      </c>
      <c r="G6"/>
      <c r="H6"/>
      <c r="I6"/>
    </row>
    <row r="7" spans="2:9">
      <c r="B7" s="74" t="s">
        <v>8</v>
      </c>
      <c r="C7" s="76" t="s">
        <v>9</v>
      </c>
      <c r="G7"/>
      <c r="H7"/>
      <c r="I7"/>
    </row>
    <row r="8" spans="2:9">
      <c r="B8" s="74" t="s">
        <v>10</v>
      </c>
      <c r="C8" s="76" t="s">
        <v>11</v>
      </c>
      <c r="G8"/>
      <c r="H8"/>
      <c r="I8"/>
    </row>
    <row r="9" spans="2:9">
      <c r="B9" s="74" t="s">
        <v>12</v>
      </c>
      <c r="C9" s="76" t="s">
        <v>13</v>
      </c>
      <c r="G9"/>
      <c r="H9"/>
      <c r="I9"/>
    </row>
    <row r="10" spans="2:9">
      <c r="B10" s="77" t="s">
        <v>14</v>
      </c>
      <c r="C10" s="76">
        <v>0.9</v>
      </c>
      <c r="G10"/>
      <c r="H10"/>
      <c r="I10"/>
    </row>
    <row r="11" spans="2:9">
      <c r="B11" s="77" t="s">
        <v>15</v>
      </c>
      <c r="C11" s="76">
        <v>0.3</v>
      </c>
      <c r="G11"/>
      <c r="H11"/>
      <c r="I11"/>
    </row>
    <row r="12" spans="3:9">
      <c r="C12" s="6"/>
      <c r="G12"/>
      <c r="H12"/>
      <c r="I12"/>
    </row>
    <row r="13" spans="2:9">
      <c r="B13" s="74" t="s">
        <v>16</v>
      </c>
      <c r="C13" s="76">
        <v>35</v>
      </c>
      <c r="D13" s="74" t="s">
        <v>17</v>
      </c>
      <c r="G13"/>
      <c r="H13"/>
      <c r="I13"/>
    </row>
    <row r="14" spans="2:9">
      <c r="B14" s="74" t="s">
        <v>18</v>
      </c>
      <c r="C14" s="76">
        <f>C13</f>
        <v>35</v>
      </c>
      <c r="D14" s="74" t="s">
        <v>17</v>
      </c>
      <c r="G14"/>
      <c r="H14"/>
      <c r="I14"/>
    </row>
    <row r="15" spans="2:9">
      <c r="B15" s="74" t="s">
        <v>19</v>
      </c>
      <c r="C15" s="76">
        <v>35</v>
      </c>
      <c r="D15" s="74" t="s">
        <v>17</v>
      </c>
      <c r="G15"/>
      <c r="H15"/>
      <c r="I15"/>
    </row>
    <row r="16" spans="2:9">
      <c r="B16" s="74" t="s">
        <v>20</v>
      </c>
      <c r="C16" s="76">
        <v>145</v>
      </c>
      <c r="D16" s="74" t="s">
        <v>21</v>
      </c>
      <c r="G16"/>
      <c r="H16"/>
      <c r="I16"/>
    </row>
    <row r="17" spans="2:9">
      <c r="B17" s="74" t="s">
        <v>22</v>
      </c>
      <c r="C17" s="76">
        <v>135</v>
      </c>
      <c r="D17" s="74" t="s">
        <v>23</v>
      </c>
      <c r="G17"/>
      <c r="H17"/>
      <c r="I17"/>
    </row>
    <row r="18" spans="7:9">
      <c r="G18"/>
      <c r="H18"/>
      <c r="I18"/>
    </row>
    <row r="19" spans="7:10">
      <c r="G19" s="6" t="s">
        <v>24</v>
      </c>
      <c r="J19" s="6"/>
    </row>
    <row r="20" ht="45" spans="7:10">
      <c r="G20" s="71" t="s">
        <v>25</v>
      </c>
      <c r="H20" s="72" t="s">
        <v>26</v>
      </c>
      <c r="I20" s="71" t="s">
        <v>27</v>
      </c>
      <c r="J20" s="71" t="s">
        <v>20</v>
      </c>
    </row>
    <row r="21" spans="7:10">
      <c r="G21" s="6">
        <v>2</v>
      </c>
      <c r="H21" s="6">
        <v>135.05</v>
      </c>
      <c r="I21" s="6">
        <v>35</v>
      </c>
      <c r="J21" s="6">
        <v>145</v>
      </c>
    </row>
    <row r="22" spans="7:10">
      <c r="G22" s="6">
        <v>4</v>
      </c>
      <c r="H22" s="6">
        <v>132.44</v>
      </c>
      <c r="I22" s="6">
        <v>33</v>
      </c>
      <c r="J22" s="6">
        <v>140</v>
      </c>
    </row>
    <row r="23" spans="7:10">
      <c r="G23" s="6">
        <v>6</v>
      </c>
      <c r="H23" s="6">
        <v>129.96</v>
      </c>
      <c r="I23" s="6">
        <v>34</v>
      </c>
      <c r="J23" s="6">
        <v>144</v>
      </c>
    </row>
    <row r="24" spans="7:10">
      <c r="G24" s="6">
        <v>8</v>
      </c>
      <c r="H24" s="6">
        <v>127.45</v>
      </c>
      <c r="I24" s="6">
        <v>32</v>
      </c>
      <c r="J24" s="6">
        <v>144</v>
      </c>
    </row>
    <row r="25" spans="7:10">
      <c r="G25" s="6">
        <v>10</v>
      </c>
      <c r="H25" s="6">
        <v>125.07</v>
      </c>
      <c r="I25" s="6">
        <v>31</v>
      </c>
      <c r="J25" s="6">
        <v>143.5</v>
      </c>
    </row>
    <row r="26" spans="7:10">
      <c r="G26" s="6">
        <v>12</v>
      </c>
      <c r="H26" s="6">
        <v>122.66</v>
      </c>
      <c r="I26" s="6">
        <v>35</v>
      </c>
      <c r="J26" s="6">
        <v>143.6</v>
      </c>
    </row>
    <row r="27" spans="7:10">
      <c r="G27" s="6">
        <v>14</v>
      </c>
      <c r="H27" s="6">
        <v>120.29</v>
      </c>
      <c r="I27" s="6">
        <v>34</v>
      </c>
      <c r="J27" s="6">
        <v>143.7</v>
      </c>
    </row>
    <row r="28" spans="7:10">
      <c r="G28" s="6">
        <v>16</v>
      </c>
      <c r="H28" s="6">
        <v>118.04</v>
      </c>
      <c r="I28" s="6">
        <v>33</v>
      </c>
      <c r="J28" s="6">
        <v>143.8</v>
      </c>
    </row>
    <row r="29" spans="7:10">
      <c r="G29" s="6">
        <v>18</v>
      </c>
      <c r="H29" s="6">
        <v>115.76</v>
      </c>
      <c r="I29" s="6">
        <v>34</v>
      </c>
      <c r="J29" s="6">
        <v>143.9</v>
      </c>
    </row>
    <row r="30" spans="7:10">
      <c r="G30" s="6">
        <v>20</v>
      </c>
      <c r="H30" s="6">
        <v>113.6</v>
      </c>
      <c r="I30" s="6">
        <v>35</v>
      </c>
      <c r="J30" s="6">
        <v>144</v>
      </c>
    </row>
    <row r="31" spans="7:10">
      <c r="G31" s="6">
        <v>22</v>
      </c>
      <c r="H31" s="6">
        <v>111.4</v>
      </c>
      <c r="I31" s="6">
        <v>33</v>
      </c>
      <c r="J31" s="6">
        <v>144.1</v>
      </c>
    </row>
    <row r="32" spans="7:10">
      <c r="G32" s="6">
        <v>24</v>
      </c>
      <c r="H32" s="6">
        <v>109.25</v>
      </c>
      <c r="I32" s="6">
        <v>34</v>
      </c>
      <c r="J32" s="6">
        <v>144.2</v>
      </c>
    </row>
    <row r="33" spans="10:10">
      <c r="J33" s="6"/>
    </row>
    <row r="34" spans="7:10">
      <c r="G34" s="69"/>
      <c r="J34" s="6"/>
    </row>
    <row r="35" spans="7:10">
      <c r="G35" s="69"/>
      <c r="J35" s="6"/>
    </row>
    <row r="36" spans="7:10">
      <c r="G36" s="6" t="s">
        <v>28</v>
      </c>
      <c r="J36" s="6"/>
    </row>
    <row r="37" ht="45" spans="7:10">
      <c r="G37" s="71" t="s">
        <v>1</v>
      </c>
      <c r="H37" s="72" t="s">
        <v>29</v>
      </c>
      <c r="I37" s="71" t="s">
        <v>27</v>
      </c>
      <c r="J37" s="71" t="s">
        <v>20</v>
      </c>
    </row>
    <row r="38" spans="7:10">
      <c r="G38" s="69">
        <v>44985</v>
      </c>
      <c r="H38" s="6">
        <v>135.05</v>
      </c>
      <c r="I38" s="6">
        <v>35</v>
      </c>
      <c r="J38" s="6">
        <v>145</v>
      </c>
    </row>
    <row r="39" spans="7:10">
      <c r="G39" s="69">
        <v>44986</v>
      </c>
      <c r="H39" s="6">
        <v>132.44</v>
      </c>
      <c r="I39" s="6">
        <v>33</v>
      </c>
      <c r="J39" s="6">
        <v>140</v>
      </c>
    </row>
    <row r="40" spans="7:10">
      <c r="G40" s="69">
        <v>44987</v>
      </c>
      <c r="H40" s="6">
        <v>129.96</v>
      </c>
      <c r="I40" s="6">
        <v>34</v>
      </c>
      <c r="J40" s="6">
        <v>144</v>
      </c>
    </row>
    <row r="41" spans="7:10">
      <c r="G41" s="69">
        <v>44988</v>
      </c>
      <c r="H41" s="6">
        <v>127.45</v>
      </c>
      <c r="I41" s="6">
        <v>32</v>
      </c>
      <c r="J41" s="6">
        <v>144</v>
      </c>
    </row>
    <row r="42" spans="7:10">
      <c r="G42" s="69">
        <v>44989</v>
      </c>
      <c r="H42" s="6">
        <v>125.07</v>
      </c>
      <c r="I42" s="6">
        <v>31</v>
      </c>
      <c r="J42" s="6">
        <v>143.5</v>
      </c>
    </row>
    <row r="43" spans="7:10">
      <c r="G43" s="69">
        <v>44990</v>
      </c>
      <c r="H43" s="6">
        <v>122.66</v>
      </c>
      <c r="I43" s="6">
        <v>35</v>
      </c>
      <c r="J43" s="6">
        <v>143.6</v>
      </c>
    </row>
    <row r="44" spans="7:10">
      <c r="G44" s="69">
        <v>44991</v>
      </c>
      <c r="H44" s="6">
        <v>120.29</v>
      </c>
      <c r="I44" s="6">
        <v>34</v>
      </c>
      <c r="J44" s="6">
        <v>143.7</v>
      </c>
    </row>
    <row r="45" spans="7:10">
      <c r="G45" s="69">
        <v>44992</v>
      </c>
      <c r="H45" s="6">
        <v>118.04</v>
      </c>
      <c r="I45" s="6">
        <v>33</v>
      </c>
      <c r="J45" s="6">
        <v>143.8</v>
      </c>
    </row>
    <row r="46" spans="7:10">
      <c r="G46" s="69">
        <v>44993</v>
      </c>
      <c r="H46" s="6">
        <v>115.76</v>
      </c>
      <c r="I46" s="6">
        <v>34</v>
      </c>
      <c r="J46" s="6">
        <v>143.9</v>
      </c>
    </row>
    <row r="47" spans="7:10">
      <c r="G47" s="69">
        <v>44994</v>
      </c>
      <c r="H47" s="6">
        <v>113.6</v>
      </c>
      <c r="I47" s="6">
        <v>35</v>
      </c>
      <c r="J47" s="6">
        <v>144</v>
      </c>
    </row>
    <row r="48" spans="7:10">
      <c r="G48" s="69">
        <v>44995</v>
      </c>
      <c r="H48" s="6">
        <v>111.4</v>
      </c>
      <c r="I48" s="6">
        <v>33</v>
      </c>
      <c r="J48" s="6">
        <v>144.1</v>
      </c>
    </row>
    <row r="49" spans="7:10">
      <c r="G49" s="69">
        <v>44996</v>
      </c>
      <c r="H49" s="6">
        <v>109.25</v>
      </c>
      <c r="I49" s="6">
        <v>34</v>
      </c>
      <c r="J49" s="6">
        <v>144.2</v>
      </c>
    </row>
    <row r="50" spans="7:10">
      <c r="G50" s="69">
        <v>44997</v>
      </c>
      <c r="H50" s="6">
        <v>107.35</v>
      </c>
      <c r="I50" s="6">
        <v>32</v>
      </c>
      <c r="J50" s="6">
        <v>144.3</v>
      </c>
    </row>
    <row r="51" spans="7:10">
      <c r="G51" s="69">
        <v>44998</v>
      </c>
      <c r="H51" s="6">
        <v>105.27</v>
      </c>
      <c r="I51" s="6">
        <v>31</v>
      </c>
      <c r="J51" s="6">
        <v>144.4</v>
      </c>
    </row>
    <row r="52" spans="7:10">
      <c r="G52" s="69">
        <v>44999</v>
      </c>
      <c r="H52" s="6">
        <v>103.3</v>
      </c>
      <c r="I52" s="6">
        <v>35</v>
      </c>
      <c r="J52" s="6">
        <v>144.5</v>
      </c>
    </row>
    <row r="53" spans="7:10">
      <c r="G53" s="69">
        <v>45000</v>
      </c>
      <c r="H53" s="6">
        <v>101.31</v>
      </c>
      <c r="I53" s="6">
        <v>34</v>
      </c>
      <c r="J53" s="6">
        <v>144.6</v>
      </c>
    </row>
    <row r="54" spans="7:10">
      <c r="G54" s="69">
        <v>45001</v>
      </c>
      <c r="H54" s="6">
        <v>99.42</v>
      </c>
      <c r="I54" s="6">
        <v>33</v>
      </c>
      <c r="J54" s="6">
        <v>144.7</v>
      </c>
    </row>
    <row r="55" spans="7:10">
      <c r="G55" s="69">
        <v>45002</v>
      </c>
      <c r="H55" s="6">
        <v>97.5</v>
      </c>
      <c r="I55" s="6">
        <v>34</v>
      </c>
      <c r="J55" s="6">
        <v>144.8</v>
      </c>
    </row>
  </sheetData>
  <mergeCells count="2">
    <mergeCell ref="G19:J19"/>
    <mergeCell ref="G36:J36"/>
  </mergeCells>
  <pageMargins left="0.7" right="0.7" top="0.75" bottom="0.75" header="0.3" footer="0.3"/>
  <pageSetup paperSize="1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:M47"/>
  <sheetViews>
    <sheetView topLeftCell="E1" workbookViewId="0">
      <selection activeCell="Q7" sqref="Q7"/>
    </sheetView>
  </sheetViews>
  <sheetFormatPr defaultColWidth="9" defaultRowHeight="15"/>
  <cols>
    <col min="11" max="11" width="23.1428571428571" customWidth="1"/>
    <col min="12" max="12" width="13.1428571428571" customWidth="1"/>
  </cols>
  <sheetData>
    <row r="3" spans="11:12">
      <c r="K3" t="s">
        <v>1</v>
      </c>
      <c r="L3" s="69">
        <v>44985</v>
      </c>
    </row>
    <row r="4" spans="11:13">
      <c r="K4" t="s">
        <v>30</v>
      </c>
      <c r="L4">
        <f>M28</f>
        <v>1466.4</v>
      </c>
      <c r="M4" s="70" t="s">
        <v>31</v>
      </c>
    </row>
    <row r="5" spans="11:13">
      <c r="K5" t="s">
        <v>32</v>
      </c>
      <c r="L5" s="70">
        <v>250</v>
      </c>
      <c r="M5" s="70" t="s">
        <v>31</v>
      </c>
    </row>
    <row r="6" spans="11:13">
      <c r="K6" t="s">
        <v>33</v>
      </c>
      <c r="L6" s="70">
        <v>500</v>
      </c>
      <c r="M6" s="70" t="s">
        <v>31</v>
      </c>
    </row>
    <row r="7" spans="11:13">
      <c r="K7" t="s">
        <v>34</v>
      </c>
      <c r="L7" s="70">
        <f>L4-L6</f>
        <v>966.4</v>
      </c>
      <c r="M7" s="70" t="s">
        <v>31</v>
      </c>
    </row>
    <row r="8" spans="11:13">
      <c r="K8" t="s">
        <v>35</v>
      </c>
      <c r="L8" s="70">
        <v>32</v>
      </c>
      <c r="M8" s="70" t="s">
        <v>36</v>
      </c>
    </row>
    <row r="9" spans="11:13">
      <c r="K9" t="s">
        <v>37</v>
      </c>
      <c r="L9" s="70">
        <v>0.94</v>
      </c>
      <c r="M9" s="70"/>
    </row>
    <row r="10" spans="11:13">
      <c r="K10" t="s">
        <v>38</v>
      </c>
      <c r="L10" s="70" t="s">
        <v>39</v>
      </c>
      <c r="M10" s="70"/>
    </row>
    <row r="11" spans="11:13">
      <c r="K11" t="s">
        <v>40</v>
      </c>
      <c r="L11" s="70">
        <v>0.94</v>
      </c>
      <c r="M11" s="70" t="s">
        <v>41</v>
      </c>
    </row>
    <row r="12" spans="13:13">
      <c r="M12" s="70"/>
    </row>
    <row r="15" ht="45" spans="11:13">
      <c r="K15" s="71" t="s">
        <v>25</v>
      </c>
      <c r="L15" s="72" t="s">
        <v>42</v>
      </c>
      <c r="M15" s="73" t="s">
        <v>43</v>
      </c>
    </row>
    <row r="16" spans="11:13">
      <c r="K16" s="6">
        <v>2</v>
      </c>
      <c r="L16" s="6">
        <v>20</v>
      </c>
      <c r="M16">
        <f>L16*L$11</f>
        <v>18.8</v>
      </c>
    </row>
    <row r="17" spans="11:13">
      <c r="K17" s="6">
        <v>4</v>
      </c>
      <c r="L17" s="6">
        <v>40</v>
      </c>
      <c r="M17">
        <f t="shared" ref="M17:M27" si="0">L17*L$11</f>
        <v>37.6</v>
      </c>
    </row>
    <row r="18" spans="11:13">
      <c r="K18" s="6">
        <v>6</v>
      </c>
      <c r="L18" s="6">
        <v>60</v>
      </c>
      <c r="M18">
        <f t="shared" si="0"/>
        <v>56.4</v>
      </c>
    </row>
    <row r="19" spans="11:13">
      <c r="K19" s="6">
        <v>8</v>
      </c>
      <c r="L19" s="6">
        <v>80</v>
      </c>
      <c r="M19">
        <f t="shared" si="0"/>
        <v>75.2</v>
      </c>
    </row>
    <row r="20" spans="11:13">
      <c r="K20" s="6">
        <v>10</v>
      </c>
      <c r="L20" s="6">
        <v>100</v>
      </c>
      <c r="M20">
        <f t="shared" si="0"/>
        <v>94</v>
      </c>
    </row>
    <row r="21" spans="11:13">
      <c r="K21" s="6">
        <v>12</v>
      </c>
      <c r="L21" s="6">
        <v>120</v>
      </c>
      <c r="M21">
        <f t="shared" si="0"/>
        <v>112.8</v>
      </c>
    </row>
    <row r="22" spans="11:13">
      <c r="K22" s="6">
        <v>14</v>
      </c>
      <c r="L22" s="6">
        <v>140</v>
      </c>
      <c r="M22">
        <f t="shared" si="0"/>
        <v>131.6</v>
      </c>
    </row>
    <row r="23" spans="11:13">
      <c r="K23" s="6">
        <v>16</v>
      </c>
      <c r="L23" s="6">
        <v>160</v>
      </c>
      <c r="M23">
        <f t="shared" si="0"/>
        <v>150.4</v>
      </c>
    </row>
    <row r="24" spans="11:13">
      <c r="K24" s="6">
        <v>18</v>
      </c>
      <c r="L24" s="6">
        <v>180</v>
      </c>
      <c r="M24">
        <f t="shared" si="0"/>
        <v>169.2</v>
      </c>
    </row>
    <row r="25" spans="11:13">
      <c r="K25" s="6">
        <v>20</v>
      </c>
      <c r="L25" s="6">
        <v>200</v>
      </c>
      <c r="M25">
        <f t="shared" si="0"/>
        <v>188</v>
      </c>
    </row>
    <row r="26" spans="11:13">
      <c r="K26" s="6">
        <v>22</v>
      </c>
      <c r="L26" s="6">
        <v>220</v>
      </c>
      <c r="M26">
        <f t="shared" si="0"/>
        <v>206.8</v>
      </c>
    </row>
    <row r="27" spans="11:13">
      <c r="K27" s="6">
        <v>24</v>
      </c>
      <c r="L27" s="6">
        <v>240</v>
      </c>
      <c r="M27">
        <f t="shared" si="0"/>
        <v>225.6</v>
      </c>
    </row>
    <row r="28" spans="13:13">
      <c r="M28">
        <f>SUM(M16:M27)</f>
        <v>1466.4</v>
      </c>
    </row>
    <row r="29" ht="30" spans="11:12">
      <c r="K29" s="71" t="s">
        <v>1</v>
      </c>
      <c r="L29" s="72" t="s">
        <v>44</v>
      </c>
    </row>
    <row r="30" spans="11:12">
      <c r="K30" s="69">
        <v>44985</v>
      </c>
      <c r="L30">
        <v>1466.4</v>
      </c>
    </row>
    <row r="31" spans="11:12">
      <c r="K31" s="69">
        <v>44986</v>
      </c>
      <c r="L31" s="6">
        <v>1320</v>
      </c>
    </row>
    <row r="32" spans="11:12">
      <c r="K32" s="69">
        <v>44987</v>
      </c>
      <c r="L32" s="6">
        <v>1290</v>
      </c>
    </row>
    <row r="33" spans="11:12">
      <c r="K33" s="69">
        <v>44988</v>
      </c>
      <c r="L33" s="6">
        <v>1300</v>
      </c>
    </row>
    <row r="34" spans="11:12">
      <c r="K34" s="69">
        <v>44989</v>
      </c>
      <c r="L34" s="6">
        <v>1400</v>
      </c>
    </row>
    <row r="35" spans="11:12">
      <c r="K35" s="69">
        <v>44990</v>
      </c>
      <c r="L35" s="6">
        <v>1100</v>
      </c>
    </row>
    <row r="36" spans="11:12">
      <c r="K36" s="69">
        <v>44991</v>
      </c>
      <c r="L36" s="6">
        <v>1400</v>
      </c>
    </row>
    <row r="37" spans="11:12">
      <c r="K37" s="69">
        <v>44992</v>
      </c>
      <c r="L37" s="6">
        <v>1500</v>
      </c>
    </row>
    <row r="38" spans="11:12">
      <c r="K38" s="69">
        <v>44993</v>
      </c>
      <c r="L38" s="6">
        <v>1250</v>
      </c>
    </row>
    <row r="39" spans="11:12">
      <c r="K39" s="69">
        <v>44994</v>
      </c>
      <c r="L39" s="6">
        <v>1400</v>
      </c>
    </row>
    <row r="40" spans="11:12">
      <c r="K40" s="69">
        <v>44995</v>
      </c>
      <c r="L40" s="6">
        <v>1100</v>
      </c>
    </row>
    <row r="41" spans="11:12">
      <c r="K41" s="69">
        <v>44996</v>
      </c>
      <c r="L41" s="6">
        <v>1400</v>
      </c>
    </row>
    <row r="42" spans="11:12">
      <c r="K42" s="69">
        <v>44997</v>
      </c>
      <c r="L42" s="6">
        <v>1500</v>
      </c>
    </row>
    <row r="43" spans="11:12">
      <c r="K43" s="69">
        <v>44998</v>
      </c>
      <c r="L43" s="6">
        <v>1250</v>
      </c>
    </row>
    <row r="44" spans="11:12">
      <c r="K44" s="69">
        <v>44999</v>
      </c>
      <c r="L44" s="6">
        <v>1250</v>
      </c>
    </row>
    <row r="45" spans="11:12">
      <c r="K45" s="69">
        <v>45000</v>
      </c>
      <c r="L45" s="6">
        <v>1250</v>
      </c>
    </row>
    <row r="46" spans="11:12">
      <c r="K46" s="69">
        <v>45001</v>
      </c>
      <c r="L46" s="6">
        <v>1250</v>
      </c>
    </row>
    <row r="47" spans="11:12">
      <c r="K47" s="69">
        <v>45002</v>
      </c>
      <c r="L47" s="6">
        <v>1250</v>
      </c>
    </row>
  </sheetData>
  <pageMargins left="0.7" right="0.7" top="0.75" bottom="0.75" header="0.3" footer="0.3"/>
  <pageSetup paperSize="1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workbookViewId="0">
      <selection activeCell="H10" sqref="H10"/>
    </sheetView>
  </sheetViews>
  <sheetFormatPr defaultColWidth="9" defaultRowHeight="15"/>
  <cols>
    <col min="2" max="2" width="22.4285714285714" customWidth="1"/>
    <col min="3" max="3" width="11.8571428571429" customWidth="1"/>
    <col min="6" max="6" width="19" customWidth="1"/>
    <col min="8" max="8" width="28.8571428571429" customWidth="1"/>
    <col min="9" max="9" width="26.1428571428571" customWidth="1"/>
  </cols>
  <sheetData>
    <row r="1" spans="5:6">
      <c r="E1" t="s">
        <v>45</v>
      </c>
      <c r="F1" t="s">
        <v>46</v>
      </c>
    </row>
    <row r="2" ht="15.75" spans="1:10">
      <c r="A2" s="1" t="s">
        <v>47</v>
      </c>
      <c r="B2" s="1"/>
      <c r="C2" s="1"/>
      <c r="D2" s="1"/>
      <c r="E2">
        <v>1</v>
      </c>
      <c r="H2" s="2" t="s">
        <v>48</v>
      </c>
      <c r="I2" s="2"/>
      <c r="J2" s="2"/>
    </row>
    <row r="3" ht="15.75" spans="8:10">
      <c r="H3" s="3" t="s">
        <v>49</v>
      </c>
      <c r="I3" s="51">
        <f>C33</f>
        <v>827.728433527362</v>
      </c>
      <c r="J3" s="52" t="s">
        <v>50</v>
      </c>
    </row>
    <row r="4" ht="15.75" spans="2:10">
      <c r="B4" s="4" t="s">
        <v>51</v>
      </c>
      <c r="C4" s="4"/>
      <c r="D4" s="4"/>
      <c r="E4" s="4"/>
      <c r="H4" s="5" t="s">
        <v>52</v>
      </c>
      <c r="I4" s="53">
        <f>C44</f>
        <v>2644.38159002826</v>
      </c>
      <c r="J4" s="54" t="s">
        <v>17</v>
      </c>
    </row>
    <row r="5" ht="15.75" spans="2:10">
      <c r="B5" s="6" t="s">
        <v>53</v>
      </c>
      <c r="C5" s="6">
        <v>39.21</v>
      </c>
      <c r="D5" s="6" t="s">
        <v>54</v>
      </c>
      <c r="E5" s="6"/>
      <c r="F5">
        <v>1</v>
      </c>
      <c r="H5" s="5" t="s">
        <v>55</v>
      </c>
      <c r="I5" s="53">
        <f>C56</f>
        <v>8.31645531146105e-6</v>
      </c>
      <c r="J5" s="54" t="s">
        <v>56</v>
      </c>
    </row>
    <row r="6" ht="15.75" spans="2:10">
      <c r="B6" t="s">
        <v>57</v>
      </c>
      <c r="C6">
        <v>80.62</v>
      </c>
      <c r="D6" t="s">
        <v>54</v>
      </c>
      <c r="F6">
        <v>2</v>
      </c>
      <c r="H6" s="5" t="s">
        <v>58</v>
      </c>
      <c r="I6" s="53">
        <f>C75</f>
        <v>1.57141679253241</v>
      </c>
      <c r="J6" s="54" t="s">
        <v>59</v>
      </c>
    </row>
    <row r="7" ht="16.5" spans="2:10">
      <c r="B7" t="s">
        <v>60</v>
      </c>
      <c r="C7">
        <v>1</v>
      </c>
      <c r="D7" t="s">
        <v>61</v>
      </c>
      <c r="F7">
        <v>3</v>
      </c>
      <c r="H7" s="7" t="s">
        <v>62</v>
      </c>
      <c r="I7" s="55">
        <f>C95</f>
        <v>0.249743958222433</v>
      </c>
      <c r="J7" s="56" t="s">
        <v>63</v>
      </c>
    </row>
    <row r="8" spans="2:6">
      <c r="B8" t="s">
        <v>64</v>
      </c>
      <c r="C8">
        <v>50</v>
      </c>
      <c r="D8" t="s">
        <v>65</v>
      </c>
      <c r="F8">
        <v>4</v>
      </c>
    </row>
    <row r="9" spans="2:5">
      <c r="B9" s="8" t="s">
        <v>66</v>
      </c>
      <c r="C9" s="8"/>
      <c r="D9" s="8"/>
      <c r="E9" s="8"/>
    </row>
    <row r="10" spans="2:6">
      <c r="B10" t="s">
        <v>37</v>
      </c>
      <c r="C10">
        <f>(C6-C5)/C8</f>
        <v>0.8282</v>
      </c>
      <c r="D10" t="s">
        <v>61</v>
      </c>
      <c r="F10">
        <v>5</v>
      </c>
    </row>
    <row r="11" spans="2:8">
      <c r="B11" t="s">
        <v>67</v>
      </c>
      <c r="C11">
        <f>C10/C7</f>
        <v>0.8282</v>
      </c>
      <c r="F11">
        <v>6</v>
      </c>
      <c r="H11">
        <f>H10*123</f>
        <v>0</v>
      </c>
    </row>
    <row r="12" spans="2:6">
      <c r="B12" t="s">
        <v>68</v>
      </c>
      <c r="C12">
        <f>141.5/C11-131.5</f>
        <v>39.3524510987684</v>
      </c>
      <c r="D12" t="s">
        <v>68</v>
      </c>
      <c r="F12">
        <v>7</v>
      </c>
    </row>
    <row r="14" spans="1:5">
      <c r="A14" s="1" t="s">
        <v>69</v>
      </c>
      <c r="B14" s="1"/>
      <c r="C14" s="1"/>
      <c r="D14" s="1"/>
      <c r="E14">
        <v>2</v>
      </c>
    </row>
    <row r="15" ht="15.75"/>
    <row r="16" spans="2:4">
      <c r="B16" s="9" t="s">
        <v>70</v>
      </c>
      <c r="C16" s="10"/>
      <c r="D16" s="11"/>
    </row>
    <row r="17" ht="15.75" spans="2:6">
      <c r="B17" s="12" t="s">
        <v>71</v>
      </c>
      <c r="C17" s="13">
        <f>C12</f>
        <v>39.3524510987684</v>
      </c>
      <c r="D17" s="14" t="s">
        <v>68</v>
      </c>
      <c r="F17">
        <v>8</v>
      </c>
    </row>
    <row r="19" spans="2:4">
      <c r="B19" s="15" t="s">
        <v>72</v>
      </c>
      <c r="C19" s="16"/>
      <c r="D19" s="17"/>
    </row>
    <row r="20" spans="2:6">
      <c r="B20" s="18" t="s">
        <v>73</v>
      </c>
      <c r="C20" s="19">
        <f>141.5/(C17+131.5)</f>
        <v>0.8282</v>
      </c>
      <c r="D20" s="20"/>
      <c r="F20">
        <v>9</v>
      </c>
    </row>
    <row r="21" spans="2:6">
      <c r="B21" s="21" t="s">
        <v>74</v>
      </c>
      <c r="C21" s="19">
        <v>975</v>
      </c>
      <c r="D21" s="22" t="s">
        <v>75</v>
      </c>
      <c r="F21">
        <v>10</v>
      </c>
    </row>
    <row r="22" ht="15.75" spans="2:6">
      <c r="B22" s="23" t="s">
        <v>76</v>
      </c>
      <c r="C22" s="24">
        <v>400</v>
      </c>
      <c r="D22" s="25" t="s">
        <v>77</v>
      </c>
      <c r="F22">
        <v>11</v>
      </c>
    </row>
    <row r="24" spans="1:5">
      <c r="A24" s="1" t="s">
        <v>78</v>
      </c>
      <c r="B24" s="1"/>
      <c r="C24" s="1"/>
      <c r="D24" s="1"/>
      <c r="E24">
        <v>3</v>
      </c>
    </row>
    <row r="25" ht="15.75"/>
    <row r="26" spans="2:4">
      <c r="B26" s="26" t="s">
        <v>70</v>
      </c>
      <c r="C26" s="27"/>
      <c r="D26" s="28"/>
    </row>
    <row r="27" spans="2:6">
      <c r="B27" s="18" t="s">
        <v>79</v>
      </c>
      <c r="C27" s="29">
        <v>2640.76</v>
      </c>
      <c r="D27" s="30" t="s">
        <v>17</v>
      </c>
      <c r="F27">
        <v>12</v>
      </c>
    </row>
    <row r="28" spans="2:6">
      <c r="B28" s="18" t="s">
        <v>80</v>
      </c>
      <c r="C28" s="29">
        <v>0.9463</v>
      </c>
      <c r="D28" s="30"/>
      <c r="F28">
        <v>13</v>
      </c>
    </row>
    <row r="29" spans="2:6">
      <c r="B29" s="18" t="s">
        <v>71</v>
      </c>
      <c r="C29" s="29">
        <f>C17</f>
        <v>39.3524510987684</v>
      </c>
      <c r="D29" s="30" t="s">
        <v>68</v>
      </c>
      <c r="F29">
        <v>14</v>
      </c>
    </row>
    <row r="30" ht="15.75" spans="2:6">
      <c r="B30" s="31" t="s">
        <v>81</v>
      </c>
      <c r="C30" s="32">
        <v>238</v>
      </c>
      <c r="D30" s="33" t="s">
        <v>82</v>
      </c>
      <c r="F30">
        <v>15</v>
      </c>
    </row>
    <row r="31" ht="15.75" spans="3:4">
      <c r="C31" s="6"/>
      <c r="D31" s="6"/>
    </row>
    <row r="32" spans="2:4">
      <c r="B32" s="34" t="s">
        <v>72</v>
      </c>
      <c r="C32" s="35"/>
      <c r="D32" s="36"/>
    </row>
    <row r="33" spans="2:6">
      <c r="B33" s="37" t="s">
        <v>83</v>
      </c>
      <c r="C33" s="38">
        <f>C28*(((C27*(10^(0.0125*C29)))/(18*(10^(0.00091*C30))))^1.2048)</f>
        <v>827.728433527362</v>
      </c>
      <c r="D33" s="39" t="s">
        <v>50</v>
      </c>
      <c r="F33">
        <v>16</v>
      </c>
    </row>
    <row r="34" spans="3:4">
      <c r="C34" s="6"/>
      <c r="D34" s="6"/>
    </row>
    <row r="35" spans="1:5">
      <c r="A35" s="1" t="s">
        <v>84</v>
      </c>
      <c r="B35" s="1"/>
      <c r="C35" s="1"/>
      <c r="D35" s="1"/>
      <c r="E35">
        <v>4</v>
      </c>
    </row>
    <row r="36" ht="15.75"/>
    <row r="37" spans="2:4">
      <c r="B37" s="26" t="s">
        <v>70</v>
      </c>
      <c r="C37" s="27"/>
      <c r="D37" s="28"/>
    </row>
    <row r="38" spans="2:6">
      <c r="B38" s="18" t="s">
        <v>85</v>
      </c>
      <c r="C38" s="40">
        <f>C33</f>
        <v>827.728433527362</v>
      </c>
      <c r="D38" s="30" t="s">
        <v>50</v>
      </c>
      <c r="F38">
        <v>17</v>
      </c>
    </row>
    <row r="39" spans="2:6">
      <c r="B39" s="18" t="s">
        <v>86</v>
      </c>
      <c r="C39" s="40">
        <f>C28</f>
        <v>0.9463</v>
      </c>
      <c r="D39" s="41"/>
      <c r="F39">
        <v>18</v>
      </c>
    </row>
    <row r="40" spans="2:6">
      <c r="B40" s="18" t="s">
        <v>87</v>
      </c>
      <c r="C40" s="29">
        <f>C29</f>
        <v>39.3524510987684</v>
      </c>
      <c r="D40" s="30" t="s">
        <v>71</v>
      </c>
      <c r="F40">
        <v>19</v>
      </c>
    </row>
    <row r="41" ht="15.75" spans="2:6">
      <c r="B41" s="31" t="s">
        <v>81</v>
      </c>
      <c r="C41" s="42">
        <f>C30</f>
        <v>238</v>
      </c>
      <c r="D41" s="43" t="s">
        <v>82</v>
      </c>
      <c r="F41">
        <v>20</v>
      </c>
    </row>
    <row r="42" ht="15.75"/>
    <row r="43" spans="2:4">
      <c r="B43" s="15" t="s">
        <v>72</v>
      </c>
      <c r="C43" s="16"/>
      <c r="D43" s="17"/>
    </row>
    <row r="44" spans="2:6">
      <c r="B44" s="44" t="s">
        <v>88</v>
      </c>
      <c r="C44" s="45">
        <f>18.2*((((C38/C39)^0.83)*(10^((0.00091*C41)-(0.0125*C40)))-1.4))</f>
        <v>2644.38159002826</v>
      </c>
      <c r="D44" s="46" t="s">
        <v>17</v>
      </c>
      <c r="F44">
        <v>21</v>
      </c>
    </row>
    <row r="46" spans="1:5">
      <c r="A46" s="1" t="s">
        <v>89</v>
      </c>
      <c r="B46" s="1"/>
      <c r="C46" s="1"/>
      <c r="D46" s="1"/>
      <c r="E46">
        <v>5</v>
      </c>
    </row>
    <row r="47" ht="15.75"/>
    <row r="48" spans="2:4">
      <c r="B48" s="26" t="s">
        <v>70</v>
      </c>
      <c r="C48" s="27"/>
      <c r="D48" s="28"/>
    </row>
    <row r="49" spans="2:6">
      <c r="B49" s="18" t="s">
        <v>79</v>
      </c>
      <c r="C49" s="40">
        <f>C27</f>
        <v>2640.76</v>
      </c>
      <c r="D49" s="30" t="s">
        <v>17</v>
      </c>
      <c r="F49">
        <v>22</v>
      </c>
    </row>
    <row r="50" spans="2:6">
      <c r="B50" s="18" t="s">
        <v>90</v>
      </c>
      <c r="C50" s="40">
        <v>62.43</v>
      </c>
      <c r="D50" s="30" t="s">
        <v>91</v>
      </c>
      <c r="F50">
        <v>23</v>
      </c>
    </row>
    <row r="51" spans="2:6">
      <c r="B51" s="18" t="s">
        <v>88</v>
      </c>
      <c r="C51" s="29">
        <f>C44</f>
        <v>2644.38159002826</v>
      </c>
      <c r="D51" s="30" t="s">
        <v>17</v>
      </c>
      <c r="F51">
        <v>24</v>
      </c>
    </row>
    <row r="52" spans="2:6">
      <c r="B52" s="18" t="s">
        <v>92</v>
      </c>
      <c r="C52" s="29">
        <f>C11</f>
        <v>0.8282</v>
      </c>
      <c r="D52" s="30"/>
      <c r="F52">
        <v>25</v>
      </c>
    </row>
    <row r="53" spans="2:6">
      <c r="B53" s="31" t="s">
        <v>93</v>
      </c>
      <c r="C53" s="32">
        <f>C52*C50</f>
        <v>51.704526</v>
      </c>
      <c r="D53" s="33" t="s">
        <v>91</v>
      </c>
      <c r="F53">
        <v>26</v>
      </c>
    </row>
    <row r="54" ht="15.75"/>
    <row r="55" spans="2:4">
      <c r="B55" s="47" t="s">
        <v>72</v>
      </c>
      <c r="C55" s="48"/>
      <c r="D55" s="49"/>
    </row>
    <row r="56" spans="2:6">
      <c r="B56" s="44" t="s">
        <v>94</v>
      </c>
      <c r="C56" s="45">
        <f>(10^-6)*EXP((C53+(0.004347*(C49-C51))-79.1)/(((7.141*(10^-4))*(C49-C51))-12.938))</f>
        <v>8.31645531146105e-6</v>
      </c>
      <c r="D56" s="46" t="s">
        <v>56</v>
      </c>
      <c r="F56">
        <v>27</v>
      </c>
    </row>
    <row r="58" spans="1:5">
      <c r="A58" s="1" t="s">
        <v>95</v>
      </c>
      <c r="B58" s="1"/>
      <c r="C58" s="1"/>
      <c r="D58" s="1"/>
      <c r="E58">
        <v>6</v>
      </c>
    </row>
    <row r="59" ht="15.75"/>
    <row r="60" spans="2:4">
      <c r="B60" s="26" t="s">
        <v>70</v>
      </c>
      <c r="C60" s="27"/>
      <c r="D60" s="28"/>
    </row>
    <row r="61" spans="2:6">
      <c r="B61" s="18" t="s">
        <v>85</v>
      </c>
      <c r="C61" s="29">
        <f>C33</f>
        <v>827.728433527362</v>
      </c>
      <c r="D61" s="30" t="s">
        <v>50</v>
      </c>
      <c r="F61">
        <v>28</v>
      </c>
    </row>
    <row r="62" spans="2:6">
      <c r="B62" s="18" t="s">
        <v>80</v>
      </c>
      <c r="C62" s="29">
        <f>C28</f>
        <v>0.9463</v>
      </c>
      <c r="D62" s="30"/>
      <c r="F62">
        <v>29</v>
      </c>
    </row>
    <row r="63" spans="2:6">
      <c r="B63" s="18" t="s">
        <v>73</v>
      </c>
      <c r="C63" s="29">
        <f>C20</f>
        <v>0.8282</v>
      </c>
      <c r="D63" s="30"/>
      <c r="F63">
        <v>30</v>
      </c>
    </row>
    <row r="64" spans="2:6">
      <c r="B64" s="50" t="s">
        <v>81</v>
      </c>
      <c r="C64" s="29">
        <f>C30</f>
        <v>238</v>
      </c>
      <c r="D64" s="30" t="s">
        <v>82</v>
      </c>
      <c r="F64">
        <v>31</v>
      </c>
    </row>
    <row r="65" spans="2:6">
      <c r="B65" s="18" t="s">
        <v>96</v>
      </c>
      <c r="C65" s="29">
        <f>C56</f>
        <v>8.31645531146105e-6</v>
      </c>
      <c r="D65" s="30" t="s">
        <v>56</v>
      </c>
      <c r="F65">
        <v>32</v>
      </c>
    </row>
    <row r="66" spans="2:6">
      <c r="B66" s="18" t="s">
        <v>79</v>
      </c>
      <c r="C66" s="29">
        <f>C49</f>
        <v>2640.76</v>
      </c>
      <c r="D66" s="30" t="s">
        <v>17</v>
      </c>
      <c r="F66">
        <v>33</v>
      </c>
    </row>
    <row r="67" spans="2:6">
      <c r="B67" s="31" t="s">
        <v>88</v>
      </c>
      <c r="C67" s="32">
        <f>C51</f>
        <v>2644.38159002826</v>
      </c>
      <c r="D67" s="33" t="s">
        <v>17</v>
      </c>
      <c r="F67">
        <v>34</v>
      </c>
    </row>
    <row r="69" spans="2:4">
      <c r="B69" s="47" t="s">
        <v>97</v>
      </c>
      <c r="C69" s="48"/>
      <c r="D69" s="49"/>
    </row>
    <row r="70" spans="2:6">
      <c r="B70" s="21" t="s">
        <v>21</v>
      </c>
      <c r="C70" s="19">
        <f>(C61*((C62/C63)^0.5))+(1.25*C64)</f>
        <v>1182.27874487305</v>
      </c>
      <c r="D70" s="57"/>
      <c r="F70">
        <v>35</v>
      </c>
    </row>
    <row r="71" spans="2:6">
      <c r="B71" s="21" t="s">
        <v>98</v>
      </c>
      <c r="C71" s="19">
        <f>0.972+(0.000147*(C70^1.175))</f>
        <v>1.5714641224201</v>
      </c>
      <c r="D71" s="57" t="s">
        <v>59</v>
      </c>
      <c r="F71">
        <v>36</v>
      </c>
    </row>
    <row r="72" spans="2:4">
      <c r="B72" s="21"/>
      <c r="C72" s="19"/>
      <c r="D72" s="57"/>
    </row>
    <row r="73" spans="2:4">
      <c r="B73" s="58" t="s">
        <v>99</v>
      </c>
      <c r="C73" s="59"/>
      <c r="D73" s="60"/>
    </row>
    <row r="74" spans="2:6">
      <c r="B74" s="61" t="s">
        <v>100</v>
      </c>
      <c r="C74" s="62">
        <f>C71</f>
        <v>1.5714641224201</v>
      </c>
      <c r="D74" s="63" t="s">
        <v>59</v>
      </c>
      <c r="F74">
        <v>37</v>
      </c>
    </row>
    <row r="75" spans="2:6">
      <c r="B75" s="64" t="s">
        <v>101</v>
      </c>
      <c r="C75" s="45">
        <f>C74*EXP(C65*(C66-C67))</f>
        <v>1.57141679253241</v>
      </c>
      <c r="D75" s="46" t="s">
        <v>59</v>
      </c>
      <c r="F75">
        <v>38</v>
      </c>
    </row>
    <row r="77" spans="1:5">
      <c r="A77" s="1" t="s">
        <v>102</v>
      </c>
      <c r="B77" s="1"/>
      <c r="C77" s="1"/>
      <c r="D77" s="1"/>
      <c r="E77">
        <v>7</v>
      </c>
    </row>
    <row r="78" ht="15.75"/>
    <row r="79" spans="2:4">
      <c r="B79" s="26" t="s">
        <v>70</v>
      </c>
      <c r="C79" s="27"/>
      <c r="D79" s="28"/>
    </row>
    <row r="80" spans="2:6">
      <c r="B80" s="18" t="s">
        <v>71</v>
      </c>
      <c r="C80" s="29">
        <f>C17</f>
        <v>39.3524510987684</v>
      </c>
      <c r="D80" s="65" t="s">
        <v>68</v>
      </c>
      <c r="F80">
        <v>39</v>
      </c>
    </row>
    <row r="81" spans="2:6">
      <c r="B81" s="18" t="s">
        <v>81</v>
      </c>
      <c r="C81" s="29">
        <f>C30</f>
        <v>238</v>
      </c>
      <c r="D81" s="65" t="s">
        <v>82</v>
      </c>
      <c r="F81">
        <v>40</v>
      </c>
    </row>
    <row r="82" spans="2:6">
      <c r="B82" s="18" t="s">
        <v>83</v>
      </c>
      <c r="C82" s="29">
        <f>C33</f>
        <v>827.728433527362</v>
      </c>
      <c r="D82" s="30" t="s">
        <v>50</v>
      </c>
      <c r="F82">
        <v>41</v>
      </c>
    </row>
    <row r="83" spans="2:6">
      <c r="B83" s="18" t="s">
        <v>79</v>
      </c>
      <c r="C83" s="29">
        <f>C27</f>
        <v>2640.76</v>
      </c>
      <c r="D83" s="30" t="s">
        <v>17</v>
      </c>
      <c r="F83">
        <v>42</v>
      </c>
    </row>
    <row r="84" spans="2:6">
      <c r="B84" s="31" t="s">
        <v>103</v>
      </c>
      <c r="C84" s="32">
        <f>C44</f>
        <v>2644.38159002826</v>
      </c>
      <c r="D84" s="33" t="s">
        <v>17</v>
      </c>
      <c r="F84">
        <v>43</v>
      </c>
    </row>
    <row r="85" ht="15.75"/>
    <row r="86" spans="2:4">
      <c r="B86" s="47" t="s">
        <v>72</v>
      </c>
      <c r="C86" s="48"/>
      <c r="D86" s="49"/>
    </row>
    <row r="87" spans="2:6">
      <c r="B87" s="21" t="s">
        <v>104</v>
      </c>
      <c r="C87" s="19">
        <f>10^(0.43+(8.33/C80))</f>
        <v>4.38204442999113</v>
      </c>
      <c r="D87" s="57"/>
      <c r="F87">
        <v>44</v>
      </c>
    </row>
    <row r="88" spans="2:6">
      <c r="B88" s="66" t="s">
        <v>105</v>
      </c>
      <c r="C88" s="19">
        <f>(0.32+((1.8*(10^7))/(C80^4.53)))*((360/(C81+200))^C87)</f>
        <v>0.589253533741471</v>
      </c>
      <c r="D88" s="57" t="s">
        <v>63</v>
      </c>
      <c r="F88">
        <v>45</v>
      </c>
    </row>
    <row r="89" spans="2:6">
      <c r="B89" s="66" t="s">
        <v>106</v>
      </c>
      <c r="C89" s="19">
        <f>C82*((2.2*(10^-7)*C82)-(7.4*(10^-4)))</f>
        <v>-0.461789481682922</v>
      </c>
      <c r="D89" s="57"/>
      <c r="F89">
        <v>46</v>
      </c>
    </row>
    <row r="90" spans="2:6">
      <c r="B90" s="66" t="s">
        <v>107</v>
      </c>
      <c r="C90" s="19">
        <f>(0.68/(10^C91))+(0.25/(10^C92))+(0.062/(10^C93))</f>
        <v>0.607748270159353</v>
      </c>
      <c r="D90" s="57"/>
      <c r="F90">
        <v>47</v>
      </c>
    </row>
    <row r="91" spans="2:6">
      <c r="B91" s="66" t="s">
        <v>108</v>
      </c>
      <c r="C91" s="19">
        <f>8.62*(10^-5)*C82</f>
        <v>0.0713501909700586</v>
      </c>
      <c r="D91" s="57"/>
      <c r="F91">
        <v>48</v>
      </c>
    </row>
    <row r="92" spans="2:6">
      <c r="B92" s="66" t="s">
        <v>109</v>
      </c>
      <c r="C92" s="19">
        <f>1.1*(10^-3)*C82</f>
        <v>0.910501276880098</v>
      </c>
      <c r="D92" s="57"/>
      <c r="F92">
        <v>49</v>
      </c>
    </row>
    <row r="93" spans="2:6">
      <c r="B93" s="66" t="s">
        <v>110</v>
      </c>
      <c r="C93" s="19">
        <f>3.74*(10^-3)*C82</f>
        <v>3.09570434139233</v>
      </c>
      <c r="D93" s="57"/>
      <c r="F93">
        <v>50</v>
      </c>
    </row>
    <row r="94" spans="2:6">
      <c r="B94" s="66" t="s">
        <v>111</v>
      </c>
      <c r="C94" s="19">
        <f>(10^C89)*(C88^C90)</f>
        <v>0.250387172012319</v>
      </c>
      <c r="D94" s="57" t="s">
        <v>63</v>
      </c>
      <c r="F94">
        <v>51</v>
      </c>
    </row>
    <row r="95" ht="15.75" spans="2:6">
      <c r="B95" s="67" t="s">
        <v>112</v>
      </c>
      <c r="C95" s="24">
        <f>C94+0.001*(C83-C84)*((0.024*(C94^1.6))+(0.38*(C94^0.56)))</f>
        <v>0.249743958222433</v>
      </c>
      <c r="D95" s="68" t="s">
        <v>63</v>
      </c>
      <c r="F95">
        <v>52</v>
      </c>
    </row>
  </sheetData>
  <mergeCells count="23">
    <mergeCell ref="A2:D2"/>
    <mergeCell ref="H2:J2"/>
    <mergeCell ref="B4:E4"/>
    <mergeCell ref="B9:E9"/>
    <mergeCell ref="A14:D14"/>
    <mergeCell ref="B16:D16"/>
    <mergeCell ref="B19:D19"/>
    <mergeCell ref="A24:D24"/>
    <mergeCell ref="B26:D26"/>
    <mergeCell ref="B32:D32"/>
    <mergeCell ref="A35:D35"/>
    <mergeCell ref="B37:D37"/>
    <mergeCell ref="B43:D43"/>
    <mergeCell ref="A46:D46"/>
    <mergeCell ref="B48:D48"/>
    <mergeCell ref="B55:D55"/>
    <mergeCell ref="A58:D58"/>
    <mergeCell ref="B60:D60"/>
    <mergeCell ref="B69:D69"/>
    <mergeCell ref="B73:D73"/>
    <mergeCell ref="A77:D77"/>
    <mergeCell ref="B79:D79"/>
    <mergeCell ref="B86:D86"/>
  </mergeCells>
  <pageMargins left="0.7" right="0.7" top="0.75" bottom="0.75" header="0.3" footer="0.3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Well Monitoring</vt:lpstr>
      <vt:lpstr>TANK ON SITE MONITORING</vt:lpstr>
      <vt:lpstr>Fluid Sample Properties</vt:lpstr>
      <vt:lpstr>QAS 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effmuhammad</cp:lastModifiedBy>
  <dcterms:created xsi:type="dcterms:W3CDTF">2023-05-17T03:58:00Z</dcterms:created>
  <dcterms:modified xsi:type="dcterms:W3CDTF">2023-07-02T04:26:42Z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A6C61C5E3F0D45E5B08C1876766E0EEA</vt:lpwstr>
  </property>
  <property fmtid="{D5CDD505-2E9C-101B-9397-08002B2CF9AE}" pid="3" name="KSOProductBuildVer">
    <vt:lpwstr>1033-11.2.0.11537</vt:lpwstr>
  </property>
</Properties>
</file>