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xr:revisionPtr revIDLastSave="0" documentId="8_{5704AA98-67BB-4B9A-BB39-FB7B295079D2}" xr6:coauthVersionLast="47" xr6:coauthVersionMax="47" xr10:uidLastSave="{00000000-0000-0000-0000-000000000000}"/>
  <bookViews>
    <workbookView xWindow="-108" yWindow="-108" windowWidth="23256" windowHeight="12456" activeTab="2" xr2:uid="{7610A0A1-229F-4737-9226-529F38B58B63}"/>
  </bookViews>
  <sheets>
    <sheet name="Flujo de caja económico" sheetId="1" r:id="rId1"/>
    <sheet name="Flujo de caja financiero" sheetId="2" r:id="rId2"/>
    <sheet name="Tabla de ajuste" sheetId="3" r:id="rId3"/>
    <sheet name="Activ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26" i="1"/>
  <c r="H25" i="1"/>
  <c r="G25" i="1"/>
  <c r="F25" i="1"/>
  <c r="N20" i="1"/>
  <c r="M20" i="1"/>
  <c r="L20" i="1"/>
  <c r="K20" i="1"/>
  <c r="J20" i="1"/>
  <c r="I20" i="1"/>
  <c r="H20" i="1"/>
  <c r="G20" i="1"/>
  <c r="F20" i="1"/>
  <c r="E20" i="1"/>
  <c r="H24" i="4"/>
  <c r="I24" i="4" s="1"/>
  <c r="J24" i="4" s="1"/>
  <c r="J23" i="4"/>
  <c r="I23" i="4"/>
  <c r="H23" i="4"/>
  <c r="G26" i="4"/>
  <c r="G24" i="4"/>
  <c r="G25" i="4"/>
  <c r="G23" i="4"/>
  <c r="J22" i="4"/>
  <c r="I22" i="4"/>
  <c r="H22" i="4"/>
  <c r="G22" i="4"/>
  <c r="H21" i="4"/>
  <c r="G21" i="4"/>
  <c r="I21" i="4" s="1"/>
  <c r="H20" i="4"/>
  <c r="G20" i="4"/>
  <c r="I20" i="4"/>
  <c r="J20" i="4" s="1"/>
  <c r="J19" i="4"/>
  <c r="D18" i="4"/>
  <c r="D7" i="4"/>
  <c r="J7" i="4"/>
  <c r="J6" i="4"/>
  <c r="J5" i="4"/>
  <c r="J4" i="4"/>
  <c r="J3" i="4"/>
  <c r="I6" i="4"/>
  <c r="I5" i="4"/>
  <c r="I4" i="4"/>
  <c r="I3" i="4"/>
  <c r="H7" i="4"/>
  <c r="H5" i="4"/>
  <c r="H6" i="4"/>
  <c r="H4" i="4"/>
  <c r="F5" i="4"/>
  <c r="F4" i="4"/>
  <c r="F3" i="4"/>
  <c r="D6" i="4"/>
  <c r="F6" i="4" s="1"/>
  <c r="P40" i="3"/>
  <c r="L24" i="3"/>
  <c r="K24" i="3"/>
  <c r="J24" i="3"/>
  <c r="I24" i="3"/>
  <c r="H24" i="3"/>
  <c r="G24" i="3"/>
  <c r="F24" i="3"/>
  <c r="E24" i="3"/>
  <c r="L23" i="3"/>
  <c r="L22" i="3" s="1"/>
  <c r="K23" i="3"/>
  <c r="K22" i="3" s="1"/>
  <c r="J23" i="3"/>
  <c r="J22" i="3" s="1"/>
  <c r="I23" i="3"/>
  <c r="I22" i="3" s="1"/>
  <c r="H23" i="3"/>
  <c r="H22" i="3" s="1"/>
  <c r="G23" i="3"/>
  <c r="G22" i="3" s="1"/>
  <c r="F23" i="3"/>
  <c r="F22" i="3" s="1"/>
  <c r="E23" i="3"/>
  <c r="E22" i="3" s="1"/>
  <c r="D21" i="3"/>
  <c r="D18" i="3"/>
  <c r="N16" i="3"/>
  <c r="N13" i="3"/>
  <c r="M13" i="3"/>
  <c r="L13" i="3"/>
  <c r="K13" i="3"/>
  <c r="J13" i="3"/>
  <c r="I13" i="3"/>
  <c r="H13" i="3"/>
  <c r="G13" i="3"/>
  <c r="F13" i="3"/>
  <c r="E13" i="3"/>
  <c r="N10" i="3"/>
  <c r="N11" i="3" s="1"/>
  <c r="N12" i="3" s="1"/>
  <c r="M10" i="3"/>
  <c r="M11" i="3" s="1"/>
  <c r="M12" i="3" s="1"/>
  <c r="L10" i="3"/>
  <c r="L11" i="3" s="1"/>
  <c r="L12" i="3" s="1"/>
  <c r="K10" i="3"/>
  <c r="K11" i="3" s="1"/>
  <c r="K12" i="3" s="1"/>
  <c r="J10" i="3"/>
  <c r="I10" i="3"/>
  <c r="H10" i="3"/>
  <c r="H11" i="3" s="1"/>
  <c r="G10" i="3"/>
  <c r="F10" i="3"/>
  <c r="F11" i="3" s="1"/>
  <c r="F12" i="3" s="1"/>
  <c r="E10" i="3"/>
  <c r="E11" i="3" s="1"/>
  <c r="L7" i="2"/>
  <c r="K7" i="2"/>
  <c r="J7" i="2"/>
  <c r="I7" i="2"/>
  <c r="H7" i="2"/>
  <c r="G7" i="2"/>
  <c r="F7" i="2"/>
  <c r="E7" i="2"/>
  <c r="L19" i="2"/>
  <c r="K19" i="2"/>
  <c r="J19" i="2"/>
  <c r="I19" i="2"/>
  <c r="H19" i="2"/>
  <c r="G19" i="2"/>
  <c r="F19" i="2"/>
  <c r="E19" i="2"/>
  <c r="D18" i="2"/>
  <c r="G34" i="2"/>
  <c r="E35" i="2" s="1"/>
  <c r="D28" i="2"/>
  <c r="D31" i="2" s="1"/>
  <c r="D36" i="2" s="1"/>
  <c r="D21" i="2"/>
  <c r="N17" i="2"/>
  <c r="N14" i="2"/>
  <c r="M14" i="2"/>
  <c r="L14" i="2"/>
  <c r="K14" i="2"/>
  <c r="J14" i="2"/>
  <c r="I14" i="2"/>
  <c r="H14" i="2"/>
  <c r="G14" i="2"/>
  <c r="F14" i="2"/>
  <c r="E14" i="2"/>
  <c r="N11" i="2"/>
  <c r="N12" i="2" s="1"/>
  <c r="M11" i="2"/>
  <c r="M12" i="2" s="1"/>
  <c r="M13" i="2" s="1"/>
  <c r="L11" i="2"/>
  <c r="L12" i="2" s="1"/>
  <c r="L13" i="2" s="1"/>
  <c r="K11" i="2"/>
  <c r="K12" i="2" s="1"/>
  <c r="K13" i="2" s="1"/>
  <c r="J11" i="2"/>
  <c r="I11" i="2"/>
  <c r="H11" i="2"/>
  <c r="G11" i="2"/>
  <c r="F11" i="2"/>
  <c r="E11" i="2"/>
  <c r="E12" i="2" s="1"/>
  <c r="D18" i="1"/>
  <c r="N16" i="1"/>
  <c r="N13" i="1"/>
  <c r="M13" i="1"/>
  <c r="L13" i="1"/>
  <c r="K13" i="1"/>
  <c r="J13" i="1"/>
  <c r="I13" i="1"/>
  <c r="H13" i="1"/>
  <c r="G13" i="1"/>
  <c r="F13" i="1"/>
  <c r="E13" i="1"/>
  <c r="N10" i="1"/>
  <c r="M10" i="1"/>
  <c r="M11" i="1" s="1"/>
  <c r="L10" i="1"/>
  <c r="L11" i="1" s="1"/>
  <c r="K10" i="1"/>
  <c r="J10" i="1"/>
  <c r="J11" i="1" s="1"/>
  <c r="I10" i="1"/>
  <c r="I11" i="1" s="1"/>
  <c r="I12" i="1" s="1"/>
  <c r="H10" i="1"/>
  <c r="H11" i="1" s="1"/>
  <c r="H12" i="1" s="1"/>
  <c r="G10" i="1"/>
  <c r="F10" i="1"/>
  <c r="F11" i="1" s="1"/>
  <c r="E10" i="1"/>
  <c r="E11" i="1" s="1"/>
  <c r="H25" i="4" l="1"/>
  <c r="I25" i="4" s="1"/>
  <c r="J25" i="4" s="1"/>
  <c r="J21" i="4"/>
  <c r="F7" i="4"/>
  <c r="D25" i="3"/>
  <c r="M18" i="3"/>
  <c r="F18" i="3"/>
  <c r="K18" i="3"/>
  <c r="L18" i="3"/>
  <c r="L35" i="3" s="1"/>
  <c r="L39" i="3" s="1"/>
  <c r="N18" i="3"/>
  <c r="E12" i="3"/>
  <c r="E18" i="3" s="1"/>
  <c r="E35" i="3" s="1"/>
  <c r="E39" i="3" s="1"/>
  <c r="N11" i="1"/>
  <c r="N12" i="1" s="1"/>
  <c r="N18" i="1" s="1"/>
  <c r="J12" i="1"/>
  <c r="J18" i="1" s="1"/>
  <c r="I18" i="1"/>
  <c r="F12" i="1"/>
  <c r="F18" i="1" s="1"/>
  <c r="H18" i="1"/>
  <c r="L12" i="1"/>
  <c r="L18" i="1" s="1"/>
  <c r="G11" i="1"/>
  <c r="G12" i="1" s="1"/>
  <c r="G18" i="1" s="1"/>
  <c r="E12" i="1"/>
  <c r="E18" i="1" s="1"/>
  <c r="M12" i="1"/>
  <c r="M18" i="1" s="1"/>
  <c r="K11" i="1"/>
  <c r="K12" i="1" s="1"/>
  <c r="K18" i="1" s="1"/>
  <c r="G11" i="3"/>
  <c r="G12" i="3" s="1"/>
  <c r="G18" i="3" s="1"/>
  <c r="I11" i="3"/>
  <c r="I12" i="3" s="1"/>
  <c r="I18" i="3" s="1"/>
  <c r="J11" i="3"/>
  <c r="J12" i="3" s="1"/>
  <c r="J18" i="3" s="1"/>
  <c r="H12" i="3"/>
  <c r="H18" i="3" s="1"/>
  <c r="M21" i="2"/>
  <c r="E13" i="2"/>
  <c r="E21" i="2" s="1"/>
  <c r="L21" i="2"/>
  <c r="F12" i="2"/>
  <c r="F13" i="2" s="1"/>
  <c r="F21" i="2" s="1"/>
  <c r="N13" i="2"/>
  <c r="N21" i="2" s="1"/>
  <c r="H12" i="2"/>
  <c r="H13" i="2" s="1"/>
  <c r="H21" i="2" s="1"/>
  <c r="K21" i="2"/>
  <c r="G12" i="2"/>
  <c r="G13" i="2" s="1"/>
  <c r="G21" i="2" s="1"/>
  <c r="D37" i="2"/>
  <c r="D38" i="2"/>
  <c r="D40" i="2"/>
  <c r="D41" i="2"/>
  <c r="D39" i="2"/>
  <c r="D35" i="2"/>
  <c r="F35" i="2" s="1"/>
  <c r="G35" i="2" s="1"/>
  <c r="E36" i="2" s="1"/>
  <c r="F36" i="2" s="1"/>
  <c r="G36" i="2" s="1"/>
  <c r="D42" i="2"/>
  <c r="I12" i="2"/>
  <c r="I13" i="2" s="1"/>
  <c r="I21" i="2" s="1"/>
  <c r="J12" i="2"/>
  <c r="J13" i="2" s="1"/>
  <c r="J21" i="2" s="1"/>
  <c r="H26" i="4" l="1"/>
  <c r="I26" i="4" s="1"/>
  <c r="J26" i="4" s="1"/>
  <c r="L25" i="3"/>
  <c r="L30" i="3" s="1"/>
  <c r="M25" i="3"/>
  <c r="M30" i="3" s="1"/>
  <c r="M35" i="3"/>
  <c r="M39" i="3" s="1"/>
  <c r="N25" i="3"/>
  <c r="N30" i="3" s="1"/>
  <c r="N35" i="3"/>
  <c r="N39" i="3" s="1"/>
  <c r="H25" i="3"/>
  <c r="H30" i="3" s="1"/>
  <c r="H35" i="3"/>
  <c r="H39" i="3" s="1"/>
  <c r="J25" i="3"/>
  <c r="J30" i="3" s="1"/>
  <c r="J35" i="3"/>
  <c r="J39" i="3" s="1"/>
  <c r="K25" i="3"/>
  <c r="K30" i="3" s="1"/>
  <c r="K35" i="3"/>
  <c r="K39" i="3" s="1"/>
  <c r="I25" i="3"/>
  <c r="I30" i="3" s="1"/>
  <c r="I35" i="3"/>
  <c r="I39" i="3" s="1"/>
  <c r="G25" i="3"/>
  <c r="G30" i="3" s="1"/>
  <c r="G35" i="3"/>
  <c r="G39" i="3" s="1"/>
  <c r="F25" i="3"/>
  <c r="F30" i="3" s="1"/>
  <c r="F35" i="3"/>
  <c r="D45" i="3"/>
  <c r="D44" i="3"/>
  <c r="D43" i="3"/>
  <c r="E25" i="3"/>
  <c r="E30" i="3" s="1"/>
  <c r="E37" i="2"/>
  <c r="F37" i="2" s="1"/>
  <c r="G37" i="2" s="1"/>
  <c r="F31" i="3" l="1"/>
  <c r="G31" i="3"/>
  <c r="H31" i="3" s="1"/>
  <c r="I31" i="3" s="1"/>
  <c r="J31" i="3" s="1"/>
  <c r="K31" i="3" s="1"/>
  <c r="L31" i="3" s="1"/>
  <c r="M31" i="3" s="1"/>
  <c r="N32" i="3" s="1"/>
  <c r="N33" i="3" s="1"/>
  <c r="E47" i="3" s="1"/>
  <c r="F36" i="3"/>
  <c r="F39" i="3"/>
  <c r="N40" i="3" s="1"/>
  <c r="F26" i="3"/>
  <c r="G26" i="3" s="1"/>
  <c r="H26" i="3" s="1"/>
  <c r="I26" i="3" s="1"/>
  <c r="J26" i="3" s="1"/>
  <c r="K26" i="3" s="1"/>
  <c r="L26" i="3" s="1"/>
  <c r="M27" i="3" s="1"/>
  <c r="M28" i="3" s="1"/>
  <c r="E46" i="3" s="1"/>
  <c r="G36" i="3"/>
  <c r="H36" i="3" s="1"/>
  <c r="I36" i="3" s="1"/>
  <c r="J36" i="3" s="1"/>
  <c r="K36" i="3" s="1"/>
  <c r="L37" i="3" s="1"/>
  <c r="L38" i="3" s="1"/>
  <c r="D46" i="3" s="1"/>
  <c r="E45" i="3"/>
  <c r="E43" i="3"/>
  <c r="E44" i="3"/>
  <c r="E38" i="2"/>
  <c r="F38" i="2" s="1"/>
  <c r="G38" i="2" s="1"/>
  <c r="E39" i="2" l="1"/>
  <c r="F39" i="2" s="1"/>
  <c r="G39" i="2" s="1"/>
  <c r="E40" i="2" l="1"/>
  <c r="F40" i="2" s="1"/>
  <c r="G40" i="2" s="1"/>
  <c r="E41" i="2" l="1"/>
  <c r="F41" i="2" s="1"/>
  <c r="G41" i="2" s="1"/>
  <c r="E42" i="2" s="1"/>
  <c r="F42" i="2" s="1"/>
  <c r="G42" i="2" s="1"/>
</calcChain>
</file>

<file path=xl/sharedStrings.xml><?xml version="1.0" encoding="utf-8"?>
<sst xmlns="http://schemas.openxmlformats.org/spreadsheetml/2006/main" count="114" uniqueCount="65">
  <si>
    <t>Ingresos</t>
  </si>
  <si>
    <t>Venta activo</t>
  </si>
  <si>
    <t>Costos variables</t>
  </si>
  <si>
    <t>Costos fijos</t>
  </si>
  <si>
    <t>Depreciación</t>
  </si>
  <si>
    <t>Amortización</t>
  </si>
  <si>
    <t>Valor libro</t>
  </si>
  <si>
    <t>Impuesto</t>
  </si>
  <si>
    <t>Utilidad antes de impuesto</t>
  </si>
  <si>
    <t>Utilidad despues de impuesto</t>
  </si>
  <si>
    <t>Ajustes gastos no desembolsables</t>
  </si>
  <si>
    <t>Inversión activos tangibles</t>
  </si>
  <si>
    <t>Inversión activos intangibles</t>
  </si>
  <si>
    <t>Capital de trabajo</t>
  </si>
  <si>
    <t>Valor de desecho</t>
  </si>
  <si>
    <t>Flujo de caja neto</t>
  </si>
  <si>
    <t>El 60% de la inversión se financia con préstamo a 8 años y tasa de 9% anual</t>
  </si>
  <si>
    <t>El capital de trabajo, las inversiones en reposición y el 40% restante se financia con aporte de los inversionistas</t>
  </si>
  <si>
    <t>Monto</t>
  </si>
  <si>
    <t>Tasa</t>
  </si>
  <si>
    <t>n</t>
  </si>
  <si>
    <t>Cuota</t>
  </si>
  <si>
    <t>Periodo</t>
  </si>
  <si>
    <t>Interés</t>
  </si>
  <si>
    <t>Saldo</t>
  </si>
  <si>
    <t>Intereses</t>
  </si>
  <si>
    <t>Préstamo</t>
  </si>
  <si>
    <t>Amortización préstamo</t>
  </si>
  <si>
    <t>Flujo de caja financiero</t>
  </si>
  <si>
    <t>Prestamo</t>
  </si>
  <si>
    <t>Beneficio tributario</t>
  </si>
  <si>
    <t>Tabla de ajuste</t>
  </si>
  <si>
    <t>VAN</t>
  </si>
  <si>
    <t>TIR</t>
  </si>
  <si>
    <t>IR</t>
  </si>
  <si>
    <t>Económico</t>
  </si>
  <si>
    <t>Financiero</t>
  </si>
  <si>
    <t>Payback descontado</t>
  </si>
  <si>
    <t>Payback lineal</t>
  </si>
  <si>
    <t>Flujo económico</t>
  </si>
  <si>
    <t>Flujo económico acum.</t>
  </si>
  <si>
    <t>Flujo de caja financiero acum.</t>
  </si>
  <si>
    <t>-</t>
  </si>
  <si>
    <t>Flujo de caja financiero desc.</t>
  </si>
  <si>
    <t>Flujo de caja financiero acum desc.</t>
  </si>
  <si>
    <t>Flujo económico descontado</t>
  </si>
  <si>
    <t>Flujo económico acum. descontado</t>
  </si>
  <si>
    <t>&lt;</t>
  </si>
  <si>
    <t>Terreno</t>
  </si>
  <si>
    <t>Inversión</t>
  </si>
  <si>
    <t>Valor venta</t>
  </si>
  <si>
    <t>Oficinas</t>
  </si>
  <si>
    <t>OOCC</t>
  </si>
  <si>
    <t>Equipos</t>
  </si>
  <si>
    <t>Ingreso venta activo</t>
  </si>
  <si>
    <t>Año 7</t>
  </si>
  <si>
    <t>Lineal - Total</t>
  </si>
  <si>
    <t>Vida útil</t>
  </si>
  <si>
    <t>Inversión - dep acum</t>
  </si>
  <si>
    <t>Valor libro año 7</t>
  </si>
  <si>
    <t>Dep acum. Año 7</t>
  </si>
  <si>
    <t>Interes</t>
  </si>
  <si>
    <t>VA Flujos</t>
  </si>
  <si>
    <t>7,1 años</t>
  </si>
  <si>
    <t>&gt;10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</si>
</sst>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164" formatCode="&quot;$&quot;#,##0"/>
    <numFmt numFmtId="165" formatCode="0.000"/>
    <numFmt numFmtId="167" formatCode="0.000%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9" fontId="0" fillId="0" borderId="0" xfId="0" applyNumberFormat="1"/>
    <xf numFmtId="6" fontId="0" fillId="0" borderId="0" xfId="0" applyNumberForma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0" borderId="0" xfId="0" quotePrefix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6" fontId="1" fillId="0" borderId="0" xfId="0" applyNumberFormat="1" applyFont="1"/>
    <xf numFmtId="164" fontId="1" fillId="4" borderId="0" xfId="0" applyNumberFormat="1" applyFon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 applyBorder="1"/>
    <xf numFmtId="167" fontId="0" fillId="0" borderId="0" xfId="0" applyNumberFormat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68580</xdr:rowOff>
    </xdr:from>
    <xdr:to>
      <xdr:col>9</xdr:col>
      <xdr:colOff>1151294</xdr:colOff>
      <xdr:row>16</xdr:row>
      <xdr:rowOff>30588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825E3E-6B70-6CE1-BE50-66184F4A0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" y="1714500"/>
          <a:ext cx="7780694" cy="1242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404-D076-4B5A-9261-CDDE06B9388D}">
  <dimension ref="B2:N27"/>
  <sheetViews>
    <sheetView topLeftCell="B7" zoomScale="110" zoomScaleNormal="110" workbookViewId="0">
      <selection activeCell="D23" sqref="D23"/>
    </sheetView>
  </sheetViews>
  <sheetFormatPr baseColWidth="10" defaultRowHeight="14.4" x14ac:dyDescent="0.3"/>
  <cols>
    <col min="3" max="3" width="28.6640625" bestFit="1" customWidth="1"/>
  </cols>
  <sheetData>
    <row r="2" spans="2:14" x14ac:dyDescent="0.3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 x14ac:dyDescent="0.3">
      <c r="C3" s="25" t="s">
        <v>0</v>
      </c>
      <c r="D3" s="26"/>
      <c r="E3" s="26">
        <v>100000</v>
      </c>
      <c r="F3" s="26">
        <v>120000</v>
      </c>
      <c r="G3" s="26">
        <v>126000</v>
      </c>
      <c r="H3" s="26">
        <v>141372</v>
      </c>
      <c r="I3" s="26">
        <v>144199</v>
      </c>
      <c r="J3" s="26">
        <v>147083</v>
      </c>
      <c r="K3" s="26">
        <v>150025</v>
      </c>
      <c r="L3" s="26">
        <v>153026</v>
      </c>
      <c r="M3" s="26">
        <v>156086</v>
      </c>
      <c r="N3" s="26">
        <v>159208</v>
      </c>
    </row>
    <row r="4" spans="2:14" x14ac:dyDescent="0.3">
      <c r="C4" s="25" t="s">
        <v>1</v>
      </c>
      <c r="D4" s="26"/>
      <c r="E4" s="26"/>
      <c r="F4" s="26"/>
      <c r="G4" s="26"/>
      <c r="H4" s="26"/>
      <c r="I4" s="26"/>
      <c r="J4" s="32">
        <v>50000</v>
      </c>
      <c r="K4" s="26"/>
      <c r="L4" s="26"/>
      <c r="M4" s="26"/>
      <c r="N4" s="26"/>
    </row>
    <row r="5" spans="2:14" x14ac:dyDescent="0.3">
      <c r="C5" s="25" t="s">
        <v>2</v>
      </c>
      <c r="D5" s="26"/>
      <c r="E5" s="26">
        <v>-30000</v>
      </c>
      <c r="F5" s="26">
        <v>-36000</v>
      </c>
      <c r="G5" s="26">
        <v>-37800</v>
      </c>
      <c r="H5" s="26">
        <v>-38556</v>
      </c>
      <c r="I5" s="26">
        <v>-39327</v>
      </c>
      <c r="J5" s="26">
        <v>-40114</v>
      </c>
      <c r="K5" s="26">
        <v>-40916</v>
      </c>
      <c r="L5" s="26">
        <v>-41734</v>
      </c>
      <c r="M5" s="26">
        <v>-42569</v>
      </c>
      <c r="N5" s="26">
        <v>-43420</v>
      </c>
    </row>
    <row r="6" spans="2:14" x14ac:dyDescent="0.3">
      <c r="C6" s="25" t="s">
        <v>3</v>
      </c>
      <c r="D6" s="26"/>
      <c r="E6" s="26">
        <v>-20000</v>
      </c>
      <c r="F6" s="26">
        <v>-20000</v>
      </c>
      <c r="G6" s="26">
        <v>-20000</v>
      </c>
      <c r="H6" s="26">
        <v>-20000</v>
      </c>
      <c r="I6" s="26">
        <v>-20000</v>
      </c>
      <c r="J6" s="26">
        <v>-20000</v>
      </c>
      <c r="K6" s="26">
        <v>-20000</v>
      </c>
      <c r="L6" s="26">
        <v>-20000</v>
      </c>
      <c r="M6" s="26">
        <v>-20000</v>
      </c>
      <c r="N6" s="26">
        <v>-20000</v>
      </c>
    </row>
    <row r="7" spans="2:14" x14ac:dyDescent="0.3">
      <c r="C7" s="25" t="s">
        <v>4</v>
      </c>
      <c r="D7" s="26"/>
      <c r="E7" s="26">
        <v>-10000</v>
      </c>
      <c r="F7" s="26">
        <v>-10000</v>
      </c>
      <c r="G7" s="26">
        <v>-10000</v>
      </c>
      <c r="H7" s="26">
        <v>-10000</v>
      </c>
      <c r="I7" s="26">
        <v>-10000</v>
      </c>
      <c r="J7" s="26">
        <v>-10000</v>
      </c>
      <c r="K7" s="26">
        <v>-10000</v>
      </c>
      <c r="L7" s="26">
        <v>-10000</v>
      </c>
      <c r="M7" s="26">
        <v>-10000</v>
      </c>
      <c r="N7" s="26">
        <v>-10000</v>
      </c>
    </row>
    <row r="8" spans="2:14" x14ac:dyDescent="0.3">
      <c r="C8" t="s">
        <v>5</v>
      </c>
      <c r="D8" s="2"/>
      <c r="E8" s="2">
        <v>-5000</v>
      </c>
      <c r="F8" s="2">
        <v>-5000</v>
      </c>
      <c r="G8" s="2">
        <v>-5000</v>
      </c>
      <c r="H8" s="2">
        <v>-5000</v>
      </c>
      <c r="I8" s="2">
        <v>-5000</v>
      </c>
      <c r="J8" s="2">
        <v>-5000</v>
      </c>
      <c r="K8" s="2">
        <v>-5000</v>
      </c>
      <c r="L8" s="2">
        <v>-5000</v>
      </c>
      <c r="M8" s="2">
        <v>-5000</v>
      </c>
      <c r="N8" s="2">
        <v>-5000</v>
      </c>
    </row>
    <row r="9" spans="2:14" x14ac:dyDescent="0.3">
      <c r="C9" s="25" t="s">
        <v>6</v>
      </c>
      <c r="D9" s="26"/>
      <c r="E9" s="26"/>
      <c r="F9" s="26"/>
      <c r="G9" s="26"/>
      <c r="H9" s="26"/>
      <c r="I9" s="26"/>
      <c r="J9" s="32">
        <v>-40000</v>
      </c>
      <c r="K9" s="26"/>
      <c r="L9" s="26"/>
      <c r="M9" s="26"/>
      <c r="N9" s="26"/>
    </row>
    <row r="10" spans="2:14" ht="15" thickBot="1" x14ac:dyDescent="0.35">
      <c r="C10" s="33" t="s">
        <v>8</v>
      </c>
      <c r="D10" s="34"/>
      <c r="E10" s="34">
        <f t="shared" ref="E10:N10" si="0">+SUM(E3:E9)</f>
        <v>35000</v>
      </c>
      <c r="F10" s="34">
        <f t="shared" si="0"/>
        <v>49000</v>
      </c>
      <c r="G10" s="34">
        <f t="shared" si="0"/>
        <v>53200</v>
      </c>
      <c r="H10" s="34">
        <f t="shared" si="0"/>
        <v>67816</v>
      </c>
      <c r="I10" s="34">
        <f t="shared" si="0"/>
        <v>69872</v>
      </c>
      <c r="J10" s="34">
        <f t="shared" si="0"/>
        <v>81969</v>
      </c>
      <c r="K10" s="34">
        <f t="shared" si="0"/>
        <v>74109</v>
      </c>
      <c r="L10" s="34">
        <f t="shared" si="0"/>
        <v>76292</v>
      </c>
      <c r="M10" s="34">
        <f t="shared" si="0"/>
        <v>78517</v>
      </c>
      <c r="N10" s="34">
        <f t="shared" si="0"/>
        <v>80788</v>
      </c>
    </row>
    <row r="11" spans="2:14" ht="15" thickTop="1" x14ac:dyDescent="0.3">
      <c r="B11" s="4">
        <v>0.17</v>
      </c>
      <c r="C11" s="25" t="s">
        <v>7</v>
      </c>
      <c r="D11" s="26"/>
      <c r="E11" s="26">
        <f>-$B$11*E10</f>
        <v>-5950</v>
      </c>
      <c r="F11" s="26">
        <f t="shared" ref="F11:N11" si="1">-$B$11*F10</f>
        <v>-8330</v>
      </c>
      <c r="G11" s="26">
        <f t="shared" si="1"/>
        <v>-9044</v>
      </c>
      <c r="H11" s="26">
        <f t="shared" si="1"/>
        <v>-11528.720000000001</v>
      </c>
      <c r="I11" s="26">
        <f t="shared" si="1"/>
        <v>-11878.240000000002</v>
      </c>
      <c r="J11" s="26">
        <f t="shared" si="1"/>
        <v>-13934.730000000001</v>
      </c>
      <c r="K11" s="26">
        <f t="shared" si="1"/>
        <v>-12598.53</v>
      </c>
      <c r="L11" s="26">
        <f t="shared" si="1"/>
        <v>-12969.640000000001</v>
      </c>
      <c r="M11" s="26">
        <f t="shared" si="1"/>
        <v>-13347.890000000001</v>
      </c>
      <c r="N11" s="26">
        <f t="shared" si="1"/>
        <v>-13733.960000000001</v>
      </c>
    </row>
    <row r="12" spans="2:14" ht="15" thickBot="1" x14ac:dyDescent="0.35">
      <c r="C12" s="33" t="s">
        <v>9</v>
      </c>
      <c r="D12" s="34"/>
      <c r="E12" s="34">
        <f>+SUM(E10:E11)</f>
        <v>29050</v>
      </c>
      <c r="F12" s="34">
        <f t="shared" ref="F12:N12" si="2">+SUM(F10:F11)</f>
        <v>40670</v>
      </c>
      <c r="G12" s="34">
        <f t="shared" si="2"/>
        <v>44156</v>
      </c>
      <c r="H12" s="34">
        <f t="shared" si="2"/>
        <v>56287.28</v>
      </c>
      <c r="I12" s="34">
        <f t="shared" si="2"/>
        <v>57993.759999999995</v>
      </c>
      <c r="J12" s="34">
        <f t="shared" si="2"/>
        <v>68034.27</v>
      </c>
      <c r="K12" s="34">
        <f t="shared" si="2"/>
        <v>61510.47</v>
      </c>
      <c r="L12" s="34">
        <f t="shared" si="2"/>
        <v>63322.36</v>
      </c>
      <c r="M12" s="34">
        <f t="shared" si="2"/>
        <v>65169.11</v>
      </c>
      <c r="N12" s="34">
        <f t="shared" si="2"/>
        <v>67054.039999999994</v>
      </c>
    </row>
    <row r="13" spans="2:14" ht="15" thickTop="1" x14ac:dyDescent="0.3">
      <c r="C13" s="25" t="s">
        <v>10</v>
      </c>
      <c r="D13" s="26"/>
      <c r="E13" s="26">
        <f>-SUM(E7:E9)</f>
        <v>15000</v>
      </c>
      <c r="F13" s="26">
        <f t="shared" ref="F13:N13" si="3">-SUM(F7:F9)</f>
        <v>15000</v>
      </c>
      <c r="G13" s="26">
        <f t="shared" si="3"/>
        <v>15000</v>
      </c>
      <c r="H13" s="26">
        <f t="shared" si="3"/>
        <v>15000</v>
      </c>
      <c r="I13" s="26">
        <f t="shared" si="3"/>
        <v>15000</v>
      </c>
      <c r="J13" s="26">
        <f t="shared" si="3"/>
        <v>55000</v>
      </c>
      <c r="K13" s="26">
        <f t="shared" si="3"/>
        <v>15000</v>
      </c>
      <c r="L13" s="26">
        <f t="shared" si="3"/>
        <v>15000</v>
      </c>
      <c r="M13" s="26">
        <f t="shared" si="3"/>
        <v>15000</v>
      </c>
      <c r="N13" s="26">
        <f t="shared" si="3"/>
        <v>15000</v>
      </c>
    </row>
    <row r="14" spans="2:14" x14ac:dyDescent="0.3">
      <c r="C14" s="25" t="s">
        <v>11</v>
      </c>
      <c r="D14" s="26">
        <v>-300000</v>
      </c>
      <c r="E14" s="2"/>
      <c r="F14" s="2"/>
      <c r="G14" s="2"/>
      <c r="H14" s="2"/>
      <c r="I14" s="2"/>
      <c r="J14" s="2">
        <v>-100000</v>
      </c>
      <c r="K14" s="2"/>
      <c r="L14" s="2"/>
      <c r="M14" s="2"/>
      <c r="N14" s="2"/>
    </row>
    <row r="15" spans="2:14" x14ac:dyDescent="0.3">
      <c r="C15" t="s">
        <v>12</v>
      </c>
      <c r="D15" s="2">
        <v>-80000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3">
      <c r="C16" s="25" t="s">
        <v>13</v>
      </c>
      <c r="D16" s="26">
        <v>-25000</v>
      </c>
      <c r="E16" s="2">
        <v>-3000</v>
      </c>
      <c r="F16" s="2">
        <v>-900</v>
      </c>
      <c r="G16" s="2">
        <v>-378</v>
      </c>
      <c r="H16" s="2">
        <v>-386</v>
      </c>
      <c r="I16" s="2">
        <v>-393</v>
      </c>
      <c r="J16" s="2">
        <v>-401</v>
      </c>
      <c r="K16" s="2">
        <v>-409</v>
      </c>
      <c r="L16" s="2">
        <v>-417</v>
      </c>
      <c r="M16" s="2">
        <v>-426</v>
      </c>
      <c r="N16" s="26">
        <f>-SUM(D16:M16)</f>
        <v>31710</v>
      </c>
    </row>
    <row r="17" spans="3:14" x14ac:dyDescent="0.3">
      <c r="C17" s="25" t="s">
        <v>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6">
        <v>290000</v>
      </c>
    </row>
    <row r="18" spans="3:14" ht="15" thickBot="1" x14ac:dyDescent="0.35">
      <c r="C18" s="33" t="s">
        <v>15</v>
      </c>
      <c r="D18" s="34">
        <f>+SUM(D12:D17)</f>
        <v>-405000</v>
      </c>
      <c r="E18" s="34">
        <f t="shared" ref="E18:N18" si="4">+SUM(E12:E17)</f>
        <v>41050</v>
      </c>
      <c r="F18" s="34">
        <f t="shared" si="4"/>
        <v>54770</v>
      </c>
      <c r="G18" s="34">
        <f t="shared" si="4"/>
        <v>58778</v>
      </c>
      <c r="H18" s="34">
        <f t="shared" si="4"/>
        <v>70901.279999999999</v>
      </c>
      <c r="I18" s="34">
        <f t="shared" si="4"/>
        <v>72600.759999999995</v>
      </c>
      <c r="J18" s="34">
        <f t="shared" si="4"/>
        <v>22633.270000000004</v>
      </c>
      <c r="K18" s="34">
        <f t="shared" si="4"/>
        <v>76101.47</v>
      </c>
      <c r="L18" s="34">
        <f t="shared" si="4"/>
        <v>77905.36</v>
      </c>
      <c r="M18" s="34">
        <f t="shared" si="4"/>
        <v>79743.11</v>
      </c>
      <c r="N18" s="34">
        <f t="shared" si="4"/>
        <v>403764.04</v>
      </c>
    </row>
    <row r="19" spans="3:14" ht="15" thickTop="1" x14ac:dyDescent="0.3"/>
    <row r="20" spans="3:14" x14ac:dyDescent="0.3">
      <c r="C20" s="35" t="s">
        <v>62</v>
      </c>
      <c r="E20" s="2">
        <f>+E18/(1+$C$21)^E2</f>
        <v>36008.771929824557</v>
      </c>
      <c r="F20" s="2">
        <f t="shared" ref="F20:N20" si="5">+F18/(1+$C$21)^F2</f>
        <v>42143.736534318239</v>
      </c>
      <c r="G20" s="2">
        <f t="shared" si="5"/>
        <v>39673.4757793221</v>
      </c>
      <c r="H20" s="2">
        <f t="shared" si="5"/>
        <v>41979.249528301465</v>
      </c>
      <c r="I20" s="2">
        <f t="shared" si="5"/>
        <v>37706.559752707501</v>
      </c>
      <c r="J20" s="2">
        <f t="shared" si="5"/>
        <v>10311.413342100945</v>
      </c>
      <c r="K20" s="2">
        <f t="shared" si="5"/>
        <v>30412.987711386995</v>
      </c>
      <c r="L20" s="2">
        <f t="shared" si="5"/>
        <v>27310.429369408241</v>
      </c>
      <c r="M20" s="2">
        <f t="shared" si="5"/>
        <v>24521.639712684406</v>
      </c>
      <c r="N20" s="2">
        <f t="shared" si="5"/>
        <v>108912.85029634087</v>
      </c>
    </row>
    <row r="21" spans="3:14" x14ac:dyDescent="0.3">
      <c r="C21" s="4">
        <v>0.14000000000000001</v>
      </c>
      <c r="D21" s="16"/>
    </row>
    <row r="22" spans="3:14" x14ac:dyDescent="0.3">
      <c r="C22" s="35" t="s">
        <v>32</v>
      </c>
      <c r="D22" s="17">
        <f>NPV(C21,E18:N18)+D18</f>
        <v>-6018.886043604638</v>
      </c>
    </row>
    <row r="23" spans="3:14" x14ac:dyDescent="0.3">
      <c r="C23" s="35" t="s">
        <v>33</v>
      </c>
      <c r="D23" s="16"/>
    </row>
    <row r="24" spans="3:14" x14ac:dyDescent="0.3">
      <c r="C24" s="35" t="s">
        <v>34</v>
      </c>
      <c r="D24" s="16"/>
    </row>
    <row r="25" spans="3:14" x14ac:dyDescent="0.3">
      <c r="C25" s="35" t="s">
        <v>38</v>
      </c>
      <c r="D25" s="16" t="s">
        <v>63</v>
      </c>
      <c r="F25" s="2">
        <f>+SUM(E18:K18)</f>
        <v>396834.78</v>
      </c>
      <c r="G25" s="2">
        <f>+F25+D18</f>
        <v>-8165.2199999999721</v>
      </c>
      <c r="H25" s="41">
        <f>-G25/L18</f>
        <v>0.1048094765238229</v>
      </c>
    </row>
    <row r="26" spans="3:14" x14ac:dyDescent="0.3">
      <c r="C26" s="35" t="s">
        <v>37</v>
      </c>
      <c r="D26" s="16" t="s">
        <v>64</v>
      </c>
      <c r="F26" s="2">
        <f>+SUM(E20:N20)</f>
        <v>398981.1139563953</v>
      </c>
    </row>
    <row r="27" spans="3:14" x14ac:dyDescent="0.3">
      <c r="D27" s="16"/>
    </row>
  </sheetData>
  <pageMargins left="0.7" right="0.7" top="0.75" bottom="0.75" header="0.3" footer="0.3"/>
  <ignoredErrors>
    <ignoredError sqref="E10:N10 E13:N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4E91-BA1E-4EA7-BFBC-32069F5DAFC0}">
  <dimension ref="B2:N42"/>
  <sheetViews>
    <sheetView topLeftCell="B1" zoomScale="110" zoomScaleNormal="110" workbookViewId="0">
      <selection activeCell="C21" sqref="C21:M21"/>
    </sheetView>
  </sheetViews>
  <sheetFormatPr baseColWidth="10" defaultRowHeight="14.4" x14ac:dyDescent="0.3"/>
  <cols>
    <col min="3" max="3" width="28.6640625" bestFit="1" customWidth="1"/>
    <col min="6" max="6" width="12.109375" bestFit="1" customWidth="1"/>
  </cols>
  <sheetData>
    <row r="2" spans="2:14" x14ac:dyDescent="0.3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 x14ac:dyDescent="0.3">
      <c r="C3" t="s">
        <v>0</v>
      </c>
      <c r="D3" s="2"/>
      <c r="E3" s="2">
        <v>100000</v>
      </c>
      <c r="F3" s="2">
        <v>120000</v>
      </c>
      <c r="G3" s="2">
        <v>126000</v>
      </c>
      <c r="H3" s="2">
        <v>141372</v>
      </c>
      <c r="I3" s="2">
        <v>144199</v>
      </c>
      <c r="J3" s="2">
        <v>147083</v>
      </c>
      <c r="K3" s="2">
        <v>150025</v>
      </c>
      <c r="L3" s="2">
        <v>153026</v>
      </c>
      <c r="M3" s="2">
        <v>156086</v>
      </c>
      <c r="N3" s="2">
        <v>159208</v>
      </c>
    </row>
    <row r="4" spans="2:14" x14ac:dyDescent="0.3">
      <c r="C4" t="s">
        <v>1</v>
      </c>
      <c r="D4" s="2"/>
      <c r="E4" s="2"/>
      <c r="F4" s="2"/>
      <c r="G4" s="2"/>
      <c r="H4" s="2"/>
      <c r="I4" s="2"/>
      <c r="J4" s="2">
        <v>50000</v>
      </c>
      <c r="K4" s="2"/>
      <c r="L4" s="2"/>
      <c r="M4" s="2"/>
      <c r="N4" s="2"/>
    </row>
    <row r="5" spans="2:14" x14ac:dyDescent="0.3">
      <c r="C5" t="s">
        <v>2</v>
      </c>
      <c r="D5" s="2"/>
      <c r="E5" s="2">
        <v>-30000</v>
      </c>
      <c r="F5" s="2">
        <v>-36000</v>
      </c>
      <c r="G5" s="2">
        <v>-37800</v>
      </c>
      <c r="H5" s="2">
        <v>-38556</v>
      </c>
      <c r="I5" s="2">
        <v>-39327</v>
      </c>
      <c r="J5" s="2">
        <v>-40114</v>
      </c>
      <c r="K5" s="2">
        <v>-40916</v>
      </c>
      <c r="L5" s="2">
        <v>-41734</v>
      </c>
      <c r="M5" s="2">
        <v>-42569</v>
      </c>
      <c r="N5" s="2">
        <v>-43420</v>
      </c>
    </row>
    <row r="6" spans="2:14" x14ac:dyDescent="0.3">
      <c r="C6" t="s">
        <v>3</v>
      </c>
      <c r="D6" s="2"/>
      <c r="E6" s="2">
        <v>-20000</v>
      </c>
      <c r="F6" s="2">
        <v>-20000</v>
      </c>
      <c r="G6" s="2">
        <v>-20000</v>
      </c>
      <c r="H6" s="2">
        <v>-20000</v>
      </c>
      <c r="I6" s="2">
        <v>-20000</v>
      </c>
      <c r="J6" s="2">
        <v>-20000</v>
      </c>
      <c r="K6" s="2">
        <v>-20000</v>
      </c>
      <c r="L6" s="2">
        <v>-20000</v>
      </c>
      <c r="M6" s="2">
        <v>-20000</v>
      </c>
      <c r="N6" s="2">
        <v>-20000</v>
      </c>
    </row>
    <row r="7" spans="2:14" x14ac:dyDescent="0.3">
      <c r="C7" s="8" t="s">
        <v>25</v>
      </c>
      <c r="D7" s="9"/>
      <c r="E7" s="9">
        <f>-E35</f>
        <v>-20520</v>
      </c>
      <c r="F7" s="9">
        <f>-E36</f>
        <v>-18659.361766774575</v>
      </c>
      <c r="G7" s="9">
        <f>-E37</f>
        <v>-16631.266092558861</v>
      </c>
      <c r="H7" s="9">
        <f>-E38</f>
        <v>-14420.641807663733</v>
      </c>
      <c r="I7" s="9">
        <f>-E39</f>
        <v>-12011.061337128045</v>
      </c>
      <c r="J7" s="9">
        <f>-E40</f>
        <v>-9384.6186242441454</v>
      </c>
      <c r="K7" s="9">
        <f>-E41</f>
        <v>-6521.796067200693</v>
      </c>
      <c r="L7" s="9">
        <f>-E42</f>
        <v>-3401.3194800233305</v>
      </c>
      <c r="M7" s="9"/>
      <c r="N7" s="9"/>
    </row>
    <row r="8" spans="2:14" x14ac:dyDescent="0.3">
      <c r="C8" t="s">
        <v>4</v>
      </c>
      <c r="D8" s="2"/>
      <c r="E8" s="2">
        <v>-10000</v>
      </c>
      <c r="F8" s="2">
        <v>-10000</v>
      </c>
      <c r="G8" s="2">
        <v>-10000</v>
      </c>
      <c r="H8" s="2">
        <v>-10000</v>
      </c>
      <c r="I8" s="2">
        <v>-10000</v>
      </c>
      <c r="J8" s="2">
        <v>-10000</v>
      </c>
      <c r="K8" s="2">
        <v>-10000</v>
      </c>
      <c r="L8" s="2">
        <v>-10000</v>
      </c>
      <c r="M8" s="2">
        <v>-10000</v>
      </c>
      <c r="N8" s="2">
        <v>-10000</v>
      </c>
    </row>
    <row r="9" spans="2:14" x14ac:dyDescent="0.3">
      <c r="C9" t="s">
        <v>5</v>
      </c>
      <c r="D9" s="2"/>
      <c r="E9" s="2">
        <v>-5000</v>
      </c>
      <c r="F9" s="2">
        <v>-5000</v>
      </c>
      <c r="G9" s="2">
        <v>-5000</v>
      </c>
      <c r="H9" s="2">
        <v>-5000</v>
      </c>
      <c r="I9" s="2">
        <v>-5000</v>
      </c>
      <c r="J9" s="2">
        <v>-5000</v>
      </c>
      <c r="K9" s="2">
        <v>-5000</v>
      </c>
      <c r="L9" s="2">
        <v>-5000</v>
      </c>
      <c r="M9" s="2">
        <v>-5000</v>
      </c>
      <c r="N9" s="2">
        <v>-5000</v>
      </c>
    </row>
    <row r="10" spans="2:14" x14ac:dyDescent="0.3">
      <c r="C10" t="s">
        <v>6</v>
      </c>
      <c r="D10" s="2"/>
      <c r="E10" s="2"/>
      <c r="F10" s="2"/>
      <c r="G10" s="2"/>
      <c r="H10" s="2"/>
      <c r="I10" s="2"/>
      <c r="J10" s="2">
        <v>-40000</v>
      </c>
      <c r="K10" s="2"/>
      <c r="L10" s="2"/>
      <c r="M10" s="2"/>
      <c r="N10" s="2"/>
    </row>
    <row r="11" spans="2:14" ht="15" thickBot="1" x14ac:dyDescent="0.35">
      <c r="C11" s="1" t="s">
        <v>8</v>
      </c>
      <c r="D11" s="3"/>
      <c r="E11" s="3">
        <f>+SUM(E3:E10)</f>
        <v>14480</v>
      </c>
      <c r="F11" s="3">
        <f t="shared" ref="F11:N11" si="0">+SUM(F3:F10)</f>
        <v>30340.638233225429</v>
      </c>
      <c r="G11" s="3">
        <f t="shared" si="0"/>
        <v>36568.733907441143</v>
      </c>
      <c r="H11" s="3">
        <f t="shared" si="0"/>
        <v>53395.358192336265</v>
      </c>
      <c r="I11" s="3">
        <f t="shared" si="0"/>
        <v>57860.938662871951</v>
      </c>
      <c r="J11" s="3">
        <f t="shared" si="0"/>
        <v>72584.381375755853</v>
      </c>
      <c r="K11" s="3">
        <f t="shared" si="0"/>
        <v>67587.203932799312</v>
      </c>
      <c r="L11" s="3">
        <f t="shared" si="0"/>
        <v>72890.680519976668</v>
      </c>
      <c r="M11" s="3">
        <f t="shared" si="0"/>
        <v>78517</v>
      </c>
      <c r="N11" s="3">
        <f t="shared" si="0"/>
        <v>80788</v>
      </c>
    </row>
    <row r="12" spans="2:14" ht="15" thickTop="1" x14ac:dyDescent="0.3">
      <c r="B12" s="4">
        <v>0.17</v>
      </c>
      <c r="C12" t="s">
        <v>7</v>
      </c>
      <c r="D12" s="2"/>
      <c r="E12" s="2">
        <f>-$B$12*E11</f>
        <v>-2461.6000000000004</v>
      </c>
      <c r="F12" s="2">
        <f t="shared" ref="F12:N12" si="1">-$B$12*F11</f>
        <v>-5157.9084996483234</v>
      </c>
      <c r="G12" s="2">
        <f t="shared" si="1"/>
        <v>-6216.6847642649946</v>
      </c>
      <c r="H12" s="2">
        <f t="shared" si="1"/>
        <v>-9077.210892697165</v>
      </c>
      <c r="I12" s="2">
        <f t="shared" si="1"/>
        <v>-9836.3595726882322</v>
      </c>
      <c r="J12" s="2">
        <f t="shared" si="1"/>
        <v>-12339.344833878497</v>
      </c>
      <c r="K12" s="2">
        <f t="shared" si="1"/>
        <v>-11489.824668575884</v>
      </c>
      <c r="L12" s="2">
        <f t="shared" si="1"/>
        <v>-12391.415688396035</v>
      </c>
      <c r="M12" s="2">
        <f t="shared" si="1"/>
        <v>-13347.890000000001</v>
      </c>
      <c r="N12" s="2">
        <f t="shared" si="1"/>
        <v>-13733.960000000001</v>
      </c>
    </row>
    <row r="13" spans="2:14" ht="15" thickBot="1" x14ac:dyDescent="0.35">
      <c r="C13" s="1" t="s">
        <v>9</v>
      </c>
      <c r="D13" s="3"/>
      <c r="E13" s="3">
        <f>+SUM(E11:E12)</f>
        <v>12018.4</v>
      </c>
      <c r="F13" s="3">
        <f t="shared" ref="F13:N13" si="2">+SUM(F11:F12)</f>
        <v>25182.729733577107</v>
      </c>
      <c r="G13" s="3">
        <f t="shared" si="2"/>
        <v>30352.049143176147</v>
      </c>
      <c r="H13" s="3">
        <f t="shared" si="2"/>
        <v>44318.147299639102</v>
      </c>
      <c r="I13" s="3">
        <f t="shared" si="2"/>
        <v>48024.579090183717</v>
      </c>
      <c r="J13" s="3">
        <f t="shared" si="2"/>
        <v>60245.036541877358</v>
      </c>
      <c r="K13" s="3">
        <f t="shared" si="2"/>
        <v>56097.379264223426</v>
      </c>
      <c r="L13" s="3">
        <f t="shared" si="2"/>
        <v>60499.264831580629</v>
      </c>
      <c r="M13" s="3">
        <f t="shared" si="2"/>
        <v>65169.11</v>
      </c>
      <c r="N13" s="3">
        <f t="shared" si="2"/>
        <v>67054.039999999994</v>
      </c>
    </row>
    <row r="14" spans="2:14" ht="15" thickTop="1" x14ac:dyDescent="0.3">
      <c r="C14" t="s">
        <v>10</v>
      </c>
      <c r="D14" s="2"/>
      <c r="E14" s="2">
        <f>-SUM(E8:E10)</f>
        <v>15000</v>
      </c>
      <c r="F14" s="2">
        <f t="shared" ref="F14:N14" si="3">-SUM(F8:F10)</f>
        <v>15000</v>
      </c>
      <c r="G14" s="2">
        <f t="shared" si="3"/>
        <v>15000</v>
      </c>
      <c r="H14" s="2">
        <f t="shared" si="3"/>
        <v>15000</v>
      </c>
      <c r="I14" s="2">
        <f t="shared" si="3"/>
        <v>15000</v>
      </c>
      <c r="J14" s="2">
        <f t="shared" si="3"/>
        <v>55000</v>
      </c>
      <c r="K14" s="2">
        <f t="shared" si="3"/>
        <v>15000</v>
      </c>
      <c r="L14" s="2">
        <f t="shared" si="3"/>
        <v>15000</v>
      </c>
      <c r="M14" s="2">
        <f t="shared" si="3"/>
        <v>15000</v>
      </c>
      <c r="N14" s="2">
        <f t="shared" si="3"/>
        <v>15000</v>
      </c>
    </row>
    <row r="15" spans="2:14" x14ac:dyDescent="0.3">
      <c r="C15" t="s">
        <v>11</v>
      </c>
      <c r="D15" s="2">
        <v>-300000</v>
      </c>
      <c r="E15" s="2"/>
      <c r="F15" s="2"/>
      <c r="G15" s="2"/>
      <c r="H15" s="2"/>
      <c r="I15" s="2"/>
      <c r="J15" s="2">
        <v>-100000</v>
      </c>
      <c r="K15" s="2"/>
      <c r="L15" s="2"/>
      <c r="M15" s="2"/>
      <c r="N15" s="2"/>
    </row>
    <row r="16" spans="2:14" x14ac:dyDescent="0.3">
      <c r="C16" t="s">
        <v>12</v>
      </c>
      <c r="D16" s="2">
        <v>-80000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3:14" x14ac:dyDescent="0.3">
      <c r="C17" t="s">
        <v>13</v>
      </c>
      <c r="D17" s="2">
        <v>-25000</v>
      </c>
      <c r="E17" s="2">
        <v>-3000</v>
      </c>
      <c r="F17" s="2">
        <v>-900</v>
      </c>
      <c r="G17" s="2">
        <v>-378</v>
      </c>
      <c r="H17" s="2">
        <v>-386</v>
      </c>
      <c r="I17" s="2">
        <v>-393</v>
      </c>
      <c r="J17" s="2">
        <v>-401</v>
      </c>
      <c r="K17" s="2">
        <v>-409</v>
      </c>
      <c r="L17" s="2">
        <v>-417</v>
      </c>
      <c r="M17" s="2">
        <v>-426</v>
      </c>
      <c r="N17" s="2">
        <f>-SUM(D17:M17)</f>
        <v>31710</v>
      </c>
    </row>
    <row r="18" spans="3:14" x14ac:dyDescent="0.3">
      <c r="C18" s="8" t="s">
        <v>26</v>
      </c>
      <c r="D18" s="9">
        <f>+D28</f>
        <v>228000</v>
      </c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3:14" x14ac:dyDescent="0.3">
      <c r="C19" s="8" t="s">
        <v>27</v>
      </c>
      <c r="D19" s="9"/>
      <c r="E19" s="9">
        <f>-F35</f>
        <v>-20673.758146949163</v>
      </c>
      <c r="F19" s="9">
        <f>-F36</f>
        <v>-22534.396380174589</v>
      </c>
      <c r="G19" s="9">
        <f>-F37</f>
        <v>-24562.492054390303</v>
      </c>
      <c r="H19" s="9">
        <f>-F38</f>
        <v>-26773.116339285429</v>
      </c>
      <c r="I19" s="9">
        <f>-F39</f>
        <v>-29182.696809821118</v>
      </c>
      <c r="J19" s="9">
        <f>-F40</f>
        <v>-31809.139522705016</v>
      </c>
      <c r="K19" s="9">
        <f>-F41</f>
        <v>-34671.962079748468</v>
      </c>
      <c r="L19" s="9">
        <f>-F42</f>
        <v>-37792.438666925831</v>
      </c>
      <c r="M19" s="9"/>
      <c r="N19" s="9"/>
    </row>
    <row r="20" spans="3:14" x14ac:dyDescent="0.3">
      <c r="C20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290000</v>
      </c>
    </row>
    <row r="21" spans="3:14" ht="15" thickBot="1" x14ac:dyDescent="0.35">
      <c r="C21" s="1" t="s">
        <v>15</v>
      </c>
      <c r="D21" s="3">
        <f>+SUM(D13:D20)</f>
        <v>-177000</v>
      </c>
      <c r="E21" s="3">
        <f t="shared" ref="E21:N21" si="4">+SUM(E13:E20)</f>
        <v>3344.6418530508381</v>
      </c>
      <c r="F21" s="3">
        <f t="shared" si="4"/>
        <v>16748.333353402519</v>
      </c>
      <c r="G21" s="3">
        <f t="shared" si="4"/>
        <v>20411.557088785845</v>
      </c>
      <c r="H21" s="3">
        <f t="shared" si="4"/>
        <v>32159.030960353673</v>
      </c>
      <c r="I21" s="3">
        <f t="shared" si="4"/>
        <v>33448.882280362595</v>
      </c>
      <c r="J21" s="3">
        <f t="shared" si="4"/>
        <v>-16965.102980827658</v>
      </c>
      <c r="K21" s="3">
        <f t="shared" si="4"/>
        <v>36016.417184474951</v>
      </c>
      <c r="L21" s="3">
        <f t="shared" si="4"/>
        <v>37289.826164654798</v>
      </c>
      <c r="M21" s="3">
        <f t="shared" si="4"/>
        <v>79743.11</v>
      </c>
      <c r="N21" s="3">
        <f t="shared" si="4"/>
        <v>403764.04</v>
      </c>
    </row>
    <row r="22" spans="3:14" ht="15" thickTop="1" x14ac:dyDescent="0.3"/>
    <row r="24" spans="3:14" x14ac:dyDescent="0.3">
      <c r="C24" t="s">
        <v>16</v>
      </c>
    </row>
    <row r="25" spans="3:14" x14ac:dyDescent="0.3">
      <c r="C25" t="s">
        <v>17</v>
      </c>
    </row>
    <row r="28" spans="3:14" x14ac:dyDescent="0.3">
      <c r="C28" t="s">
        <v>18</v>
      </c>
      <c r="D28" s="2">
        <f>380000*0.6</f>
        <v>228000</v>
      </c>
    </row>
    <row r="29" spans="3:14" x14ac:dyDescent="0.3">
      <c r="C29" t="s">
        <v>19</v>
      </c>
      <c r="D29" s="4">
        <v>0.09</v>
      </c>
    </row>
    <row r="30" spans="3:14" x14ac:dyDescent="0.3">
      <c r="C30" t="s">
        <v>20</v>
      </c>
      <c r="D30">
        <v>8</v>
      </c>
    </row>
    <row r="31" spans="3:14" x14ac:dyDescent="0.3">
      <c r="C31" t="s">
        <v>21</v>
      </c>
      <c r="D31" s="5">
        <f>+PMT(D29,D30,-D28)</f>
        <v>41193.758146949163</v>
      </c>
    </row>
    <row r="33" spans="3:7" x14ac:dyDescent="0.3">
      <c r="C33" s="6" t="s">
        <v>22</v>
      </c>
      <c r="D33" s="6" t="s">
        <v>21</v>
      </c>
      <c r="E33" s="6" t="s">
        <v>23</v>
      </c>
      <c r="F33" s="6" t="s">
        <v>5</v>
      </c>
      <c r="G33" s="6" t="s">
        <v>24</v>
      </c>
    </row>
    <row r="34" spans="3:7" x14ac:dyDescent="0.3">
      <c r="C34" s="6">
        <v>0</v>
      </c>
      <c r="D34" s="7"/>
      <c r="E34" s="7"/>
      <c r="F34" s="7"/>
      <c r="G34" s="7">
        <f>+D28</f>
        <v>228000</v>
      </c>
    </row>
    <row r="35" spans="3:7" x14ac:dyDescent="0.3">
      <c r="C35" s="6">
        <v>1</v>
      </c>
      <c r="D35" s="7">
        <f t="shared" ref="D35:D42" si="5">+$D$31</f>
        <v>41193.758146949163</v>
      </c>
      <c r="E35" s="7">
        <f t="shared" ref="E35:E42" si="6">+G34*$D$29</f>
        <v>20520</v>
      </c>
      <c r="F35" s="7">
        <f>+D35-E35</f>
        <v>20673.758146949163</v>
      </c>
      <c r="G35" s="7">
        <f>+G34-F35</f>
        <v>207326.24185305083</v>
      </c>
    </row>
    <row r="36" spans="3:7" x14ac:dyDescent="0.3">
      <c r="C36" s="6">
        <v>2</v>
      </c>
      <c r="D36" s="7">
        <f t="shared" si="5"/>
        <v>41193.758146949163</v>
      </c>
      <c r="E36" s="7">
        <f t="shared" si="6"/>
        <v>18659.361766774575</v>
      </c>
      <c r="F36" s="7">
        <f t="shared" ref="F36:F41" si="7">+D36-E36</f>
        <v>22534.396380174589</v>
      </c>
      <c r="G36" s="7">
        <f t="shared" ref="G36:G41" si="8">+G35-F36</f>
        <v>184791.84547287624</v>
      </c>
    </row>
    <row r="37" spans="3:7" x14ac:dyDescent="0.3">
      <c r="C37" s="6">
        <v>3</v>
      </c>
      <c r="D37" s="7">
        <f t="shared" si="5"/>
        <v>41193.758146949163</v>
      </c>
      <c r="E37" s="7">
        <f t="shared" si="6"/>
        <v>16631.266092558861</v>
      </c>
      <c r="F37" s="7">
        <f t="shared" si="7"/>
        <v>24562.492054390303</v>
      </c>
      <c r="G37" s="7">
        <f t="shared" si="8"/>
        <v>160229.35341848593</v>
      </c>
    </row>
    <row r="38" spans="3:7" x14ac:dyDescent="0.3">
      <c r="C38" s="6">
        <v>4</v>
      </c>
      <c r="D38" s="7">
        <f t="shared" si="5"/>
        <v>41193.758146949163</v>
      </c>
      <c r="E38" s="7">
        <f t="shared" si="6"/>
        <v>14420.641807663733</v>
      </c>
      <c r="F38" s="7">
        <f t="shared" si="7"/>
        <v>26773.116339285429</v>
      </c>
      <c r="G38" s="7">
        <f t="shared" si="8"/>
        <v>133456.23707920051</v>
      </c>
    </row>
    <row r="39" spans="3:7" x14ac:dyDescent="0.3">
      <c r="C39" s="6">
        <v>5</v>
      </c>
      <c r="D39" s="7">
        <f t="shared" si="5"/>
        <v>41193.758146949163</v>
      </c>
      <c r="E39" s="7">
        <f t="shared" si="6"/>
        <v>12011.061337128045</v>
      </c>
      <c r="F39" s="7">
        <f t="shared" si="7"/>
        <v>29182.696809821118</v>
      </c>
      <c r="G39" s="7">
        <f t="shared" si="8"/>
        <v>104273.54026937939</v>
      </c>
    </row>
    <row r="40" spans="3:7" x14ac:dyDescent="0.3">
      <c r="C40" s="6">
        <v>6</v>
      </c>
      <c r="D40" s="7">
        <f t="shared" si="5"/>
        <v>41193.758146949163</v>
      </c>
      <c r="E40" s="7">
        <f t="shared" si="6"/>
        <v>9384.6186242441454</v>
      </c>
      <c r="F40" s="7">
        <f t="shared" si="7"/>
        <v>31809.139522705016</v>
      </c>
      <c r="G40" s="7">
        <f t="shared" si="8"/>
        <v>72464.400746674364</v>
      </c>
    </row>
    <row r="41" spans="3:7" x14ac:dyDescent="0.3">
      <c r="C41" s="6">
        <v>7</v>
      </c>
      <c r="D41" s="7">
        <f t="shared" si="5"/>
        <v>41193.758146949163</v>
      </c>
      <c r="E41" s="7">
        <f t="shared" si="6"/>
        <v>6521.796067200693</v>
      </c>
      <c r="F41" s="7">
        <f t="shared" si="7"/>
        <v>34671.962079748468</v>
      </c>
      <c r="G41" s="7">
        <f t="shared" si="8"/>
        <v>37792.438666925897</v>
      </c>
    </row>
    <row r="42" spans="3:7" x14ac:dyDescent="0.3">
      <c r="C42" s="6">
        <v>8</v>
      </c>
      <c r="D42" s="7">
        <f t="shared" si="5"/>
        <v>41193.758146949163</v>
      </c>
      <c r="E42" s="7">
        <f t="shared" si="6"/>
        <v>3401.3194800233305</v>
      </c>
      <c r="F42" s="7">
        <f t="shared" ref="F42" si="9">+D42-E42</f>
        <v>37792.438666925831</v>
      </c>
      <c r="G42" s="7">
        <f t="shared" ref="G42" si="10">+G41-F42</f>
        <v>6.5483618527650833E-11</v>
      </c>
    </row>
  </sheetData>
  <pageMargins left="0.7" right="0.7" top="0.75" bottom="0.75" header="0.3" footer="0.3"/>
  <pageSetup paperSize="9" orientation="portrait" r:id="rId1"/>
  <ignoredErrors>
    <ignoredError sqref="E11:N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27EC-DE88-4162-A209-985D5350A763}">
  <dimension ref="B2:P47"/>
  <sheetViews>
    <sheetView tabSelected="1" zoomScaleNormal="100" workbookViewId="0">
      <pane ySplit="2" topLeftCell="A3" activePane="bottomLeft" state="frozen"/>
      <selection pane="bottomLeft" activeCell="I43" sqref="I43"/>
    </sheetView>
  </sheetViews>
  <sheetFormatPr baseColWidth="10" defaultRowHeight="14.4" x14ac:dyDescent="0.3"/>
  <cols>
    <col min="3" max="3" width="30.44140625" bestFit="1" customWidth="1"/>
  </cols>
  <sheetData>
    <row r="2" spans="2:14" x14ac:dyDescent="0.3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4" x14ac:dyDescent="0.3">
      <c r="C3" t="s">
        <v>0</v>
      </c>
      <c r="D3" s="2"/>
      <c r="E3" s="2">
        <v>100000</v>
      </c>
      <c r="F3" s="2">
        <v>120000</v>
      </c>
      <c r="G3" s="2">
        <v>126000</v>
      </c>
      <c r="H3" s="2">
        <v>141372</v>
      </c>
      <c r="I3" s="2">
        <v>144199</v>
      </c>
      <c r="J3" s="2">
        <v>147083</v>
      </c>
      <c r="K3" s="2">
        <v>150025</v>
      </c>
      <c r="L3" s="2">
        <v>153026</v>
      </c>
      <c r="M3" s="2">
        <v>156086</v>
      </c>
      <c r="N3" s="2">
        <v>159208</v>
      </c>
    </row>
    <row r="4" spans="2:14" x14ac:dyDescent="0.3">
      <c r="C4" t="s">
        <v>1</v>
      </c>
      <c r="D4" s="2"/>
      <c r="E4" s="2"/>
      <c r="F4" s="2"/>
      <c r="G4" s="2"/>
      <c r="H4" s="2"/>
      <c r="I4" s="2"/>
      <c r="J4" s="2">
        <v>50000</v>
      </c>
      <c r="K4" s="2"/>
      <c r="L4" s="2"/>
      <c r="M4" s="2"/>
      <c r="N4" s="2"/>
    </row>
    <row r="5" spans="2:14" x14ac:dyDescent="0.3">
      <c r="C5" t="s">
        <v>2</v>
      </c>
      <c r="D5" s="2"/>
      <c r="E5" s="2">
        <v>-30000</v>
      </c>
      <c r="F5" s="2">
        <v>-36000</v>
      </c>
      <c r="G5" s="2">
        <v>-37800</v>
      </c>
      <c r="H5" s="2">
        <v>-38556</v>
      </c>
      <c r="I5" s="2">
        <v>-39327</v>
      </c>
      <c r="J5" s="2">
        <v>-40114</v>
      </c>
      <c r="K5" s="2">
        <v>-40916</v>
      </c>
      <c r="L5" s="2">
        <v>-41734</v>
      </c>
      <c r="M5" s="2">
        <v>-42569</v>
      </c>
      <c r="N5" s="2">
        <v>-43420</v>
      </c>
    </row>
    <row r="6" spans="2:14" x14ac:dyDescent="0.3">
      <c r="C6" t="s">
        <v>3</v>
      </c>
      <c r="D6" s="2"/>
      <c r="E6" s="2">
        <v>-20000</v>
      </c>
      <c r="F6" s="2">
        <v>-20000</v>
      </c>
      <c r="G6" s="2">
        <v>-20000</v>
      </c>
      <c r="H6" s="2">
        <v>-20000</v>
      </c>
      <c r="I6" s="2">
        <v>-20000</v>
      </c>
      <c r="J6" s="2">
        <v>-20000</v>
      </c>
      <c r="K6" s="2">
        <v>-20000</v>
      </c>
      <c r="L6" s="2">
        <v>-20000</v>
      </c>
      <c r="M6" s="2">
        <v>-20000</v>
      </c>
      <c r="N6" s="2">
        <v>-20000</v>
      </c>
    </row>
    <row r="7" spans="2:14" x14ac:dyDescent="0.3">
      <c r="C7" t="s">
        <v>4</v>
      </c>
      <c r="D7" s="2"/>
      <c r="E7" s="2">
        <v>-10000</v>
      </c>
      <c r="F7" s="2">
        <v>-10000</v>
      </c>
      <c r="G7" s="2">
        <v>-10000</v>
      </c>
      <c r="H7" s="2">
        <v>-10000</v>
      </c>
      <c r="I7" s="2">
        <v>-10000</v>
      </c>
      <c r="J7" s="2">
        <v>-10000</v>
      </c>
      <c r="K7" s="2">
        <v>-10000</v>
      </c>
      <c r="L7" s="2">
        <v>-10000</v>
      </c>
      <c r="M7" s="2">
        <v>-10000</v>
      </c>
      <c r="N7" s="2">
        <v>-10000</v>
      </c>
    </row>
    <row r="8" spans="2:14" x14ac:dyDescent="0.3">
      <c r="C8" t="s">
        <v>5</v>
      </c>
      <c r="D8" s="2"/>
      <c r="E8" s="2">
        <v>-5000</v>
      </c>
      <c r="F8" s="2">
        <v>-5000</v>
      </c>
      <c r="G8" s="2">
        <v>-5000</v>
      </c>
      <c r="H8" s="2">
        <v>-5000</v>
      </c>
      <c r="I8" s="2">
        <v>-5000</v>
      </c>
      <c r="J8" s="2">
        <v>-5000</v>
      </c>
      <c r="K8" s="2">
        <v>-5000</v>
      </c>
      <c r="L8" s="2">
        <v>-5000</v>
      </c>
      <c r="M8" s="2">
        <v>-5000</v>
      </c>
      <c r="N8" s="2">
        <v>-5000</v>
      </c>
    </row>
    <row r="9" spans="2:14" x14ac:dyDescent="0.3">
      <c r="C9" t="s">
        <v>6</v>
      </c>
      <c r="D9" s="2"/>
      <c r="E9" s="2"/>
      <c r="F9" s="2"/>
      <c r="G9" s="2"/>
      <c r="H9" s="2"/>
      <c r="I9" s="2"/>
      <c r="J9" s="2">
        <v>-40000</v>
      </c>
      <c r="K9" s="2"/>
      <c r="L9" s="2"/>
      <c r="M9" s="2"/>
      <c r="N9" s="2"/>
    </row>
    <row r="10" spans="2:14" ht="15" thickBot="1" x14ac:dyDescent="0.35">
      <c r="C10" s="1" t="s">
        <v>8</v>
      </c>
      <c r="D10" s="3"/>
      <c r="E10" s="3">
        <f>+SUM(E3:E9)</f>
        <v>35000</v>
      </c>
      <c r="F10" s="3">
        <f t="shared" ref="F10:N10" si="0">+SUM(F3:F9)</f>
        <v>49000</v>
      </c>
      <c r="G10" s="3">
        <f t="shared" si="0"/>
        <v>53200</v>
      </c>
      <c r="H10" s="3">
        <f t="shared" si="0"/>
        <v>67816</v>
      </c>
      <c r="I10" s="3">
        <f t="shared" si="0"/>
        <v>69872</v>
      </c>
      <c r="J10" s="3">
        <f t="shared" si="0"/>
        <v>81969</v>
      </c>
      <c r="K10" s="3">
        <f t="shared" si="0"/>
        <v>74109</v>
      </c>
      <c r="L10" s="3">
        <f t="shared" si="0"/>
        <v>76292</v>
      </c>
      <c r="M10" s="3">
        <f t="shared" si="0"/>
        <v>78517</v>
      </c>
      <c r="N10" s="3">
        <f t="shared" si="0"/>
        <v>80788</v>
      </c>
    </row>
    <row r="11" spans="2:14" ht="15" thickTop="1" x14ac:dyDescent="0.3">
      <c r="B11" s="4">
        <v>0.17</v>
      </c>
      <c r="C11" t="s">
        <v>7</v>
      </c>
      <c r="D11" s="2"/>
      <c r="E11" s="2">
        <f>-$B$11*E10</f>
        <v>-5950</v>
      </c>
      <c r="F11" s="2">
        <f t="shared" ref="F11:N11" si="1">-$B$11*F10</f>
        <v>-8330</v>
      </c>
      <c r="G11" s="2">
        <f t="shared" si="1"/>
        <v>-9044</v>
      </c>
      <c r="H11" s="2">
        <f t="shared" si="1"/>
        <v>-11528.720000000001</v>
      </c>
      <c r="I11" s="2">
        <f t="shared" si="1"/>
        <v>-11878.240000000002</v>
      </c>
      <c r="J11" s="2">
        <f t="shared" si="1"/>
        <v>-13934.730000000001</v>
      </c>
      <c r="K11" s="2">
        <f t="shared" si="1"/>
        <v>-12598.53</v>
      </c>
      <c r="L11" s="2">
        <f t="shared" si="1"/>
        <v>-12969.640000000001</v>
      </c>
      <c r="M11" s="2">
        <f t="shared" si="1"/>
        <v>-13347.890000000001</v>
      </c>
      <c r="N11" s="2">
        <f t="shared" si="1"/>
        <v>-13733.960000000001</v>
      </c>
    </row>
    <row r="12" spans="2:14" ht="15" thickBot="1" x14ac:dyDescent="0.35">
      <c r="C12" s="1" t="s">
        <v>9</v>
      </c>
      <c r="D12" s="3"/>
      <c r="E12" s="3">
        <f>+SUM(E10:E11)</f>
        <v>29050</v>
      </c>
      <c r="F12" s="3">
        <f t="shared" ref="F12:N12" si="2">+SUM(F10:F11)</f>
        <v>40670</v>
      </c>
      <c r="G12" s="3">
        <f t="shared" si="2"/>
        <v>44156</v>
      </c>
      <c r="H12" s="3">
        <f t="shared" si="2"/>
        <v>56287.28</v>
      </c>
      <c r="I12" s="3">
        <f t="shared" si="2"/>
        <v>57993.759999999995</v>
      </c>
      <c r="J12" s="3">
        <f t="shared" si="2"/>
        <v>68034.27</v>
      </c>
      <c r="K12" s="3">
        <f t="shared" si="2"/>
        <v>61510.47</v>
      </c>
      <c r="L12" s="3">
        <f t="shared" si="2"/>
        <v>63322.36</v>
      </c>
      <c r="M12" s="3">
        <f t="shared" si="2"/>
        <v>65169.11</v>
      </c>
      <c r="N12" s="3">
        <f t="shared" si="2"/>
        <v>67054.039999999994</v>
      </c>
    </row>
    <row r="13" spans="2:14" ht="15" thickTop="1" x14ac:dyDescent="0.3">
      <c r="C13" t="s">
        <v>10</v>
      </c>
      <c r="D13" s="2"/>
      <c r="E13" s="2">
        <f>-SUM(E7:E9)</f>
        <v>15000</v>
      </c>
      <c r="F13" s="2">
        <f t="shared" ref="F13:N13" si="3">-SUM(F7:F9)</f>
        <v>15000</v>
      </c>
      <c r="G13" s="2">
        <f t="shared" si="3"/>
        <v>15000</v>
      </c>
      <c r="H13" s="2">
        <f t="shared" si="3"/>
        <v>15000</v>
      </c>
      <c r="I13" s="2">
        <f t="shared" si="3"/>
        <v>15000</v>
      </c>
      <c r="J13" s="2">
        <f t="shared" si="3"/>
        <v>55000</v>
      </c>
      <c r="K13" s="2">
        <f t="shared" si="3"/>
        <v>15000</v>
      </c>
      <c r="L13" s="2">
        <f t="shared" si="3"/>
        <v>15000</v>
      </c>
      <c r="M13" s="2">
        <f t="shared" si="3"/>
        <v>15000</v>
      </c>
      <c r="N13" s="2">
        <f t="shared" si="3"/>
        <v>15000</v>
      </c>
    </row>
    <row r="14" spans="2:14" x14ac:dyDescent="0.3">
      <c r="C14" t="s">
        <v>11</v>
      </c>
      <c r="D14" s="2">
        <v>-300000</v>
      </c>
      <c r="E14" s="2"/>
      <c r="F14" s="2"/>
      <c r="G14" s="2"/>
      <c r="H14" s="2"/>
      <c r="I14" s="2"/>
      <c r="J14" s="2">
        <v>-100000</v>
      </c>
      <c r="K14" s="2"/>
      <c r="L14" s="2"/>
      <c r="M14" s="2"/>
      <c r="N14" s="2"/>
    </row>
    <row r="15" spans="2:14" x14ac:dyDescent="0.3">
      <c r="C15" t="s">
        <v>12</v>
      </c>
      <c r="D15" s="2">
        <v>-80000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3">
      <c r="C16" t="s">
        <v>13</v>
      </c>
      <c r="D16" s="2">
        <v>-25000</v>
      </c>
      <c r="E16" s="2">
        <v>-3000</v>
      </c>
      <c r="F16" s="2">
        <v>-900</v>
      </c>
      <c r="G16" s="2">
        <v>-378</v>
      </c>
      <c r="H16" s="2">
        <v>-386</v>
      </c>
      <c r="I16" s="2">
        <v>-393</v>
      </c>
      <c r="J16" s="2">
        <v>-401</v>
      </c>
      <c r="K16" s="2">
        <v>-409</v>
      </c>
      <c r="L16" s="2">
        <v>-417</v>
      </c>
      <c r="M16" s="2">
        <v>-426</v>
      </c>
      <c r="N16" s="2">
        <f>-SUM(D16:M16)</f>
        <v>31710</v>
      </c>
    </row>
    <row r="17" spans="3:14" x14ac:dyDescent="0.3">
      <c r="C17" t="s">
        <v>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290000</v>
      </c>
    </row>
    <row r="18" spans="3:14" ht="15" thickBot="1" x14ac:dyDescent="0.35">
      <c r="C18" s="10" t="s">
        <v>15</v>
      </c>
      <c r="D18" s="11">
        <f>+SUM(D12:D17)</f>
        <v>-405000</v>
      </c>
      <c r="E18" s="11">
        <f t="shared" ref="E18:N18" si="4">+SUM(E12:E17)</f>
        <v>41050</v>
      </c>
      <c r="F18" s="11">
        <f t="shared" si="4"/>
        <v>54770</v>
      </c>
      <c r="G18" s="11">
        <f t="shared" si="4"/>
        <v>58778</v>
      </c>
      <c r="H18" s="11">
        <f t="shared" si="4"/>
        <v>70901.279999999999</v>
      </c>
      <c r="I18" s="11">
        <f t="shared" si="4"/>
        <v>72600.759999999995</v>
      </c>
      <c r="J18" s="11">
        <f t="shared" si="4"/>
        <v>22633.270000000004</v>
      </c>
      <c r="K18" s="11">
        <f t="shared" si="4"/>
        <v>76101.47</v>
      </c>
      <c r="L18" s="11">
        <f t="shared" si="4"/>
        <v>77905.36</v>
      </c>
      <c r="M18" s="11">
        <f t="shared" si="4"/>
        <v>79743.11</v>
      </c>
      <c r="N18" s="11">
        <f t="shared" si="4"/>
        <v>403764.04</v>
      </c>
    </row>
    <row r="19" spans="3:14" ht="15" thickTop="1" x14ac:dyDescent="0.3"/>
    <row r="20" spans="3:14" x14ac:dyDescent="0.3">
      <c r="C20" s="8" t="s">
        <v>31</v>
      </c>
    </row>
    <row r="21" spans="3:14" x14ac:dyDescent="0.3">
      <c r="C21" t="s">
        <v>29</v>
      </c>
      <c r="D21" s="2">
        <f>+'Flujo de caja financiero'!D28</f>
        <v>228000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3:14" x14ac:dyDescent="0.3">
      <c r="C22" t="s">
        <v>30</v>
      </c>
      <c r="D22" s="2"/>
      <c r="E22" s="2">
        <f>-E23*$B$11</f>
        <v>3488.4</v>
      </c>
      <c r="F22" s="2">
        <f t="shared" ref="F22:L22" si="5">-F23*$B$11</f>
        <v>3172.091500351678</v>
      </c>
      <c r="G22" s="2">
        <f t="shared" si="5"/>
        <v>2827.3152357350064</v>
      </c>
      <c r="H22" s="2">
        <f t="shared" si="5"/>
        <v>2451.5091073028348</v>
      </c>
      <c r="I22" s="2">
        <f t="shared" si="5"/>
        <v>2041.8804273117678</v>
      </c>
      <c r="J22" s="2">
        <f t="shared" si="5"/>
        <v>1595.3851661215049</v>
      </c>
      <c r="K22" s="2">
        <f t="shared" si="5"/>
        <v>1108.705331424118</v>
      </c>
      <c r="L22" s="2">
        <f t="shared" si="5"/>
        <v>578.22431160396627</v>
      </c>
      <c r="M22" s="2"/>
      <c r="N22" s="2"/>
    </row>
    <row r="23" spans="3:14" x14ac:dyDescent="0.3">
      <c r="C23" t="s">
        <v>23</v>
      </c>
      <c r="D23" s="2"/>
      <c r="E23" s="2">
        <f>-'Flujo de caja financiero'!E35</f>
        <v>-20520</v>
      </c>
      <c r="F23" s="2">
        <f>-'Flujo de caja financiero'!E36</f>
        <v>-18659.361766774575</v>
      </c>
      <c r="G23" s="2">
        <f>-'Flujo de caja financiero'!E37</f>
        <v>-16631.266092558861</v>
      </c>
      <c r="H23" s="2">
        <f>-'Flujo de caja financiero'!E38</f>
        <v>-14420.641807663733</v>
      </c>
      <c r="I23" s="2">
        <f>-'Flujo de caja financiero'!E39</f>
        <v>-12011.061337128045</v>
      </c>
      <c r="J23" s="2">
        <f>-'Flujo de caja financiero'!E40</f>
        <v>-9384.6186242441454</v>
      </c>
      <c r="K23" s="2">
        <f>-'Flujo de caja financiero'!E41</f>
        <v>-6521.796067200693</v>
      </c>
      <c r="L23" s="2">
        <f>-'Flujo de caja financiero'!E42</f>
        <v>-3401.3194800233305</v>
      </c>
      <c r="M23" s="2"/>
      <c r="N23" s="2"/>
    </row>
    <row r="24" spans="3:14" x14ac:dyDescent="0.3">
      <c r="C24" t="s">
        <v>5</v>
      </c>
      <c r="D24" s="2"/>
      <c r="E24" s="2">
        <f>-'Flujo de caja financiero'!F35</f>
        <v>-20673.758146949163</v>
      </c>
      <c r="F24" s="2">
        <f>-'Flujo de caja financiero'!F36</f>
        <v>-22534.396380174589</v>
      </c>
      <c r="G24" s="2">
        <f>-'Flujo de caja financiero'!F37</f>
        <v>-24562.492054390303</v>
      </c>
      <c r="H24" s="2">
        <f>-'Flujo de caja financiero'!F38</f>
        <v>-26773.116339285429</v>
      </c>
      <c r="I24" s="2">
        <f>-'Flujo de caja financiero'!F39</f>
        <v>-29182.696809821118</v>
      </c>
      <c r="J24" s="2">
        <f>-'Flujo de caja financiero'!F40</f>
        <v>-31809.139522705016</v>
      </c>
      <c r="K24" s="2">
        <f>-'Flujo de caja financiero'!F41</f>
        <v>-34671.962079748468</v>
      </c>
      <c r="L24" s="2">
        <f>-'Flujo de caja financiero'!F42</f>
        <v>-37792.438666925831</v>
      </c>
      <c r="M24" s="2"/>
      <c r="N24" s="2"/>
    </row>
    <row r="25" spans="3:14" ht="15" thickBot="1" x14ac:dyDescent="0.35">
      <c r="C25" s="12" t="s">
        <v>28</v>
      </c>
      <c r="D25" s="13">
        <f t="shared" ref="D25:N25" si="6">+SUM(D18:D24)</f>
        <v>-177000</v>
      </c>
      <c r="E25" s="13">
        <f t="shared" si="6"/>
        <v>3344.6418530508381</v>
      </c>
      <c r="F25" s="13">
        <f t="shared" si="6"/>
        <v>16748.333353402511</v>
      </c>
      <c r="G25" s="13">
        <f t="shared" si="6"/>
        <v>20411.557088785845</v>
      </c>
      <c r="H25" s="13">
        <f t="shared" si="6"/>
        <v>32159.030960353666</v>
      </c>
      <c r="I25" s="13">
        <f t="shared" si="6"/>
        <v>33448.882280362595</v>
      </c>
      <c r="J25" s="13">
        <f t="shared" si="6"/>
        <v>-16965.102980827651</v>
      </c>
      <c r="K25" s="13">
        <f t="shared" si="6"/>
        <v>36016.417184474965</v>
      </c>
      <c r="L25" s="13">
        <f t="shared" si="6"/>
        <v>37289.826164654798</v>
      </c>
      <c r="M25" s="13">
        <f t="shared" si="6"/>
        <v>79743.11</v>
      </c>
      <c r="N25" s="13">
        <f t="shared" si="6"/>
        <v>403764.04</v>
      </c>
    </row>
    <row r="26" spans="3:14" ht="15" thickTop="1" x14ac:dyDescent="0.3">
      <c r="C26" s="22" t="s">
        <v>41</v>
      </c>
      <c r="D26" s="23"/>
      <c r="E26" s="23"/>
      <c r="F26" s="23">
        <f>+E25+F25</f>
        <v>20092.97520645335</v>
      </c>
      <c r="G26" s="23">
        <f>+G25+F26</f>
        <v>40504.532295239194</v>
      </c>
      <c r="H26" s="23">
        <f t="shared" ref="H26:L26" si="7">+H25+G26</f>
        <v>72663.563255592861</v>
      </c>
      <c r="I26" s="23">
        <f t="shared" si="7"/>
        <v>106112.44553595546</v>
      </c>
      <c r="J26" s="23">
        <f t="shared" si="7"/>
        <v>89147.342555127805</v>
      </c>
      <c r="K26" s="23">
        <f t="shared" si="7"/>
        <v>125163.75973960277</v>
      </c>
      <c r="L26" s="23">
        <f t="shared" si="7"/>
        <v>162453.58590425758</v>
      </c>
      <c r="M26" s="23"/>
      <c r="N26" s="23"/>
    </row>
    <row r="27" spans="3:14" x14ac:dyDescent="0.3">
      <c r="M27" s="2">
        <f>+L26+D25</f>
        <v>-14546.414095742424</v>
      </c>
    </row>
    <row r="28" spans="3:14" x14ac:dyDescent="0.3">
      <c r="M28" s="19">
        <f>-M27/M25</f>
        <v>0.18241593657110219</v>
      </c>
    </row>
    <row r="29" spans="3:14" x14ac:dyDescent="0.3">
      <c r="M29" s="19"/>
    </row>
    <row r="30" spans="3:14" x14ac:dyDescent="0.3">
      <c r="C30" t="s">
        <v>43</v>
      </c>
      <c r="E30" s="2">
        <f t="shared" ref="E30:N30" si="8">+E25/(1+$B$43)^E2</f>
        <v>2933.8963623252962</v>
      </c>
      <c r="F30" s="2">
        <f t="shared" si="8"/>
        <v>12887.298671439296</v>
      </c>
      <c r="G30" s="2">
        <f t="shared" si="8"/>
        <v>13777.219636261791</v>
      </c>
      <c r="H30" s="2">
        <f t="shared" si="8"/>
        <v>19040.727970962707</v>
      </c>
      <c r="I30" s="2">
        <f t="shared" si="8"/>
        <v>17372.301314280612</v>
      </c>
      <c r="J30" s="2">
        <f t="shared" si="8"/>
        <v>-7729.0726981396283</v>
      </c>
      <c r="K30" s="2">
        <f t="shared" si="8"/>
        <v>14393.504530722264</v>
      </c>
      <c r="L30" s="2">
        <f t="shared" si="8"/>
        <v>13072.286215830543</v>
      </c>
      <c r="M30" s="2">
        <f t="shared" si="8"/>
        <v>24521.639712684406</v>
      </c>
      <c r="N30" s="2">
        <f t="shared" si="8"/>
        <v>108912.85029634087</v>
      </c>
    </row>
    <row r="31" spans="3:14" x14ac:dyDescent="0.3">
      <c r="C31" t="s">
        <v>44</v>
      </c>
      <c r="F31" s="2">
        <f>+F30+E30</f>
        <v>15821.195033764592</v>
      </c>
      <c r="G31" s="2">
        <f>+G30+F31</f>
        <v>29598.414670026381</v>
      </c>
      <c r="H31" s="2">
        <f t="shared" ref="H31:M31" si="9">+H30+G31</f>
        <v>48639.142640989085</v>
      </c>
      <c r="I31" s="2">
        <f t="shared" si="9"/>
        <v>66011.4439552697</v>
      </c>
      <c r="J31" s="2">
        <f t="shared" si="9"/>
        <v>58282.371257130071</v>
      </c>
      <c r="K31" s="2">
        <f t="shared" si="9"/>
        <v>72675.875787852332</v>
      </c>
      <c r="L31" s="2">
        <f t="shared" si="9"/>
        <v>85748.162003682868</v>
      </c>
      <c r="M31" s="2">
        <f t="shared" si="9"/>
        <v>110269.80171636728</v>
      </c>
    </row>
    <row r="32" spans="3:14" x14ac:dyDescent="0.3">
      <c r="F32" s="2"/>
      <c r="G32" s="2"/>
      <c r="H32" s="2"/>
      <c r="I32" s="2"/>
      <c r="J32" s="2"/>
      <c r="K32" s="2"/>
      <c r="L32" s="2"/>
      <c r="M32" s="2"/>
      <c r="N32" s="2">
        <f>+M31+D25</f>
        <v>-66730.198283632722</v>
      </c>
    </row>
    <row r="33" spans="2:16" x14ac:dyDescent="0.3">
      <c r="M33" s="19"/>
      <c r="N33" s="19">
        <f>-N32/N30</f>
        <v>0.61269352608132643</v>
      </c>
    </row>
    <row r="34" spans="2:16" x14ac:dyDescent="0.3">
      <c r="M34" s="19"/>
      <c r="N34" s="19"/>
    </row>
    <row r="35" spans="2:16" x14ac:dyDescent="0.3">
      <c r="C35" t="s">
        <v>39</v>
      </c>
      <c r="E35" s="2">
        <f>+E18</f>
        <v>41050</v>
      </c>
      <c r="F35" s="2">
        <f t="shared" ref="F35:N35" si="10">+F18</f>
        <v>54770</v>
      </c>
      <c r="G35" s="2">
        <f t="shared" si="10"/>
        <v>58778</v>
      </c>
      <c r="H35" s="2">
        <f t="shared" si="10"/>
        <v>70901.279999999999</v>
      </c>
      <c r="I35" s="2">
        <f t="shared" si="10"/>
        <v>72600.759999999995</v>
      </c>
      <c r="J35" s="2">
        <f t="shared" si="10"/>
        <v>22633.270000000004</v>
      </c>
      <c r="K35" s="2">
        <f t="shared" si="10"/>
        <v>76101.47</v>
      </c>
      <c r="L35" s="2">
        <f t="shared" si="10"/>
        <v>77905.36</v>
      </c>
      <c r="M35" s="2">
        <f t="shared" si="10"/>
        <v>79743.11</v>
      </c>
      <c r="N35" s="2">
        <f t="shared" si="10"/>
        <v>403764.04</v>
      </c>
    </row>
    <row r="36" spans="2:16" x14ac:dyDescent="0.3">
      <c r="C36" t="s">
        <v>40</v>
      </c>
      <c r="F36" s="2">
        <f>+E35+F35</f>
        <v>95820</v>
      </c>
      <c r="G36" s="2">
        <f>+G35+F36</f>
        <v>154598</v>
      </c>
      <c r="H36" s="2">
        <f t="shared" ref="H36:K36" si="11">+H35+G36</f>
        <v>225499.28</v>
      </c>
      <c r="I36" s="2">
        <f t="shared" si="11"/>
        <v>298100.03999999998</v>
      </c>
      <c r="J36" s="2">
        <f t="shared" si="11"/>
        <v>320733.31</v>
      </c>
      <c r="K36" s="2">
        <f t="shared" si="11"/>
        <v>396834.78</v>
      </c>
      <c r="L36" s="2"/>
    </row>
    <row r="37" spans="2:16" x14ac:dyDescent="0.3">
      <c r="F37" s="2"/>
      <c r="G37" s="2"/>
      <c r="H37" s="2"/>
      <c r="I37" s="2"/>
      <c r="J37" s="2"/>
      <c r="K37" s="2"/>
      <c r="L37" s="2">
        <f>+K36+D18</f>
        <v>-8165.2199999999721</v>
      </c>
    </row>
    <row r="38" spans="2:16" x14ac:dyDescent="0.3">
      <c r="F38" s="2"/>
      <c r="G38" s="2"/>
      <c r="H38" s="2"/>
      <c r="I38" s="2"/>
      <c r="J38" s="2"/>
      <c r="K38" s="2"/>
      <c r="L38" s="19">
        <f>-L37/L35</f>
        <v>0.1048094765238229</v>
      </c>
    </row>
    <row r="39" spans="2:16" x14ac:dyDescent="0.3">
      <c r="C39" t="s">
        <v>45</v>
      </c>
      <c r="E39" s="2">
        <f t="shared" ref="E39:N39" si="12">+E35/(1+$B$43)^E2</f>
        <v>36008.771929824557</v>
      </c>
      <c r="F39" s="2">
        <f t="shared" si="12"/>
        <v>42143.736534318239</v>
      </c>
      <c r="G39" s="2">
        <f t="shared" si="12"/>
        <v>39673.4757793221</v>
      </c>
      <c r="H39" s="2">
        <f t="shared" si="12"/>
        <v>41979.249528301465</v>
      </c>
      <c r="I39" s="2">
        <f t="shared" si="12"/>
        <v>37706.559752707501</v>
      </c>
      <c r="J39" s="2">
        <f t="shared" si="12"/>
        <v>10311.413342100945</v>
      </c>
      <c r="K39" s="2">
        <f t="shared" si="12"/>
        <v>30412.987711386995</v>
      </c>
      <c r="L39" s="2">
        <f t="shared" si="12"/>
        <v>27310.429369408241</v>
      </c>
      <c r="M39" s="2">
        <f t="shared" si="12"/>
        <v>24521.639712684406</v>
      </c>
      <c r="N39" s="2">
        <f t="shared" si="12"/>
        <v>108912.85029634087</v>
      </c>
    </row>
    <row r="40" spans="2:16" x14ac:dyDescent="0.3">
      <c r="C40" t="s">
        <v>46</v>
      </c>
      <c r="N40" s="2">
        <f>+SUM(E39:N39)</f>
        <v>398981.1139563953</v>
      </c>
      <c r="O40" s="16" t="s">
        <v>47</v>
      </c>
      <c r="P40" s="17">
        <f>-D18</f>
        <v>405000</v>
      </c>
    </row>
    <row r="42" spans="2:16" x14ac:dyDescent="0.3">
      <c r="D42" s="16" t="s">
        <v>35</v>
      </c>
      <c r="E42" s="16" t="s">
        <v>36</v>
      </c>
    </row>
    <row r="43" spans="2:16" x14ac:dyDescent="0.3">
      <c r="B43" s="14">
        <v>0.14000000000000001</v>
      </c>
      <c r="C43" t="s">
        <v>32</v>
      </c>
      <c r="D43" s="15">
        <f>+NPV(B43,E18:N18)+D18</f>
        <v>-6018.886043604638</v>
      </c>
      <c r="E43" s="17">
        <f>+NPV(B43,E25:N25)+D25</f>
        <v>42182.652012708189</v>
      </c>
    </row>
    <row r="44" spans="2:16" x14ac:dyDescent="0.3">
      <c r="C44" t="s">
        <v>33</v>
      </c>
      <c r="D44" s="18">
        <f>+IRR(D18:N18)</f>
        <v>0.13717073499771426</v>
      </c>
      <c r="E44" s="18">
        <f>MIRR(D25:N25,9%,B43)</f>
        <v>0.16219636739464427</v>
      </c>
    </row>
    <row r="45" spans="2:16" x14ac:dyDescent="0.3">
      <c r="C45" t="s">
        <v>34</v>
      </c>
      <c r="D45" s="20">
        <f>+NPV(B43,E18:N18)/ABS(D18)</f>
        <v>0.98513855297875397</v>
      </c>
      <c r="E45" s="20">
        <f>NPV(B43,E25:N25)/ABS(D25)</f>
        <v>1.2383200678684079</v>
      </c>
    </row>
    <row r="46" spans="2:16" x14ac:dyDescent="0.3">
      <c r="C46" t="s">
        <v>38</v>
      </c>
      <c r="D46" s="21">
        <f>7+L38</f>
        <v>7.1048094765238226</v>
      </c>
      <c r="E46" s="21">
        <f>8+M28</f>
        <v>8.1824159365711022</v>
      </c>
    </row>
    <row r="47" spans="2:16" x14ac:dyDescent="0.3">
      <c r="C47" t="s">
        <v>37</v>
      </c>
      <c r="D47" s="24" t="s">
        <v>42</v>
      </c>
      <c r="E47" s="21">
        <f>9+N33</f>
        <v>9.6126935260813262</v>
      </c>
    </row>
  </sheetData>
  <pageMargins left="0.7" right="0.7" top="0.75" bottom="0.75" header="0.3" footer="0.3"/>
  <pageSetup paperSize="9" orientation="portrait" r:id="rId1"/>
  <ignoredErrors>
    <ignoredError sqref="E10:N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46FB-7D7E-42AD-B7F2-3C993B97DEE7}">
  <dimension ref="C1:J26"/>
  <sheetViews>
    <sheetView topLeftCell="A4" workbookViewId="0">
      <selection activeCell="J20" sqref="J20"/>
    </sheetView>
  </sheetViews>
  <sheetFormatPr baseColWidth="10" defaultRowHeight="14.4" x14ac:dyDescent="0.3"/>
  <cols>
    <col min="4" max="4" width="12.109375" bestFit="1" customWidth="1"/>
    <col min="6" max="6" width="17.5546875" bestFit="1" customWidth="1"/>
    <col min="7" max="7" width="17.5546875" customWidth="1"/>
    <col min="9" max="9" width="14.77734375" bestFit="1" customWidth="1"/>
    <col min="10" max="10" width="18" bestFit="1" customWidth="1"/>
  </cols>
  <sheetData>
    <row r="1" spans="3:10" x14ac:dyDescent="0.3">
      <c r="F1" s="27" t="s">
        <v>55</v>
      </c>
      <c r="G1" s="27"/>
      <c r="H1" t="s">
        <v>56</v>
      </c>
      <c r="J1" t="s">
        <v>58</v>
      </c>
    </row>
    <row r="2" spans="3:10" x14ac:dyDescent="0.3">
      <c r="D2" t="s">
        <v>49</v>
      </c>
      <c r="E2" t="s">
        <v>50</v>
      </c>
      <c r="F2" s="27" t="s">
        <v>54</v>
      </c>
      <c r="G2" s="27" t="s">
        <v>57</v>
      </c>
      <c r="H2" t="s">
        <v>4</v>
      </c>
      <c r="I2" t="s">
        <v>60</v>
      </c>
      <c r="J2" t="s">
        <v>59</v>
      </c>
    </row>
    <row r="3" spans="3:10" x14ac:dyDescent="0.3">
      <c r="C3" t="s">
        <v>48</v>
      </c>
      <c r="D3" s="5">
        <v>45000000</v>
      </c>
      <c r="E3" s="4">
        <v>1.3</v>
      </c>
      <c r="F3" s="28">
        <f>+D3*E3</f>
        <v>58500000</v>
      </c>
      <c r="G3" s="28"/>
      <c r="H3" s="5">
        <v>0</v>
      </c>
      <c r="I3" s="2">
        <f>+H3*7</f>
        <v>0</v>
      </c>
      <c r="J3" s="2">
        <f>+D3-I3</f>
        <v>45000000</v>
      </c>
    </row>
    <row r="4" spans="3:10" x14ac:dyDescent="0.3">
      <c r="C4" t="s">
        <v>51</v>
      </c>
      <c r="D4" s="5">
        <v>50000000</v>
      </c>
      <c r="E4" s="4">
        <v>0.3</v>
      </c>
      <c r="F4" s="28">
        <f>+D4*E4</f>
        <v>15000000</v>
      </c>
      <c r="G4" s="30">
        <v>10</v>
      </c>
      <c r="H4" s="2">
        <f>+D4/G4</f>
        <v>5000000</v>
      </c>
      <c r="I4" s="2">
        <f>+H4*7</f>
        <v>35000000</v>
      </c>
      <c r="J4" s="2">
        <f>+D4-I4</f>
        <v>15000000</v>
      </c>
    </row>
    <row r="5" spans="3:10" x14ac:dyDescent="0.3">
      <c r="C5" t="s">
        <v>52</v>
      </c>
      <c r="D5" s="5">
        <v>30000000</v>
      </c>
      <c r="E5" s="4">
        <v>0.4</v>
      </c>
      <c r="F5" s="28">
        <f>+D5*E5</f>
        <v>12000000</v>
      </c>
      <c r="G5" s="30">
        <v>12</v>
      </c>
      <c r="H5" s="2">
        <f t="shared" ref="H5:H6" si="0">+D5/G5</f>
        <v>2500000</v>
      </c>
      <c r="I5" s="2">
        <f>+H5*7</f>
        <v>17500000</v>
      </c>
      <c r="J5" s="2">
        <f>+D5-I5</f>
        <v>12500000</v>
      </c>
    </row>
    <row r="6" spans="3:10" x14ac:dyDescent="0.3">
      <c r="C6" t="s">
        <v>53</v>
      </c>
      <c r="D6" s="2">
        <f>3*5000000</f>
        <v>15000000</v>
      </c>
      <c r="E6" s="4">
        <v>0.2</v>
      </c>
      <c r="F6" s="28">
        <f>+D6*E6</f>
        <v>3000000</v>
      </c>
      <c r="G6" s="30">
        <v>10</v>
      </c>
      <c r="H6" s="2">
        <f t="shared" si="0"/>
        <v>1500000</v>
      </c>
      <c r="I6" s="2">
        <f>+H6*7</f>
        <v>10500000</v>
      </c>
      <c r="J6" s="2">
        <f>+D6-I6</f>
        <v>4500000</v>
      </c>
    </row>
    <row r="7" spans="3:10" x14ac:dyDescent="0.3">
      <c r="D7" s="31">
        <f>SUM(D3:D6)</f>
        <v>140000000</v>
      </c>
      <c r="F7" s="29">
        <f>SUM(F3:F6)</f>
        <v>88500000</v>
      </c>
      <c r="G7" s="29"/>
      <c r="H7" s="31">
        <f>SUM(H3:H6)</f>
        <v>9000000</v>
      </c>
      <c r="J7" s="9">
        <f>SUM(J3:J6)</f>
        <v>77000000</v>
      </c>
    </row>
    <row r="18" spans="3:10" x14ac:dyDescent="0.3">
      <c r="C18" t="s">
        <v>18</v>
      </c>
      <c r="D18" s="2">
        <f>+D7*60%</f>
        <v>84000000</v>
      </c>
      <c r="F18" s="6" t="s">
        <v>22</v>
      </c>
      <c r="G18" s="6" t="s">
        <v>21</v>
      </c>
      <c r="H18" s="39" t="s">
        <v>61</v>
      </c>
      <c r="I18" s="39" t="s">
        <v>5</v>
      </c>
      <c r="J18" s="6" t="s">
        <v>24</v>
      </c>
    </row>
    <row r="19" spans="3:10" x14ac:dyDescent="0.3">
      <c r="C19" t="s">
        <v>19</v>
      </c>
      <c r="D19" s="36">
        <v>0.13725000000000001</v>
      </c>
      <c r="F19" s="6">
        <v>0</v>
      </c>
      <c r="G19" s="6"/>
      <c r="H19" s="39"/>
      <c r="I19" s="39"/>
      <c r="J19" s="7">
        <f>+D18</f>
        <v>84000000</v>
      </c>
    </row>
    <row r="20" spans="3:10" x14ac:dyDescent="0.3">
      <c r="C20" t="s">
        <v>20</v>
      </c>
      <c r="F20" s="37">
        <v>1</v>
      </c>
      <c r="G20" s="38">
        <f>+J19*$D$19</f>
        <v>11529000</v>
      </c>
      <c r="H20" s="40">
        <f>+J19*$D$19</f>
        <v>11529000</v>
      </c>
      <c r="I20" s="40">
        <f>+G20-H20</f>
        <v>0</v>
      </c>
      <c r="J20" s="38">
        <f>+J19-I20</f>
        <v>84000000</v>
      </c>
    </row>
    <row r="21" spans="3:10" x14ac:dyDescent="0.3">
      <c r="F21" s="37">
        <v>2</v>
      </c>
      <c r="G21" s="38">
        <f>+J20*$D$19</f>
        <v>11529000</v>
      </c>
      <c r="H21" s="40">
        <f>+J20*$D$19</f>
        <v>11529000</v>
      </c>
      <c r="I21" s="40">
        <f>+G21-H21</f>
        <v>0</v>
      </c>
      <c r="J21" s="38">
        <f>+J20-I21</f>
        <v>84000000</v>
      </c>
    </row>
    <row r="22" spans="3:10" x14ac:dyDescent="0.3">
      <c r="F22" s="6">
        <v>3</v>
      </c>
      <c r="G22" s="7">
        <f>-PMT(D19,5,J21)</f>
        <v>24306302.145357974</v>
      </c>
      <c r="H22" s="40">
        <f>+J21*$D$19</f>
        <v>11529000</v>
      </c>
      <c r="I22" s="40">
        <f>+G22-H22</f>
        <v>12777302.145357974</v>
      </c>
      <c r="J22" s="7">
        <f>+J21-I22</f>
        <v>71222697.854642034</v>
      </c>
    </row>
    <row r="23" spans="3:10" x14ac:dyDescent="0.3">
      <c r="F23" s="6">
        <v>4</v>
      </c>
      <c r="G23" s="7">
        <f>+G22</f>
        <v>24306302.145357974</v>
      </c>
      <c r="H23" s="40">
        <f>+J22*$D$19</f>
        <v>9775315.2805496193</v>
      </c>
      <c r="I23" s="40">
        <f>+G23-H23</f>
        <v>14530986.864808355</v>
      </c>
      <c r="J23" s="7">
        <f>+J22-I23</f>
        <v>56691710.989833683</v>
      </c>
    </row>
    <row r="24" spans="3:10" x14ac:dyDescent="0.3">
      <c r="F24" s="6">
        <v>5</v>
      </c>
      <c r="G24" s="7">
        <f t="shared" ref="G24:G25" si="1">+G23</f>
        <v>24306302.145357974</v>
      </c>
      <c r="H24" s="40">
        <f t="shared" ref="H24:H26" si="2">+J23*$D$19</f>
        <v>7780937.3333546733</v>
      </c>
      <c r="I24" s="40">
        <f t="shared" ref="I24:I26" si="3">+G24-H24</f>
        <v>16525364.8120033</v>
      </c>
      <c r="J24" s="7">
        <f t="shared" ref="J24:J26" si="4">+J23-I24</f>
        <v>40166346.177830383</v>
      </c>
    </row>
    <row r="25" spans="3:10" x14ac:dyDescent="0.3">
      <c r="F25" s="6">
        <v>6</v>
      </c>
      <c r="G25" s="7">
        <f t="shared" si="1"/>
        <v>24306302.145357974</v>
      </c>
      <c r="H25" s="40">
        <f t="shared" si="2"/>
        <v>5512831.012907221</v>
      </c>
      <c r="I25" s="40">
        <f t="shared" si="3"/>
        <v>18793471.132450752</v>
      </c>
      <c r="J25" s="7">
        <f t="shared" si="4"/>
        <v>21372875.045379631</v>
      </c>
    </row>
    <row r="26" spans="3:10" x14ac:dyDescent="0.3">
      <c r="F26" s="6">
        <v>7</v>
      </c>
      <c r="G26" s="7">
        <f>+G25</f>
        <v>24306302.145357974</v>
      </c>
      <c r="H26" s="40">
        <f t="shared" si="2"/>
        <v>2933427.0999783548</v>
      </c>
      <c r="I26" s="40">
        <f t="shared" si="3"/>
        <v>21372875.04537962</v>
      </c>
      <c r="J26" s="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caja económico</vt:lpstr>
      <vt:lpstr>Flujo de caja financiero</vt:lpstr>
      <vt:lpstr>Tabla de ajuste</vt:lpstr>
      <vt:lpstr>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2023-07-27T18:16:51Z</dcterms:created>
  <dcterms:modified xsi:type="dcterms:W3CDTF">2023-08-19T01:49:24Z</dcterms:modified>
</cp:coreProperties>
</file>