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3395" windowHeight="2640"/>
  </bookViews>
  <sheets>
    <sheet name="MasterBillingData" sheetId="2" r:id="rId1"/>
    <sheet name="BillingDataSummary" sheetId="8" r:id="rId2"/>
    <sheet name="Elec_Model" sheetId="1" r:id="rId3"/>
    <sheet name="ElecUse+Dem_Cost_Allocation" sheetId="4" r:id="rId4"/>
    <sheet name="ElecUse+Dem_AvoidedCosts" sheetId="5" r:id="rId5"/>
    <sheet name="Avg_ElecUse+Dem+UnitCost" sheetId="6" r:id="rId6"/>
    <sheet name="Sheet1" sheetId="9" r:id="rId7"/>
    <sheet name="NaturalGasSummary" sheetId="10" r:id="rId8"/>
  </sheets>
  <calcPr calcId="145621"/>
  <pivotCaches>
    <pivotCache cacheId="7" r:id="rId9"/>
    <pivotCache cacheId="8" r:id="rId10"/>
    <pivotCache cacheId="15" r:id="rId11"/>
  </pivotCaches>
</workbook>
</file>

<file path=xl/calcChain.xml><?xml version="1.0" encoding="utf-8"?>
<calcChain xmlns="http://schemas.openxmlformats.org/spreadsheetml/2006/main">
  <c r="D63" i="10" l="1"/>
  <c r="D62" i="10"/>
  <c r="D61" i="10"/>
  <c r="O62" i="2" l="1"/>
  <c r="N62" i="2"/>
  <c r="M62" i="2"/>
  <c r="G62" i="2"/>
  <c r="I62" i="2"/>
  <c r="R19" i="8" l="1"/>
  <c r="Q19" i="8"/>
  <c r="P19" i="8"/>
  <c r="R18" i="8"/>
  <c r="Q18" i="8"/>
  <c r="P18" i="8"/>
  <c r="R17" i="8"/>
  <c r="Q17" i="8"/>
  <c r="P17" i="8"/>
  <c r="R16" i="8"/>
  <c r="Q16" i="8"/>
  <c r="P16" i="8"/>
  <c r="R15" i="8"/>
  <c r="Q15" i="8"/>
  <c r="P15" i="8"/>
  <c r="O19" i="8"/>
  <c r="O18" i="8"/>
  <c r="O17" i="8"/>
  <c r="O16" i="8"/>
  <c r="O15" i="8"/>
  <c r="O109" i="2"/>
  <c r="N109" i="2"/>
  <c r="M109" i="2"/>
  <c r="I109" i="2"/>
  <c r="H109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BL61" i="1"/>
  <c r="BM61" i="1" s="1"/>
  <c r="BN61" i="1" s="1"/>
  <c r="BL60" i="1"/>
  <c r="BL59" i="1"/>
  <c r="BL58" i="1"/>
  <c r="BM58" i="1" s="1"/>
  <c r="BN58" i="1" s="1"/>
  <c r="BL57" i="1"/>
  <c r="BM57" i="1" s="1"/>
  <c r="BN57" i="1" s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M11" i="1" s="1"/>
  <c r="BN11" i="1" s="1"/>
  <c r="BL10" i="1"/>
  <c r="BL9" i="1"/>
  <c r="BL8" i="1"/>
  <c r="BL7" i="1"/>
  <c r="BL6" i="1"/>
  <c r="BL5" i="1"/>
  <c r="BL4" i="1"/>
  <c r="BL3" i="1"/>
  <c r="BL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BN28" i="1"/>
  <c r="BN43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M32" i="1" s="1"/>
  <c r="BN32" i="1" s="1"/>
  <c r="BD31" i="1"/>
  <c r="BD30" i="1"/>
  <c r="BD29" i="1"/>
  <c r="BD28" i="1"/>
  <c r="BD27" i="1"/>
  <c r="BD26" i="1"/>
  <c r="BD25" i="1"/>
  <c r="BD24" i="1"/>
  <c r="BD23" i="1"/>
  <c r="BM23" i="1" s="1"/>
  <c r="BN23" i="1" s="1"/>
  <c r="BD22" i="1"/>
  <c r="BD21" i="1"/>
  <c r="BD20" i="1"/>
  <c r="BD19" i="1"/>
  <c r="BD18" i="1"/>
  <c r="BD17" i="1"/>
  <c r="BD16" i="1"/>
  <c r="BD15" i="1"/>
  <c r="BM15" i="1" s="1"/>
  <c r="BN15" i="1" s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C61" i="1"/>
  <c r="BB61" i="1"/>
  <c r="BA61" i="1"/>
  <c r="AZ61" i="1"/>
  <c r="BM60" i="1"/>
  <c r="BN60" i="1" s="1"/>
  <c r="BC60" i="1"/>
  <c r="BB60" i="1"/>
  <c r="BA60" i="1"/>
  <c r="AZ60" i="1"/>
  <c r="BM59" i="1"/>
  <c r="BN59" i="1" s="1"/>
  <c r="BC59" i="1"/>
  <c r="BB59" i="1"/>
  <c r="BA59" i="1"/>
  <c r="AZ59" i="1"/>
  <c r="BC58" i="1"/>
  <c r="BB58" i="1"/>
  <c r="BA58" i="1"/>
  <c r="AZ58" i="1"/>
  <c r="BC57" i="1"/>
  <c r="BB57" i="1"/>
  <c r="BA57" i="1"/>
  <c r="AZ57" i="1"/>
  <c r="BC56" i="1"/>
  <c r="BB56" i="1"/>
  <c r="BA56" i="1"/>
  <c r="AZ56" i="1"/>
  <c r="BC55" i="1"/>
  <c r="BB55" i="1"/>
  <c r="BA55" i="1"/>
  <c r="AZ55" i="1"/>
  <c r="BC54" i="1"/>
  <c r="BB54" i="1"/>
  <c r="BA54" i="1"/>
  <c r="AZ54" i="1"/>
  <c r="BJ53" i="1"/>
  <c r="BI53" i="1"/>
  <c r="BH53" i="1"/>
  <c r="BC53" i="1"/>
  <c r="BB53" i="1"/>
  <c r="BA53" i="1"/>
  <c r="AZ53" i="1"/>
  <c r="BJ52" i="1"/>
  <c r="BI52" i="1"/>
  <c r="BH52" i="1"/>
  <c r="BC52" i="1"/>
  <c r="BB52" i="1"/>
  <c r="BA52" i="1"/>
  <c r="BM52" i="1" s="1"/>
  <c r="BN52" i="1" s="1"/>
  <c r="AZ52" i="1"/>
  <c r="BJ51" i="1"/>
  <c r="BI51" i="1"/>
  <c r="BH51" i="1"/>
  <c r="BC51" i="1"/>
  <c r="BB51" i="1"/>
  <c r="BA51" i="1"/>
  <c r="AZ51" i="1"/>
  <c r="BM51" i="1" s="1"/>
  <c r="BN51" i="1" s="1"/>
  <c r="BJ50" i="1"/>
  <c r="BI50" i="1"/>
  <c r="BH50" i="1"/>
  <c r="BC50" i="1"/>
  <c r="BB50" i="1"/>
  <c r="BA50" i="1"/>
  <c r="AZ50" i="1"/>
  <c r="BJ49" i="1"/>
  <c r="BI49" i="1"/>
  <c r="BH49" i="1"/>
  <c r="BC49" i="1"/>
  <c r="BB49" i="1"/>
  <c r="BA49" i="1"/>
  <c r="AZ49" i="1"/>
  <c r="BJ48" i="1"/>
  <c r="BI48" i="1"/>
  <c r="BH48" i="1"/>
  <c r="BC48" i="1"/>
  <c r="BB48" i="1"/>
  <c r="BA48" i="1"/>
  <c r="AZ48" i="1"/>
  <c r="BJ47" i="1"/>
  <c r="BI47" i="1"/>
  <c r="BH47" i="1"/>
  <c r="BC47" i="1"/>
  <c r="BB47" i="1"/>
  <c r="BA47" i="1"/>
  <c r="AZ47" i="1"/>
  <c r="BJ46" i="1"/>
  <c r="BI46" i="1"/>
  <c r="BH46" i="1"/>
  <c r="BC46" i="1"/>
  <c r="BB46" i="1"/>
  <c r="BA46" i="1"/>
  <c r="AZ46" i="1"/>
  <c r="BJ45" i="1"/>
  <c r="BI45" i="1"/>
  <c r="BH45" i="1"/>
  <c r="BC45" i="1"/>
  <c r="BB45" i="1"/>
  <c r="BA45" i="1"/>
  <c r="AZ45" i="1"/>
  <c r="BJ44" i="1"/>
  <c r="BI44" i="1"/>
  <c r="BH44" i="1"/>
  <c r="BC44" i="1"/>
  <c r="BB44" i="1"/>
  <c r="BA44" i="1"/>
  <c r="AZ44" i="1"/>
  <c r="BJ43" i="1"/>
  <c r="BI43" i="1"/>
  <c r="BH43" i="1"/>
  <c r="BC43" i="1"/>
  <c r="BB43" i="1"/>
  <c r="BA43" i="1"/>
  <c r="AZ43" i="1"/>
  <c r="BM43" i="1" s="1"/>
  <c r="BJ42" i="1"/>
  <c r="BI42" i="1"/>
  <c r="BH42" i="1"/>
  <c r="BC42" i="1"/>
  <c r="BB42" i="1"/>
  <c r="BA42" i="1"/>
  <c r="AZ42" i="1"/>
  <c r="BJ41" i="1"/>
  <c r="BI41" i="1"/>
  <c r="BH41" i="1"/>
  <c r="BC41" i="1"/>
  <c r="BB41" i="1"/>
  <c r="BA41" i="1"/>
  <c r="AZ41" i="1"/>
  <c r="BJ40" i="1"/>
  <c r="BI40" i="1"/>
  <c r="BH40" i="1"/>
  <c r="BC40" i="1"/>
  <c r="BB40" i="1"/>
  <c r="BA40" i="1"/>
  <c r="AZ40" i="1"/>
  <c r="BJ39" i="1"/>
  <c r="BI39" i="1"/>
  <c r="BH39" i="1"/>
  <c r="BC39" i="1"/>
  <c r="BB39" i="1"/>
  <c r="BA39" i="1"/>
  <c r="AZ39" i="1"/>
  <c r="BJ38" i="1"/>
  <c r="BI38" i="1"/>
  <c r="BH38" i="1"/>
  <c r="BC38" i="1"/>
  <c r="BB38" i="1"/>
  <c r="BA38" i="1"/>
  <c r="AZ38" i="1"/>
  <c r="BK37" i="1"/>
  <c r="BJ37" i="1"/>
  <c r="BI37" i="1"/>
  <c r="BH37" i="1"/>
  <c r="BF37" i="1"/>
  <c r="BC37" i="1"/>
  <c r="BB37" i="1"/>
  <c r="BA37" i="1"/>
  <c r="AZ37" i="1"/>
  <c r="BK36" i="1"/>
  <c r="BJ36" i="1"/>
  <c r="BI36" i="1"/>
  <c r="BH36" i="1"/>
  <c r="BF36" i="1"/>
  <c r="BC36" i="1"/>
  <c r="BB36" i="1"/>
  <c r="BA36" i="1"/>
  <c r="AZ36" i="1"/>
  <c r="BM36" i="1" s="1"/>
  <c r="BN36" i="1" s="1"/>
  <c r="BK35" i="1"/>
  <c r="BJ35" i="1"/>
  <c r="BI35" i="1"/>
  <c r="BH35" i="1"/>
  <c r="BF35" i="1"/>
  <c r="BC35" i="1"/>
  <c r="BB35" i="1"/>
  <c r="BA35" i="1"/>
  <c r="AZ35" i="1"/>
  <c r="BM35" i="1" s="1"/>
  <c r="BN35" i="1" s="1"/>
  <c r="BK34" i="1"/>
  <c r="BJ34" i="1"/>
  <c r="BI34" i="1"/>
  <c r="BH34" i="1"/>
  <c r="BF34" i="1"/>
  <c r="BC34" i="1"/>
  <c r="BB34" i="1"/>
  <c r="BM34" i="1" s="1"/>
  <c r="BN34" i="1" s="1"/>
  <c r="BA34" i="1"/>
  <c r="AZ34" i="1"/>
  <c r="BK33" i="1"/>
  <c r="BJ33" i="1"/>
  <c r="BI33" i="1"/>
  <c r="BH33" i="1"/>
  <c r="BF33" i="1"/>
  <c r="BC33" i="1"/>
  <c r="BB33" i="1"/>
  <c r="BA33" i="1"/>
  <c r="AZ33" i="1"/>
  <c r="BK32" i="1"/>
  <c r="BJ32" i="1"/>
  <c r="BI32" i="1"/>
  <c r="BH32" i="1"/>
  <c r="BF32" i="1"/>
  <c r="BC32" i="1"/>
  <c r="BB32" i="1"/>
  <c r="BA32" i="1"/>
  <c r="AZ32" i="1"/>
  <c r="BK31" i="1"/>
  <c r="BJ31" i="1"/>
  <c r="BI31" i="1"/>
  <c r="BH31" i="1"/>
  <c r="BF31" i="1"/>
  <c r="BC31" i="1"/>
  <c r="BB31" i="1"/>
  <c r="BA31" i="1"/>
  <c r="AZ31" i="1"/>
  <c r="BK30" i="1"/>
  <c r="BJ30" i="1"/>
  <c r="BI30" i="1"/>
  <c r="BH30" i="1"/>
  <c r="BF30" i="1"/>
  <c r="BC30" i="1"/>
  <c r="BB30" i="1"/>
  <c r="BA30" i="1"/>
  <c r="AZ30" i="1"/>
  <c r="BK29" i="1"/>
  <c r="BJ29" i="1"/>
  <c r="BI29" i="1"/>
  <c r="BH29" i="1"/>
  <c r="BF29" i="1"/>
  <c r="BC29" i="1"/>
  <c r="BB29" i="1"/>
  <c r="BA29" i="1"/>
  <c r="AZ29" i="1"/>
  <c r="BK28" i="1"/>
  <c r="BJ28" i="1"/>
  <c r="BI28" i="1"/>
  <c r="BH28" i="1"/>
  <c r="BF28" i="1"/>
  <c r="BC28" i="1"/>
  <c r="BB28" i="1"/>
  <c r="BA28" i="1"/>
  <c r="AZ28" i="1"/>
  <c r="BM28" i="1" s="1"/>
  <c r="BK27" i="1"/>
  <c r="BJ27" i="1"/>
  <c r="BI27" i="1"/>
  <c r="BH27" i="1"/>
  <c r="BF27" i="1"/>
  <c r="BC27" i="1"/>
  <c r="BB27" i="1"/>
  <c r="BA27" i="1"/>
  <c r="AZ27" i="1"/>
  <c r="BM27" i="1" s="1"/>
  <c r="BN27" i="1" s="1"/>
  <c r="BK26" i="1"/>
  <c r="BJ26" i="1"/>
  <c r="BI26" i="1"/>
  <c r="BH26" i="1"/>
  <c r="BF26" i="1"/>
  <c r="BC26" i="1"/>
  <c r="BB26" i="1"/>
  <c r="BM26" i="1" s="1"/>
  <c r="BN26" i="1" s="1"/>
  <c r="BA26" i="1"/>
  <c r="AZ26" i="1"/>
  <c r="BK25" i="1"/>
  <c r="BJ25" i="1"/>
  <c r="BI25" i="1"/>
  <c r="BH25" i="1"/>
  <c r="BG25" i="1"/>
  <c r="BF25" i="1"/>
  <c r="BC25" i="1"/>
  <c r="BB25" i="1"/>
  <c r="BA25" i="1"/>
  <c r="AZ25" i="1"/>
  <c r="BK24" i="1"/>
  <c r="BJ24" i="1"/>
  <c r="BI24" i="1"/>
  <c r="BH24" i="1"/>
  <c r="BG24" i="1"/>
  <c r="BF24" i="1"/>
  <c r="BC24" i="1"/>
  <c r="BB24" i="1"/>
  <c r="BA24" i="1"/>
  <c r="AZ24" i="1"/>
  <c r="BK23" i="1"/>
  <c r="BJ23" i="1"/>
  <c r="BI23" i="1"/>
  <c r="BH23" i="1"/>
  <c r="BG23" i="1"/>
  <c r="BF23" i="1"/>
  <c r="BC23" i="1"/>
  <c r="BB23" i="1"/>
  <c r="BA23" i="1"/>
  <c r="AZ23" i="1"/>
  <c r="BK22" i="1"/>
  <c r="BJ22" i="1"/>
  <c r="BI22" i="1"/>
  <c r="BH22" i="1"/>
  <c r="BG22" i="1"/>
  <c r="BF22" i="1"/>
  <c r="BC22" i="1"/>
  <c r="BB22" i="1"/>
  <c r="BM22" i="1" s="1"/>
  <c r="BN22" i="1" s="1"/>
  <c r="BA22" i="1"/>
  <c r="AZ22" i="1"/>
  <c r="BK21" i="1"/>
  <c r="BJ21" i="1"/>
  <c r="BI21" i="1"/>
  <c r="BH21" i="1"/>
  <c r="BG21" i="1"/>
  <c r="BF21" i="1"/>
  <c r="BC21" i="1"/>
  <c r="BB21" i="1"/>
  <c r="BA21" i="1"/>
  <c r="AZ21" i="1"/>
  <c r="BM21" i="1" s="1"/>
  <c r="BN21" i="1" s="1"/>
  <c r="BK20" i="1"/>
  <c r="BJ20" i="1"/>
  <c r="BI20" i="1"/>
  <c r="BH20" i="1"/>
  <c r="BG20" i="1"/>
  <c r="BF20" i="1"/>
  <c r="BC20" i="1"/>
  <c r="BB20" i="1"/>
  <c r="BA20" i="1"/>
  <c r="AZ20" i="1"/>
  <c r="BK19" i="1"/>
  <c r="BJ19" i="1"/>
  <c r="BI19" i="1"/>
  <c r="BH19" i="1"/>
  <c r="BG19" i="1"/>
  <c r="BF19" i="1"/>
  <c r="BM19" i="1"/>
  <c r="BN19" i="1" s="1"/>
  <c r="BC19" i="1"/>
  <c r="BB19" i="1"/>
  <c r="BA19" i="1"/>
  <c r="AZ19" i="1"/>
  <c r="BK18" i="1"/>
  <c r="BJ18" i="1"/>
  <c r="BI18" i="1"/>
  <c r="BH18" i="1"/>
  <c r="BG18" i="1"/>
  <c r="BF18" i="1"/>
  <c r="BC18" i="1"/>
  <c r="BB18" i="1"/>
  <c r="BA18" i="1"/>
  <c r="AZ18" i="1"/>
  <c r="BK17" i="1"/>
  <c r="BJ17" i="1"/>
  <c r="BI17" i="1"/>
  <c r="BH17" i="1"/>
  <c r="BG17" i="1"/>
  <c r="BF17" i="1"/>
  <c r="BC17" i="1"/>
  <c r="BB17" i="1"/>
  <c r="BA17" i="1"/>
  <c r="AZ17" i="1"/>
  <c r="BM17" i="1" s="1"/>
  <c r="BN17" i="1" s="1"/>
  <c r="BK16" i="1"/>
  <c r="BJ16" i="1"/>
  <c r="BI16" i="1"/>
  <c r="BH16" i="1"/>
  <c r="BG16" i="1"/>
  <c r="BF16" i="1"/>
  <c r="BC16" i="1"/>
  <c r="BB16" i="1"/>
  <c r="BA16" i="1"/>
  <c r="AZ16" i="1"/>
  <c r="BK15" i="1"/>
  <c r="BJ15" i="1"/>
  <c r="BI15" i="1"/>
  <c r="BH15" i="1"/>
  <c r="BG15" i="1"/>
  <c r="BF15" i="1"/>
  <c r="BC15" i="1"/>
  <c r="BB15" i="1"/>
  <c r="BA15" i="1"/>
  <c r="AZ15" i="1"/>
  <c r="BK14" i="1"/>
  <c r="BJ14" i="1"/>
  <c r="BI14" i="1"/>
  <c r="BH14" i="1"/>
  <c r="BG14" i="1"/>
  <c r="BF14" i="1"/>
  <c r="BC14" i="1"/>
  <c r="BB14" i="1"/>
  <c r="BA14" i="1"/>
  <c r="AZ14" i="1"/>
  <c r="BK13" i="1"/>
  <c r="BJ13" i="1"/>
  <c r="BI13" i="1"/>
  <c r="BH13" i="1"/>
  <c r="BG13" i="1"/>
  <c r="BF13" i="1"/>
  <c r="BC13" i="1"/>
  <c r="BB13" i="1"/>
  <c r="BA13" i="1"/>
  <c r="AZ13" i="1"/>
  <c r="BK12" i="1"/>
  <c r="BJ12" i="1"/>
  <c r="BI12" i="1"/>
  <c r="BH12" i="1"/>
  <c r="BG12" i="1"/>
  <c r="BF12" i="1"/>
  <c r="BC12" i="1"/>
  <c r="BB12" i="1"/>
  <c r="BA12" i="1"/>
  <c r="AZ12" i="1"/>
  <c r="BK11" i="1"/>
  <c r="BJ11" i="1"/>
  <c r="BI11" i="1"/>
  <c r="BH11" i="1"/>
  <c r="BG11" i="1"/>
  <c r="BF11" i="1"/>
  <c r="BC11" i="1"/>
  <c r="BB11" i="1"/>
  <c r="BA11" i="1"/>
  <c r="AZ11" i="1"/>
  <c r="BK10" i="1"/>
  <c r="BJ10" i="1"/>
  <c r="BI10" i="1"/>
  <c r="BH10" i="1"/>
  <c r="BG10" i="1"/>
  <c r="BF10" i="1"/>
  <c r="BC10" i="1"/>
  <c r="BB10" i="1"/>
  <c r="BM10" i="1" s="1"/>
  <c r="BN10" i="1" s="1"/>
  <c r="BA10" i="1"/>
  <c r="AZ10" i="1"/>
  <c r="BK9" i="1"/>
  <c r="BJ9" i="1"/>
  <c r="BI9" i="1"/>
  <c r="BH9" i="1"/>
  <c r="BG9" i="1"/>
  <c r="BF9" i="1"/>
  <c r="BC9" i="1"/>
  <c r="BB9" i="1"/>
  <c r="BA9" i="1"/>
  <c r="AZ9" i="1"/>
  <c r="BK8" i="1"/>
  <c r="BJ8" i="1"/>
  <c r="BI8" i="1"/>
  <c r="BH8" i="1"/>
  <c r="BG8" i="1"/>
  <c r="BF8" i="1"/>
  <c r="BC8" i="1"/>
  <c r="BB8" i="1"/>
  <c r="BA8" i="1"/>
  <c r="AZ8" i="1"/>
  <c r="BK7" i="1"/>
  <c r="BJ7" i="1"/>
  <c r="BI7" i="1"/>
  <c r="BH7" i="1"/>
  <c r="BG7" i="1"/>
  <c r="BF7" i="1"/>
  <c r="BC7" i="1"/>
  <c r="BB7" i="1"/>
  <c r="BA7" i="1"/>
  <c r="AZ7" i="1"/>
  <c r="BK6" i="1"/>
  <c r="BJ6" i="1"/>
  <c r="BI6" i="1"/>
  <c r="BH6" i="1"/>
  <c r="BG6" i="1"/>
  <c r="BF6" i="1"/>
  <c r="BC6" i="1"/>
  <c r="BB6" i="1"/>
  <c r="BA6" i="1"/>
  <c r="AZ6" i="1"/>
  <c r="BK5" i="1"/>
  <c r="BJ5" i="1"/>
  <c r="BI5" i="1"/>
  <c r="BH5" i="1"/>
  <c r="BG5" i="1"/>
  <c r="BF5" i="1"/>
  <c r="BC5" i="1"/>
  <c r="BB5" i="1"/>
  <c r="BA5" i="1"/>
  <c r="AZ5" i="1"/>
  <c r="BK4" i="1"/>
  <c r="BJ4" i="1"/>
  <c r="BI4" i="1"/>
  <c r="BH4" i="1"/>
  <c r="BG4" i="1"/>
  <c r="BF4" i="1"/>
  <c r="BC4" i="1"/>
  <c r="BB4" i="1"/>
  <c r="BA4" i="1"/>
  <c r="AZ4" i="1"/>
  <c r="BK3" i="1"/>
  <c r="BJ3" i="1"/>
  <c r="BI3" i="1"/>
  <c r="BH3" i="1"/>
  <c r="BG3" i="1"/>
  <c r="BF3" i="1"/>
  <c r="BM3" i="1"/>
  <c r="BN3" i="1" s="1"/>
  <c r="BC3" i="1"/>
  <c r="BB3" i="1"/>
  <c r="BA3" i="1"/>
  <c r="AZ3" i="1"/>
  <c r="BK2" i="1"/>
  <c r="BJ2" i="1"/>
  <c r="BI2" i="1"/>
  <c r="BH2" i="1"/>
  <c r="BG2" i="1"/>
  <c r="BF2" i="1"/>
  <c r="BC2" i="1"/>
  <c r="BB2" i="1"/>
  <c r="BA2" i="1"/>
  <c r="AZ2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U53" i="1"/>
  <c r="AU52" i="1"/>
  <c r="AU51" i="1"/>
  <c r="AX51" i="1" s="1"/>
  <c r="AY51" i="1" s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X43" i="1"/>
  <c r="AY43" i="1" s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X41" i="1" s="1"/>
  <c r="AY41" i="1" s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R25" i="1"/>
  <c r="AX25" i="1" s="1"/>
  <c r="AY25" i="1" s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W61" i="1"/>
  <c r="AP61" i="1"/>
  <c r="AO61" i="1"/>
  <c r="AK61" i="1"/>
  <c r="AW60" i="1"/>
  <c r="AP60" i="1"/>
  <c r="AO60" i="1"/>
  <c r="AK60" i="1"/>
  <c r="AW59" i="1"/>
  <c r="AP59" i="1"/>
  <c r="AO59" i="1"/>
  <c r="AK59" i="1"/>
  <c r="AW58" i="1"/>
  <c r="AP58" i="1"/>
  <c r="AO58" i="1"/>
  <c r="AK58" i="1"/>
  <c r="AW57" i="1"/>
  <c r="AP57" i="1"/>
  <c r="AO57" i="1"/>
  <c r="AK57" i="1"/>
  <c r="AX57" i="1" s="1"/>
  <c r="AY57" i="1" s="1"/>
  <c r="AW56" i="1"/>
  <c r="AP56" i="1"/>
  <c r="AO56" i="1"/>
  <c r="AK56" i="1"/>
  <c r="AW55" i="1"/>
  <c r="AP55" i="1"/>
  <c r="AO55" i="1"/>
  <c r="AK55" i="1"/>
  <c r="AW54" i="1"/>
  <c r="AP54" i="1"/>
  <c r="AO54" i="1"/>
  <c r="AK54" i="1"/>
  <c r="AW53" i="1"/>
  <c r="AP53" i="1"/>
  <c r="AO53" i="1"/>
  <c r="AK53" i="1"/>
  <c r="AW52" i="1"/>
  <c r="AP52" i="1"/>
  <c r="AO52" i="1"/>
  <c r="AX52" i="1"/>
  <c r="AY52" i="1" s="1"/>
  <c r="AK52" i="1"/>
  <c r="AW51" i="1"/>
  <c r="AP51" i="1"/>
  <c r="AO51" i="1"/>
  <c r="AK51" i="1"/>
  <c r="AW50" i="1"/>
  <c r="AP50" i="1"/>
  <c r="AO50" i="1"/>
  <c r="AK50" i="1"/>
  <c r="AW49" i="1"/>
  <c r="AP49" i="1"/>
  <c r="AO49" i="1"/>
  <c r="AK49" i="1"/>
  <c r="AW48" i="1"/>
  <c r="AP48" i="1"/>
  <c r="AO48" i="1"/>
  <c r="AK48" i="1"/>
  <c r="AW47" i="1"/>
  <c r="AP47" i="1"/>
  <c r="AO47" i="1"/>
  <c r="AK47" i="1"/>
  <c r="AW46" i="1"/>
  <c r="AP46" i="1"/>
  <c r="AO46" i="1"/>
  <c r="AK46" i="1"/>
  <c r="AW45" i="1"/>
  <c r="AP45" i="1"/>
  <c r="AO45" i="1"/>
  <c r="AK45" i="1"/>
  <c r="AW44" i="1"/>
  <c r="AP44" i="1"/>
  <c r="AO44" i="1"/>
  <c r="AK44" i="1"/>
  <c r="AW43" i="1"/>
  <c r="AP43" i="1"/>
  <c r="AO43" i="1"/>
  <c r="AK43" i="1"/>
  <c r="AW42" i="1"/>
  <c r="AP42" i="1"/>
  <c r="AO42" i="1"/>
  <c r="AK42" i="1"/>
  <c r="AW41" i="1"/>
  <c r="AP41" i="1"/>
  <c r="AO41" i="1"/>
  <c r="AK41" i="1"/>
  <c r="AW40" i="1"/>
  <c r="AP40" i="1"/>
  <c r="AO40" i="1"/>
  <c r="AK40" i="1"/>
  <c r="AW39" i="1"/>
  <c r="AP39" i="1"/>
  <c r="AO39" i="1"/>
  <c r="AK39" i="1"/>
  <c r="AW38" i="1"/>
  <c r="AP38" i="1"/>
  <c r="AO38" i="1"/>
  <c r="AK38" i="1"/>
  <c r="AW37" i="1"/>
  <c r="AP37" i="1"/>
  <c r="AO37" i="1"/>
  <c r="AK37" i="1"/>
  <c r="AW36" i="1"/>
  <c r="AP36" i="1"/>
  <c r="AO36" i="1"/>
  <c r="AK36" i="1"/>
  <c r="AX36" i="1" s="1"/>
  <c r="AY36" i="1" s="1"/>
  <c r="AW35" i="1"/>
  <c r="AP35" i="1"/>
  <c r="AO35" i="1"/>
  <c r="AK35" i="1"/>
  <c r="AX35" i="1" s="1"/>
  <c r="AY35" i="1" s="1"/>
  <c r="AW34" i="1"/>
  <c r="AP34" i="1"/>
  <c r="AO34" i="1"/>
  <c r="AK34" i="1"/>
  <c r="AW33" i="1"/>
  <c r="AP33" i="1"/>
  <c r="AO33" i="1"/>
  <c r="AK33" i="1"/>
  <c r="AW32" i="1"/>
  <c r="AP32" i="1"/>
  <c r="AO32" i="1"/>
  <c r="AK32" i="1"/>
  <c r="AW31" i="1"/>
  <c r="AP31" i="1"/>
  <c r="AO31" i="1"/>
  <c r="AK31" i="1"/>
  <c r="AW30" i="1"/>
  <c r="AP30" i="1"/>
  <c r="AO30" i="1"/>
  <c r="AK30" i="1"/>
  <c r="AW29" i="1"/>
  <c r="AP29" i="1"/>
  <c r="AO29" i="1"/>
  <c r="AK29" i="1"/>
  <c r="AW28" i="1"/>
  <c r="AP28" i="1"/>
  <c r="AO28" i="1"/>
  <c r="AK28" i="1"/>
  <c r="AW27" i="1"/>
  <c r="AP27" i="1"/>
  <c r="AO27" i="1"/>
  <c r="AK27" i="1"/>
  <c r="AX27" i="1" s="1"/>
  <c r="AY27" i="1" s="1"/>
  <c r="AW26" i="1"/>
  <c r="AP26" i="1"/>
  <c r="AO26" i="1"/>
  <c r="AK26" i="1"/>
  <c r="AW25" i="1"/>
  <c r="AP25" i="1"/>
  <c r="AO25" i="1"/>
  <c r="AK25" i="1"/>
  <c r="AW24" i="1"/>
  <c r="AP24" i="1"/>
  <c r="AO24" i="1"/>
  <c r="AK24" i="1"/>
  <c r="AW23" i="1"/>
  <c r="AP23" i="1"/>
  <c r="AO23" i="1"/>
  <c r="AK23" i="1"/>
  <c r="AW22" i="1"/>
  <c r="AP22" i="1"/>
  <c r="AO22" i="1"/>
  <c r="AK22" i="1"/>
  <c r="AW21" i="1"/>
  <c r="AP21" i="1"/>
  <c r="AO21" i="1"/>
  <c r="AK21" i="1"/>
  <c r="AW20" i="1"/>
  <c r="AP20" i="1"/>
  <c r="AO20" i="1"/>
  <c r="AK20" i="1"/>
  <c r="AW19" i="1"/>
  <c r="AP19" i="1"/>
  <c r="AO19" i="1"/>
  <c r="AK19" i="1"/>
  <c r="AW18" i="1"/>
  <c r="AP18" i="1"/>
  <c r="AO18" i="1"/>
  <c r="AK18" i="1"/>
  <c r="AW17" i="1"/>
  <c r="AP17" i="1"/>
  <c r="AO17" i="1"/>
  <c r="AX17" i="1"/>
  <c r="AY17" i="1" s="1"/>
  <c r="AK17" i="1"/>
  <c r="AW16" i="1"/>
  <c r="AP16" i="1"/>
  <c r="AO16" i="1"/>
  <c r="AK16" i="1"/>
  <c r="AW15" i="1"/>
  <c r="AP15" i="1"/>
  <c r="AO15" i="1"/>
  <c r="AK15" i="1"/>
  <c r="AW14" i="1"/>
  <c r="AP14" i="1"/>
  <c r="AO14" i="1"/>
  <c r="AK14" i="1"/>
  <c r="AW13" i="1"/>
  <c r="AP13" i="1"/>
  <c r="AO13" i="1"/>
  <c r="AK13" i="1"/>
  <c r="AW12" i="1"/>
  <c r="AP12" i="1"/>
  <c r="AO12" i="1"/>
  <c r="AK12" i="1"/>
  <c r="AW11" i="1"/>
  <c r="AP11" i="1"/>
  <c r="AO11" i="1"/>
  <c r="AK11" i="1"/>
  <c r="AW10" i="1"/>
  <c r="AP10" i="1"/>
  <c r="AO10" i="1"/>
  <c r="AK10" i="1"/>
  <c r="AW9" i="1"/>
  <c r="AP9" i="1"/>
  <c r="AO9" i="1"/>
  <c r="AK9" i="1"/>
  <c r="AW8" i="1"/>
  <c r="AP8" i="1"/>
  <c r="AO8" i="1"/>
  <c r="AK8" i="1"/>
  <c r="AX8" i="1" s="1"/>
  <c r="AY8" i="1" s="1"/>
  <c r="AW7" i="1"/>
  <c r="AP7" i="1"/>
  <c r="AO7" i="1"/>
  <c r="AK7" i="1"/>
  <c r="AW6" i="1"/>
  <c r="AP6" i="1"/>
  <c r="AO6" i="1"/>
  <c r="AK6" i="1"/>
  <c r="AW5" i="1"/>
  <c r="AP5" i="1"/>
  <c r="AO5" i="1"/>
  <c r="AK5" i="1"/>
  <c r="AW4" i="1"/>
  <c r="AP4" i="1"/>
  <c r="AO4" i="1"/>
  <c r="AK4" i="1"/>
  <c r="AW3" i="1"/>
  <c r="AP3" i="1"/>
  <c r="AO3" i="1"/>
  <c r="AK3" i="1"/>
  <c r="AW2" i="1"/>
  <c r="AP2" i="1"/>
  <c r="AO2" i="1"/>
  <c r="AX2" i="1" s="1"/>
  <c r="AY2" i="1" s="1"/>
  <c r="AK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51" i="1"/>
  <c r="W52" i="1"/>
  <c r="W53" i="1"/>
  <c r="W54" i="1"/>
  <c r="W55" i="1"/>
  <c r="W56" i="1"/>
  <c r="W57" i="1"/>
  <c r="W58" i="1"/>
  <c r="W59" i="1"/>
  <c r="W60" i="1"/>
  <c r="W61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Z39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Z32" i="1"/>
  <c r="X28" i="1"/>
  <c r="X27" i="1"/>
  <c r="W37" i="1"/>
  <c r="W36" i="1"/>
  <c r="W35" i="1"/>
  <c r="W34" i="1"/>
  <c r="W33" i="1"/>
  <c r="W32" i="1"/>
  <c r="W31" i="1"/>
  <c r="W30" i="1"/>
  <c r="W29" i="1"/>
  <c r="W28" i="1"/>
  <c r="W27" i="1"/>
  <c r="W26" i="1"/>
  <c r="AD25" i="1"/>
  <c r="AA25" i="1"/>
  <c r="W25" i="1"/>
  <c r="S25" i="1"/>
  <c r="U49" i="1"/>
  <c r="R48" i="1"/>
  <c r="R40" i="1"/>
  <c r="V39" i="1"/>
  <c r="R39" i="1"/>
  <c r="S35" i="1"/>
  <c r="R31" i="1"/>
  <c r="AD23" i="1"/>
  <c r="W23" i="1"/>
  <c r="AD22" i="1"/>
  <c r="W22" i="1"/>
  <c r="AD21" i="1"/>
  <c r="W21" i="1"/>
  <c r="AD20" i="1"/>
  <c r="W20" i="1"/>
  <c r="AD19" i="1"/>
  <c r="AB19" i="1"/>
  <c r="X19" i="1"/>
  <c r="W19" i="1"/>
  <c r="AD18" i="1"/>
  <c r="W18" i="1"/>
  <c r="AD17" i="1"/>
  <c r="W17" i="1"/>
  <c r="AD16" i="1"/>
  <c r="AC16" i="1"/>
  <c r="W16" i="1"/>
  <c r="AD15" i="1"/>
  <c r="W15" i="1"/>
  <c r="AD14" i="1"/>
  <c r="W14" i="1"/>
  <c r="AD13" i="1"/>
  <c r="W13" i="1"/>
  <c r="AD12" i="1"/>
  <c r="W12" i="1"/>
  <c r="AD11" i="1"/>
  <c r="AB11" i="1"/>
  <c r="X11" i="1"/>
  <c r="W11" i="1"/>
  <c r="AD10" i="1"/>
  <c r="W10" i="1"/>
  <c r="AD24" i="1"/>
  <c r="W24" i="1"/>
  <c r="V11" i="1"/>
  <c r="AD9" i="1"/>
  <c r="AD8" i="1"/>
  <c r="AD7" i="1"/>
  <c r="AD6" i="1"/>
  <c r="AD5" i="1"/>
  <c r="AD4" i="1"/>
  <c r="AD3" i="1"/>
  <c r="AD2" i="1"/>
  <c r="AC3" i="1"/>
  <c r="Z3" i="1"/>
  <c r="AA3" i="1"/>
  <c r="AA5" i="1"/>
  <c r="R3" i="1"/>
  <c r="Y3" i="1"/>
  <c r="W4" i="1"/>
  <c r="S5" i="1"/>
  <c r="W5" i="1"/>
  <c r="W6" i="1"/>
  <c r="W7" i="1"/>
  <c r="W8" i="1"/>
  <c r="X8" i="1"/>
  <c r="U9" i="1"/>
  <c r="W9" i="1"/>
  <c r="X3" i="1"/>
  <c r="V3" i="1"/>
  <c r="W3" i="1"/>
  <c r="W2" i="1"/>
  <c r="P3" i="1"/>
  <c r="Q3" i="1" s="1"/>
  <c r="U3" i="1" s="1"/>
  <c r="P4" i="1"/>
  <c r="Q4" i="1" s="1"/>
  <c r="Y4" i="1" s="1"/>
  <c r="P5" i="1"/>
  <c r="Q5" i="1" s="1"/>
  <c r="Y5" i="1" s="1"/>
  <c r="P6" i="1"/>
  <c r="Q6" i="1" s="1"/>
  <c r="S6" i="1" s="1"/>
  <c r="P7" i="1"/>
  <c r="Q7" i="1" s="1"/>
  <c r="S7" i="1" s="1"/>
  <c r="P8" i="1"/>
  <c r="Q8" i="1" s="1"/>
  <c r="U8" i="1" s="1"/>
  <c r="P9" i="1"/>
  <c r="Q9" i="1" s="1"/>
  <c r="S9" i="1" s="1"/>
  <c r="P10" i="1"/>
  <c r="Q10" i="1" s="1"/>
  <c r="P11" i="1"/>
  <c r="Q11" i="1" s="1"/>
  <c r="AA11" i="1" s="1"/>
  <c r="P12" i="1"/>
  <c r="Q12" i="1" s="1"/>
  <c r="U12" i="1" s="1"/>
  <c r="P13" i="1"/>
  <c r="Q13" i="1" s="1"/>
  <c r="X13" i="1" s="1"/>
  <c r="P14" i="1"/>
  <c r="Q14" i="1" s="1"/>
  <c r="AC14" i="1" s="1"/>
  <c r="P15" i="1"/>
  <c r="Q15" i="1" s="1"/>
  <c r="AA15" i="1" s="1"/>
  <c r="P16" i="1"/>
  <c r="Q16" i="1" s="1"/>
  <c r="U16" i="1" s="1"/>
  <c r="P17" i="1"/>
  <c r="Q17" i="1" s="1"/>
  <c r="AA17" i="1" s="1"/>
  <c r="P18" i="1"/>
  <c r="Q18" i="1" s="1"/>
  <c r="P19" i="1"/>
  <c r="Q19" i="1" s="1"/>
  <c r="AA19" i="1" s="1"/>
  <c r="P20" i="1"/>
  <c r="Q20" i="1" s="1"/>
  <c r="V20" i="1" s="1"/>
  <c r="P21" i="1"/>
  <c r="Q21" i="1" s="1"/>
  <c r="X21" i="1" s="1"/>
  <c r="P22" i="1"/>
  <c r="Q22" i="1" s="1"/>
  <c r="AC22" i="1" s="1"/>
  <c r="P23" i="1"/>
  <c r="Q23" i="1" s="1"/>
  <c r="AA23" i="1" s="1"/>
  <c r="P24" i="1"/>
  <c r="Q24" i="1" s="1"/>
  <c r="AB24" i="1" s="1"/>
  <c r="P25" i="1"/>
  <c r="Q25" i="1" s="1"/>
  <c r="Z25" i="1" s="1"/>
  <c r="P26" i="1"/>
  <c r="Q26" i="1" s="1"/>
  <c r="P27" i="1"/>
  <c r="Q27" i="1" s="1"/>
  <c r="AB27" i="1" s="1"/>
  <c r="P28" i="1"/>
  <c r="Q28" i="1" s="1"/>
  <c r="AA28" i="1" s="1"/>
  <c r="P29" i="1"/>
  <c r="Q29" i="1" s="1"/>
  <c r="P30" i="1"/>
  <c r="Q30" i="1" s="1"/>
  <c r="P31" i="1"/>
  <c r="Q31" i="1" s="1"/>
  <c r="U31" i="1" s="1"/>
  <c r="P32" i="1"/>
  <c r="Q32" i="1" s="1"/>
  <c r="R32" i="1" s="1"/>
  <c r="P33" i="1"/>
  <c r="Q33" i="1" s="1"/>
  <c r="AC33" i="1" s="1"/>
  <c r="P34" i="1"/>
  <c r="Q34" i="1" s="1"/>
  <c r="S34" i="1" s="1"/>
  <c r="P35" i="1"/>
  <c r="Q35" i="1" s="1"/>
  <c r="AB35" i="1" s="1"/>
  <c r="P36" i="1"/>
  <c r="Q36" i="1" s="1"/>
  <c r="X36" i="1" s="1"/>
  <c r="P37" i="1"/>
  <c r="Q37" i="1" s="1"/>
  <c r="P38" i="1"/>
  <c r="Q38" i="1" s="1"/>
  <c r="AB38" i="1" s="1"/>
  <c r="P39" i="1"/>
  <c r="Q39" i="1" s="1"/>
  <c r="U39" i="1" s="1"/>
  <c r="P40" i="1"/>
  <c r="Q40" i="1" s="1"/>
  <c r="AB40" i="1" s="1"/>
  <c r="P41" i="1"/>
  <c r="Q41" i="1" s="1"/>
  <c r="S41" i="1" s="1"/>
  <c r="P42" i="1"/>
  <c r="Q42" i="1" s="1"/>
  <c r="P43" i="1"/>
  <c r="Q43" i="1" s="1"/>
  <c r="AB43" i="1" s="1"/>
  <c r="P44" i="1"/>
  <c r="Q44" i="1" s="1"/>
  <c r="V44" i="1" s="1"/>
  <c r="P45" i="1"/>
  <c r="Q45" i="1" s="1"/>
  <c r="P46" i="1"/>
  <c r="Q46" i="1" s="1"/>
  <c r="S46" i="1" s="1"/>
  <c r="P47" i="1"/>
  <c r="Q47" i="1" s="1"/>
  <c r="U47" i="1" s="1"/>
  <c r="P48" i="1"/>
  <c r="Q48" i="1" s="1"/>
  <c r="S48" i="1" s="1"/>
  <c r="P49" i="1"/>
  <c r="Q49" i="1" s="1"/>
  <c r="S49" i="1" s="1"/>
  <c r="P50" i="1"/>
  <c r="Q50" i="1" s="1"/>
  <c r="P51" i="1"/>
  <c r="Q51" i="1" s="1"/>
  <c r="AB51" i="1" s="1"/>
  <c r="P52" i="1"/>
  <c r="Q52" i="1" s="1"/>
  <c r="U52" i="1" s="1"/>
  <c r="P53" i="1"/>
  <c r="Q53" i="1" s="1"/>
  <c r="P54" i="1"/>
  <c r="Q54" i="1" s="1"/>
  <c r="U54" i="1" s="1"/>
  <c r="P55" i="1"/>
  <c r="Q55" i="1" s="1"/>
  <c r="U55" i="1" s="1"/>
  <c r="P56" i="1"/>
  <c r="Q56" i="1" s="1"/>
  <c r="R56" i="1" s="1"/>
  <c r="P57" i="1"/>
  <c r="Q57" i="1" s="1"/>
  <c r="S57" i="1" s="1"/>
  <c r="P58" i="1"/>
  <c r="Q58" i="1" s="1"/>
  <c r="P59" i="1"/>
  <c r="Q59" i="1" s="1"/>
  <c r="U59" i="1" s="1"/>
  <c r="P60" i="1"/>
  <c r="Q60" i="1" s="1"/>
  <c r="V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2" i="1"/>
  <c r="Q2" i="1" s="1"/>
  <c r="U2" i="1" s="1"/>
  <c r="S18" i="8" l="1"/>
  <c r="S15" i="8"/>
  <c r="S16" i="8"/>
  <c r="S19" i="8"/>
  <c r="S17" i="8"/>
  <c r="BM50" i="1"/>
  <c r="BN50" i="1" s="1"/>
  <c r="BM41" i="1"/>
  <c r="BN41" i="1" s="1"/>
  <c r="BM49" i="1"/>
  <c r="BN49" i="1" s="1"/>
  <c r="BM18" i="1"/>
  <c r="BN18" i="1" s="1"/>
  <c r="BM4" i="1"/>
  <c r="BN4" i="1" s="1"/>
  <c r="BM7" i="1"/>
  <c r="BN7" i="1" s="1"/>
  <c r="BM44" i="1"/>
  <c r="BN44" i="1" s="1"/>
  <c r="BM42" i="1"/>
  <c r="BN42" i="1" s="1"/>
  <c r="BM29" i="1"/>
  <c r="BN29" i="1" s="1"/>
  <c r="BM25" i="1"/>
  <c r="BN25" i="1" s="1"/>
  <c r="BM20" i="1"/>
  <c r="BN20" i="1" s="1"/>
  <c r="BM13" i="1"/>
  <c r="BN13" i="1" s="1"/>
  <c r="BM2" i="1"/>
  <c r="BN2" i="1" s="1"/>
  <c r="BM54" i="1"/>
  <c r="BN54" i="1" s="1"/>
  <c r="BM30" i="1"/>
  <c r="BN30" i="1" s="1"/>
  <c r="BM6" i="1"/>
  <c r="BN6" i="1" s="1"/>
  <c r="BM12" i="1"/>
  <c r="BN12" i="1" s="1"/>
  <c r="BM37" i="1"/>
  <c r="BN37" i="1" s="1"/>
  <c r="BM38" i="1"/>
  <c r="BN38" i="1" s="1"/>
  <c r="BM45" i="1"/>
  <c r="BN45" i="1" s="1"/>
  <c r="BM46" i="1"/>
  <c r="BN46" i="1" s="1"/>
  <c r="BM53" i="1"/>
  <c r="BN53" i="1" s="1"/>
  <c r="BM16" i="1"/>
  <c r="BN16" i="1" s="1"/>
  <c r="BM33" i="1"/>
  <c r="BN33" i="1" s="1"/>
  <c r="BM39" i="1"/>
  <c r="BN39" i="1" s="1"/>
  <c r="BM47" i="1"/>
  <c r="BN47" i="1" s="1"/>
  <c r="BM56" i="1"/>
  <c r="BN56" i="1" s="1"/>
  <c r="BM8" i="1"/>
  <c r="BN8" i="1" s="1"/>
  <c r="BM5" i="1"/>
  <c r="BN5" i="1" s="1"/>
  <c r="BM14" i="1"/>
  <c r="BN14" i="1" s="1"/>
  <c r="BM40" i="1"/>
  <c r="BN40" i="1" s="1"/>
  <c r="BM48" i="1"/>
  <c r="BN48" i="1" s="1"/>
  <c r="BM9" i="1"/>
  <c r="BN9" i="1" s="1"/>
  <c r="BM24" i="1"/>
  <c r="BN24" i="1" s="1"/>
  <c r="BM31" i="1"/>
  <c r="BN31" i="1" s="1"/>
  <c r="BM55" i="1"/>
  <c r="BN55" i="1" s="1"/>
  <c r="AX44" i="1"/>
  <c r="AY44" i="1" s="1"/>
  <c r="AX15" i="1"/>
  <c r="AY15" i="1" s="1"/>
  <c r="AX19" i="1"/>
  <c r="AY19" i="1" s="1"/>
  <c r="AX4" i="1"/>
  <c r="AY4" i="1" s="1"/>
  <c r="AX45" i="1"/>
  <c r="AY45" i="1" s="1"/>
  <c r="AX48" i="1"/>
  <c r="AY48" i="1" s="1"/>
  <c r="AX49" i="1"/>
  <c r="AY49" i="1" s="1"/>
  <c r="AX29" i="1"/>
  <c r="AY29" i="1" s="1"/>
  <c r="AX37" i="1"/>
  <c r="AY37" i="1" s="1"/>
  <c r="AX13" i="1"/>
  <c r="AY13" i="1" s="1"/>
  <c r="AX21" i="1"/>
  <c r="AY21" i="1" s="1"/>
  <c r="AX53" i="1"/>
  <c r="AY53" i="1" s="1"/>
  <c r="AX11" i="1"/>
  <c r="AY11" i="1" s="1"/>
  <c r="AX3" i="1"/>
  <c r="AY3" i="1" s="1"/>
  <c r="AX5" i="1"/>
  <c r="AY5" i="1" s="1"/>
  <c r="AX33" i="1"/>
  <c r="AY33" i="1" s="1"/>
  <c r="AX12" i="1"/>
  <c r="AY12" i="1" s="1"/>
  <c r="AX59" i="1"/>
  <c r="AY59" i="1" s="1"/>
  <c r="AX61" i="1"/>
  <c r="AY61" i="1" s="1"/>
  <c r="AX26" i="1"/>
  <c r="AY26" i="1" s="1"/>
  <c r="AX34" i="1"/>
  <c r="AY34" i="1" s="1"/>
  <c r="AX42" i="1"/>
  <c r="AY42" i="1" s="1"/>
  <c r="AX32" i="1"/>
  <c r="AY32" i="1" s="1"/>
  <c r="AX10" i="1"/>
  <c r="AY10" i="1" s="1"/>
  <c r="AX58" i="1"/>
  <c r="AY58" i="1" s="1"/>
  <c r="AX22" i="1"/>
  <c r="AY22" i="1" s="1"/>
  <c r="AX50" i="1"/>
  <c r="AY50" i="1" s="1"/>
  <c r="AX18" i="1"/>
  <c r="AY18" i="1" s="1"/>
  <c r="AX54" i="1"/>
  <c r="AY54" i="1" s="1"/>
  <c r="AX7" i="1"/>
  <c r="AY7" i="1" s="1"/>
  <c r="AX23" i="1"/>
  <c r="AY23" i="1" s="1"/>
  <c r="AX30" i="1"/>
  <c r="AY30" i="1" s="1"/>
  <c r="AX6" i="1"/>
  <c r="AY6" i="1" s="1"/>
  <c r="AX16" i="1"/>
  <c r="AY16" i="1" s="1"/>
  <c r="AX28" i="1"/>
  <c r="AY28" i="1" s="1"/>
  <c r="AX38" i="1"/>
  <c r="AY38" i="1" s="1"/>
  <c r="AX56" i="1"/>
  <c r="AY56" i="1" s="1"/>
  <c r="AX60" i="1"/>
  <c r="AY60" i="1" s="1"/>
  <c r="AX20" i="1"/>
  <c r="AY20" i="1" s="1"/>
  <c r="AX39" i="1"/>
  <c r="AY39" i="1" s="1"/>
  <c r="AX14" i="1"/>
  <c r="AY14" i="1" s="1"/>
  <c r="AX24" i="1"/>
  <c r="AY24" i="1" s="1"/>
  <c r="AX46" i="1"/>
  <c r="AY46" i="1" s="1"/>
  <c r="AX55" i="1"/>
  <c r="AY55" i="1" s="1"/>
  <c r="AX9" i="1"/>
  <c r="AY9" i="1" s="1"/>
  <c r="AX31" i="1"/>
  <c r="AY31" i="1" s="1"/>
  <c r="AX40" i="1"/>
  <c r="AY40" i="1" s="1"/>
  <c r="AX47" i="1"/>
  <c r="AY47" i="1" s="1"/>
  <c r="U22" i="1"/>
  <c r="R29" i="1"/>
  <c r="S12" i="1"/>
  <c r="Y7" i="1"/>
  <c r="Z7" i="1"/>
  <c r="R16" i="1"/>
  <c r="AE16" i="1" s="1"/>
  <c r="X15" i="1"/>
  <c r="X17" i="1"/>
  <c r="X23" i="1"/>
  <c r="V31" i="1"/>
  <c r="V41" i="1"/>
  <c r="V51" i="1"/>
  <c r="AA27" i="1"/>
  <c r="Z40" i="1"/>
  <c r="AB7" i="1"/>
  <c r="R23" i="1"/>
  <c r="AB15" i="1"/>
  <c r="AB20" i="1"/>
  <c r="AB23" i="1"/>
  <c r="S32" i="1"/>
  <c r="R43" i="1"/>
  <c r="R55" i="1"/>
  <c r="AB31" i="1"/>
  <c r="Z47" i="1"/>
  <c r="U7" i="1"/>
  <c r="V14" i="1"/>
  <c r="AC15" i="1"/>
  <c r="AC23" i="1"/>
  <c r="R35" i="1"/>
  <c r="V43" i="1"/>
  <c r="V55" i="1"/>
  <c r="AC27" i="1"/>
  <c r="AA47" i="1"/>
  <c r="AC5" i="1"/>
  <c r="AB13" i="1"/>
  <c r="AA48" i="1"/>
  <c r="AA7" i="1"/>
  <c r="AC7" i="1"/>
  <c r="V17" i="1"/>
  <c r="S27" i="1"/>
  <c r="V36" i="1"/>
  <c r="V47" i="1"/>
  <c r="V59" i="1"/>
  <c r="AB47" i="1"/>
  <c r="AB9" i="1"/>
  <c r="Z17" i="1"/>
  <c r="V49" i="1"/>
  <c r="AB25" i="1"/>
  <c r="AB17" i="1"/>
  <c r="AC19" i="1"/>
  <c r="R45" i="1"/>
  <c r="R51" i="1"/>
  <c r="AC25" i="1"/>
  <c r="X35" i="1"/>
  <c r="AC35" i="1"/>
  <c r="S2" i="1"/>
  <c r="V4" i="1"/>
  <c r="R2" i="1"/>
  <c r="Z5" i="1"/>
  <c r="AC4" i="1"/>
  <c r="R15" i="1"/>
  <c r="AC11" i="1"/>
  <c r="AC17" i="1"/>
  <c r="R27" i="1"/>
  <c r="V35" i="1"/>
  <c r="U41" i="1"/>
  <c r="R47" i="1"/>
  <c r="S51" i="1"/>
  <c r="R61" i="1"/>
  <c r="Z31" i="1"/>
  <c r="AC36" i="1"/>
  <c r="AA39" i="1"/>
  <c r="X9" i="1"/>
  <c r="R17" i="1"/>
  <c r="V57" i="1"/>
  <c r="X6" i="1"/>
  <c r="AA9" i="1"/>
  <c r="AB3" i="1"/>
  <c r="AC9" i="1"/>
  <c r="AC12" i="1"/>
  <c r="AC20" i="1"/>
  <c r="V27" i="1"/>
  <c r="U33" i="1"/>
  <c r="U38" i="1"/>
  <c r="S43" i="1"/>
  <c r="V52" i="1"/>
  <c r="R59" i="1"/>
  <c r="U25" i="1"/>
  <c r="AA35" i="1"/>
  <c r="AB39" i="1"/>
  <c r="X14" i="1"/>
  <c r="X22" i="1"/>
  <c r="U57" i="1"/>
  <c r="R9" i="1"/>
  <c r="Z9" i="1"/>
  <c r="AB14" i="1"/>
  <c r="V9" i="1"/>
  <c r="Y9" i="1"/>
  <c r="AB4" i="1"/>
  <c r="R11" i="1"/>
  <c r="U14" i="1"/>
  <c r="V28" i="1"/>
  <c r="V33" i="1"/>
  <c r="S59" i="1"/>
  <c r="AA36" i="1"/>
  <c r="V58" i="1"/>
  <c r="U58" i="1"/>
  <c r="R58" i="1"/>
  <c r="S58" i="1"/>
  <c r="V50" i="1"/>
  <c r="U50" i="1"/>
  <c r="AB50" i="1"/>
  <c r="AA50" i="1"/>
  <c r="Z50" i="1"/>
  <c r="R50" i="1"/>
  <c r="S50" i="1"/>
  <c r="V42" i="1"/>
  <c r="U42" i="1"/>
  <c r="AB42" i="1"/>
  <c r="AA42" i="1"/>
  <c r="Z42" i="1"/>
  <c r="R42" i="1"/>
  <c r="S42" i="1"/>
  <c r="V26" i="1"/>
  <c r="U26" i="1"/>
  <c r="AB26" i="1"/>
  <c r="R26" i="1"/>
  <c r="X26" i="1"/>
  <c r="Z26" i="1"/>
  <c r="AC26" i="1"/>
  <c r="AA26" i="1"/>
  <c r="S26" i="1"/>
  <c r="AA10" i="1"/>
  <c r="R10" i="1"/>
  <c r="Z10" i="1"/>
  <c r="Y10" i="1"/>
  <c r="V10" i="1"/>
  <c r="U10" i="1"/>
  <c r="AC10" i="1"/>
  <c r="X10" i="1"/>
  <c r="AB10" i="1"/>
  <c r="S10" i="1"/>
  <c r="AA18" i="1"/>
  <c r="S18" i="1"/>
  <c r="Z18" i="1"/>
  <c r="Y18" i="1"/>
  <c r="AB30" i="1"/>
  <c r="Z46" i="1"/>
  <c r="V56" i="1"/>
  <c r="AE56" i="1"/>
  <c r="AH56" i="1" s="1"/>
  <c r="V48" i="1"/>
  <c r="AE48" i="1"/>
  <c r="AF48" i="1" s="1"/>
  <c r="V40" i="1"/>
  <c r="AC32" i="1"/>
  <c r="AA32" i="1"/>
  <c r="X32" i="1"/>
  <c r="V32" i="1"/>
  <c r="X24" i="1"/>
  <c r="S24" i="1"/>
  <c r="AC24" i="1"/>
  <c r="Y24" i="1"/>
  <c r="AA24" i="1"/>
  <c r="AA16" i="1"/>
  <c r="S16" i="1"/>
  <c r="Z16" i="1"/>
  <c r="Y16" i="1"/>
  <c r="R8" i="1"/>
  <c r="AC8" i="1"/>
  <c r="AB8" i="1"/>
  <c r="Z8" i="1"/>
  <c r="Y8" i="1"/>
  <c r="V6" i="1"/>
  <c r="AA8" i="1"/>
  <c r="R18" i="1"/>
  <c r="V18" i="1"/>
  <c r="V22" i="1"/>
  <c r="X16" i="1"/>
  <c r="AB22" i="1"/>
  <c r="U32" i="1"/>
  <c r="U48" i="1"/>
  <c r="X30" i="1"/>
  <c r="Z34" i="1"/>
  <c r="V8" i="1"/>
  <c r="R12" i="1"/>
  <c r="R22" i="1"/>
  <c r="AB16" i="1"/>
  <c r="S30" i="1"/>
  <c r="U36" i="1"/>
  <c r="X34" i="1"/>
  <c r="AB32" i="1"/>
  <c r="Z48" i="1"/>
  <c r="U18" i="1"/>
  <c r="R46" i="1"/>
  <c r="V46" i="1"/>
  <c r="AA22" i="1"/>
  <c r="S22" i="1"/>
  <c r="Z22" i="1"/>
  <c r="Y22" i="1"/>
  <c r="V61" i="1"/>
  <c r="U61" i="1"/>
  <c r="S61" i="1"/>
  <c r="AB53" i="1"/>
  <c r="AA53" i="1"/>
  <c r="Z53" i="1"/>
  <c r="V53" i="1"/>
  <c r="U53" i="1"/>
  <c r="S53" i="1"/>
  <c r="AB45" i="1"/>
  <c r="AA45" i="1"/>
  <c r="Z45" i="1"/>
  <c r="V45" i="1"/>
  <c r="U45" i="1"/>
  <c r="S45" i="1"/>
  <c r="AB37" i="1"/>
  <c r="Z37" i="1"/>
  <c r="V37" i="1"/>
  <c r="U37" i="1"/>
  <c r="AC37" i="1"/>
  <c r="AA37" i="1"/>
  <c r="X37" i="1"/>
  <c r="S37" i="1"/>
  <c r="AB29" i="1"/>
  <c r="Z29" i="1"/>
  <c r="V29" i="1"/>
  <c r="U29" i="1"/>
  <c r="AC29" i="1"/>
  <c r="AA29" i="1"/>
  <c r="X29" i="1"/>
  <c r="S29" i="1"/>
  <c r="AA21" i="1"/>
  <c r="R21" i="1"/>
  <c r="Z21" i="1"/>
  <c r="V21" i="1"/>
  <c r="Y21" i="1"/>
  <c r="U21" i="1"/>
  <c r="S21" i="1"/>
  <c r="AA13" i="1"/>
  <c r="R13" i="1"/>
  <c r="Z13" i="1"/>
  <c r="V13" i="1"/>
  <c r="Y13" i="1"/>
  <c r="U13" i="1"/>
  <c r="S13" i="1"/>
  <c r="V5" i="1"/>
  <c r="X5" i="1"/>
  <c r="R5" i="1"/>
  <c r="S8" i="1"/>
  <c r="U5" i="1"/>
  <c r="AB5" i="1"/>
  <c r="R24" i="1"/>
  <c r="V16" i="1"/>
  <c r="U20" i="1"/>
  <c r="U24" i="1"/>
  <c r="AC13" i="1"/>
  <c r="X18" i="1"/>
  <c r="AB21" i="1"/>
  <c r="U30" i="1"/>
  <c r="R37" i="1"/>
  <c r="S40" i="1"/>
  <c r="U46" i="1"/>
  <c r="R53" i="1"/>
  <c r="S56" i="1"/>
  <c r="AB46" i="1"/>
  <c r="R38" i="1"/>
  <c r="V38" i="1"/>
  <c r="AA14" i="1"/>
  <c r="S14" i="1"/>
  <c r="Z14" i="1"/>
  <c r="Y14" i="1"/>
  <c r="S60" i="1"/>
  <c r="R60" i="1"/>
  <c r="AB44" i="1"/>
  <c r="AA44" i="1"/>
  <c r="Z44" i="1"/>
  <c r="S44" i="1"/>
  <c r="R44" i="1"/>
  <c r="AA12" i="1"/>
  <c r="Z12" i="1"/>
  <c r="Y12" i="1"/>
  <c r="V12" i="1"/>
  <c r="AC21" i="1"/>
  <c r="U56" i="1"/>
  <c r="V34" i="1"/>
  <c r="U34" i="1"/>
  <c r="AB34" i="1"/>
  <c r="R34" i="1"/>
  <c r="R54" i="1"/>
  <c r="V54" i="1"/>
  <c r="R30" i="1"/>
  <c r="AC30" i="1"/>
  <c r="AA30" i="1"/>
  <c r="V30" i="1"/>
  <c r="AC6" i="1"/>
  <c r="AB6" i="1"/>
  <c r="Z6" i="1"/>
  <c r="AA6" i="1"/>
  <c r="Y6" i="1"/>
  <c r="U6" i="1"/>
  <c r="AA38" i="1"/>
  <c r="AB52" i="1"/>
  <c r="AA52" i="1"/>
  <c r="Z52" i="1"/>
  <c r="S52" i="1"/>
  <c r="R52" i="1"/>
  <c r="AB36" i="1"/>
  <c r="Z36" i="1"/>
  <c r="S36" i="1"/>
  <c r="R36" i="1"/>
  <c r="AB28" i="1"/>
  <c r="Z28" i="1"/>
  <c r="S28" i="1"/>
  <c r="R28" i="1"/>
  <c r="AA20" i="1"/>
  <c r="S20" i="1"/>
  <c r="Z20" i="1"/>
  <c r="R20" i="1"/>
  <c r="Y20" i="1"/>
  <c r="S4" i="1"/>
  <c r="AA4" i="1"/>
  <c r="U4" i="1"/>
  <c r="R4" i="1"/>
  <c r="R14" i="1"/>
  <c r="V24" i="1"/>
  <c r="X12" i="1"/>
  <c r="AB18" i="1"/>
  <c r="U40" i="1"/>
  <c r="AA34" i="1"/>
  <c r="AC28" i="1"/>
  <c r="Z38" i="1"/>
  <c r="AA40" i="1"/>
  <c r="AC2" i="1"/>
  <c r="AB2" i="1"/>
  <c r="Z2" i="1"/>
  <c r="AA2" i="1"/>
  <c r="Y2" i="1"/>
  <c r="X2" i="1"/>
  <c r="V2" i="1"/>
  <c r="X4" i="1"/>
  <c r="R6" i="1"/>
  <c r="Z4" i="1"/>
  <c r="Z24" i="1"/>
  <c r="AB12" i="1"/>
  <c r="AC18" i="1"/>
  <c r="X20" i="1"/>
  <c r="U28" i="1"/>
  <c r="S38" i="1"/>
  <c r="U44" i="1"/>
  <c r="S54" i="1"/>
  <c r="AE54" i="1" s="1"/>
  <c r="AF54" i="1" s="1"/>
  <c r="U60" i="1"/>
  <c r="Z30" i="1"/>
  <c r="AC34" i="1"/>
  <c r="AA46" i="1"/>
  <c r="AB48" i="1"/>
  <c r="S3" i="1"/>
  <c r="X7" i="1"/>
  <c r="S15" i="1"/>
  <c r="AE15" i="1" s="1"/>
  <c r="AF15" i="1" s="1"/>
  <c r="S17" i="1"/>
  <c r="S19" i="1"/>
  <c r="S23" i="1"/>
  <c r="U27" i="1"/>
  <c r="U35" i="1"/>
  <c r="U43" i="1"/>
  <c r="U51" i="1"/>
  <c r="AE51" i="1" s="1"/>
  <c r="AG51" i="1" s="1"/>
  <c r="V25" i="1"/>
  <c r="Z33" i="1"/>
  <c r="AB33" i="1"/>
  <c r="Z41" i="1"/>
  <c r="Z49" i="1"/>
  <c r="AA41" i="1"/>
  <c r="AA49" i="1"/>
  <c r="AB41" i="1"/>
  <c r="AB49" i="1"/>
  <c r="V7" i="1"/>
  <c r="R7" i="1"/>
  <c r="S11" i="1"/>
  <c r="R19" i="1"/>
  <c r="U15" i="1"/>
  <c r="U17" i="1"/>
  <c r="U19" i="1"/>
  <c r="U23" i="1"/>
  <c r="Y11" i="1"/>
  <c r="Y15" i="1"/>
  <c r="Y17" i="1"/>
  <c r="Y19" i="1"/>
  <c r="Y23" i="1"/>
  <c r="S31" i="1"/>
  <c r="S39" i="1"/>
  <c r="S47" i="1"/>
  <c r="AE47" i="1" s="1"/>
  <c r="S55" i="1"/>
  <c r="X25" i="1"/>
  <c r="X31" i="1"/>
  <c r="Z27" i="1"/>
  <c r="Z35" i="1"/>
  <c r="AA31" i="1"/>
  <c r="AC31" i="1"/>
  <c r="Z43" i="1"/>
  <c r="Z51" i="1"/>
  <c r="AA43" i="1"/>
  <c r="AA51" i="1"/>
  <c r="V15" i="1"/>
  <c r="V19" i="1"/>
  <c r="V23" i="1"/>
  <c r="Z11" i="1"/>
  <c r="Z15" i="1"/>
  <c r="Z19" i="1"/>
  <c r="Z23" i="1"/>
  <c r="R33" i="1"/>
  <c r="R41" i="1"/>
  <c r="AE41" i="1" s="1"/>
  <c r="R49" i="1"/>
  <c r="R57" i="1"/>
  <c r="AE57" i="1" s="1"/>
  <c r="AF57" i="1" s="1"/>
  <c r="Y25" i="1"/>
  <c r="U11" i="1"/>
  <c r="S33" i="1"/>
  <c r="R25" i="1"/>
  <c r="X33" i="1"/>
  <c r="AA33" i="1"/>
  <c r="AE31" i="1" l="1"/>
  <c r="AG31" i="1" s="1"/>
  <c r="AE4" i="1"/>
  <c r="AG4" i="1" s="1"/>
  <c r="AE39" i="1"/>
  <c r="AF39" i="1" s="1"/>
  <c r="AE3" i="1"/>
  <c r="AF3" i="1" s="1"/>
  <c r="AE61" i="1"/>
  <c r="AF61" i="1" s="1"/>
  <c r="AE20" i="1"/>
  <c r="AF20" i="1" s="1"/>
  <c r="AE32" i="1"/>
  <c r="AF32" i="1" s="1"/>
  <c r="AE58" i="1"/>
  <c r="AF58" i="1" s="1"/>
  <c r="AE33" i="1"/>
  <c r="AI33" i="1" s="1"/>
  <c r="AE43" i="1"/>
  <c r="AF43" i="1" s="1"/>
  <c r="AE28" i="1"/>
  <c r="AI28" i="1" s="1"/>
  <c r="AE59" i="1"/>
  <c r="AH59" i="1" s="1"/>
  <c r="AE53" i="1"/>
  <c r="AF53" i="1" s="1"/>
  <c r="AE60" i="1"/>
  <c r="AG60" i="1" s="1"/>
  <c r="AJ60" i="1" s="1"/>
  <c r="AE9" i="1"/>
  <c r="AG9" i="1" s="1"/>
  <c r="AF41" i="1"/>
  <c r="AI41" i="1"/>
  <c r="AH41" i="1"/>
  <c r="AF60" i="1"/>
  <c r="AI60" i="1"/>
  <c r="AH15" i="1"/>
  <c r="AE5" i="1"/>
  <c r="AG5" i="1" s="1"/>
  <c r="AE50" i="1"/>
  <c r="AF50" i="1" s="1"/>
  <c r="AE35" i="1"/>
  <c r="AH35" i="1" s="1"/>
  <c r="AE22" i="1"/>
  <c r="AF22" i="1" s="1"/>
  <c r="AE27" i="1"/>
  <c r="AF27" i="1" s="1"/>
  <c r="AE2" i="1"/>
  <c r="AG2" i="1" s="1"/>
  <c r="AE25" i="1"/>
  <c r="AF25" i="1" s="1"/>
  <c r="AE55" i="1"/>
  <c r="AG55" i="1" s="1"/>
  <c r="AE38" i="1"/>
  <c r="AF38" i="1" s="1"/>
  <c r="AH28" i="1"/>
  <c r="AE52" i="1"/>
  <c r="AG52" i="1" s="1"/>
  <c r="AE6" i="1"/>
  <c r="AH6" i="1" s="1"/>
  <c r="AE12" i="1"/>
  <c r="AF12" i="1" s="1"/>
  <c r="AE44" i="1"/>
  <c r="AI44" i="1" s="1"/>
  <c r="AE46" i="1"/>
  <c r="AF46" i="1" s="1"/>
  <c r="AE13" i="1"/>
  <c r="AI13" i="1" s="1"/>
  <c r="AE29" i="1"/>
  <c r="AF29" i="1" s="1"/>
  <c r="AE45" i="1"/>
  <c r="AG45" i="1" s="1"/>
  <c r="AE8" i="1"/>
  <c r="AG8" i="1" s="1"/>
  <c r="AE26" i="1"/>
  <c r="AF26" i="1" s="1"/>
  <c r="AE42" i="1"/>
  <c r="AF42" i="1" s="1"/>
  <c r="AH60" i="1"/>
  <c r="AE11" i="1"/>
  <c r="AH11" i="1" s="1"/>
  <c r="AE30" i="1"/>
  <c r="AI30" i="1" s="1"/>
  <c r="AE49" i="1"/>
  <c r="AH49" i="1" s="1"/>
  <c r="AE23" i="1"/>
  <c r="AF23" i="1" s="1"/>
  <c r="AE17" i="1"/>
  <c r="AG17" i="1" s="1"/>
  <c r="AE36" i="1"/>
  <c r="AG36" i="1" s="1"/>
  <c r="AE34" i="1"/>
  <c r="AI34" i="1" s="1"/>
  <c r="AE40" i="1"/>
  <c r="AI40" i="1" s="1"/>
  <c r="AE21" i="1"/>
  <c r="AF21" i="1" s="1"/>
  <c r="AE19" i="1"/>
  <c r="AF19" i="1" s="1"/>
  <c r="AH51" i="1"/>
  <c r="AE7" i="1"/>
  <c r="AG7" i="1" s="1"/>
  <c r="AF47" i="1"/>
  <c r="AI47" i="1"/>
  <c r="AI17" i="1"/>
  <c r="AF36" i="1"/>
  <c r="AI32" i="1"/>
  <c r="AI51" i="1"/>
  <c r="AG15" i="1"/>
  <c r="AE18" i="1"/>
  <c r="AF18" i="1" s="1"/>
  <c r="AE14" i="1"/>
  <c r="AH14" i="1" s="1"/>
  <c r="AF51" i="1"/>
  <c r="AE37" i="1"/>
  <c r="AH37" i="1" s="1"/>
  <c r="AH32" i="1"/>
  <c r="AG39" i="1"/>
  <c r="AE24" i="1"/>
  <c r="AH24" i="1" s="1"/>
  <c r="AI15" i="1"/>
  <c r="AE10" i="1"/>
  <c r="AF10" i="1" s="1"/>
  <c r="AI2" i="1"/>
  <c r="AH2" i="1"/>
  <c r="AF9" i="1"/>
  <c r="AI9" i="1"/>
  <c r="AF16" i="1"/>
  <c r="AG16" i="1"/>
  <c r="AI16" i="1"/>
  <c r="AG3" i="1"/>
  <c r="AI11" i="1"/>
  <c r="AH20" i="1"/>
  <c r="AH7" i="1"/>
  <c r="AG47" i="1"/>
  <c r="AI56" i="1"/>
  <c r="AI12" i="1"/>
  <c r="AG21" i="1"/>
  <c r="AF8" i="1"/>
  <c r="AG37" i="1"/>
  <c r="AI39" i="1"/>
  <c r="AH47" i="1"/>
  <c r="AG41" i="1"/>
  <c r="AH57" i="1"/>
  <c r="AF6" i="1"/>
  <c r="AH16" i="1"/>
  <c r="AG6" i="1"/>
  <c r="AI20" i="1"/>
  <c r="AG22" i="1"/>
  <c r="AH22" i="1"/>
  <c r="AF4" i="1"/>
  <c r="AH4" i="1"/>
  <c r="AF5" i="1"/>
  <c r="AI5" i="1"/>
  <c r="AI57" i="1"/>
  <c r="AG54" i="1"/>
  <c r="AG57" i="1"/>
  <c r="AI54" i="1"/>
  <c r="AH54" i="1"/>
  <c r="AF56" i="1"/>
  <c r="AG56" i="1"/>
  <c r="AF55" i="1"/>
  <c r="AG48" i="1"/>
  <c r="AG61" i="1"/>
  <c r="AH48" i="1"/>
  <c r="AI48" i="1"/>
  <c r="AG43" i="1"/>
  <c r="AG46" i="1"/>
  <c r="AI46" i="1"/>
  <c r="AH43" i="1"/>
  <c r="AH52" i="1"/>
  <c r="AG28" i="1"/>
  <c r="AH36" i="1"/>
  <c r="AF31" i="1"/>
  <c r="AI31" i="1"/>
  <c r="AG26" i="1"/>
  <c r="AI26" i="1"/>
  <c r="AF30" i="1"/>
  <c r="AH30" i="1"/>
  <c r="AG30" i="1"/>
  <c r="AF33" i="1"/>
  <c r="AG33" i="1"/>
  <c r="AH34" i="1"/>
  <c r="AG34" i="1"/>
  <c r="AI25" i="1"/>
  <c r="AH25" i="1"/>
  <c r="AG25" i="1"/>
  <c r="AG40" i="1" l="1"/>
  <c r="AH44" i="1"/>
  <c r="AG14" i="1"/>
  <c r="AH40" i="1"/>
  <c r="AI6" i="1"/>
  <c r="AI36" i="1"/>
  <c r="AF40" i="1"/>
  <c r="AI4" i="1"/>
  <c r="AJ4" i="1" s="1"/>
  <c r="AI3" i="1"/>
  <c r="AF28" i="1"/>
  <c r="AJ36" i="1"/>
  <c r="AG42" i="1"/>
  <c r="AJ42" i="1" s="1"/>
  <c r="AG44" i="1"/>
  <c r="AI58" i="1"/>
  <c r="AH26" i="1"/>
  <c r="AI42" i="1"/>
  <c r="AG58" i="1"/>
  <c r="AG20" i="1"/>
  <c r="AJ20" i="1" s="1"/>
  <c r="AF2" i="1"/>
  <c r="AI52" i="1"/>
  <c r="AJ52" i="1" s="1"/>
  <c r="AH17" i="1"/>
  <c r="AI50" i="1"/>
  <c r="AF7" i="1"/>
  <c r="AF17" i="1"/>
  <c r="AF49" i="1"/>
  <c r="AI53" i="1"/>
  <c r="AH39" i="1"/>
  <c r="AJ39" i="1" s="1"/>
  <c r="AG53" i="1"/>
  <c r="AJ53" i="1" s="1"/>
  <c r="AH13" i="1"/>
  <c r="AG11" i="1"/>
  <c r="AJ11" i="1" s="1"/>
  <c r="AI29" i="1"/>
  <c r="AI59" i="1"/>
  <c r="AH53" i="1"/>
  <c r="AF44" i="1"/>
  <c r="AI61" i="1"/>
  <c r="AJ61" i="1" s="1"/>
  <c r="AH58" i="1"/>
  <c r="AI8" i="1"/>
  <c r="AG59" i="1"/>
  <c r="AF11" i="1"/>
  <c r="AG24" i="1"/>
  <c r="AJ24" i="1" s="1"/>
  <c r="AF59" i="1"/>
  <c r="AH33" i="1"/>
  <c r="AJ33" i="1" s="1"/>
  <c r="AH42" i="1"/>
  <c r="AI43" i="1"/>
  <c r="AJ43" i="1" s="1"/>
  <c r="AH61" i="1"/>
  <c r="AH5" i="1"/>
  <c r="AJ5" i="1" s="1"/>
  <c r="AH8" i="1"/>
  <c r="AJ8" i="1" s="1"/>
  <c r="AH31" i="1"/>
  <c r="AJ31" i="1" s="1"/>
  <c r="AH3" i="1"/>
  <c r="AH9" i="1"/>
  <c r="AG32" i="1"/>
  <c r="AI24" i="1"/>
  <c r="AJ51" i="1"/>
  <c r="AG35" i="1"/>
  <c r="AF52" i="1"/>
  <c r="AI7" i="1"/>
  <c r="AG50" i="1"/>
  <c r="AF35" i="1"/>
  <c r="AF45" i="1"/>
  <c r="AG23" i="1"/>
  <c r="AI21" i="1"/>
  <c r="AJ47" i="1"/>
  <c r="AH21" i="1"/>
  <c r="AI19" i="1"/>
  <c r="AF34" i="1"/>
  <c r="AH27" i="1"/>
  <c r="AJ28" i="1"/>
  <c r="AH46" i="1"/>
  <c r="AJ46" i="1" s="1"/>
  <c r="AI55" i="1"/>
  <c r="AJ54" i="1"/>
  <c r="AH18" i="1"/>
  <c r="AF13" i="1"/>
  <c r="AG29" i="1"/>
  <c r="AH29" i="1"/>
  <c r="AG18" i="1"/>
  <c r="AI18" i="1"/>
  <c r="AI45" i="1"/>
  <c r="AH19" i="1"/>
  <c r="AI27" i="1"/>
  <c r="AG19" i="1"/>
  <c r="AI35" i="1"/>
  <c r="AG27" i="1"/>
  <c r="AJ27" i="1" s="1"/>
  <c r="AI49" i="1"/>
  <c r="AG38" i="1"/>
  <c r="AH55" i="1"/>
  <c r="AJ55" i="1" s="1"/>
  <c r="AI38" i="1"/>
  <c r="AJ41" i="1"/>
  <c r="AH45" i="1"/>
  <c r="AG12" i="1"/>
  <c r="AI22" i="1"/>
  <c r="AJ22" i="1" s="1"/>
  <c r="AG13" i="1"/>
  <c r="AJ13" i="1" s="1"/>
  <c r="AG49" i="1"/>
  <c r="AJ17" i="1"/>
  <c r="AI23" i="1"/>
  <c r="AH38" i="1"/>
  <c r="AH50" i="1"/>
  <c r="AH23" i="1"/>
  <c r="AH12" i="1"/>
  <c r="AJ12" i="1" s="1"/>
  <c r="AJ32" i="1"/>
  <c r="AF24" i="1"/>
  <c r="AJ15" i="1"/>
  <c r="AH10" i="1"/>
  <c r="AF37" i="1"/>
  <c r="AI37" i="1"/>
  <c r="AJ37" i="1" s="1"/>
  <c r="AG10" i="1"/>
  <c r="AF14" i="1"/>
  <c r="AI14" i="1"/>
  <c r="AI10" i="1"/>
  <c r="AJ7" i="1"/>
  <c r="AJ2" i="1"/>
  <c r="AJ3" i="1"/>
  <c r="AJ9" i="1"/>
  <c r="AJ6" i="1"/>
  <c r="AJ56" i="1"/>
  <c r="AJ16" i="1"/>
  <c r="AJ44" i="1"/>
  <c r="AJ58" i="1"/>
  <c r="AJ57" i="1"/>
  <c r="AJ48" i="1"/>
  <c r="AJ26" i="1"/>
  <c r="AJ34" i="1"/>
  <c r="AJ30" i="1"/>
  <c r="AJ25" i="1"/>
  <c r="AJ40" i="1" l="1"/>
  <c r="AJ14" i="1"/>
  <c r="AJ45" i="1"/>
  <c r="AJ21" i="1"/>
  <c r="AJ59" i="1"/>
  <c r="AJ49" i="1"/>
  <c r="AJ50" i="1"/>
  <c r="AJ35" i="1"/>
  <c r="AJ19" i="1"/>
  <c r="AJ38" i="1"/>
  <c r="AJ23" i="1"/>
  <c r="AJ18" i="1"/>
  <c r="AJ29" i="1"/>
  <c r="AJ10" i="1"/>
</calcChain>
</file>

<file path=xl/sharedStrings.xml><?xml version="1.0" encoding="utf-8"?>
<sst xmlns="http://schemas.openxmlformats.org/spreadsheetml/2006/main" count="1328" uniqueCount="123">
  <si>
    <t>Period</t>
  </si>
  <si>
    <t>Start Date</t>
  </si>
  <si>
    <t>End Date</t>
  </si>
  <si>
    <t>Use(KWH)</t>
  </si>
  <si>
    <t>Cost</t>
  </si>
  <si>
    <t>Bill Dem</t>
  </si>
  <si>
    <t>Act Dem</t>
  </si>
  <si>
    <t>Flags</t>
  </si>
  <si>
    <t>Use/Day</t>
  </si>
  <si>
    <t>Cost/Day</t>
  </si>
  <si>
    <t>Unit Cost</t>
  </si>
  <si>
    <t>Load Factor</t>
  </si>
  <si>
    <t>Jun</t>
  </si>
  <si>
    <t>---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</si>
  <si>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</si>
  <si>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</si>
  <si>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</si>
  <si>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</si>
  <si>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</si>
  <si>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</si>
  <si>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</si>
  <si>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</si>
  <si>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</si>
  <si>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Aug</t>
  </si>
  <si>
    <t>Jul</t>
  </si>
  <si>
    <t>V--</t>
  </si>
  <si>
    <t>Days</t>
  </si>
  <si>
    <t>DaysAdjust</t>
  </si>
  <si>
    <t>BasicCustomerCharge</t>
  </si>
  <si>
    <t>Total</t>
  </si>
  <si>
    <t>DistributionDemandCharge</t>
  </si>
  <si>
    <t>ElectricitySupplyDemandCharge</t>
  </si>
  <si>
    <t>ElectricitySupplyAdjustmentDemandCharge</t>
  </si>
  <si>
    <t>ElectricitySupplykWhCharge</t>
  </si>
  <si>
    <t>Rider A</t>
  </si>
  <si>
    <t>Rider B</t>
  </si>
  <si>
    <t>Rider BW</t>
  </si>
  <si>
    <t>Rider S</t>
  </si>
  <si>
    <t>Rider R</t>
  </si>
  <si>
    <t>Rider T</t>
  </si>
  <si>
    <t>Rider W</t>
  </si>
  <si>
    <t>Sales and Use Surcharge</t>
  </si>
  <si>
    <t>Percent Error (%)</t>
  </si>
  <si>
    <t>CalendarYear</t>
  </si>
  <si>
    <t>FiscalYear</t>
  </si>
  <si>
    <t>BrkDwn_Demand</t>
  </si>
  <si>
    <t>BrkDwn_Administrative</t>
  </si>
  <si>
    <t>BrkDwn_Energy</t>
  </si>
  <si>
    <t>BrkDwn_Total</t>
  </si>
  <si>
    <t>Row Labels</t>
  </si>
  <si>
    <t>Average of BrkDwn_Administrative</t>
  </si>
  <si>
    <t>Average of BrkDwn_Demand</t>
  </si>
  <si>
    <t>Average of BrkDwn_Energy</t>
  </si>
  <si>
    <t>AvoidedCostDemand</t>
  </si>
  <si>
    <t>Avoided CostEnergy</t>
  </si>
  <si>
    <t>Average of AvoidedCostDemand</t>
  </si>
  <si>
    <t>Average of Avoided CostEnergy</t>
  </si>
  <si>
    <t>Sum of Use(KWH)</t>
  </si>
  <si>
    <t>Average of Use/Day</t>
  </si>
  <si>
    <t>Average of Act Dem</t>
  </si>
  <si>
    <t>Average of Unit Cost</t>
  </si>
  <si>
    <t>ACE_BasicCustomerCharge</t>
  </si>
  <si>
    <t>ACE_DistributionDemandCharge</t>
  </si>
  <si>
    <t>ACE_ElectricitySupplyDemandCharge</t>
  </si>
  <si>
    <t>ACE_ElectricitySupplyAdjustmentDemandCharge</t>
  </si>
  <si>
    <t>ACE_ElectricitySupplykWhCharge</t>
  </si>
  <si>
    <t>ACE_Rider A</t>
  </si>
  <si>
    <t>ACE_Rider B</t>
  </si>
  <si>
    <t>ACE_Rider BW</t>
  </si>
  <si>
    <t>ACE_Rider S</t>
  </si>
  <si>
    <t>ACE_Rider R</t>
  </si>
  <si>
    <t>ACE_Rider T</t>
  </si>
  <si>
    <t>ACE_Rider W</t>
  </si>
  <si>
    <t>ACE_Sales and Use Surcharge</t>
  </si>
  <si>
    <t>ACE_Total</t>
  </si>
  <si>
    <t>ACD_BasicCustomerCharge</t>
  </si>
  <si>
    <t>ACD_DistributionDemandCharge</t>
  </si>
  <si>
    <t>ACD_ElectricitySupplyDemandCharge</t>
  </si>
  <si>
    <t>ACD_ElectricitySupplyAdjustmentDemandCharge</t>
  </si>
  <si>
    <t>ACD_ElectricitySupplykWhCharge</t>
  </si>
  <si>
    <t>ACD_Rider A</t>
  </si>
  <si>
    <t>ACD_Rider B</t>
  </si>
  <si>
    <t>ACD_Rider BW</t>
  </si>
  <si>
    <t>ACD_Rider S</t>
  </si>
  <si>
    <t>ACD_Rider R</t>
  </si>
  <si>
    <t>ACD_Rider T</t>
  </si>
  <si>
    <t>ACD_Rider W</t>
  </si>
  <si>
    <t>ACD_Sales and Use Surcharge</t>
  </si>
  <si>
    <t>ACD_Total</t>
  </si>
  <si>
    <t>Util</t>
  </si>
  <si>
    <t>Elec</t>
  </si>
  <si>
    <t>NatGas</t>
  </si>
  <si>
    <t>June</t>
  </si>
  <si>
    <t>Water</t>
  </si>
  <si>
    <t>Sewer</t>
  </si>
  <si>
    <t>Column Labels</t>
  </si>
  <si>
    <t>Use</t>
  </si>
  <si>
    <t>Sum of Cost</t>
  </si>
  <si>
    <t>Sum of Use</t>
  </si>
  <si>
    <t>ElecCosts</t>
  </si>
  <si>
    <t>NatGasCosts</t>
  </si>
  <si>
    <t>SewCosts</t>
  </si>
  <si>
    <t>WatCosts</t>
  </si>
  <si>
    <t>Quarter</t>
  </si>
  <si>
    <t>Q4</t>
  </si>
  <si>
    <t>Q3</t>
  </si>
  <si>
    <t>Q2</t>
  </si>
  <si>
    <t>Q1</t>
  </si>
  <si>
    <t>Nat Gas</t>
  </si>
  <si>
    <t>Use (kWh)</t>
  </si>
  <si>
    <t>Avg Daily Use (kWh/Day)</t>
  </si>
  <si>
    <t>Average Unit Cost ($/kWh)</t>
  </si>
  <si>
    <t>Average Demand (kW)</t>
  </si>
  <si>
    <t>Fiscal Year</t>
  </si>
  <si>
    <t>Avg Avoided Cost of Demand ($/kW)</t>
  </si>
  <si>
    <t>Avg Avoided Cost of Energy ($/kWh)</t>
  </si>
  <si>
    <t>Grand Total</t>
  </si>
  <si>
    <t>Cost ($)</t>
  </si>
  <si>
    <t>Use (therms)</t>
  </si>
  <si>
    <t>Avg Daily Nat Gas Use (therms/day)</t>
  </si>
  <si>
    <t>Avg Unit Cost ($/therm)</t>
  </si>
  <si>
    <t>Avg Avoided Cost of Distribution ($/kW)</t>
  </si>
  <si>
    <t>Avg Avoided Cost of Commodity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</si>
</sst>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%"/>
    <numFmt numFmtId="167" formatCode="&quot;$&quot;#,##0.0000_);[Red]\(&quot;$&quot;#,##0.0000\)"/>
    <numFmt numFmtId="168" formatCode="#,##0.0000"/>
    <numFmt numFmtId="169" formatCode="_(&quot;$&quot;* #,##0.000_);_(&quot;$&quot;* \(#,##0.000\);_(&quot;$&quot;* &quot;-&quot;??_);_(@_)"/>
    <numFmt numFmtId="170" formatCode="_(&quot;$&quot;* #,##0.0000_);_(&quot;$&quot;* \(#,##0.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3" fontId="0" fillId="0" borderId="0" xfId="0" applyNumberFormat="1"/>
    <xf numFmtId="8" fontId="0" fillId="0" borderId="0" xfId="0" applyNumberFormat="1"/>
    <xf numFmtId="4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3" fontId="0" fillId="2" borderId="0" xfId="0" applyNumberFormat="1" applyFill="1"/>
    <xf numFmtId="168" fontId="0" fillId="2" borderId="0" xfId="0" applyNumberFormat="1" applyFill="1"/>
    <xf numFmtId="0" fontId="2" fillId="3" borderId="1" xfId="0" applyFont="1" applyFill="1" applyBorder="1"/>
    <xf numFmtId="44" fontId="0" fillId="0" borderId="2" xfId="2" applyFont="1" applyBorder="1"/>
    <xf numFmtId="170" fontId="0" fillId="0" borderId="4" xfId="2" applyNumberFormat="1" applyFont="1" applyBorder="1"/>
    <xf numFmtId="44" fontId="0" fillId="0" borderId="6" xfId="2" applyFont="1" applyBorder="1"/>
    <xf numFmtId="170" fontId="0" fillId="0" borderId="7" xfId="2" applyNumberFormat="1" applyFont="1" applyBorder="1"/>
    <xf numFmtId="44" fontId="0" fillId="0" borderId="9" xfId="2" applyFont="1" applyBorder="1"/>
    <xf numFmtId="170" fontId="0" fillId="0" borderId="10" xfId="2" applyNumberFormat="1" applyFont="1" applyBorder="1"/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70" fontId="0" fillId="0" borderId="8" xfId="2" applyNumberFormat="1" applyFont="1" applyBorder="1"/>
    <xf numFmtId="170" fontId="0" fillId="0" borderId="3" xfId="2" applyNumberFormat="1" applyFont="1" applyBorder="1"/>
    <xf numFmtId="170" fontId="0" fillId="0" borderId="5" xfId="2" applyNumberFormat="1" applyFont="1" applyBorder="1"/>
    <xf numFmtId="169" fontId="0" fillId="0" borderId="8" xfId="2" applyNumberFormat="1" applyFont="1" applyBorder="1"/>
    <xf numFmtId="169" fontId="0" fillId="0" borderId="3" xfId="2" applyNumberFormat="1" applyFont="1" applyBorder="1"/>
    <xf numFmtId="169" fontId="0" fillId="0" borderId="5" xfId="2" applyNumberFormat="1" applyFont="1" applyBorder="1"/>
    <xf numFmtId="169" fontId="0" fillId="0" borderId="2" xfId="2" applyNumberFormat="1" applyFont="1" applyBorder="1"/>
    <xf numFmtId="169" fontId="0" fillId="0" borderId="6" xfId="2" applyNumberFormat="1" applyFont="1" applyBorder="1"/>
    <xf numFmtId="169" fontId="0" fillId="0" borderId="4" xfId="2" applyNumberFormat="1" applyFont="1" applyBorder="1"/>
    <xf numFmtId="169" fontId="0" fillId="0" borderId="7" xfId="2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12">
    <dxf>
      <numFmt numFmtId="164" formatCode="0.0000"/>
    </dxf>
    <dxf>
      <numFmt numFmtId="1" formatCode="0"/>
    </dxf>
    <dxf>
      <numFmt numFmtId="1" formatCode="0"/>
    </dxf>
    <dxf>
      <numFmt numFmtId="2" formatCode="0.00"/>
    </dxf>
    <dxf>
      <numFmt numFmtId="165" formatCode="0.000"/>
    </dxf>
    <dxf>
      <numFmt numFmtId="166" formatCode="0.0%"/>
    </dxf>
    <dxf>
      <numFmt numFmtId="1" formatCode="0"/>
    </dxf>
    <dxf>
      <numFmt numFmtId="165" formatCode="0.000"/>
    </dxf>
    <dxf>
      <numFmt numFmtId="165" formatCode="0.000"/>
    </dxf>
    <dxf>
      <numFmt numFmtId="1" formatCode="0"/>
    </dxf>
    <dxf>
      <numFmt numFmtId="164" formatCode="0.0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BillingDataSummary!$O$14</c:f>
              <c:strCache>
                <c:ptCount val="1"/>
                <c:pt idx="0">
                  <c:v>Elec</c:v>
                </c:pt>
              </c:strCache>
            </c:strRef>
          </c:tx>
          <c:invertIfNegative val="0"/>
          <c:cat>
            <c:numRef>
              <c:f>BillingDataSummary!$N$15:$N$19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BillingDataSummary!$O$15:$O$19</c:f>
              <c:numCache>
                <c:formatCode>0%</c:formatCode>
                <c:ptCount val="5"/>
                <c:pt idx="0">
                  <c:v>0.47008999702890009</c:v>
                </c:pt>
                <c:pt idx="1">
                  <c:v>0.47485762805624809</c:v>
                </c:pt>
                <c:pt idx="2">
                  <c:v>0.46063255761813598</c:v>
                </c:pt>
                <c:pt idx="3">
                  <c:v>0.46297291912733324</c:v>
                </c:pt>
                <c:pt idx="4">
                  <c:v>0.48244720397558988</c:v>
                </c:pt>
              </c:numCache>
            </c:numRef>
          </c:val>
        </c:ser>
        <c:ser>
          <c:idx val="1"/>
          <c:order val="1"/>
          <c:tx>
            <c:strRef>
              <c:f>BillingDataSummary!$P$14</c:f>
              <c:strCache>
                <c:ptCount val="1"/>
                <c:pt idx="0">
                  <c:v>Nat Gas</c:v>
                </c:pt>
              </c:strCache>
            </c:strRef>
          </c:tx>
          <c:invertIfNegative val="0"/>
          <c:cat>
            <c:numRef>
              <c:f>BillingDataSummary!$N$15:$N$19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BillingDataSummary!$P$15:$P$19</c:f>
              <c:numCache>
                <c:formatCode>0%</c:formatCode>
                <c:ptCount val="5"/>
                <c:pt idx="0">
                  <c:v>0.21083483639667228</c:v>
                </c:pt>
                <c:pt idx="1">
                  <c:v>0.24202049999571015</c:v>
                </c:pt>
                <c:pt idx="2">
                  <c:v>0.23295871242996682</c:v>
                </c:pt>
                <c:pt idx="3">
                  <c:v>0.21758601761765986</c:v>
                </c:pt>
                <c:pt idx="4">
                  <c:v>0.15484500806090146</c:v>
                </c:pt>
              </c:numCache>
            </c:numRef>
          </c:val>
        </c:ser>
        <c:ser>
          <c:idx val="2"/>
          <c:order val="2"/>
          <c:tx>
            <c:strRef>
              <c:f>BillingDataSummary!$Q$14</c:f>
              <c:strCache>
                <c:ptCount val="1"/>
                <c:pt idx="0">
                  <c:v>Sewer</c:v>
                </c:pt>
              </c:strCache>
            </c:strRef>
          </c:tx>
          <c:spPr>
            <a:pattFill prst="pct5">
              <a:fgClr>
                <a:srgbClr val="92D050"/>
              </a:fgClr>
              <a:bgClr>
                <a:srgbClr val="92D050"/>
              </a:bgClr>
            </a:pattFill>
          </c:spPr>
          <c:invertIfNegative val="0"/>
          <c:cat>
            <c:numRef>
              <c:f>BillingDataSummary!$N$15:$N$19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BillingDataSummary!$Q$15:$Q$19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0.14433092008400505</c:v>
                </c:pt>
                <c:pt idx="3">
                  <c:v>0.21055811639083449</c:v>
                </c:pt>
                <c:pt idx="4">
                  <c:v>0.24114621978062534</c:v>
                </c:pt>
              </c:numCache>
            </c:numRef>
          </c:val>
        </c:ser>
        <c:ser>
          <c:idx val="3"/>
          <c:order val="3"/>
          <c:tx>
            <c:strRef>
              <c:f>BillingDataSummary!$R$14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smGrid">
                <a:fgClr>
                  <a:srgbClr val="92D050"/>
                </a:fgClr>
                <a:bgClr>
                  <a:srgbClr val="7030A0"/>
                </a:bgClr>
              </a:pattFill>
            </c:spPr>
          </c:dPt>
          <c:dPt>
            <c:idx val="1"/>
            <c:invertIfNegative val="0"/>
            <c:bubble3D val="0"/>
            <c:spPr>
              <a:pattFill prst="smGrid">
                <a:fgClr>
                  <a:srgbClr val="92D050"/>
                </a:fgClr>
                <a:bgClr>
                  <a:srgbClr val="7030A0"/>
                </a:bgClr>
              </a:pattFill>
            </c:spPr>
          </c:dPt>
          <c:cat>
            <c:numRef>
              <c:f>BillingDataSummary!$N$15:$N$19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BillingDataSummary!$R$15:$R$19</c:f>
              <c:numCache>
                <c:formatCode>0%</c:formatCode>
                <c:ptCount val="5"/>
                <c:pt idx="0">
                  <c:v>0.31907516657442769</c:v>
                </c:pt>
                <c:pt idx="1">
                  <c:v>0.28312187194804178</c:v>
                </c:pt>
                <c:pt idx="2">
                  <c:v>0.16207780986789219</c:v>
                </c:pt>
                <c:pt idx="3">
                  <c:v>0.10888294686417249</c:v>
                </c:pt>
                <c:pt idx="4">
                  <c:v>0.12156156818288329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27712"/>
        <c:axId val="96230016"/>
      </c:barChart>
      <c:catAx>
        <c:axId val="962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230016"/>
        <c:crosses val="autoZero"/>
        <c:auto val="1"/>
        <c:lblAlgn val="ctr"/>
        <c:lblOffset val="100"/>
        <c:noMultiLvlLbl val="0"/>
      </c:catAx>
      <c:valAx>
        <c:axId val="962300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6227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NaturalGasSummary!$C$17</c:f>
              <c:strCache>
                <c:ptCount val="1"/>
                <c:pt idx="0">
                  <c:v>Cost ($)</c:v>
                </c:pt>
              </c:strCache>
            </c:strRef>
          </c:tx>
          <c:invertIfNegative val="0"/>
          <c:cat>
            <c:numRef>
              <c:f>NaturalGasSummary!$A$18:$A$22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NaturalGasSummary!$C$18:$C$22</c:f>
              <c:numCache>
                <c:formatCode>General</c:formatCode>
                <c:ptCount val="5"/>
                <c:pt idx="0">
                  <c:v>123494.96</c:v>
                </c:pt>
                <c:pt idx="1">
                  <c:v>165866.01</c:v>
                </c:pt>
                <c:pt idx="2">
                  <c:v>150622.06</c:v>
                </c:pt>
                <c:pt idx="3">
                  <c:v>137391.34</c:v>
                </c:pt>
                <c:pt idx="4">
                  <c:v>98081.43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895296"/>
        <c:axId val="283896832"/>
      </c:barChart>
      <c:catAx>
        <c:axId val="2838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896832"/>
        <c:crosses val="autoZero"/>
        <c:auto val="1"/>
        <c:lblAlgn val="ctr"/>
        <c:lblOffset val="100"/>
        <c:noMultiLvlLbl val="0"/>
      </c:catAx>
      <c:valAx>
        <c:axId val="283896832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28389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BillingDataSummary!$V$14</c:f>
              <c:strCache>
                <c:ptCount val="1"/>
                <c:pt idx="0">
                  <c:v>Elec</c:v>
                </c:pt>
              </c:strCache>
            </c:strRef>
          </c:tx>
          <c:invertIfNegative val="0"/>
          <c:cat>
            <c:numRef>
              <c:f>BillingDataSummary!$U$15:$U$19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BillingDataSummary!$V$15:$V$19</c:f>
              <c:numCache>
                <c:formatCode>0</c:formatCode>
                <c:ptCount val="5"/>
                <c:pt idx="0">
                  <c:v>275351.77</c:v>
                </c:pt>
                <c:pt idx="1">
                  <c:v>325438.30000000005</c:v>
                </c:pt>
                <c:pt idx="2">
                  <c:v>297827.12999999995</c:v>
                </c:pt>
                <c:pt idx="3">
                  <c:v>292337.12</c:v>
                </c:pt>
                <c:pt idx="4">
                  <c:v>283923.74</c:v>
                </c:pt>
              </c:numCache>
            </c:numRef>
          </c:val>
        </c:ser>
        <c:ser>
          <c:idx val="1"/>
          <c:order val="1"/>
          <c:tx>
            <c:strRef>
              <c:f>BillingDataSummary!$W$14</c:f>
              <c:strCache>
                <c:ptCount val="1"/>
                <c:pt idx="0">
                  <c:v>Nat Gas</c:v>
                </c:pt>
              </c:strCache>
            </c:strRef>
          </c:tx>
          <c:invertIfNegative val="0"/>
          <c:cat>
            <c:numRef>
              <c:f>BillingDataSummary!$U$15:$U$19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BillingDataSummary!$W$15:$W$19</c:f>
              <c:numCache>
                <c:formatCode>0</c:formatCode>
                <c:ptCount val="5"/>
                <c:pt idx="0">
                  <c:v>123494.96</c:v>
                </c:pt>
                <c:pt idx="1">
                  <c:v>165866.01</c:v>
                </c:pt>
                <c:pt idx="2">
                  <c:v>150622.06</c:v>
                </c:pt>
                <c:pt idx="3">
                  <c:v>137391.34</c:v>
                </c:pt>
                <c:pt idx="4">
                  <c:v>91127.43</c:v>
                </c:pt>
              </c:numCache>
            </c:numRef>
          </c:val>
        </c:ser>
        <c:ser>
          <c:idx val="2"/>
          <c:order val="2"/>
          <c:tx>
            <c:strRef>
              <c:f>BillingDataSummary!$X$14</c:f>
              <c:strCache>
                <c:ptCount val="1"/>
                <c:pt idx="0">
                  <c:v>Sewer</c:v>
                </c:pt>
              </c:strCache>
            </c:strRef>
          </c:tx>
          <c:invertIfNegative val="0"/>
          <c:cat>
            <c:numRef>
              <c:f>BillingDataSummary!$U$15:$U$19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BillingDataSummary!$X$15:$X$19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93318.77</c:v>
                </c:pt>
                <c:pt idx="3">
                  <c:v>132953.68000000002</c:v>
                </c:pt>
                <c:pt idx="4">
                  <c:v>141916.32999999999</c:v>
                </c:pt>
              </c:numCache>
            </c:numRef>
          </c:val>
        </c:ser>
        <c:ser>
          <c:idx val="3"/>
          <c:order val="3"/>
          <c:tx>
            <c:strRef>
              <c:f>BillingDataSummary!$Y$14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smGrid">
                <a:fgClr>
                  <a:srgbClr val="92D050"/>
                </a:fgClr>
                <a:bgClr>
                  <a:srgbClr val="7030A0"/>
                </a:bgClr>
              </a:pattFill>
            </c:spPr>
          </c:dPt>
          <c:dPt>
            <c:idx val="1"/>
            <c:invertIfNegative val="0"/>
            <c:bubble3D val="0"/>
            <c:spPr>
              <a:pattFill prst="smGrid">
                <a:fgClr>
                  <a:srgbClr val="92D050"/>
                </a:fgClr>
                <a:bgClr>
                  <a:srgbClr val="7030A0"/>
                </a:bgClr>
              </a:pattFill>
            </c:spPr>
          </c:dPt>
          <c:cat>
            <c:numRef>
              <c:f>BillingDataSummary!$U$15:$U$19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BillingDataSummary!$Y$15:$Y$19</c:f>
              <c:numCache>
                <c:formatCode>0</c:formatCode>
                <c:ptCount val="5"/>
                <c:pt idx="0">
                  <c:v>186895.94000000003</c:v>
                </c:pt>
                <c:pt idx="1">
                  <c:v>194034.37</c:v>
                </c:pt>
                <c:pt idx="2">
                  <c:v>104793.22</c:v>
                </c:pt>
                <c:pt idx="3">
                  <c:v>68752.460000000006</c:v>
                </c:pt>
                <c:pt idx="4">
                  <c:v>71539.88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45536"/>
        <c:axId val="97760384"/>
      </c:barChart>
      <c:catAx>
        <c:axId val="977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760384"/>
        <c:crosses val="autoZero"/>
        <c:auto val="1"/>
        <c:lblAlgn val="ctr"/>
        <c:lblOffset val="100"/>
        <c:noMultiLvlLbl val="0"/>
      </c:catAx>
      <c:valAx>
        <c:axId val="97760384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97745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Administrative</c:v>
          </c:tx>
          <c:invertIfNegative val="0"/>
          <c:cat>
            <c:numRef>
              <c:f>'ElecUse+Dem_Cost_Allocation'!$A$16:$A$20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'ElecUse+Dem_Cost_Allocation'!$B$16:$B$20</c:f>
              <c:numCache>
                <c:formatCode>General</c:formatCode>
                <c:ptCount val="5"/>
                <c:pt idx="0">
                  <c:v>3.5036016044236152E-3</c:v>
                </c:pt>
                <c:pt idx="1">
                  <c:v>2.9432381376488822E-3</c:v>
                </c:pt>
                <c:pt idx="2">
                  <c:v>3.2302813630943395E-3</c:v>
                </c:pt>
                <c:pt idx="3">
                  <c:v>3.2934592592589892E-3</c:v>
                </c:pt>
                <c:pt idx="4">
                  <c:v>3.8678005367000549E-3</c:v>
                </c:pt>
              </c:numCache>
            </c:numRef>
          </c:val>
        </c:ser>
        <c:ser>
          <c:idx val="1"/>
          <c:order val="1"/>
          <c:tx>
            <c:v>Demand</c:v>
          </c:tx>
          <c:invertIfNegative val="0"/>
          <c:cat>
            <c:numRef>
              <c:f>'ElecUse+Dem_Cost_Allocation'!$A$16:$A$20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'ElecUse+Dem_Cost_Allocation'!$C$16:$C$20</c:f>
              <c:numCache>
                <c:formatCode>General</c:formatCode>
                <c:ptCount val="5"/>
                <c:pt idx="0">
                  <c:v>0.35100089153770275</c:v>
                </c:pt>
                <c:pt idx="1">
                  <c:v>0.32557376163693291</c:v>
                </c:pt>
                <c:pt idx="2">
                  <c:v>0.36610409199615673</c:v>
                </c:pt>
                <c:pt idx="3">
                  <c:v>0.40609256996333731</c:v>
                </c:pt>
                <c:pt idx="4">
                  <c:v>0.42487627685381768</c:v>
                </c:pt>
              </c:numCache>
            </c:numRef>
          </c:val>
        </c:ser>
        <c:ser>
          <c:idx val="2"/>
          <c:order val="2"/>
          <c:tx>
            <c:v>Energy</c:v>
          </c:tx>
          <c:invertIfNegative val="0"/>
          <c:cat>
            <c:numRef>
              <c:f>'ElecUse+Dem_Cost_Allocation'!$A$16:$A$20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'ElecUse+Dem_Cost_Allocation'!$D$16:$D$20</c:f>
              <c:numCache>
                <c:formatCode>General</c:formatCode>
                <c:ptCount val="5"/>
                <c:pt idx="0">
                  <c:v>0.64549550685787371</c:v>
                </c:pt>
                <c:pt idx="1">
                  <c:v>0.67148300022541818</c:v>
                </c:pt>
                <c:pt idx="2">
                  <c:v>0.63066562664074888</c:v>
                </c:pt>
                <c:pt idx="3">
                  <c:v>0.59061397077740374</c:v>
                </c:pt>
                <c:pt idx="4">
                  <c:v>0.57125592260948233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2048"/>
        <c:axId val="190229888"/>
      </c:barChart>
      <c:catAx>
        <c:axId val="1849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29888"/>
        <c:crosses val="autoZero"/>
        <c:auto val="1"/>
        <c:lblAlgn val="ctr"/>
        <c:lblOffset val="100"/>
        <c:noMultiLvlLbl val="0"/>
      </c:catAx>
      <c:valAx>
        <c:axId val="19022988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962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'Avg_ElecUse+Dem+UnitCost'!$B$14</c:f>
              <c:strCache>
                <c:ptCount val="1"/>
                <c:pt idx="0">
                  <c:v>Use (kWh)</c:v>
                </c:pt>
              </c:strCache>
            </c:strRef>
          </c:tx>
          <c:invertIfNegative val="0"/>
          <c:cat>
            <c:numRef>
              <c:f>'Avg_ElecUse+Dem+UnitCost'!$A$15:$A$19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'Avg_ElecUse+Dem+UnitCost'!$B$15:$B$19</c:f>
              <c:numCache>
                <c:formatCode>General</c:formatCode>
                <c:ptCount val="5"/>
                <c:pt idx="0">
                  <c:v>4848480</c:v>
                </c:pt>
                <c:pt idx="1">
                  <c:v>5043600</c:v>
                </c:pt>
                <c:pt idx="2">
                  <c:v>4718160</c:v>
                </c:pt>
                <c:pt idx="3">
                  <c:v>4776480</c:v>
                </c:pt>
                <c:pt idx="4">
                  <c:v>4633200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048896"/>
        <c:axId val="164050432"/>
      </c:barChart>
      <c:catAx>
        <c:axId val="1640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050432"/>
        <c:crosses val="autoZero"/>
        <c:auto val="1"/>
        <c:lblAlgn val="ctr"/>
        <c:lblOffset val="100"/>
        <c:noMultiLvlLbl val="0"/>
      </c:catAx>
      <c:valAx>
        <c:axId val="1640504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Electricity Use (kWh)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6404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'Avg_ElecUse+Dem+UnitCost'!$C$14</c:f>
              <c:strCache>
                <c:ptCount val="1"/>
                <c:pt idx="0">
                  <c:v>Avg Daily Use (kWh/Day)</c:v>
                </c:pt>
              </c:strCache>
            </c:strRef>
          </c:tx>
          <c:invertIfNegative val="0"/>
          <c:cat>
            <c:numRef>
              <c:f>'Avg_ElecUse+Dem+UnitCost'!$A$15:$A$19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'Avg_ElecUse+Dem+UnitCost'!$C$15:$C$19</c:f>
              <c:numCache>
                <c:formatCode>General</c:formatCode>
                <c:ptCount val="5"/>
                <c:pt idx="0">
                  <c:v>13348.49</c:v>
                </c:pt>
                <c:pt idx="1">
                  <c:v>13833.61083333333</c:v>
                </c:pt>
                <c:pt idx="2">
                  <c:v>12929.685833333335</c:v>
                </c:pt>
                <c:pt idx="3">
                  <c:v>13010.635</c:v>
                </c:pt>
                <c:pt idx="4">
                  <c:v>12707.584999999997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66048"/>
        <c:axId val="167667584"/>
      </c:barChart>
      <c:catAx>
        <c:axId val="1676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667584"/>
        <c:crosses val="autoZero"/>
        <c:auto val="1"/>
        <c:lblAlgn val="ctr"/>
        <c:lblOffset val="100"/>
        <c:noMultiLvlLbl val="0"/>
      </c:catAx>
      <c:valAx>
        <c:axId val="1676675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Daily Electricity Use (kWh/day)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6766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'Avg_ElecUse+Dem+UnitCost'!$D$14</c:f>
              <c:strCache>
                <c:ptCount val="1"/>
                <c:pt idx="0">
                  <c:v>Average Demand (kW)</c:v>
                </c:pt>
              </c:strCache>
            </c:strRef>
          </c:tx>
          <c:invertIfNegative val="0"/>
          <c:cat>
            <c:numRef>
              <c:f>'Avg_ElecUse+Dem+UnitCost'!$A$15:$A$19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'Avg_ElecUse+Dem+UnitCost'!$D$15:$D$19</c:f>
              <c:numCache>
                <c:formatCode>General</c:formatCode>
                <c:ptCount val="5"/>
                <c:pt idx="0">
                  <c:v>789.25</c:v>
                </c:pt>
                <c:pt idx="1">
                  <c:v>762.66666666666663</c:v>
                </c:pt>
                <c:pt idx="2">
                  <c:v>710</c:v>
                </c:pt>
                <c:pt idx="3">
                  <c:v>750.7166666666667</c:v>
                </c:pt>
                <c:pt idx="4">
                  <c:v>751.60833333333323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441408"/>
        <c:axId val="283860992"/>
      </c:barChart>
      <c:catAx>
        <c:axId val="2834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860992"/>
        <c:crosses val="autoZero"/>
        <c:auto val="1"/>
        <c:lblAlgn val="ctr"/>
        <c:lblOffset val="100"/>
        <c:noMultiLvlLbl val="0"/>
      </c:catAx>
      <c:valAx>
        <c:axId val="2838609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Demand (kW)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8344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'Avg_ElecUse+Dem+UnitCost'!$F$14</c:f>
              <c:strCache>
                <c:ptCount val="1"/>
                <c:pt idx="0">
                  <c:v>Cost ($)</c:v>
                </c:pt>
              </c:strCache>
            </c:strRef>
          </c:tx>
          <c:invertIfNegative val="0"/>
          <c:cat>
            <c:numRef>
              <c:f>'Avg_ElecUse+Dem+UnitCost'!$A$15:$A$19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'Avg_ElecUse+Dem+UnitCost'!$F$15:$F$19</c:f>
              <c:numCache>
                <c:formatCode>0</c:formatCode>
                <c:ptCount val="5"/>
                <c:pt idx="0">
                  <c:v>275351.77</c:v>
                </c:pt>
                <c:pt idx="1">
                  <c:v>325438.30000000005</c:v>
                </c:pt>
                <c:pt idx="2">
                  <c:v>297827.12999999995</c:v>
                </c:pt>
                <c:pt idx="3">
                  <c:v>292337.12</c:v>
                </c:pt>
                <c:pt idx="4">
                  <c:v>283923.74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995072"/>
        <c:axId val="277545728"/>
      </c:barChart>
      <c:catAx>
        <c:axId val="276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545728"/>
        <c:crosses val="autoZero"/>
        <c:auto val="1"/>
        <c:lblAlgn val="ctr"/>
        <c:lblOffset val="100"/>
        <c:noMultiLvlLbl val="0"/>
      </c:catAx>
      <c:valAx>
        <c:axId val="277545728"/>
        <c:scaling>
          <c:orientation val="minMax"/>
          <c:min val="0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27699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NaturalGasSummary!$B$17</c:f>
              <c:strCache>
                <c:ptCount val="1"/>
                <c:pt idx="0">
                  <c:v>Use (therms)</c:v>
                </c:pt>
              </c:strCache>
            </c:strRef>
          </c:tx>
          <c:invertIfNegative val="0"/>
          <c:cat>
            <c:numRef>
              <c:f>NaturalGasSummary!$A$18:$A$22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NaturalGasSummary!$B$18:$B$22</c:f>
              <c:numCache>
                <c:formatCode>General</c:formatCode>
                <c:ptCount val="5"/>
                <c:pt idx="0">
                  <c:v>113367</c:v>
                </c:pt>
                <c:pt idx="1">
                  <c:v>158093.5</c:v>
                </c:pt>
                <c:pt idx="2">
                  <c:v>178908</c:v>
                </c:pt>
                <c:pt idx="3">
                  <c:v>191947</c:v>
                </c:pt>
                <c:pt idx="4">
                  <c:v>138179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970944"/>
        <c:axId val="277972480"/>
      </c:barChart>
      <c:catAx>
        <c:axId val="2779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972480"/>
        <c:crosses val="autoZero"/>
        <c:auto val="1"/>
        <c:lblAlgn val="ctr"/>
        <c:lblOffset val="100"/>
        <c:noMultiLvlLbl val="0"/>
      </c:catAx>
      <c:valAx>
        <c:axId val="2779724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Nat Gas Use (therms)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7797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NaturalGasSummary!$D$17</c:f>
              <c:strCache>
                <c:ptCount val="1"/>
                <c:pt idx="0">
                  <c:v>Avg Daily Nat Gas Use (therms/day)</c:v>
                </c:pt>
              </c:strCache>
            </c:strRef>
          </c:tx>
          <c:invertIfNegative val="0"/>
          <c:cat>
            <c:numRef>
              <c:f>NaturalGasSummary!$A$18:$A$22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NaturalGasSummary!$D$18:$D$22</c:f>
              <c:numCache>
                <c:formatCode>General</c:formatCode>
                <c:ptCount val="5"/>
                <c:pt idx="0">
                  <c:v>312.24249999999995</c:v>
                </c:pt>
                <c:pt idx="1">
                  <c:v>425.4591666666667</c:v>
                </c:pt>
                <c:pt idx="2">
                  <c:v>487.22916666666674</c:v>
                </c:pt>
                <c:pt idx="3">
                  <c:v>523.34749999999997</c:v>
                </c:pt>
                <c:pt idx="4">
                  <c:v>380.38111111111112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550976"/>
        <c:axId val="301556864"/>
      </c:barChart>
      <c:catAx>
        <c:axId val="3015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556864"/>
        <c:crosses val="autoZero"/>
        <c:auto val="1"/>
        <c:lblAlgn val="ctr"/>
        <c:lblOffset val="100"/>
        <c:noMultiLvlLbl val="0"/>
      </c:catAx>
      <c:valAx>
        <c:axId val="30155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Daily Nat Gas Use (therms/day)
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30155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19</xdr:row>
      <xdr:rowOff>147637</xdr:rowOff>
    </xdr:from>
    <xdr:to>
      <xdr:col>19</xdr:col>
      <xdr:colOff>28575</xdr:colOff>
      <xdr:row>34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19</xdr:row>
      <xdr:rowOff>166687</xdr:rowOff>
    </xdr:from>
    <xdr:to>
      <xdr:col>27</xdr:col>
      <xdr:colOff>304800</xdr:colOff>
      <xdr:row>34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22</xdr:row>
      <xdr:rowOff>57150</xdr:rowOff>
    </xdr:from>
    <xdr:to>
      <xdr:col>3</xdr:col>
      <xdr:colOff>1343025</xdr:colOff>
      <xdr:row>36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20</xdr:row>
      <xdr:rowOff>142875</xdr:rowOff>
    </xdr:from>
    <xdr:to>
      <xdr:col>4</xdr:col>
      <xdr:colOff>1152525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20</xdr:row>
      <xdr:rowOff>57150</xdr:rowOff>
    </xdr:from>
    <xdr:to>
      <xdr:col>12</xdr:col>
      <xdr:colOff>590550</xdr:colOff>
      <xdr:row>34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35</xdr:row>
      <xdr:rowOff>180975</xdr:rowOff>
    </xdr:from>
    <xdr:to>
      <xdr:col>4</xdr:col>
      <xdr:colOff>1114425</xdr:colOff>
      <xdr:row>50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323850</xdr:colOff>
      <xdr:row>35</xdr:row>
      <xdr:rowOff>133350</xdr:rowOff>
    </xdr:from>
    <xdr:to>
      <xdr:col>13</xdr:col>
      <xdr:colOff>19050</xdr:colOff>
      <xdr:row>50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24</xdr:row>
      <xdr:rowOff>57150</xdr:rowOff>
    </xdr:from>
    <xdr:to>
      <xdr:col>5</xdr:col>
      <xdr:colOff>304800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47625</xdr:rowOff>
    </xdr:from>
    <xdr:to>
      <xdr:col>20</xdr:col>
      <xdr:colOff>104775</xdr:colOff>
      <xdr:row>38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657225</xdr:colOff>
      <xdr:row>39</xdr:row>
      <xdr:rowOff>123825</xdr:rowOff>
    </xdr:from>
    <xdr:to>
      <xdr:col>5</xdr:col>
      <xdr:colOff>304800</xdr:colOff>
      <xdr:row>54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Eger" refreshedDate="42206.643496180557" createdVersion="4" refreshedVersion="4" minRefreshableVersion="3" recordCount="60">
  <cacheSource type="worksheet">
    <worksheetSource ref="B1:AJ61" sheet="Elec_Model"/>
  </cacheSource>
  <cacheFields count="35">
    <cacheField name="Period" numFmtId="0">
      <sharedItems/>
    </cacheField>
    <cacheField name="CalendarYear" numFmtId="0">
      <sharedItems containsSemiMixedTypes="0" containsString="0" containsNumber="1" containsInteger="1" minValue="2010" maxValue="2015"/>
    </cacheField>
    <cacheField name="FiscalYear" numFmtId="0">
      <sharedItems containsSemiMixedTypes="0" containsString="0" containsNumber="1" containsInteger="1" minValue="2011" maxValue="2015" count="5">
        <n v="2015"/>
        <n v="2014"/>
        <n v="2013"/>
        <n v="2012"/>
        <n v="2011"/>
      </sharedItems>
    </cacheField>
    <cacheField name="Start Date" numFmtId="14">
      <sharedItems containsSemiMixedTypes="0" containsNonDate="0" containsDate="1" containsString="0" minDate="2010-07-08T00:00:00" maxDate="2015-06-06T00:00:00"/>
    </cacheField>
    <cacheField name="End Date" numFmtId="14">
      <sharedItems containsSemiMixedTypes="0" containsNonDate="0" containsDate="1" containsString="0" minDate="2010-08-09T00:00:00" maxDate="2015-07-08T00:00:00"/>
    </cacheField>
    <cacheField name="Use(KWH)" numFmtId="3">
      <sharedItems containsSemiMixedTypes="0" containsString="0" containsNumber="1" containsInteger="1" minValue="319680" maxValue="523440"/>
    </cacheField>
    <cacheField name="Cost" numFmtId="8">
      <sharedItems containsSemiMixedTypes="0" containsString="0" containsNumber="1" minValue="19153.75" maxValue="29884.68"/>
    </cacheField>
    <cacheField name="Bill Dem" numFmtId="0">
      <sharedItems containsSemiMixedTypes="0" containsString="0" containsNumber="1" containsInteger="1" minValue="634" maxValue="787"/>
    </cacheField>
    <cacheField name="Act Dem" numFmtId="0">
      <sharedItems containsSemiMixedTypes="0" containsString="0" containsNumber="1" minValue="703" maxValue="794"/>
    </cacheField>
    <cacheField name="Flags" numFmtId="0">
      <sharedItems/>
    </cacheField>
    <cacheField name="Use/Day" numFmtId="4">
      <sharedItems containsSemiMixedTypes="0" containsString="0" containsNumber="1" minValue="11023.45" maxValue="16357.5"/>
    </cacheField>
    <cacheField name="Cost/Day" numFmtId="8">
      <sharedItems containsSemiMixedTypes="0" containsString="0" containsNumber="1" minValue="668.52" maxValue="968.65"/>
    </cacheField>
    <cacheField name="Unit Cost" numFmtId="167">
      <sharedItems containsSemiMixedTypes="0" containsString="0" containsNumber="1" minValue="5.2900000000000003E-2" maxValue="6.7199999999999996E-2"/>
    </cacheField>
    <cacheField name="Load Factor" numFmtId="0">
      <sharedItems containsSemiMixedTypes="0" containsString="0" containsNumber="1" minValue="59.66" maxValue="85.84"/>
    </cacheField>
    <cacheField name="Days" numFmtId="0">
      <sharedItems containsSemiMixedTypes="0" containsString="0" containsNumber="1" containsInteger="1" minValue="27" maxValue="34"/>
    </cacheField>
    <cacheField name="DaysAdjust" numFmtId="9">
      <sharedItems containsSemiMixedTypes="0" containsString="0" containsNumber="1" minValue="0.9" maxValue="1.1333333333333333"/>
    </cacheField>
    <cacheField name="BasicCustomerCharge" numFmtId="2">
      <sharedItems containsSemiMixedTypes="0" containsString="0" containsNumber="1" minValue="70.650000000000006" maxValue="100.551"/>
    </cacheField>
    <cacheField name="DistributionDemandCharge" numFmtId="2">
      <sharedItems containsSemiMixedTypes="0" containsString="0" containsNumber="1" minValue="2015.8833333333334" maxValue="2681.574333333333"/>
    </cacheField>
    <cacheField name="ElectricitySupplyDemandCharge" numFmtId="2">
      <sharedItems containsSemiMixedTypes="0" containsString="0" containsNumber="1" minValue="4693.0370666666668" maxValue="6657.8101333333334"/>
    </cacheField>
    <cacheField name="ElectricitySupplyAdjustmentDemandCharge" numFmtId="2">
      <sharedItems containsSemiMixedTypes="0" containsString="0" containsNumber="1" minValue="-883.66113333333317" maxValue="-664.29533333333325"/>
    </cacheField>
    <cacheField name="ElectricitySupplykWhCharge" numFmtId="2">
      <sharedItems containsSemiMixedTypes="0" containsString="0" containsNumber="1" minValue="2884.1276800000001" maxValue="4679.2371200000007"/>
    </cacheField>
    <cacheField name="Rider A" numFmtId="0">
      <sharedItems containsSemiMixedTypes="0" containsString="0" containsNumber="1" minValue="8043.148799999999" maxValue="15918.710400000002"/>
    </cacheField>
    <cacheField name="Rider B" numFmtId="2">
      <sharedItems containsString="0" containsBlank="1" containsNumber="1" minValue="18.343733333333333" maxValue="64.341333333333338"/>
    </cacheField>
    <cacheField name="Rider BW" numFmtId="2">
      <sharedItems containsString="0" containsBlank="1" containsNumber="1" minValue="149.6516" maxValue="348.24746666666664"/>
    </cacheField>
    <cacheField name="Rider S" numFmtId="2">
      <sharedItems containsString="0" containsBlank="1" containsNumber="1" minValue="543.63883333333331" maxValue="996.48640000000012"/>
    </cacheField>
    <cacheField name="Rider R" numFmtId="2">
      <sharedItems containsString="0" containsBlank="1" containsNumber="1" minValue="221.9" maxValue="348.24746666666664"/>
    </cacheField>
    <cacheField name="Rider T" numFmtId="2">
      <sharedItems containsString="0" containsBlank="1" containsNumber="1" minValue="685.34249999999997" maxValue="1289.808"/>
    </cacheField>
    <cacheField name="Rider W" numFmtId="2">
      <sharedItems containsString="0" containsBlank="1" containsNumber="1" minValue="101.77813333333333" maxValue="437.52106666666668"/>
    </cacheField>
    <cacheField name="Sales and Use Surcharge" numFmtId="2">
      <sharedItems containsSemiMixedTypes="0" containsString="0" containsNumber="1" minValue="144.14400000000001" maxValue="230.31360000000001"/>
    </cacheField>
    <cacheField name="Total" numFmtId="0">
      <sharedItems containsSemiMixedTypes="0" containsString="0" containsNumber="1" minValue="18738.947680000005" maxValue="30093.43125333334"/>
    </cacheField>
    <cacheField name="Percent Error (%)" numFmtId="9">
      <sharedItems containsSemiMixedTypes="0" containsString="0" containsNumber="1" minValue="2.6118491751059353E-7" maxValue="5.8069684222670032E-2"/>
    </cacheField>
    <cacheField name="BrkDwn_Administrative" numFmtId="166">
      <sharedItems containsSemiMixedTypes="0" containsString="0" containsNumber="1" minValue="2.710983145095771E-3" maxValue="4.2873593622638085E-3"/>
    </cacheField>
    <cacheField name="BrkDwn_Demand" numFmtId="9">
      <sharedItems containsSemiMixedTypes="0" containsString="0" containsNumber="1" minValue="0.30383186955679758" maxValue="0.45616316980728416"/>
    </cacheField>
    <cacheField name="BrkDwn_Energy" numFmtId="9">
      <sharedItems containsSemiMixedTypes="0" containsString="0" containsNumber="1" minValue="0.53954947083045213" maxValue="0.69312450809028847"/>
    </cacheField>
    <cacheField name="BrkDwn_Total" numFmtId="9">
      <sharedItems containsSemiMixedTypes="0" containsString="0" containsNumber="1" minValue="0.99999999999999978" maxValue="1.0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ll Eger" refreshedDate="42206.658320138886" createdVersion="4" refreshedVersion="4" minRefreshableVersion="3" recordCount="60">
  <cacheSource type="worksheet">
    <worksheetSource ref="B1:BN61" sheet="Elec_Model"/>
  </cacheSource>
  <cacheFields count="65">
    <cacheField name="Period" numFmtId="0">
      <sharedItems/>
    </cacheField>
    <cacheField name="CalendarYear" numFmtId="0">
      <sharedItems containsSemiMixedTypes="0" containsString="0" containsNumber="1" containsInteger="1" minValue="2010" maxValue="2015"/>
    </cacheField>
    <cacheField name="FiscalYear" numFmtId="0">
      <sharedItems containsSemiMixedTypes="0" containsString="0" containsNumber="1" containsInteger="1" minValue="2011" maxValue="2015" count="5">
        <n v="2015"/>
        <n v="2014"/>
        <n v="2013"/>
        <n v="2012"/>
        <n v="2011"/>
      </sharedItems>
    </cacheField>
    <cacheField name="Start Date" numFmtId="14">
      <sharedItems containsSemiMixedTypes="0" containsNonDate="0" containsDate="1" containsString="0" minDate="2010-07-08T00:00:00" maxDate="2015-06-06T00:00:00"/>
    </cacheField>
    <cacheField name="End Date" numFmtId="14">
      <sharedItems containsSemiMixedTypes="0" containsNonDate="0" containsDate="1" containsString="0" minDate="2010-08-09T00:00:00" maxDate="2015-07-08T00:00:00"/>
    </cacheField>
    <cacheField name="Use(KWH)" numFmtId="3">
      <sharedItems containsSemiMixedTypes="0" containsString="0" containsNumber="1" containsInteger="1" minValue="319680" maxValue="523440"/>
    </cacheField>
    <cacheField name="Cost" numFmtId="8">
      <sharedItems containsSemiMixedTypes="0" containsString="0" containsNumber="1" minValue="19153.75" maxValue="29884.68"/>
    </cacheField>
    <cacheField name="Bill Dem" numFmtId="0">
      <sharedItems containsSemiMixedTypes="0" containsString="0" containsNumber="1" containsInteger="1" minValue="634" maxValue="787"/>
    </cacheField>
    <cacheField name="Act Dem" numFmtId="0">
      <sharedItems containsSemiMixedTypes="0" containsString="0" containsNumber="1" minValue="703" maxValue="794"/>
    </cacheField>
    <cacheField name="Flags" numFmtId="0">
      <sharedItems/>
    </cacheField>
    <cacheField name="Use/Day" numFmtId="4">
      <sharedItems containsSemiMixedTypes="0" containsString="0" containsNumber="1" minValue="11023.45" maxValue="16357.5"/>
    </cacheField>
    <cacheField name="Cost/Day" numFmtId="8">
      <sharedItems containsSemiMixedTypes="0" containsString="0" containsNumber="1" minValue="668.52" maxValue="968.65"/>
    </cacheField>
    <cacheField name="Unit Cost" numFmtId="167">
      <sharedItems containsSemiMixedTypes="0" containsString="0" containsNumber="1" minValue="5.2900000000000003E-2" maxValue="6.7199999999999996E-2"/>
    </cacheField>
    <cacheField name="Load Factor" numFmtId="0">
      <sharedItems containsSemiMixedTypes="0" containsString="0" containsNumber="1" minValue="59.66" maxValue="85.84"/>
    </cacheField>
    <cacheField name="Days" numFmtId="0">
      <sharedItems containsSemiMixedTypes="0" containsString="0" containsNumber="1" containsInteger="1" minValue="27" maxValue="34"/>
    </cacheField>
    <cacheField name="DaysAdjust" numFmtId="9">
      <sharedItems containsSemiMixedTypes="0" containsString="0" containsNumber="1" minValue="0.9" maxValue="1.1333333333333333"/>
    </cacheField>
    <cacheField name="BasicCustomerCharge" numFmtId="2">
      <sharedItems containsSemiMixedTypes="0" containsString="0" containsNumber="1" minValue="70.650000000000006" maxValue="100.551"/>
    </cacheField>
    <cacheField name="DistributionDemandCharge" numFmtId="2">
      <sharedItems containsSemiMixedTypes="0" containsString="0" containsNumber="1" minValue="2015.8833333333334" maxValue="2681.574333333333"/>
    </cacheField>
    <cacheField name="ElectricitySupplyDemandCharge" numFmtId="2">
      <sharedItems containsSemiMixedTypes="0" containsString="0" containsNumber="1" minValue="4693.0370666666668" maxValue="6657.8101333333334"/>
    </cacheField>
    <cacheField name="ElectricitySupplyAdjustmentDemandCharge" numFmtId="2">
      <sharedItems containsSemiMixedTypes="0" containsString="0" containsNumber="1" minValue="-883.66113333333317" maxValue="-664.29533333333325"/>
    </cacheField>
    <cacheField name="ElectricitySupplykWhCharge" numFmtId="2">
      <sharedItems containsSemiMixedTypes="0" containsString="0" containsNumber="1" minValue="2884.1276800000001" maxValue="4679.2371200000007"/>
    </cacheField>
    <cacheField name="Rider A" numFmtId="0">
      <sharedItems containsSemiMixedTypes="0" containsString="0" containsNumber="1" minValue="8043.148799999999" maxValue="15918.710400000002"/>
    </cacheField>
    <cacheField name="Rider B" numFmtId="2">
      <sharedItems containsString="0" containsBlank="1" containsNumber="1" minValue="18.343733333333333" maxValue="64.341333333333338"/>
    </cacheField>
    <cacheField name="Rider BW" numFmtId="2">
      <sharedItems containsString="0" containsBlank="1" containsNumber="1" minValue="149.6516" maxValue="348.24746666666664"/>
    </cacheField>
    <cacheField name="Rider S" numFmtId="2">
      <sharedItems containsString="0" containsBlank="1" containsNumber="1" minValue="543.63883333333331" maxValue="996.48640000000012"/>
    </cacheField>
    <cacheField name="Rider R" numFmtId="2">
      <sharedItems containsString="0" containsBlank="1" containsNumber="1" minValue="221.9" maxValue="348.24746666666664"/>
    </cacheField>
    <cacheField name="Rider T" numFmtId="2">
      <sharedItems containsString="0" containsBlank="1" containsNumber="1" minValue="685.34249999999997" maxValue="1289.808"/>
    </cacheField>
    <cacheField name="Rider W" numFmtId="2">
      <sharedItems containsString="0" containsBlank="1" containsNumber="1" minValue="101.77813333333333" maxValue="437.52106666666668"/>
    </cacheField>
    <cacheField name="Sales and Use Surcharge" numFmtId="2">
      <sharedItems containsSemiMixedTypes="0" containsString="0" containsNumber="1" minValue="144.14400000000001" maxValue="230.31360000000001"/>
    </cacheField>
    <cacheField name="Total" numFmtId="0">
      <sharedItems containsSemiMixedTypes="0" containsString="0" containsNumber="1" minValue="18738.947680000005" maxValue="30093.43125333334"/>
    </cacheField>
    <cacheField name="Percent Error (%)" numFmtId="9">
      <sharedItems containsSemiMixedTypes="0" containsString="0" containsNumber="1" minValue="2.6118491751059353E-7" maxValue="5.8069684222670032E-2"/>
    </cacheField>
    <cacheField name="BrkDwn_Administrative" numFmtId="166">
      <sharedItems containsSemiMixedTypes="0" containsString="0" containsNumber="1" minValue="2.710983145095771E-3" maxValue="4.2873593622638085E-3"/>
    </cacheField>
    <cacheField name="BrkDwn_Demand" numFmtId="9">
      <sharedItems containsSemiMixedTypes="0" containsString="0" containsNumber="1" minValue="0.30383186955679758" maxValue="0.45616316980728416"/>
    </cacheField>
    <cacheField name="BrkDwn_Energy" numFmtId="9">
      <sharedItems containsSemiMixedTypes="0" containsString="0" containsNumber="1" minValue="0.53954947083045213" maxValue="0.69312450809028847"/>
    </cacheField>
    <cacheField name="BrkDwn_Total" numFmtId="9">
      <sharedItems containsSemiMixedTypes="0" containsString="0" containsNumber="1" minValue="0.99999999999999978" maxValue="1.0000000000000004"/>
    </cacheField>
    <cacheField name="BasicCustomerCharge2" numFmtId="2">
      <sharedItems containsSemiMixedTypes="0" containsString="0" containsNumber="1" minValue="70.650000000000006" maxValue="100.551"/>
    </cacheField>
    <cacheField name="DistributionDemandCharge2" numFmtId="2">
      <sharedItems containsSemiMixedTypes="0" containsString="0" containsNumber="1" minValue="2013.5920000000001" maxValue="2678.7919999999999"/>
    </cacheField>
    <cacheField name="ElectricitySupplyDemandCharge2" numFmtId="2">
      <sharedItems containsSemiMixedTypes="0" containsString="0" containsNumber="1" minValue="4685.6348000000007" maxValue="6649.3503999999994"/>
    </cacheField>
    <cacheField name="ElectricitySupplyAdjustmentDemandCharge2" numFmtId="2">
      <sharedItems containsSemiMixedTypes="0" containsString="0" containsNumber="1" minValue="-882.74426666666659" maxValue="-663.54026666666664"/>
    </cacheField>
    <cacheField name="ElectricitySupplykWhCharge2" numFmtId="2">
      <sharedItems containsSemiMixedTypes="0" containsString="0" containsNumber="1" minValue="2884.1276800000001" maxValue="4679.2371200000007"/>
    </cacheField>
    <cacheField name="Rider A2" numFmtId="0">
      <sharedItems containsSemiMixedTypes="0" containsString="0" containsNumber="1" minValue="8043.148799999999" maxValue="15918.710400000002"/>
    </cacheField>
    <cacheField name="Rider B2" numFmtId="2">
      <sharedItems containsString="0" containsBlank="1" containsNumber="1" minValue="18.314800000000002" maxValue="64.256"/>
    </cacheField>
    <cacheField name="Rider BW2" numFmtId="2">
      <sharedItems containsString="0" containsBlank="1" containsNumber="1" minValue="149.43120000000002" maxValue="347.78559999999999"/>
    </cacheField>
    <cacheField name="Rider S2" numFmtId="2">
      <sharedItems containsString="0" containsBlank="1" containsNumber="1" minValue="542.84519999999998" maxValue="995.16480000000013"/>
    </cacheField>
    <cacheField name="Rider R2" numFmtId="2">
      <sharedItems containsString="0" containsBlank="1" containsNumber="1" minValue="221.55" maxValue="347.78559999999999"/>
    </cacheField>
    <cacheField name="Rider T2" numFmtId="2">
      <sharedItems containsString="0" containsBlank="1" containsNumber="1" minValue="684.34199999999998" maxValue="1287.9359999999997"/>
    </cacheField>
    <cacheField name="Rider W2" numFmtId="2">
      <sharedItems containsString="0" containsBlank="1" containsNumber="1" minValue="101.6176" maxValue="436.94080000000002"/>
    </cacheField>
    <cacheField name="Sales and Use Surcharge2" numFmtId="2">
      <sharedItems containsSemiMixedTypes="0" containsString="0" containsNumber="1" minValue="144.14400000000001" maxValue="230.31360000000001"/>
    </cacheField>
    <cacheField name="Total2" numFmtId="0">
      <sharedItems containsSemiMixedTypes="0" containsString="0" containsNumber="1" minValue="18730.009146666671" maxValue="30080.822186666668"/>
    </cacheField>
    <cacheField name="AvoidedCostDemand" numFmtId="2">
      <sharedItems containsSemiMixedTypes="0" containsString="0" containsNumber="1" minValue="8.6193000000021129" maxValue="15.176699999999983"/>
    </cacheField>
    <cacheField name="BasicCustomerCharge3" numFmtId="2">
      <sharedItems containsSemiMixedTypes="0" containsString="0" containsNumber="1" minValue="70.650000000000006" maxValue="100.551"/>
    </cacheField>
    <cacheField name="DistributionDemandCharge3" numFmtId="2">
      <sharedItems containsSemiMixedTypes="0" containsString="0" containsNumber="1" minValue="2015.8833333333334" maxValue="2681.574333333333"/>
    </cacheField>
    <cacheField name="ElectricitySupplyDemandCharge3" numFmtId="2">
      <sharedItems containsSemiMixedTypes="0" containsString="0" containsNumber="1" minValue="4693.0370666666668" maxValue="6657.8101333333334"/>
    </cacheField>
    <cacheField name="ElectricitySupplyAdjustmentDemandCharge3" numFmtId="2">
      <sharedItems containsSemiMixedTypes="0" containsString="0" containsNumber="1" minValue="-883.66113333333317" maxValue="-664.29533333333325"/>
    </cacheField>
    <cacheField name="ElectricitySupplykWhCharge3" numFmtId="2">
      <sharedItems containsSemiMixedTypes="0" containsString="0" containsNumber="1" minValue="2884.1214546666665" maxValue="4679.2300053333329"/>
    </cacheField>
    <cacheField name="Rider A3" numFmtId="0">
      <sharedItems containsSemiMixedTypes="0" containsString="0" containsNumber="1" minValue="8043.1236399999998" maxValue="15918.676490000002"/>
    </cacheField>
    <cacheField name="Rider B3" numFmtId="2">
      <sharedItems containsString="0" containsBlank="1" containsNumber="1" minValue="18.343733333333333" maxValue="64.341333333333338"/>
    </cacheField>
    <cacheField name="Rider BW3" numFmtId="2">
      <sharedItems containsString="0" containsBlank="1" containsNumber="1" minValue="149.6516" maxValue="348.24746666666664"/>
    </cacheField>
    <cacheField name="Rider S3" numFmtId="2">
      <sharedItems containsString="0" containsBlank="1" containsNumber="1" minValue="543.63883333333331" maxValue="996.48640000000012"/>
    </cacheField>
    <cacheField name="Rider R3" numFmtId="2">
      <sharedItems containsString="0" containsBlank="1" containsNumber="1" minValue="221.9" maxValue="348.24746666666664"/>
    </cacheField>
    <cacheField name="Rider T3" numFmtId="2">
      <sharedItems containsString="0" containsBlank="1" containsNumber="1" minValue="685.34249999999997" maxValue="1289.808"/>
    </cacheField>
    <cacheField name="Rider W3" numFmtId="2">
      <sharedItems containsString="0" containsBlank="1" containsNumber="1" minValue="101.77813333333333" maxValue="437.52106666666668"/>
    </cacheField>
    <cacheField name="Sales and Use Surcharge3" numFmtId="2">
      <sharedItems containsSemiMixedTypes="0" containsString="0" containsNumber="1" minValue="144.14356000000001" maxValue="230.31316000000001"/>
    </cacheField>
    <cacheField name="Total3" numFmtId="0">
      <sharedItems containsSemiMixedTypes="0" containsString="0" containsNumber="1" minValue="18738.91396466667" maxValue="30093.389788666675"/>
    </cacheField>
    <cacheField name="Avoided CostEnergy" numFmtId="164">
      <sharedItems containsSemiMixedTypes="0" containsString="0" containsNumber="1" minValue="3.207766666309908E-2" maxValue="4.190933333302382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ill Eger" refreshedDate="42208.459805324077" createdVersion="4" refreshedVersion="4" minRefreshableVersion="3" recordCount="240">
  <cacheSource type="worksheet">
    <worksheetSource ref="A1:Q241" sheet="MasterBillingData"/>
  </cacheSource>
  <cacheFields count="17">
    <cacheField name="FiscalYear" numFmtId="0">
      <sharedItems containsSemiMixedTypes="0" containsString="0" containsNumber="1" containsInteger="1" minValue="2011" maxValue="2015" count="5">
        <n v="2015"/>
        <n v="2014"/>
        <n v="2013"/>
        <n v="2012"/>
        <n v="2011"/>
      </sharedItems>
    </cacheField>
    <cacheField name="Quarter" numFmtId="0">
      <sharedItems/>
    </cacheField>
    <cacheField name="Util" numFmtId="0">
      <sharedItems count="4">
        <s v="Elec"/>
        <s v="NatGas"/>
        <s v="Water"/>
        <s v="Sewer"/>
      </sharedItems>
    </cacheField>
    <cacheField name="Period" numFmtId="0">
      <sharedItems/>
    </cacheField>
    <cacheField name="CalendarYear" numFmtId="0">
      <sharedItems containsSemiMixedTypes="0" containsString="0" containsNumber="1" containsInteger="1" minValue="2010" maxValue="2015"/>
    </cacheField>
    <cacheField name="Start Date" numFmtId="14">
      <sharedItems containsSemiMixedTypes="0" containsNonDate="0" containsDate="1" containsString="0" minDate="2010-06-22T00:00:00" maxDate="2015-06-10T00:00:00"/>
    </cacheField>
    <cacheField name="End Date" numFmtId="14">
      <sharedItems containsSemiMixedTypes="0" containsNonDate="0" containsDate="1" containsString="0" minDate="2010-07-21T00:00:00" maxDate="2015-07-10T00:00:00"/>
    </cacheField>
    <cacheField name="Use" numFmtId="3">
      <sharedItems containsSemiMixedTypes="0" containsString="0" containsNumber="1" minValue="4132" maxValue="1822000"/>
    </cacheField>
    <cacheField name="Cost" numFmtId="0">
      <sharedItems containsSemiMixedTypes="0" containsString="0" containsNumber="1" minValue="0" maxValue="29884.68"/>
    </cacheField>
    <cacheField name="Bill Dem" numFmtId="0">
      <sharedItems containsString="0" containsBlank="1" containsNumber="1" containsInteger="1" minValue="634" maxValue="787"/>
    </cacheField>
    <cacheField name="Act Dem" numFmtId="0">
      <sharedItems containsString="0" containsBlank="1" containsNumber="1" minValue="703" maxValue="794"/>
    </cacheField>
    <cacheField name="Flags" numFmtId="0">
      <sharedItems containsBlank="1"/>
    </cacheField>
    <cacheField name="Use/Day" numFmtId="0">
      <sharedItems containsString="0" containsBlank="1" containsNumber="1" minValue="142.47999999999999" maxValue="60760"/>
    </cacheField>
    <cacheField name="Cost/Day" numFmtId="0">
      <sharedItems containsString="0" containsBlank="1" containsNumber="1" minValue="144.25" maxValue="968.65"/>
    </cacheField>
    <cacheField name="Unit Cost" numFmtId="0">
      <sharedItems containsSemiMixedTypes="0" containsString="0" containsNumber="1" minValue="0" maxValue="1.2384999999999999"/>
    </cacheField>
    <cacheField name="Load Factor" numFmtId="0">
      <sharedItems containsString="0" containsBlank="1" containsNumber="1" minValue="59.66" maxValue="85.84"/>
    </cacheField>
    <cacheField name="Days" numFmtId="0">
      <sharedItems containsSemiMixedTypes="0" containsString="0" containsNumber="1" containsInteger="1" minValue="25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s v="Jun"/>
    <n v="2015"/>
    <x v="0"/>
    <d v="2015-06-05T00:00:00"/>
    <d v="2015-07-07T00:00:00"/>
    <n v="447120"/>
    <n v="26858.23"/>
    <n v="754"/>
    <n v="754.3"/>
    <s v="---"/>
    <n v="13972.5"/>
    <n v="839.32"/>
    <n v="6.0100000000000001E-2"/>
    <n v="77.180000000000007"/>
    <n v="32"/>
    <n v="1.0666666666666667"/>
    <n v="97.503999999999991"/>
    <n v="2432.9669333333327"/>
    <n v="6378.6389333333336"/>
    <n v="-801.73727999999983"/>
    <n v="4136.2457600000007"/>
    <n v="11249.539199999999"/>
    <n v="64.341333333333338"/>
    <n v="348.24746666666664"/>
    <n v="996.48640000000012"/>
    <n v="348.24746666666664"/>
    <n v="1199.1616000000001"/>
    <n v="437.52106666666668"/>
    <n v="210.1464"/>
    <n v="27097.309280000005"/>
    <n v="8.9015277626264041E-3"/>
    <n v="3.5982908484557836E-3"/>
    <n v="0.42084894120527955"/>
    <n v="0.57555276794626442"/>
    <n v="0.99999999999999978"/>
  </r>
  <r>
    <s v="May"/>
    <n v="2015"/>
    <x v="0"/>
    <d v="2015-05-06T00:00:00"/>
    <d v="2015-06-05T00:00:00"/>
    <n v="379440"/>
    <n v="23165.94"/>
    <n v="696"/>
    <n v="751"/>
    <s v="---"/>
    <n v="12648"/>
    <n v="772.2"/>
    <n v="6.1100000000000002E-2"/>
    <n v="70.17"/>
    <n v="30"/>
    <n v="1"/>
    <n v="91.41"/>
    <n v="2272.8049999999998"/>
    <n v="5519.9759999999997"/>
    <n v="-748.95899999999995"/>
    <n v="3426.3047999999999"/>
    <n v="9546.7103999999999"/>
    <n v="55.68"/>
    <n v="301.36799999999999"/>
    <n v="862.34400000000005"/>
    <n v="301.36799999999999"/>
    <n v="1037.7360000000001"/>
    <n v="378.62400000000002"/>
    <n v="178.33679999999998"/>
    <n v="23223.703999999998"/>
    <n v="2.4934882849562425E-3"/>
    <n v="3.9360646346508722E-3"/>
    <n v="0.42977390686688055"/>
    <n v="0.56629002849846866"/>
    <n v="1"/>
  </r>
  <r>
    <s v="Apr"/>
    <n v="2015"/>
    <x v="0"/>
    <d v="2015-04-07T00:00:00"/>
    <d v="2015-05-06T00:00:00"/>
    <n v="342000"/>
    <n v="21347.99"/>
    <n v="675"/>
    <n v="751"/>
    <s v="---"/>
    <n v="11793.1"/>
    <n v="736.14"/>
    <n v="6.2399999999999997E-2"/>
    <n v="65.430000000000007"/>
    <n v="29"/>
    <n v="0.96666666666666667"/>
    <n v="88.363"/>
    <n v="2197.0448333333334"/>
    <n v="5174.9775"/>
    <n v="-723.99369999999999"/>
    <n v="3070.694"/>
    <n v="8604.7199999999993"/>
    <n v="52.2"/>
    <n v="282.53249999999997"/>
    <n v="808.4475000000001"/>
    <n v="282.53249999999997"/>
    <n v="972.87750000000005"/>
    <n v="354.96000000000004"/>
    <n v="160.74"/>
    <n v="21326.095633333334"/>
    <n v="1.0255938224941709E-3"/>
    <n v="4.1434213519086893E-3"/>
    <n v="0.44084856388988436"/>
    <n v="0.55500801475820694"/>
    <n v="1"/>
  </r>
  <r>
    <s v="Mar"/>
    <n v="2015"/>
    <x v="0"/>
    <d v="2015-03-05T00:00:00"/>
    <d v="2015-04-07T00:00:00"/>
    <n v="376560"/>
    <n v="23885.16"/>
    <n v="675"/>
    <n v="751"/>
    <s v="---"/>
    <n v="11410.91"/>
    <n v="723.79"/>
    <n v="6.3399999999999998E-2"/>
    <n v="63.31"/>
    <n v="33"/>
    <n v="1.1000000000000001"/>
    <n v="100.551"/>
    <n v="2500.0855000000001"/>
    <n v="5888.7675000000008"/>
    <n v="-823.85490000000004"/>
    <n v="3747.8047200000001"/>
    <n v="9474.2495999999992"/>
    <n v="59.400000000000006"/>
    <n v="321.5025"/>
    <n v="919.9575000000001"/>
    <n v="321.5025"/>
    <n v="1107.0675000000001"/>
    <n v="403.92000000000007"/>
    <n v="176.98319999999998"/>
    <n v="24197.936619999997"/>
    <n v="1.3095018831776589E-2"/>
    <n v="4.1553543006180504E-3"/>
    <n v="0.44211819660514518"/>
    <n v="0.55372644909423696"/>
    <n v="1.0000000000000002"/>
  </r>
  <r>
    <s v="Feb"/>
    <n v="2015"/>
    <x v="0"/>
    <d v="2015-02-04T00:00:00"/>
    <d v="2015-03-05T00:00:00"/>
    <n v="319680"/>
    <n v="20627.060000000001"/>
    <n v="675"/>
    <n v="751"/>
    <s v="---"/>
    <n v="11023.45"/>
    <n v="711.28"/>
    <n v="6.4500000000000002E-2"/>
    <n v="61.16"/>
    <n v="29"/>
    <n v="0.96666666666666667"/>
    <n v="88.363"/>
    <n v="2197.0448333333334"/>
    <n v="5174.9775"/>
    <n v="-723.99369999999999"/>
    <n v="2926.7820800000004"/>
    <n v="8043.148799999999"/>
    <n v="52.2"/>
    <n v="282.53249999999997"/>
    <n v="808.4475000000001"/>
    <n v="282.53249999999997"/>
    <n v="972.87750000000005"/>
    <n v="354.96000000000004"/>
    <n v="150.24959999999999"/>
    <n v="20610.122113333331"/>
    <n v="8.2114885333490269E-4"/>
    <n v="4.2873593622638085E-3"/>
    <n v="0.45616316980728416"/>
    <n v="0.53954947083045213"/>
    <n v="1"/>
  </r>
  <r>
    <s v="Jan"/>
    <n v="2015"/>
    <x v="0"/>
    <d v="2015-01-06T00:00:00"/>
    <d v="2015-02-04T00:00:00"/>
    <n v="330480"/>
    <n v="20975.9"/>
    <n v="675"/>
    <n v="751"/>
    <s v="---"/>
    <n v="11395.86"/>
    <n v="723.31"/>
    <n v="6.3500000000000001E-2"/>
    <n v="63.23"/>
    <n v="29"/>
    <n v="0.96666666666666667"/>
    <n v="88.363"/>
    <n v="2197.0448333333334"/>
    <n v="5174.9775"/>
    <n v="-723.99369999999999"/>
    <n v="2996.4168800000002"/>
    <n v="8314.8768"/>
    <n v="52.2"/>
    <n v="282.53249999999997"/>
    <n v="808.4475000000001"/>
    <n v="282.53249999999997"/>
    <n v="972.87750000000005"/>
    <n v="354.96000000000004"/>
    <n v="155.32560000000001"/>
    <n v="20956.560913333335"/>
    <n v="9.2196695572856679E-4"/>
    <n v="4.2164838193360348E-3"/>
    <n v="0.44862220820553167"/>
    <n v="0.54716130797513229"/>
    <n v="1"/>
  </r>
  <r>
    <s v="Dec"/>
    <n v="2014"/>
    <x v="0"/>
    <d v="2014-12-04T00:00:00"/>
    <d v="2015-01-06T00:00:00"/>
    <n v="391680"/>
    <n v="24415.200000000001"/>
    <n v="675"/>
    <n v="751"/>
    <s v="---"/>
    <n v="11869.09"/>
    <n v="739.85"/>
    <n v="6.2300000000000001E-2"/>
    <n v="65.849999999999994"/>
    <n v="33"/>
    <n v="1.1000000000000001"/>
    <n v="100.551"/>
    <n v="2500.0855000000001"/>
    <n v="5888.7675000000008"/>
    <n v="-823.85490000000004"/>
    <n v="3858.7401600000003"/>
    <n v="9854.6687999999995"/>
    <n v="59.400000000000006"/>
    <n v="321.5025"/>
    <n v="919.9575000000001"/>
    <n v="321.5025"/>
    <n v="1107.0675000000001"/>
    <n v="403.92000000000007"/>
    <n v="184.08959999999999"/>
    <n v="24696.397660000002"/>
    <n v="1.1517319538648122E-2"/>
    <n v="4.0714844887219876E-3"/>
    <n v="0.43319468075005074"/>
    <n v="0.56273383476122718"/>
    <n v="0.99999999999999989"/>
  </r>
  <r>
    <s v="Nov"/>
    <n v="2014"/>
    <x v="0"/>
    <d v="2014-11-01T00:00:00"/>
    <d v="2014-12-04T00:00:00"/>
    <n v="401040"/>
    <n v="24728"/>
    <n v="675"/>
    <n v="751"/>
    <s v="---"/>
    <n v="12152.73"/>
    <n v="749.33"/>
    <n v="6.1699999999999998E-2"/>
    <n v="67.430000000000007"/>
    <n v="33"/>
    <n v="1.1000000000000001"/>
    <n v="100.551"/>
    <n v="2500.0855000000001"/>
    <n v="5888.7675000000008"/>
    <n v="-823.85490000000004"/>
    <n v="3927.4144800000004"/>
    <n v="10090.1664"/>
    <n v="59.400000000000006"/>
    <n v="321.5025"/>
    <n v="919.9575000000001"/>
    <n v="321.5025"/>
    <n v="1107.0675000000001"/>
    <n v="403.92000000000007"/>
    <n v="188.4888"/>
    <n v="25004.968779999996"/>
    <n v="1.120061387900338E-2"/>
    <n v="4.0212407735707644E-3"/>
    <n v="0.42784888851998809"/>
    <n v="0.56812987070644139"/>
    <n v="1.0000000000000002"/>
  </r>
  <r>
    <s v="Oct"/>
    <n v="2014"/>
    <x v="0"/>
    <d v="2014-10-03T00:00:00"/>
    <d v="2014-11-01T00:00:00"/>
    <n v="375120"/>
    <n v="22979.81"/>
    <n v="719"/>
    <n v="751"/>
    <s v="---"/>
    <n v="12935.17"/>
    <n v="792.41"/>
    <n v="6.13E-2"/>
    <n v="71.77"/>
    <n v="29"/>
    <n v="0.96666666666666667"/>
    <n v="88.363"/>
    <n v="2197.0448333333334"/>
    <n v="5512.3093666666664"/>
    <n v="-723.99369999999999"/>
    <n v="3284.2407200000002"/>
    <n v="10015.704"/>
    <n v="39.616900000000001"/>
    <n v="158.4676"/>
    <n v="849.33073333333323"/>
    <n v="252.29710000000003"/>
    <n v="1028.6493333333333"/>
    <n v="293.9991"/>
    <n v="165.05280000000002"/>
    <n v="23161.081786666669"/>
    <n v="7.8883065902924359E-3"/>
    <n v="3.8151499491214896E-3"/>
    <n v="0.41482178402381981"/>
    <n v="0.58136306602705856"/>
    <n v="0.99999999999999978"/>
  </r>
  <r>
    <s v="Sep"/>
    <n v="2014"/>
    <x v="0"/>
    <d v="2014-09-04T00:00:00"/>
    <d v="2014-10-03T00:00:00"/>
    <n v="409680"/>
    <n v="24322.25"/>
    <n v="738"/>
    <n v="751"/>
    <s v="---"/>
    <n v="14126.9"/>
    <n v="838.7"/>
    <n v="5.9400000000000001E-2"/>
    <n v="78.38"/>
    <n v="29"/>
    <n v="0.96666666666666667"/>
    <n v="88.363"/>
    <n v="2197.0448333333334"/>
    <n v="5657.9754000000003"/>
    <n v="-723.99369999999999"/>
    <n v="3507.0720799999999"/>
    <n v="10938.456"/>
    <n v="40.663800000000002"/>
    <n v="162.65520000000001"/>
    <n v="871.77480000000003"/>
    <n v="258.96420000000001"/>
    <n v="1055.8320000000001"/>
    <n v="301.76819999999998"/>
    <n v="180.25919999999999"/>
    <n v="24536.835013333326"/>
    <n v="8.8225806960016469E-3"/>
    <n v="3.6012387071104935E-3"/>
    <n v="0.40032403233732811"/>
    <n v="0.59607472895556179"/>
    <n v="1.0000000000000004"/>
  </r>
  <r>
    <s v="Aug"/>
    <n v="2014"/>
    <x v="0"/>
    <d v="2014-08-05T00:00:00"/>
    <d v="2014-09-04T00:00:00"/>
    <n v="439920"/>
    <n v="25719.69"/>
    <n v="741"/>
    <n v="751"/>
    <s v="---"/>
    <n v="14664"/>
    <n v="857.32"/>
    <n v="5.8500000000000003E-2"/>
    <n v="81.36"/>
    <n v="30"/>
    <n v="1"/>
    <n v="91.41"/>
    <n v="2272.8049999999998"/>
    <n v="5876.8710000000001"/>
    <n v="-748.95899999999995"/>
    <n v="3829.7064"/>
    <n v="11745.864000000001"/>
    <n v="42.237000000000002"/>
    <n v="168.94800000000001"/>
    <n v="905.50199999999995"/>
    <n v="268.983"/>
    <n v="1096.68"/>
    <n v="313.44299999999998"/>
    <n v="193.56480000000002"/>
    <n v="26057.055200000003"/>
    <n v="1.3117001021396598E-2"/>
    <n v="3.5080710118002892E-3"/>
    <n v="0.39131474841408781"/>
    <n v="0.60517718057411185"/>
    <n v="1"/>
  </r>
  <r>
    <s v="Jul"/>
    <n v="2014"/>
    <x v="0"/>
    <d v="2014-07-07T00:00:00"/>
    <d v="2014-08-05T00:00:00"/>
    <n v="420480"/>
    <n v="24898.51"/>
    <n v="730"/>
    <n v="755"/>
    <s v="---"/>
    <n v="14499.31"/>
    <n v="858.57"/>
    <n v="5.9200000000000003E-2"/>
    <n v="80.02"/>
    <n v="29"/>
    <n v="0.96666666666666667"/>
    <n v="75.88333333333334"/>
    <n v="2206.5374999999999"/>
    <n v="5596.6423333333332"/>
    <n v="-727.12183333333326"/>
    <n v="3576.7068800000002"/>
    <n v="11226.816000000001"/>
    <n v="40.222999999999999"/>
    <n v="160.892"/>
    <n v="862.32466666666664"/>
    <n v="256.15700000000004"/>
    <n v="1044.3866666666668"/>
    <n v="298.49699999999996"/>
    <n v="185.0112"/>
    <n v="24802.955746666667"/>
    <n v="3.8377498626757938E-3"/>
    <n v="3.0594471928423891E-3"/>
    <n v="0.39263620162053142"/>
    <n v="0.60430435118662618"/>
    <n v="1"/>
  </r>
  <r>
    <s v="Jun"/>
    <n v="2014"/>
    <x v="1"/>
    <d v="2014-06-05T00:00:00"/>
    <d v="2014-07-07T00:00:00"/>
    <n v="475200"/>
    <n v="28189.55"/>
    <n v="751"/>
    <n v="755"/>
    <s v="---"/>
    <n v="14850"/>
    <n v="880.92"/>
    <n v="5.9299999999999999E-2"/>
    <n v="81.95"/>
    <n v="32"/>
    <n v="1.0666666666666667"/>
    <n v="83.733333333333334"/>
    <n v="2434.8000000000002"/>
    <n v="6353.2597333333324"/>
    <n v="-802.3413333333333"/>
    <n v="4336.0255999999999"/>
    <n v="12687.84"/>
    <n v="45.660800000000002"/>
    <n v="182.64320000000001"/>
    <n v="978.90346666666665"/>
    <n v="290.78719999999998"/>
    <n v="1185.5786666666668"/>
    <n v="338.85120000000001"/>
    <n v="209.08799999999999"/>
    <n v="28324.829866666667"/>
    <n v="4.7989367218230746E-3"/>
    <n v="2.956181333744663E-3"/>
    <n v="0.38863933111520554"/>
    <n v="0.6084044875510497"/>
    <n v="0.99999999999999989"/>
  </r>
  <r>
    <s v="May"/>
    <n v="2014"/>
    <x v="1"/>
    <d v="2014-05-06T00:00:00"/>
    <d v="2014-06-05T00:00:00"/>
    <n v="432000"/>
    <n v="25512.66"/>
    <n v="712"/>
    <n v="755"/>
    <s v="---"/>
    <n v="14400"/>
    <n v="850.42"/>
    <n v="5.91E-2"/>
    <n v="79.47"/>
    <n v="30"/>
    <n v="1"/>
    <n v="78.5"/>
    <n v="2282.625"/>
    <n v="5646.8720000000003"/>
    <n v="-752.19499999999994"/>
    <n v="3776.88"/>
    <n v="11534.400000000001"/>
    <n v="40.584000000000003"/>
    <n v="162.33600000000001"/>
    <n v="870.06399999999996"/>
    <n v="258.45600000000002"/>
    <n v="1053.76"/>
    <n v="301.17599999999999"/>
    <n v="190.08"/>
    <n v="25443.537999999997"/>
    <n v="2.7093215681941057E-3"/>
    <n v="3.0852627492292937E-3"/>
    <n v="0.38766927775531851"/>
    <n v="0.60924545949545239"/>
    <n v="1.0000000000000002"/>
  </r>
  <r>
    <s v="Apr"/>
    <n v="2014"/>
    <x v="1"/>
    <d v="2014-04-04T00:00:00"/>
    <d v="2014-05-06T00:00:00"/>
    <n v="385200"/>
    <n v="24233.37"/>
    <n v="679"/>
    <n v="755"/>
    <s v="---"/>
    <n v="12037.5"/>
    <n v="757.29"/>
    <n v="6.2899999999999998E-2"/>
    <n v="66.430000000000007"/>
    <n v="32"/>
    <n v="1.0666666666666667"/>
    <n v="83.733333333333334"/>
    <n v="2434.8000000000002"/>
    <n v="5744.1589333333341"/>
    <n v="-802.3413333333333"/>
    <n v="3695.7056000000002"/>
    <n v="10284.84"/>
    <n v="41.283200000000001"/>
    <n v="165.1328"/>
    <n v="885.05386666666664"/>
    <n v="262.90879999999999"/>
    <n v="1071.9146666666666"/>
    <n v="306.3648"/>
    <n v="169.488"/>
    <n v="24343.042666666668"/>
    <n v="4.5256877878177533E-3"/>
    <n v="3.439723393657391E-3"/>
    <n v="0.41528398367292563"/>
    <n v="0.58127629293341687"/>
    <n v="0.99999999999999989"/>
  </r>
  <r>
    <s v="Mar"/>
    <n v="2014"/>
    <x v="1"/>
    <d v="2014-03-05T00:00:00"/>
    <d v="2014-04-04T00:00:00"/>
    <n v="341280"/>
    <n v="22044.68"/>
    <n v="679"/>
    <n v="755"/>
    <s v="---"/>
    <n v="11376"/>
    <n v="734.82"/>
    <n v="6.4600000000000005E-2"/>
    <n v="62.78"/>
    <n v="30"/>
    <n v="1"/>
    <n v="78.5"/>
    <n v="2282.625"/>
    <n v="5385.1490000000003"/>
    <n v="-752.19499999999994"/>
    <n v="3171.7775999999999"/>
    <n v="9112.1760000000013"/>
    <n v="38.703000000000003"/>
    <n v="154.81200000000001"/>
    <n v="829.73799999999994"/>
    <n v="246.477"/>
    <n v="1004.92"/>
    <n v="287.21699999999998"/>
    <n v="150.16320000000002"/>
    <n v="21990.062800000003"/>
    <n v="2.4775682840484396E-3"/>
    <n v="3.5697942617971962E-3"/>
    <n v="0.43098767321392101"/>
    <n v="0.56544253252428178"/>
    <n v="1"/>
  </r>
  <r>
    <s v="Feb"/>
    <n v="2014"/>
    <x v="1"/>
    <d v="2014-02-04T00:00:00"/>
    <d v="2014-03-05T00:00:00"/>
    <n v="339840"/>
    <n v="21647.35"/>
    <n v="679"/>
    <n v="755"/>
    <s v="---"/>
    <n v="11718.62"/>
    <n v="746.46"/>
    <n v="6.3700000000000007E-2"/>
    <n v="64.67"/>
    <n v="29"/>
    <n v="0.96666666666666667"/>
    <n v="75.88333333333334"/>
    <n v="2206.5374999999999"/>
    <n v="5205.6440333333339"/>
    <n v="-727.12183333333326"/>
    <n v="3056.7670400000002"/>
    <n v="9073.728000000001"/>
    <n v="37.4129"/>
    <n v="149.6516"/>
    <n v="802.08006666666665"/>
    <n v="238.2611"/>
    <n v="971.4226666666666"/>
    <n v="277.6431"/>
    <n v="149.52960000000002"/>
    <n v="21517.439106666669"/>
    <n v="6.0012377188584298E-3"/>
    <n v="3.5265968667164806E-3"/>
    <n v="0.42577237411560054"/>
    <n v="0.57070102901768305"/>
    <n v="1"/>
  </r>
  <r>
    <s v="Jan"/>
    <n v="2014"/>
    <x v="1"/>
    <d v="2014-01-06T00:00:00"/>
    <d v="2014-02-04T00:00:00"/>
    <n v="343440"/>
    <n v="21769.64"/>
    <n v="679"/>
    <n v="755"/>
    <s v="---"/>
    <n v="11842.76"/>
    <n v="750.68"/>
    <n v="6.3399999999999998E-2"/>
    <n v="65.36"/>
    <n v="29"/>
    <n v="0.96666666666666667"/>
    <n v="75.88333333333334"/>
    <n v="2206.5374999999999"/>
    <n v="5205.6440333333339"/>
    <n v="-727.12183333333326"/>
    <n v="3079.9786399999998"/>
    <n v="9169.848"/>
    <n v="37.4129"/>
    <n v="149.6516"/>
    <n v="802.08006666666665"/>
    <n v="238.2611"/>
    <n v="971.4226666666666"/>
    <n v="277.6431"/>
    <n v="151.11360000000002"/>
    <n v="21638.354706666669"/>
    <n v="6.0306598241096606E-3"/>
    <n v="3.5068901661896718E-3"/>
    <n v="0.42339314876425016"/>
    <n v="0.57309996106956007"/>
    <n v="0.99999999999999989"/>
  </r>
  <r>
    <s v="Dec"/>
    <n v="2013"/>
    <x v="1"/>
    <d v="2013-12-04T00:00:00"/>
    <d v="2014-01-06T00:00:00"/>
    <n v="406800"/>
    <n v="25262.26"/>
    <n v="679"/>
    <n v="755"/>
    <s v="---"/>
    <n v="12327.27"/>
    <n v="765.52"/>
    <n v="6.2100000000000002E-2"/>
    <n v="68.03"/>
    <n v="33"/>
    <n v="1.1000000000000001"/>
    <n v="86.350000000000009"/>
    <n v="2510.8875000000003"/>
    <n v="5923.6639000000005"/>
    <n v="-827.41449999999998"/>
    <n v="3969.6756000000005"/>
    <n v="10861.560000000001"/>
    <n v="42.573300000000003"/>
    <n v="170.29320000000001"/>
    <n v="912.71180000000004"/>
    <n v="271.12470000000002"/>
    <n v="1105.412"/>
    <n v="315.93869999999998"/>
    <n v="178.99200000000002"/>
    <n v="25521.768200000002"/>
    <n v="1.0272564687403419E-2"/>
    <n v="3.3833862655331223E-3"/>
    <n v="0.40848230100295324"/>
    <n v="0.58813431273151362"/>
    <n v="1"/>
  </r>
  <r>
    <s v="Nov"/>
    <n v="2013"/>
    <x v="1"/>
    <d v="2013-11-01T00:00:00"/>
    <d v="2013-12-04T00:00:00"/>
    <n v="423360"/>
    <n v="25810.31"/>
    <n v="679"/>
    <n v="755"/>
    <s v="---"/>
    <n v="12829.09"/>
    <n v="782.13"/>
    <n v="6.0999999999999999E-2"/>
    <n v="70.8"/>
    <n v="33"/>
    <n v="1.1000000000000001"/>
    <n v="86.350000000000009"/>
    <n v="2510.8875000000003"/>
    <n v="5923.6639000000005"/>
    <n v="-827.41449999999998"/>
    <n v="4091.17632"/>
    <n v="11303.712000000001"/>
    <n v="42.573300000000003"/>
    <n v="170.29320000000001"/>
    <n v="912.71180000000004"/>
    <n v="271.12470000000002"/>
    <n v="1105.412"/>
    <n v="315.93869999999998"/>
    <n v="186.2784"/>
    <n v="26092.707320000001"/>
    <n v="1.0941260294820171E-2"/>
    <n v="3.3093537953347188E-3"/>
    <n v="0.3995442279003803"/>
    <n v="0.59714641830428505"/>
    <n v="1"/>
  </r>
  <r>
    <s v="Oct"/>
    <n v="2013"/>
    <x v="1"/>
    <d v="2013-10-03T00:00:00"/>
    <d v="2013-11-01T00:00:00"/>
    <n v="397440"/>
    <n v="23981.69"/>
    <n v="718"/>
    <n v="755"/>
    <s v="---"/>
    <n v="13704.83"/>
    <n v="826.95"/>
    <n v="6.0299999999999999E-2"/>
    <n v="75.63"/>
    <n v="29"/>
    <n v="0.96666666666666667"/>
    <n v="75.88333333333334"/>
    <n v="2206.5374999999999"/>
    <n v="5504.6427333333331"/>
    <n v="-727.12183333333326"/>
    <n v="3428.1526400000002"/>
    <n v="10611.648000000001"/>
    <n v="39.561800000000005"/>
    <n v="158.24720000000002"/>
    <n v="848.14946666666663"/>
    <n v="251.9462"/>
    <n v="1027.2186666666669"/>
    <n v="293.59019999999998"/>
    <n v="174.87360000000001"/>
    <n v="23893.329506666665"/>
    <n v="3.6844981872976254E-3"/>
    <n v="3.1759212675722126E-3"/>
    <n v="0.40190179148761956"/>
    <n v="0.59492228724480845"/>
    <n v="1.0000000000000002"/>
  </r>
  <r>
    <s v="Sep"/>
    <n v="2013"/>
    <x v="1"/>
    <d v="2013-09-03T00:00:00"/>
    <d v="2013-10-03T00:00:00"/>
    <n v="390240"/>
    <n v="23645.41"/>
    <n v="679"/>
    <n v="755"/>
    <s v="---"/>
    <n v="13008"/>
    <n v="788.18"/>
    <n v="6.0600000000000001E-2"/>
    <n v="71.790000000000006"/>
    <n v="30"/>
    <n v="1"/>
    <n v="78.5"/>
    <n v="2282.625"/>
    <n v="5385.1490000000003"/>
    <n v="-752.19499999999994"/>
    <n v="3498.3407999999999"/>
    <n v="10419.408000000001"/>
    <n v="38.703000000000003"/>
    <n v="154.81200000000001"/>
    <n v="829.73799999999994"/>
    <n v="246.477"/>
    <n v="1004.92"/>
    <n v="287.21699999999998"/>
    <n v="171.7056"/>
    <n v="23645.400400000002"/>
    <n v="4.0599845794977558E-7"/>
    <n v="3.3198845725615198E-3"/>
    <n v="0.40081562755012601"/>
    <n v="0.5958644878773125"/>
    <n v="1"/>
  </r>
  <r>
    <s v="Aug"/>
    <n v="2013"/>
    <x v="1"/>
    <d v="2013-08-05T00:00:00"/>
    <d v="2013-09-03T00:00:00"/>
    <n v="396720"/>
    <n v="24375.96"/>
    <n v="755"/>
    <n v="755.6"/>
    <s v="---"/>
    <n v="13680"/>
    <n v="840.55"/>
    <n v="6.1400000000000003E-2"/>
    <n v="75.44"/>
    <n v="29"/>
    <n v="0.96666666666666667"/>
    <n v="75.88333333333334"/>
    <n v="2207.9614000000001"/>
    <n v="5788.3081666666667"/>
    <n v="-727.59105333333332"/>
    <n v="3423.5103199999999"/>
    <n v="10592.424000000001"/>
    <n v="41.600500000000004"/>
    <n v="166.40200000000002"/>
    <n v="891.8563333333334"/>
    <n v="264.92950000000002"/>
    <n v="1080.1533333333334"/>
    <n v="308.71950000000004"/>
    <n v="174.55680000000001"/>
    <n v="24288.714133333327"/>
    <n v="3.5791766423423589E-3"/>
    <n v="3.1242219294430507E-3"/>
    <n v="0.41263360526136489"/>
    <n v="0.58424217280919222"/>
    <n v="1.0000000000000002"/>
  </r>
  <r>
    <s v="Jul"/>
    <n v="2013"/>
    <x v="1"/>
    <d v="2013-07-05T00:00:00"/>
    <d v="2013-08-05T00:00:00"/>
    <n v="444960"/>
    <n v="25864.240000000002"/>
    <n v="688"/>
    <n v="703"/>
    <s v="---"/>
    <n v="14353.55"/>
    <n v="834.33"/>
    <n v="5.8099999999999999E-2"/>
    <n v="85.07"/>
    <n v="31"/>
    <n v="1.0333333333333334"/>
    <n v="81.116666666666674"/>
    <n v="2226.7971666666667"/>
    <n v="5638.4122666666672"/>
    <n v="-733.79790000000003"/>
    <n v="3992.1006400000001"/>
    <n v="11880.432000000001"/>
    <n v="40.523200000000003"/>
    <n v="162.09280000000001"/>
    <n v="868.76053333333346"/>
    <n v="258.06880000000001"/>
    <n v="1052.1813333333334"/>
    <n v="300.72480000000002"/>
    <n v="195.7824"/>
    <n v="25963.194706666669"/>
    <n v="3.8259274839186198E-3"/>
    <n v="3.1242945093285473E-3"/>
    <n v="0.37798749772038204"/>
    <n v="0.61888820777028952"/>
    <n v="1"/>
  </r>
  <r>
    <s v="Jun"/>
    <n v="2013"/>
    <x v="2"/>
    <d v="2013-06-05T00:00:00"/>
    <d v="2013-07-05T00:00:00"/>
    <n v="417600"/>
    <n v="25781.62"/>
    <n v="703"/>
    <n v="705"/>
    <s v="---"/>
    <n v="13920"/>
    <n v="859.39"/>
    <n v="6.1699999999999998E-2"/>
    <n v="82.27"/>
    <n v="30"/>
    <n v="1"/>
    <n v="78.5"/>
    <n v="2159.875"/>
    <n v="5575.4930000000004"/>
    <n v="-711.74499999999989"/>
    <n v="3680.8320000000003"/>
    <n v="12586.464"/>
    <n v="21.792999999999999"/>
    <m/>
    <n v="790.875"/>
    <n v="263.625"/>
    <n v="1233.7649999999999"/>
    <n v="120.916"/>
    <n v="183.744"/>
    <n v="25984.137000000002"/>
    <n v="7.8550921160114636E-3"/>
    <n v="3.0210739729397205E-3"/>
    <n v="0.36386034294692948"/>
    <n v="0.63311858308013069"/>
    <n v="0.99999999999999989"/>
  </r>
  <r>
    <s v="May"/>
    <n v="2013"/>
    <x v="2"/>
    <d v="2013-05-03T00:00:00"/>
    <d v="2013-06-05T00:00:00"/>
    <n v="433440"/>
    <n v="26752.6"/>
    <n v="634"/>
    <n v="705"/>
    <s v="---"/>
    <n v="13134.55"/>
    <n v="810.68"/>
    <n v="6.1699999999999998E-2"/>
    <n v="77.63"/>
    <n v="33"/>
    <n v="1.1000000000000001"/>
    <n v="86.350000000000009"/>
    <n v="2375.8625000000002"/>
    <n v="5531.0794000000005"/>
    <n v="-782.91949999999997"/>
    <n v="4165.1332800000009"/>
    <n v="13063.881600000001"/>
    <n v="21.619400000000002"/>
    <m/>
    <n v="784.57500000000005"/>
    <n v="261.52500000000003"/>
    <n v="1223.9369999999999"/>
    <n v="119.9528"/>
    <n v="190.71360000000001"/>
    <n v="27041.710080000001"/>
    <n v="1.080680307708418E-2"/>
    <n v="3.1932152125195776E-3"/>
    <n v="0.3526267965964377"/>
    <n v="0.64417998819104272"/>
    <n v="1"/>
  </r>
  <r>
    <s v="Apr"/>
    <n v="2013"/>
    <x v="2"/>
    <d v="2013-04-05T00:00:00"/>
    <d v="2013-05-03T00:00:00"/>
    <n v="345600"/>
    <n v="21873.439999999999"/>
    <n v="634"/>
    <n v="705"/>
    <s v="---"/>
    <n v="12342.86"/>
    <n v="781.19"/>
    <n v="6.3299999999999995E-2"/>
    <n v="72.95"/>
    <n v="28"/>
    <n v="0.93333333333333335"/>
    <n v="73.266666666666666"/>
    <n v="2015.8833333333334"/>
    <n v="4693.0370666666668"/>
    <n v="-664.29533333333325"/>
    <n v="2987.2192"/>
    <n v="10416.384"/>
    <n v="18.343733333333333"/>
    <m/>
    <n v="665.7"/>
    <n v="221.9"/>
    <n v="1038.492"/>
    <n v="101.77813333333333"/>
    <n v="152.06399999999999"/>
    <n v="21719.772800000002"/>
    <n v="7.0252872890590708E-3"/>
    <n v="3.3732703993416845E-3"/>
    <n v="0.37251029317089962"/>
    <n v="0.62411643642975856"/>
    <n v="0.99999999999999989"/>
  </r>
  <r>
    <s v="Mar"/>
    <n v="2013"/>
    <x v="2"/>
    <d v="2013-03-06T00:00:00"/>
    <d v="2013-04-05T00:00:00"/>
    <n v="357840"/>
    <n v="22972.23"/>
    <n v="634"/>
    <n v="705"/>
    <s v="---"/>
    <n v="11928"/>
    <n v="765.74"/>
    <n v="6.4199999999999993E-2"/>
    <n v="70.5"/>
    <n v="30"/>
    <n v="1"/>
    <n v="78.5"/>
    <n v="2159.875"/>
    <n v="5028.2539999999999"/>
    <n v="-711.74499999999989"/>
    <n v="3282.2328000000002"/>
    <n v="10785.2976"/>
    <n v="19.654"/>
    <m/>
    <n v="713.25"/>
    <n v="237.75"/>
    <n v="1112.6699999999998"/>
    <n v="109.04799999999999"/>
    <n v="157.4496"/>
    <n v="22972.235999999997"/>
    <n v="2.6118491751059353E-7"/>
    <n v="3.4171684462931695E-3"/>
    <n v="0.37735795505496295"/>
    <n v="0.61922487649874403"/>
    <n v="1.0000000000000002"/>
  </r>
  <r>
    <s v="Feb"/>
    <n v="2013"/>
    <x v="2"/>
    <d v="2013-02-05T00:00:00"/>
    <d v="2013-03-06T00:00:00"/>
    <n v="358560"/>
    <n v="22677.66"/>
    <n v="634"/>
    <n v="705"/>
    <s v="---"/>
    <n v="12364.14"/>
    <n v="781.99"/>
    <n v="6.3200000000000006E-2"/>
    <n v="73.069999999999993"/>
    <n v="29"/>
    <n v="0.96666666666666667"/>
    <n v="75.88333333333334"/>
    <n v="2087.8791666666666"/>
    <n v="4860.6455333333333"/>
    <n v="-688.02016666666657"/>
    <n v="3177.4673600000001"/>
    <n v="10806.9984"/>
    <n v="18.998866666666668"/>
    <m/>
    <n v="689.47500000000002"/>
    <n v="229.82499999999999"/>
    <n v="1075.5809999999999"/>
    <n v="105.41306666666665"/>
    <n v="157.7664"/>
    <n v="22597.912959999998"/>
    <n v="3.5165462397796781E-3"/>
    <n v="3.3579797155450829E-3"/>
    <n v="0.37082174276445518"/>
    <n v="0.62582027751999991"/>
    <n v="1.0000000000000002"/>
  </r>
  <r>
    <s v="Jan"/>
    <n v="2013"/>
    <x v="2"/>
    <d v="2013-01-07T00:00:00"/>
    <d v="2013-02-05T00:00:00"/>
    <n v="358560"/>
    <n v="22677.66"/>
    <n v="634"/>
    <n v="705"/>
    <s v="---"/>
    <n v="12364.14"/>
    <n v="781.99"/>
    <n v="6.3200000000000006E-2"/>
    <n v="73.069999999999993"/>
    <n v="29"/>
    <n v="0.96666666666666667"/>
    <n v="75.88333333333334"/>
    <n v="2087.8791666666666"/>
    <n v="4860.6455333333333"/>
    <n v="-688.02016666666657"/>
    <n v="3177.4673600000001"/>
    <n v="10806.9984"/>
    <n v="18.998866666666668"/>
    <m/>
    <n v="689.47500000000002"/>
    <n v="229.82499999999999"/>
    <n v="1075.5809999999999"/>
    <n v="105.41306666666665"/>
    <n v="157.7664"/>
    <n v="22597.912959999998"/>
    <n v="3.5165462397796781E-3"/>
    <n v="3.3579797155450829E-3"/>
    <n v="0.37082174276445518"/>
    <n v="0.62582027751999991"/>
    <n v="1.0000000000000002"/>
  </r>
  <r>
    <s v="Dec"/>
    <n v="2012"/>
    <x v="2"/>
    <d v="2012-12-05T00:00:00"/>
    <d v="2013-01-07T00:00:00"/>
    <n v="410400"/>
    <n v="25871.74"/>
    <n v="634"/>
    <n v="705"/>
    <s v="---"/>
    <n v="12436.36"/>
    <n v="783.99"/>
    <n v="6.3E-2"/>
    <n v="73.5"/>
    <n v="33"/>
    <n v="1.1000000000000001"/>
    <n v="86.350000000000009"/>
    <n v="2375.8625000000002"/>
    <n v="5531.0794000000005"/>
    <n v="-782.91949999999997"/>
    <n v="3996.0888000000004"/>
    <n v="12369.456"/>
    <n v="21.619400000000002"/>
    <m/>
    <n v="784.57500000000005"/>
    <n v="261.52500000000003"/>
    <n v="1223.9369999999999"/>
    <n v="119.9528"/>
    <n v="180.57599999999999"/>
    <n v="26168.102400000003"/>
    <n v="1.1455062550876045E-2"/>
    <n v="3.2998189429280129E-3"/>
    <n v="0.36439904790345046"/>
    <n v="0.63230113315362135"/>
    <n v="0.99999999999999978"/>
  </r>
  <r>
    <s v="Nov"/>
    <n v="2012"/>
    <x v="2"/>
    <d v="2012-11-01T00:00:00"/>
    <d v="2012-12-05T00:00:00"/>
    <n v="404640"/>
    <n v="26779.57"/>
    <n v="634"/>
    <n v="705"/>
    <s v="---"/>
    <n v="11901.18"/>
    <n v="787.63"/>
    <n v="6.6199999999999995E-2"/>
    <n v="70.34"/>
    <n v="34"/>
    <n v="1.1333333333333333"/>
    <n v="88.966666666666669"/>
    <n v="2447.8583333333331"/>
    <n v="5698.6878666666662"/>
    <n v="-806.64433333333318"/>
    <n v="4073.6406399999996"/>
    <n v="12195.8496"/>
    <n v="22.274533333333334"/>
    <m/>
    <n v="808.35"/>
    <n v="269.45"/>
    <n v="1261.0259999999998"/>
    <n v="123.58773333333332"/>
    <n v="178.04160000000002"/>
    <n v="26361.088639999998"/>
    <n v="1.56268887065775E-2"/>
    <n v="3.3749238463418284E-3"/>
    <n v="0.37269288334418854"/>
    <n v="0.62393219280946965"/>
    <n v="1"/>
  </r>
  <r>
    <s v="Oct"/>
    <n v="2012"/>
    <x v="2"/>
    <d v="2012-10-03T00:00:00"/>
    <d v="2012-11-01T00:00:00"/>
    <n v="356400"/>
    <n v="23260.27"/>
    <n v="634"/>
    <n v="705"/>
    <s v="---"/>
    <n v="12289.66"/>
    <n v="802.08"/>
    <n v="6.5299999999999997E-2"/>
    <n v="72.63"/>
    <n v="29"/>
    <n v="0.96666666666666667"/>
    <n v="75.88333333333334"/>
    <n v="2087.8791666666666"/>
    <n v="4860.6455333333333"/>
    <n v="-688.02016666666657"/>
    <n v="3163.5404000000003"/>
    <n v="10741.896000000001"/>
    <n v="18.998866666666668"/>
    <m/>
    <n v="689.47500000000002"/>
    <n v="229.82499999999999"/>
    <n v="1075.5809999999999"/>
    <n v="105.41306666666665"/>
    <n v="156.816"/>
    <n v="22517.933199999999"/>
    <n v="3.1914367288083972E-2"/>
    <n v="3.3699066721333618E-3"/>
    <n v="0.37213883673243453"/>
    <n v="0.62449125659543214"/>
    <n v="1"/>
  </r>
  <r>
    <s v="Sep"/>
    <n v="2012"/>
    <x v="2"/>
    <d v="2012-09-04T00:00:00"/>
    <d v="2012-10-03T00:00:00"/>
    <n v="393120"/>
    <n v="25231.02"/>
    <n v="689"/>
    <n v="705"/>
    <s v="---"/>
    <n v="13555.86"/>
    <n v="870.03"/>
    <n v="6.4199999999999993E-2"/>
    <n v="80.12"/>
    <n v="29"/>
    <n v="0.96666666666666667"/>
    <n v="75.88333333333334"/>
    <n v="2087.8791666666666"/>
    <n v="5282.3103666666666"/>
    <n v="-688.02016666666657"/>
    <n v="3400.2987200000002"/>
    <n v="11848.6368"/>
    <n v="20.647033333333333"/>
    <m/>
    <n v="749.28750000000002"/>
    <n v="249.76249999999999"/>
    <n v="1168.8885"/>
    <n v="114.55773333333333"/>
    <n v="172.97280000000001"/>
    <n v="24483.104286666668"/>
    <n v="2.9642706213753228E-2"/>
    <n v="3.0994163340087102E-3"/>
    <n v="0.36700054568761009"/>
    <n v="0.62990003797838112"/>
    <n v="1"/>
  </r>
  <r>
    <s v="Aug"/>
    <n v="2012"/>
    <x v="2"/>
    <d v="2012-08-03T00:00:00"/>
    <d v="2012-09-04T00:00:00"/>
    <n v="462240"/>
    <n v="28187.19"/>
    <n v="689"/>
    <n v="732"/>
    <s v="---"/>
    <n v="14445"/>
    <n v="880.85"/>
    <n v="6.0999999999999999E-2"/>
    <n v="82.22"/>
    <n v="32"/>
    <n v="1.0666666666666667"/>
    <n v="83.733333333333334"/>
    <n v="2374.5706666666665"/>
    <n v="5828.7562666666663"/>
    <n v="-782.49386666666658"/>
    <n v="4243.81952"/>
    <n v="13931.9136"/>
    <n v="22.782933333333332"/>
    <m/>
    <n v="826.8"/>
    <n v="275.60000000000002"/>
    <n v="1289.808"/>
    <n v="126.40853333333332"/>
    <n v="203.38560000000001"/>
    <n v="28425.084586666668"/>
    <n v="8.4398120801211143E-3"/>
    <n v="2.9457549397270771E-3"/>
    <n v="0.35047327662153416"/>
    <n v="0.6465809684387388"/>
    <n v="1"/>
  </r>
  <r>
    <s v="Jul"/>
    <n v="2012"/>
    <x v="2"/>
    <d v="2012-07-05T00:00:00"/>
    <d v="2012-08-03T00:00:00"/>
    <n v="419760"/>
    <n v="25762.13"/>
    <n v="705"/>
    <n v="738"/>
    <s v="---"/>
    <n v="14474.48"/>
    <n v="888.35"/>
    <n v="6.1400000000000003E-2"/>
    <n v="81.72"/>
    <n v="29"/>
    <n v="0.96666666666666667"/>
    <n v="75.88333333333334"/>
    <n v="2166.1936666666666"/>
    <n v="5404.9765000000007"/>
    <n v="-713.82726666666656"/>
    <n v="3572.0645599999998"/>
    <n v="12651.5664"/>
    <n v="21.1265"/>
    <m/>
    <n v="766.6875"/>
    <n v="255.5625"/>
    <n v="1196.0324999999998"/>
    <n v="117.21799999999999"/>
    <n v="184.6944"/>
    <n v="25698.178593333334"/>
    <n v="2.4823804035872432E-3"/>
    <n v="2.9528681598087704E-3"/>
    <n v="0.35854564036652409"/>
    <n v="0.63850149147366708"/>
    <n v="1"/>
  </r>
  <r>
    <s v="Jun"/>
    <n v="2012"/>
    <x v="3"/>
    <d v="2012-06-05T00:00:00"/>
    <d v="2012-07-05T00:00:00"/>
    <n v="416160"/>
    <n v="26650.86"/>
    <n v="692"/>
    <n v="762"/>
    <s v="---"/>
    <n v="13872"/>
    <n v="888.36"/>
    <n v="6.4000000000000001E-2"/>
    <n v="75.849999999999994"/>
    <n v="30"/>
    <n v="1"/>
    <n v="78.5"/>
    <n v="2299.81"/>
    <n v="5488.2520000000004"/>
    <n v="-757.85799999999995"/>
    <n v="3671.2272000000003"/>
    <n v="14111.985600000002"/>
    <m/>
    <m/>
    <n v="568.13199999999995"/>
    <n v="268.49599999999998"/>
    <n v="716.21999999999991"/>
    <m/>
    <n v="183.1104"/>
    <n v="26627.875200000002"/>
    <n v="8.624412120283682E-4"/>
    <n v="2.9480384525761931E-3"/>
    <n v="0.32233334186574525"/>
    <n v="0.67471861968167857"/>
    <n v="1"/>
  </r>
  <r>
    <s v="May"/>
    <n v="2012"/>
    <x v="3"/>
    <d v="2012-05-04T00:00:00"/>
    <d v="2012-06-05T00:00:00"/>
    <n v="431280"/>
    <n v="27999"/>
    <n v="685"/>
    <n v="762"/>
    <s v="---"/>
    <n v="13477.5"/>
    <n v="874.97"/>
    <n v="6.4899999999999999E-2"/>
    <n v="73.7"/>
    <n v="32"/>
    <n v="1.0666666666666667"/>
    <n v="83.733333333333334"/>
    <n v="2453.1306666666665"/>
    <n v="5794.9173333333329"/>
    <n v="-808.38186666666661"/>
    <n v="4023.5494400000002"/>
    <n v="14624.704800000001"/>
    <m/>
    <m/>
    <n v="599.87733333333335"/>
    <n v="283.49866666666668"/>
    <n v="756.2399999999999"/>
    <m/>
    <n v="189.76320000000001"/>
    <n v="28001.032906666671"/>
    <n v="7.2606402609768091E-5"/>
    <n v="2.9903658773029599E-3"/>
    <n v="0.32424811483192384"/>
    <n v="0.6727615192907731"/>
    <n v="0.99999999999999989"/>
  </r>
  <r>
    <s v="Apr"/>
    <n v="2012"/>
    <x v="3"/>
    <d v="2012-04-04T00:00:00"/>
    <d v="2012-05-04T00:00:00"/>
    <n v="402480"/>
    <n v="26173.52"/>
    <n v="685"/>
    <n v="762"/>
    <s v="---"/>
    <n v="13416"/>
    <n v="872.45"/>
    <n v="6.5000000000000002E-2"/>
    <n v="73.36"/>
    <n v="30"/>
    <n v="1"/>
    <n v="78.5"/>
    <n v="2299.81"/>
    <n v="5432.7349999999997"/>
    <n v="-757.85799999999995"/>
    <n v="3579.9816000000001"/>
    <n v="13648.096800000001"/>
    <m/>
    <m/>
    <n v="562.38499999999999"/>
    <n v="265.78000000000003"/>
    <n v="708.97499999999991"/>
    <m/>
    <n v="177.09120000000001"/>
    <n v="25995.496599999999"/>
    <n v="6.8016606096544087E-3"/>
    <n v="3.0197538138201988E-3"/>
    <n v="0.32743467574302848"/>
    <n v="0.66954557044315133"/>
    <n v="1"/>
  </r>
  <r>
    <s v="Mar"/>
    <n v="2012"/>
    <x v="3"/>
    <d v="2012-03-06T00:00:00"/>
    <d v="2012-04-04T00:00:00"/>
    <n v="399600"/>
    <n v="25864.16"/>
    <n v="698"/>
    <n v="762"/>
    <s v="---"/>
    <n v="13779.31"/>
    <n v="891.87"/>
    <n v="6.4699999999999994E-2"/>
    <n v="75.349999999999994"/>
    <n v="29"/>
    <n v="0.96666666666666667"/>
    <n v="75.88333333333334"/>
    <n v="2223.1496666666667"/>
    <n v="5351.3100666666669"/>
    <n v="-732.59606666666662"/>
    <n v="3442.0796"/>
    <n v="13550.436000000002"/>
    <m/>
    <m/>
    <n v="553.95606666666663"/>
    <n v="261.79653333333334"/>
    <n v="698.34899999999993"/>
    <m/>
    <n v="175.82400000000001"/>
    <n v="25600.188200000001"/>
    <n v="1.0206084404055626E-2"/>
    <n v="2.9641709170455761E-3"/>
    <n v="0.32640249366083435"/>
    <n v="0.67063333542212011"/>
    <n v="1"/>
  </r>
  <r>
    <s v="Feb"/>
    <n v="2012"/>
    <x v="3"/>
    <d v="2012-02-06T00:00:00"/>
    <d v="2012-03-06T00:00:00"/>
    <n v="380160"/>
    <n v="24936.44"/>
    <n v="685"/>
    <n v="762"/>
    <s v="---"/>
    <n v="13108.97"/>
    <n v="859.88"/>
    <n v="6.5600000000000006E-2"/>
    <n v="71.680000000000007"/>
    <n v="29"/>
    <n v="0.96666666666666667"/>
    <n v="75.88333333333334"/>
    <n v="2223.1496666666667"/>
    <n v="5251.6438333333326"/>
    <n v="-732.59606666666662"/>
    <n v="3316.7369600000002"/>
    <n v="12891.225600000002"/>
    <m/>
    <m/>
    <n v="543.63883333333331"/>
    <n v="256.9206666666667"/>
    <n v="685.34249999999997"/>
    <m/>
    <n v="167.2704"/>
    <n v="24679.215726666665"/>
    <n v="1.0315196288376901E-2"/>
    <n v="3.0747870667275305E-3"/>
    <n v="0.33340198183212982"/>
    <n v="0.66352323110114275"/>
    <n v="1"/>
  </r>
  <r>
    <s v="Jan"/>
    <n v="2012"/>
    <x v="3"/>
    <d v="2012-01-05T00:00:00"/>
    <d v="2012-02-06T00:00:00"/>
    <n v="400320"/>
    <n v="26909.97"/>
    <n v="701"/>
    <n v="762"/>
    <s v="---"/>
    <n v="12510"/>
    <n v="840.94"/>
    <n v="6.7199999999999996E-2"/>
    <n v="68.41"/>
    <n v="32"/>
    <n v="1.0666666666666667"/>
    <n v="83.733333333333334"/>
    <n v="2453.1306666666665"/>
    <n v="5930.2730666666666"/>
    <n v="-808.38186666666661"/>
    <n v="3803.27936"/>
    <n v="13574.851200000001"/>
    <m/>
    <m/>
    <n v="613.88906666666662"/>
    <n v="290.12053333333336"/>
    <n v="773.904"/>
    <m/>
    <n v="176.14080000000001"/>
    <n v="26890.940160000002"/>
    <n v="7.0716689762193117E-4"/>
    <n v="3.113812043577629E-3"/>
    <n v="0.34409118504641623"/>
    <n v="0.65279500291000614"/>
    <n v="1"/>
  </r>
  <r>
    <s v="Dec"/>
    <n v="2011"/>
    <x v="3"/>
    <d v="2011-12-06T00:00:00"/>
    <d v="2012-01-05T00:00:00"/>
    <n v="390240"/>
    <n v="25523.22"/>
    <n v="685"/>
    <n v="762"/>
    <s v="---"/>
    <n v="13008"/>
    <n v="850.77"/>
    <n v="6.54E-2"/>
    <n v="71.13"/>
    <n v="30"/>
    <n v="1"/>
    <n v="78.5"/>
    <n v="2299.81"/>
    <n v="5432.7349999999997"/>
    <n v="-757.85799999999995"/>
    <n v="3498.3407999999999"/>
    <n v="13233.038400000001"/>
    <m/>
    <m/>
    <n v="562.38499999999999"/>
    <n v="265.78000000000003"/>
    <n v="708.97499999999991"/>
    <m/>
    <n v="171.7056"/>
    <n v="25493.411799999998"/>
    <n v="1.1678855567598104E-3"/>
    <n v="3.0792269240321928E-3"/>
    <n v="0.33388339963190017"/>
    <n v="0.66303737344406788"/>
    <n v="1.0000000000000002"/>
  </r>
  <r>
    <s v="Nov"/>
    <n v="2011"/>
    <x v="3"/>
    <d v="2011-11-02T00:00:00"/>
    <d v="2011-12-06T00:00:00"/>
    <n v="457200"/>
    <n v="29504.880000000001"/>
    <n v="685"/>
    <n v="762"/>
    <s v="---"/>
    <n v="13447.06"/>
    <n v="867.79"/>
    <n v="6.4500000000000002E-2"/>
    <n v="73.53"/>
    <n v="34"/>
    <n v="1.1333333333333333"/>
    <n v="88.966666666666669"/>
    <n v="2606.4513333333334"/>
    <n v="6157.0996666666661"/>
    <n v="-858.90573333333327"/>
    <n v="4470.9592000000002"/>
    <n v="15503.652000000002"/>
    <m/>
    <m/>
    <n v="637.3696666666666"/>
    <n v="301.21733333333339"/>
    <n v="803.50499999999988"/>
    <m/>
    <n v="201.16800000000001"/>
    <n v="29911.483133333339"/>
    <n v="1.3780877378024841E-2"/>
    <n v="2.9743315057327354E-3"/>
    <n v="0.32250949321587963"/>
    <n v="0.67451617527838759"/>
    <n v="1"/>
  </r>
  <r>
    <s v="Oct"/>
    <n v="2011"/>
    <x v="3"/>
    <d v="2011-10-04T00:00:00"/>
    <d v="2011-11-02T00:00:00"/>
    <n v="406080"/>
    <n v="25826.97"/>
    <n v="685"/>
    <n v="762"/>
    <s v="---"/>
    <n v="14002.76"/>
    <n v="890.58"/>
    <n v="6.3600000000000004E-2"/>
    <n v="76.569999999999993"/>
    <n v="29"/>
    <n v="0.96666666666666667"/>
    <n v="75.88333333333334"/>
    <n v="2223.1496666666667"/>
    <n v="5251.6438333333326"/>
    <n v="-732.59606666666662"/>
    <n v="3483.8604799999998"/>
    <n v="13770.1728"/>
    <m/>
    <m/>
    <n v="543.63883333333331"/>
    <n v="256.9206666666667"/>
    <n v="685.34249999999997"/>
    <m/>
    <n v="178.67520000000002"/>
    <n v="25736.691246666665"/>
    <n v="3.4955224454644028E-3"/>
    <n v="2.9484494570824644E-3"/>
    <n v="0.31970307894178163"/>
    <n v="0.67734847160113598"/>
    <n v="1"/>
  </r>
  <r>
    <s v="Sep"/>
    <n v="2011"/>
    <x v="3"/>
    <d v="2011-09-02T00:00:00"/>
    <d v="2011-10-04T00:00:00"/>
    <n v="469440"/>
    <n v="29884.68"/>
    <n v="732"/>
    <n v="762"/>
    <s v="---"/>
    <n v="14670"/>
    <n v="933.9"/>
    <n v="6.3700000000000007E-2"/>
    <n v="80.22"/>
    <n v="32"/>
    <n v="1.0666666666666667"/>
    <n v="83.733333333333334"/>
    <n v="2453.1306666666665"/>
    <n v="6192.5248000000001"/>
    <n v="-808.38186666666661"/>
    <n v="4295.0451199999998"/>
    <n v="15918.710400000002"/>
    <m/>
    <m/>
    <n v="641.03679999999997"/>
    <n v="302.9504"/>
    <n v="808.12799999999993"/>
    <m/>
    <n v="206.55360000000002"/>
    <n v="30093.43125333334"/>
    <n v="6.9852263210895774E-3"/>
    <n v="2.7824455319982329E-3"/>
    <n v="0.3186538856029526"/>
    <n v="0.67856366886504904"/>
    <n v="0.99999999999999989"/>
  </r>
  <r>
    <s v="Aug"/>
    <n v="2011"/>
    <x v="3"/>
    <d v="2011-08-04T00:00:00"/>
    <d v="2011-09-02T00:00:00"/>
    <n v="448560"/>
    <n v="28090.82"/>
    <n v="738"/>
    <n v="762"/>
    <s v="---"/>
    <n v="15467.59"/>
    <n v="968.65"/>
    <n v="6.2600000000000003E-2"/>
    <n v="84.58"/>
    <n v="29"/>
    <n v="0.96666666666666667"/>
    <n v="75.88333333333334"/>
    <n v="2223.1496666666667"/>
    <n v="5657.9754000000003"/>
    <n v="-732.59606666666662"/>
    <n v="3757.7573600000001"/>
    <n v="15210.669600000001"/>
    <m/>
    <m/>
    <n v="585.70139999999992"/>
    <n v="276.79919999999998"/>
    <n v="738.36899999999991"/>
    <m/>
    <n v="197.3664"/>
    <n v="27991.075293333335"/>
    <n v="3.5507936993887886E-3"/>
    <n v="2.710983145095771E-3"/>
    <n v="0.3125781524400334"/>
    <n v="0.68471086441487072"/>
    <n v="0.99999999999999989"/>
  </r>
  <r>
    <s v="Jul"/>
    <n v="2011"/>
    <x v="3"/>
    <d v="2011-07-06T00:00:00"/>
    <d v="2011-08-04T00:00:00"/>
    <n v="442080"/>
    <n v="28073.78"/>
    <n v="762"/>
    <n v="770"/>
    <s v="---"/>
    <n v="15244.14"/>
    <n v="968.06"/>
    <n v="6.3500000000000001E-2"/>
    <n v="82.49"/>
    <n v="29"/>
    <n v="0.96666666666666667"/>
    <n v="75.88333333333334"/>
    <n v="2242.1349999999998"/>
    <n v="5841.9746000000005"/>
    <n v="-738.85233333333326"/>
    <n v="3715.9764800000003"/>
    <n v="14990.9328"/>
    <m/>
    <m/>
    <n v="604.74860000000001"/>
    <n v="285.80079999999998"/>
    <n v="762.38099999999997"/>
    <m/>
    <n v="194.51519999999999"/>
    <n v="27975.495480000001"/>
    <n v="3.5009364609966107E-3"/>
    <n v="2.7124929167950998E-3"/>
    <n v="0.32164533683056923"/>
    <n v="0.67564217025263573"/>
    <n v="1"/>
  </r>
  <r>
    <s v="Jun"/>
    <n v="2011"/>
    <x v="4"/>
    <d v="2011-06-06T00:00:00"/>
    <d v="2011-07-06T00:00:00"/>
    <n v="414000"/>
    <n v="24664.54"/>
    <n v="727"/>
    <n v="787"/>
    <s v="---"/>
    <n v="13800"/>
    <n v="822.15"/>
    <n v="5.96E-2"/>
    <n v="73.06"/>
    <n v="30"/>
    <n v="1"/>
    <n v="78.5"/>
    <n v="2361.1849999999999"/>
    <n v="5765.8370000000004"/>
    <n v="-778.08299999999997"/>
    <n v="3656.8199999999997"/>
    <n v="11198.7"/>
    <m/>
    <m/>
    <n v="596.86699999999996"/>
    <n v="282.07600000000002"/>
    <n v="752.44499999999994"/>
    <m/>
    <n v="182.16"/>
    <n v="24096.507000000001"/>
    <n v="2.3030350454539165E-2"/>
    <n v="3.2577335793938927E-3"/>
    <n v="0.3726816919979315"/>
    <n v="0.6240605744226746"/>
    <n v="1"/>
  </r>
  <r>
    <s v="May"/>
    <n v="2011"/>
    <x v="4"/>
    <d v="2011-05-05T00:00:00"/>
    <d v="2011-06-06T00:00:00"/>
    <n v="442800"/>
    <n v="25704.04"/>
    <n v="723"/>
    <n v="789"/>
    <s v="---"/>
    <n v="13837.5"/>
    <n v="803.25"/>
    <n v="5.8000000000000003E-2"/>
    <n v="73.08"/>
    <n v="32"/>
    <n v="1.0666666666666667"/>
    <n v="83.733333333333334"/>
    <n v="2523.8346666666666"/>
    <n v="6116.3872000000001"/>
    <n v="-831.68106666666654"/>
    <n v="4105.5104000000001"/>
    <n v="11977.74"/>
    <m/>
    <m/>
    <n v="633.15519999999992"/>
    <n v="299.22559999999999"/>
    <n v="798.19199999999989"/>
    <m/>
    <n v="194.83199999999999"/>
    <n v="25900.929333333337"/>
    <n v="7.6598594358449588E-3"/>
    <n v="3.2328312338033476E-3"/>
    <n v="0.36829232948501145"/>
    <n v="0.62847483928118508"/>
    <n v="0.99999999999999989"/>
  </r>
  <r>
    <s v="Apr"/>
    <n v="2011"/>
    <x v="4"/>
    <d v="2011-04-05T00:00:00"/>
    <d v="2011-05-05T00:00:00"/>
    <n v="406800"/>
    <n v="23680.880000000001"/>
    <n v="710"/>
    <n v="789"/>
    <s v="---"/>
    <n v="13560"/>
    <n v="789.36"/>
    <n v="5.8200000000000002E-2"/>
    <n v="71.61"/>
    <n v="30"/>
    <n v="1"/>
    <n v="78.5"/>
    <n v="2366.0949999999998"/>
    <n v="5631.01"/>
    <n v="-779.70099999999991"/>
    <n v="3608.7960000000003"/>
    <n v="11003.94"/>
    <m/>
    <m/>
    <n v="582.91"/>
    <n v="275.48"/>
    <n v="734.84999999999991"/>
    <m/>
    <n v="178.99200000000002"/>
    <n v="23680.871999999996"/>
    <n v="3.3782528374231838E-7"/>
    <n v="3.3149117143997067E-3"/>
    <n v="0.37205741410198079"/>
    <n v="0.62462767418361975"/>
    <n v="1.0000000000000002"/>
  </r>
  <r>
    <s v="Mar"/>
    <n v="2011"/>
    <x v="4"/>
    <d v="2011-03-04T00:00:00"/>
    <d v="2011-04-05T00:00:00"/>
    <n v="414000"/>
    <n v="23404.15"/>
    <n v="710"/>
    <n v="789"/>
    <s v="---"/>
    <n v="12937.5"/>
    <n v="731.38"/>
    <n v="5.6500000000000002E-2"/>
    <n v="68.319999999999993"/>
    <n v="32"/>
    <n v="1.0666666666666667"/>
    <n v="83.733333333333334"/>
    <n v="2523.8346666666666"/>
    <n v="6006.4106666666667"/>
    <n v="-831.68106666666654"/>
    <n v="3900.6079999999997"/>
    <n v="11198.7"/>
    <m/>
    <m/>
    <n v="621.77066666666667"/>
    <n v="293.84533333333337"/>
    <n v="783.83999999999992"/>
    <m/>
    <n v="182.16"/>
    <n v="24763.221600000004"/>
    <n v="5.8069684222670032E-2"/>
    <n v="3.3813586408859386E-3"/>
    <n v="0.37951525122509361"/>
    <n v="0.61710339013402027"/>
    <n v="0.99999999999999978"/>
  </r>
  <r>
    <s v="Feb"/>
    <n v="2011"/>
    <x v="4"/>
    <d v="2011-02-04T00:00:00"/>
    <d v="2011-03-04T00:00:00"/>
    <n v="329040"/>
    <n v="19153.75"/>
    <n v="710"/>
    <n v="789"/>
    <s v="---"/>
    <n v="11751.43"/>
    <n v="684.06"/>
    <n v="5.8200000000000002E-2"/>
    <n v="62.06"/>
    <n v="28"/>
    <n v="0.93333333333333335"/>
    <n v="73.266666666666666"/>
    <n v="2208.355333333333"/>
    <n v="5255.6093333333338"/>
    <n v="-727.72093333333328"/>
    <n v="2884.1276800000001"/>
    <n v="8900.5320000000011"/>
    <m/>
    <m/>
    <m/>
    <m/>
    <m/>
    <m/>
    <n v="144.77760000000001"/>
    <n v="18738.947680000005"/>
    <n v="2.1656454741238413E-2"/>
    <n v="3.9098602503097784E-3"/>
    <n v="0.35947822942709301"/>
    <n v="0.63661191032259701"/>
    <n v="0.99999999999999978"/>
  </r>
  <r>
    <s v="Jan"/>
    <n v="2011"/>
    <x v="4"/>
    <d v="2011-01-06T00:00:00"/>
    <d v="2011-02-04T00:00:00"/>
    <n v="327600"/>
    <n v="19387.21"/>
    <n v="710"/>
    <n v="789"/>
    <s v="---"/>
    <n v="11296.55"/>
    <n v="668.52"/>
    <n v="5.9200000000000003E-2"/>
    <n v="59.66"/>
    <n v="29"/>
    <n v="0.96666666666666667"/>
    <n v="75.88333333333334"/>
    <n v="2287.2251666666666"/>
    <n v="5443.309666666667"/>
    <n v="-753.71096666666654"/>
    <n v="2977.8476000000001"/>
    <n v="8861.58"/>
    <m/>
    <m/>
    <m/>
    <m/>
    <m/>
    <m/>
    <n v="144.14400000000001"/>
    <n v="19036.2788"/>
    <n v="1.8101170823444895E-2"/>
    <n v="3.9862482647256324E-3"/>
    <n v="0.36650145440539916"/>
    <n v="0.62951229732987513"/>
    <n v="1"/>
  </r>
  <r>
    <s v="Dec"/>
    <n v="2010"/>
    <x v="4"/>
    <d v="2010-12-07T00:00:00"/>
    <d v="2011-01-06T00:00:00"/>
    <n v="350640"/>
    <n v="20487.73"/>
    <n v="710"/>
    <n v="789"/>
    <s v="---"/>
    <n v="11688"/>
    <n v="682.92"/>
    <n v="5.8400000000000001E-2"/>
    <n v="61.72"/>
    <n v="30"/>
    <n v="1"/>
    <n v="78.5"/>
    <n v="2366.0949999999998"/>
    <n v="5631.01"/>
    <n v="-779.70099999999991"/>
    <n v="3234.2088000000003"/>
    <n v="9484.8119999999999"/>
    <m/>
    <m/>
    <m/>
    <m/>
    <m/>
    <m/>
    <n v="154.2816"/>
    <n v="20169.206399999999"/>
    <n v="1.5547042058832308E-2"/>
    <n v="3.8920718268815975E-3"/>
    <n v="0.35784273594423627"/>
    <n v="0.63826519222888223"/>
    <n v="1"/>
  </r>
  <r>
    <s v="Nov"/>
    <n v="2010"/>
    <x v="4"/>
    <d v="2010-11-03T00:00:00"/>
    <d v="2010-12-07T00:00:00"/>
    <n v="399600"/>
    <n v="23303.85"/>
    <n v="710"/>
    <n v="789"/>
    <s v="---"/>
    <n v="11752.94"/>
    <n v="685.41"/>
    <n v="5.8299999999999998E-2"/>
    <n v="62.07"/>
    <n v="34"/>
    <n v="1.1333333333333333"/>
    <n v="88.966666666666669"/>
    <n v="2681.574333333333"/>
    <n v="6381.8113333333331"/>
    <n v="-883.66113333333317"/>
    <n v="4035.5416"/>
    <n v="10809.18"/>
    <m/>
    <m/>
    <m/>
    <m/>
    <m/>
    <m/>
    <n v="175.82400000000001"/>
    <n v="23289.236799999999"/>
    <n v="6.2707235070598975E-4"/>
    <n v="3.8200765199255765E-3"/>
    <n v="0.35122338286900551"/>
    <n v="0.644956540611069"/>
    <n v="1"/>
  </r>
  <r>
    <s v="Oct"/>
    <n v="2010"/>
    <x v="4"/>
    <d v="2010-10-05T00:00:00"/>
    <d v="2010-11-03T00:00:00"/>
    <n v="380880"/>
    <n v="21416.39"/>
    <n v="730"/>
    <n v="789"/>
    <s v="---"/>
    <n v="13133.79"/>
    <n v="738.5"/>
    <n v="5.62E-2"/>
    <n v="69.36"/>
    <n v="29"/>
    <n v="0.96666666666666667"/>
    <n v="75.88333333333334"/>
    <n v="2287.2251666666666"/>
    <n v="5596.6423333333332"/>
    <n v="-753.71096666666654"/>
    <n v="3321.3792800000001"/>
    <n v="10302.804"/>
    <m/>
    <m/>
    <m/>
    <m/>
    <m/>
    <m/>
    <n v="167.5872"/>
    <n v="20997.810346666669"/>
    <n v="1.9544827738630578E-2"/>
    <n v="3.613868878731899E-3"/>
    <n v="0.33956666983923023"/>
    <n v="0.65681946128203783"/>
    <n v="1"/>
  </r>
  <r>
    <s v="Sep"/>
    <n v="2010"/>
    <x v="4"/>
    <d v="2010-09-08T00:00:00"/>
    <d v="2010-10-05T00:00:00"/>
    <n v="380880"/>
    <n v="21042.02"/>
    <n v="756"/>
    <n v="789"/>
    <s v="---"/>
    <n v="14106.67"/>
    <n v="779.33"/>
    <n v="5.5199999999999999E-2"/>
    <n v="74.5"/>
    <n v="27"/>
    <n v="0.9"/>
    <n v="70.650000000000006"/>
    <n v="2129.4854999999998"/>
    <n v="5396.2524000000003"/>
    <n v="-701.73089999999991"/>
    <n v="3092.31864"/>
    <n v="10302.804"/>
    <m/>
    <m/>
    <m/>
    <m/>
    <m/>
    <m/>
    <n v="167.5872"/>
    <n v="20457.366840000002"/>
    <n v="2.7785030144444212E-2"/>
    <n v="3.4535236402887907E-3"/>
    <n v="0.33357210893129779"/>
    <n v="0.66297436742841331"/>
    <n v="0.99999999999999989"/>
  </r>
  <r>
    <s v="Aug"/>
    <n v="2010"/>
    <x v="4"/>
    <d v="2010-08-09T00:00:00"/>
    <d v="2010-09-08T00:00:00"/>
    <n v="478800"/>
    <n v="25406.55"/>
    <n v="770"/>
    <n v="789"/>
    <s v="---"/>
    <n v="15960"/>
    <n v="846.88"/>
    <n v="5.3100000000000001E-2"/>
    <n v="84.28"/>
    <n v="30"/>
    <n v="1"/>
    <n v="78.5"/>
    <n v="2366.0949999999998"/>
    <n v="6106.87"/>
    <n v="-779.70099999999991"/>
    <n v="4089.0360000000001"/>
    <n v="12951.54"/>
    <m/>
    <m/>
    <m/>
    <m/>
    <m/>
    <m/>
    <n v="210.672"/>
    <n v="25023.011999999999"/>
    <n v="1.5096028386380696E-2"/>
    <n v="3.1371123508233145E-3"/>
    <n v="0.30744756066935508"/>
    <n v="0.68941532697982166"/>
    <n v="1"/>
  </r>
  <r>
    <s v="Jul"/>
    <n v="2010"/>
    <x v="4"/>
    <d v="2010-07-08T00:00:00"/>
    <d v="2010-08-09T00:00:00"/>
    <n v="523440"/>
    <n v="27700.66"/>
    <n v="787"/>
    <n v="794"/>
    <s v="---"/>
    <n v="16357.5"/>
    <n v="865.65"/>
    <n v="5.2900000000000003E-2"/>
    <n v="85.84"/>
    <n v="32"/>
    <n v="1.0666666666666667"/>
    <n v="83.733333333333334"/>
    <n v="2536.9279999999999"/>
    <n v="6657.8101333333334"/>
    <n v="-835.99573333333331"/>
    <n v="4679.2371200000007"/>
    <n v="14159.052000000001"/>
    <m/>
    <m/>
    <m/>
    <m/>
    <m/>
    <m/>
    <n v="230.31360000000001"/>
    <n v="27511.078453333335"/>
    <n v="6.8439360891280028E-3"/>
    <n v="3.043622352913901E-3"/>
    <n v="0.30383186955679758"/>
    <n v="0.6931245080902884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s v="Jun"/>
    <n v="2015"/>
    <x v="0"/>
    <d v="2015-06-05T00:00:00"/>
    <d v="2015-07-07T00:00:00"/>
    <n v="447120"/>
    <n v="26858.23"/>
    <n v="754"/>
    <n v="754.3"/>
    <s v="---"/>
    <n v="13972.5"/>
    <n v="839.32"/>
    <n v="6.0100000000000001E-2"/>
    <n v="77.180000000000007"/>
    <n v="32"/>
    <n v="1.0666666666666667"/>
    <n v="97.503999999999991"/>
    <n v="2432.9669333333327"/>
    <n v="6378.6389333333336"/>
    <n v="-801.73727999999983"/>
    <n v="4136.2457600000007"/>
    <n v="11249.539199999999"/>
    <n v="64.341333333333338"/>
    <n v="348.24746666666664"/>
    <n v="996.48640000000012"/>
    <n v="348.24746666666664"/>
    <n v="1199.1616000000001"/>
    <n v="437.52106666666668"/>
    <n v="210.1464"/>
    <n v="27097.309280000005"/>
    <n v="8.9015277626264041E-3"/>
    <n v="3.5982908484557836E-3"/>
    <n v="0.42084894120527955"/>
    <n v="0.57555276794626442"/>
    <n v="0.99999999999999978"/>
    <n v="97.503999999999991"/>
    <n v="2430.3482666666664"/>
    <n v="6370.1791999999996"/>
    <n v="-800.8743466666665"/>
    <n v="4136.2457600000007"/>
    <n v="11249.539199999999"/>
    <n v="64.256"/>
    <n v="347.78559999999999"/>
    <n v="995.16480000000013"/>
    <n v="347.78559999999999"/>
    <n v="1197.5712000000001"/>
    <n v="436.94080000000002"/>
    <n v="210.1464"/>
    <n v="27082.592479999999"/>
    <n v="14.716800000005605"/>
    <n v="97.503999999999991"/>
    <n v="2432.9669333333327"/>
    <n v="6378.6389333333336"/>
    <n v="-801.73727999999983"/>
    <n v="4136.2386453333329"/>
    <n v="11249.51404"/>
    <n v="64.341333333333338"/>
    <n v="348.24746666666664"/>
    <n v="996.48640000000012"/>
    <n v="348.24746666666664"/>
    <n v="1199.1616000000001"/>
    <n v="437.52106666666668"/>
    <n v="210.14592999999999"/>
    <n v="27097.276535333334"/>
    <n v="3.2744666670623701E-2"/>
  </r>
  <r>
    <s v="May"/>
    <n v="2015"/>
    <x v="0"/>
    <d v="2015-05-06T00:00:00"/>
    <d v="2015-06-05T00:00:00"/>
    <n v="379440"/>
    <n v="23165.94"/>
    <n v="696"/>
    <n v="751"/>
    <s v="---"/>
    <n v="12648"/>
    <n v="772.2"/>
    <n v="6.1100000000000002E-2"/>
    <n v="70.17"/>
    <n v="30"/>
    <n v="1"/>
    <n v="91.41"/>
    <n v="2272.8049999999998"/>
    <n v="5519.9759999999997"/>
    <n v="-748.95899999999995"/>
    <n v="3426.3047999999999"/>
    <n v="9546.7103999999999"/>
    <n v="55.68"/>
    <n v="301.36799999999999"/>
    <n v="862.34400000000005"/>
    <n v="301.36799999999999"/>
    <n v="1037.7360000000001"/>
    <n v="378.62400000000002"/>
    <n v="178.33679999999998"/>
    <n v="23223.703999999998"/>
    <n v="2.4934882849562425E-3"/>
    <n v="3.9360646346508722E-3"/>
    <n v="0.42977390686688055"/>
    <n v="0.56629002849846866"/>
    <n v="1"/>
    <n v="91.41"/>
    <n v="2270.35"/>
    <n v="5512.0450000000001"/>
    <n v="-748.15"/>
    <n v="3426.3047999999999"/>
    <n v="9546.7103999999999"/>
    <n v="55.6"/>
    <n v="300.935"/>
    <n v="861.10500000000002"/>
    <n v="300.935"/>
    <n v="1036.2450000000001"/>
    <n v="378.08000000000004"/>
    <n v="178.33679999999998"/>
    <n v="23209.907000000003"/>
    <n v="13.796999999995023"/>
    <n v="91.41"/>
    <n v="2272.8049999999998"/>
    <n v="5519.9759999999997"/>
    <n v="-748.95899999999995"/>
    <n v="3426.2981300000001"/>
    <n v="9546.6852399999989"/>
    <n v="55.68"/>
    <n v="301.36799999999999"/>
    <n v="862.34400000000005"/>
    <n v="301.36799999999999"/>
    <n v="1037.7360000000001"/>
    <n v="378.62400000000002"/>
    <n v="178.33633"/>
    <n v="23223.671699999995"/>
    <n v="3.2300000002578599E-2"/>
  </r>
  <r>
    <s v="Apr"/>
    <n v="2015"/>
    <x v="0"/>
    <d v="2015-04-07T00:00:00"/>
    <d v="2015-05-06T00:00:00"/>
    <n v="342000"/>
    <n v="21347.99"/>
    <n v="675"/>
    <n v="751"/>
    <s v="---"/>
    <n v="11793.1"/>
    <n v="736.14"/>
    <n v="6.2399999999999997E-2"/>
    <n v="65.430000000000007"/>
    <n v="29"/>
    <n v="0.96666666666666667"/>
    <n v="88.363"/>
    <n v="2197.0448333333334"/>
    <n v="5174.9775"/>
    <n v="-723.99369999999999"/>
    <n v="3070.694"/>
    <n v="8604.7199999999993"/>
    <n v="52.2"/>
    <n v="282.53249999999997"/>
    <n v="808.4475000000001"/>
    <n v="282.53249999999997"/>
    <n v="972.87750000000005"/>
    <n v="354.96000000000004"/>
    <n v="160.74"/>
    <n v="21326.095633333334"/>
    <n v="1.0255938224941709E-3"/>
    <n v="4.1434213519086893E-3"/>
    <n v="0.44084856388988436"/>
    <n v="0.55500801475820694"/>
    <n v="1"/>
    <n v="88.363"/>
    <n v="2194.6716666666666"/>
    <n v="5167.3108666666667"/>
    <n v="-723.2116666666667"/>
    <n v="3070.694"/>
    <n v="8604.7199999999993"/>
    <n v="52.122666666666667"/>
    <n v="282.11393333333331"/>
    <n v="807.24980000000005"/>
    <n v="282.11393333333331"/>
    <n v="971.4362000000001"/>
    <n v="354.43413333333336"/>
    <n v="160.74"/>
    <n v="21312.758533333337"/>
    <n v="13.337099999997008"/>
    <n v="88.363"/>
    <n v="2197.0448333333334"/>
    <n v="5174.9775"/>
    <n v="-723.99369999999999"/>
    <n v="3070.6875523333333"/>
    <n v="8604.6948400000001"/>
    <n v="52.2"/>
    <n v="282.53249999999997"/>
    <n v="808.4475000000001"/>
    <n v="282.53249999999997"/>
    <n v="972.87750000000005"/>
    <n v="354.96000000000004"/>
    <n v="160.73953"/>
    <n v="21326.063555666664"/>
    <n v="3.2077666670375038E-2"/>
  </r>
  <r>
    <s v="Mar"/>
    <n v="2015"/>
    <x v="0"/>
    <d v="2015-03-05T00:00:00"/>
    <d v="2015-04-07T00:00:00"/>
    <n v="376560"/>
    <n v="23885.16"/>
    <n v="675"/>
    <n v="751"/>
    <s v="---"/>
    <n v="11410.91"/>
    <n v="723.79"/>
    <n v="6.3399999999999998E-2"/>
    <n v="63.31"/>
    <n v="33"/>
    <n v="1.1000000000000001"/>
    <n v="100.551"/>
    <n v="2500.0855000000001"/>
    <n v="5888.7675000000008"/>
    <n v="-823.85490000000004"/>
    <n v="3747.8047200000001"/>
    <n v="9474.2495999999992"/>
    <n v="59.400000000000006"/>
    <n v="321.5025"/>
    <n v="919.9575000000001"/>
    <n v="321.5025"/>
    <n v="1107.0675000000001"/>
    <n v="403.92000000000007"/>
    <n v="176.98319999999998"/>
    <n v="24197.936619999997"/>
    <n v="1.3095018831776589E-2"/>
    <n v="4.1553543006180504E-3"/>
    <n v="0.44211819660514518"/>
    <n v="0.55372644909423696"/>
    <n v="1.0000000000000002"/>
    <n v="100.551"/>
    <n v="2497.3850000000002"/>
    <n v="5880.0434000000005"/>
    <n v="-822.96500000000003"/>
    <n v="3747.8047200000001"/>
    <n v="9474.2495999999992"/>
    <n v="59.312000000000005"/>
    <n v="321.02620000000002"/>
    <n v="918.59460000000013"/>
    <n v="321.02620000000002"/>
    <n v="1105.4274000000003"/>
    <n v="403.32160000000005"/>
    <n v="176.98319999999998"/>
    <n v="24182.75992"/>
    <n v="15.176699999996345"/>
    <n v="100.551"/>
    <n v="2500.0855000000001"/>
    <n v="5888.7675000000008"/>
    <n v="-823.85490000000004"/>
    <n v="3747.7973830000001"/>
    <n v="9474.22444"/>
    <n v="59.400000000000006"/>
    <n v="321.5025"/>
    <n v="919.9575000000001"/>
    <n v="321.5025"/>
    <n v="1107.0675000000001"/>
    <n v="403.92000000000007"/>
    <n v="176.98273"/>
    <n v="24197.903652999998"/>
    <n v="3.2966999999189284E-2"/>
  </r>
  <r>
    <s v="Feb"/>
    <n v="2015"/>
    <x v="0"/>
    <d v="2015-02-04T00:00:00"/>
    <d v="2015-03-05T00:00:00"/>
    <n v="319680"/>
    <n v="20627.060000000001"/>
    <n v="675"/>
    <n v="751"/>
    <s v="---"/>
    <n v="11023.45"/>
    <n v="711.28"/>
    <n v="6.4500000000000002E-2"/>
    <n v="61.16"/>
    <n v="29"/>
    <n v="0.96666666666666667"/>
    <n v="88.363"/>
    <n v="2197.0448333333334"/>
    <n v="5174.9775"/>
    <n v="-723.99369999999999"/>
    <n v="2926.7820800000004"/>
    <n v="8043.148799999999"/>
    <n v="52.2"/>
    <n v="282.53249999999997"/>
    <n v="808.4475000000001"/>
    <n v="282.53249999999997"/>
    <n v="972.87750000000005"/>
    <n v="354.96000000000004"/>
    <n v="150.24959999999999"/>
    <n v="20610.122113333331"/>
    <n v="8.2114885333490269E-4"/>
    <n v="4.2873593622638085E-3"/>
    <n v="0.45616316980728416"/>
    <n v="0.53954947083045213"/>
    <n v="1"/>
    <n v="88.363"/>
    <n v="2194.6716666666666"/>
    <n v="5167.3108666666667"/>
    <n v="-723.2116666666667"/>
    <n v="2926.7820800000004"/>
    <n v="8043.148799999999"/>
    <n v="52.122666666666667"/>
    <n v="282.11393333333331"/>
    <n v="807.24980000000005"/>
    <n v="282.11393333333331"/>
    <n v="971.4362000000001"/>
    <n v="354.43413333333336"/>
    <n v="150.24959999999999"/>
    <n v="20596.78501333333"/>
    <n v="13.337100000000646"/>
    <n v="88.363"/>
    <n v="2197.0448333333334"/>
    <n v="5174.9775"/>
    <n v="-723.99369999999999"/>
    <n v="2926.7756323333333"/>
    <n v="8043.1236399999998"/>
    <n v="52.2"/>
    <n v="282.53249999999997"/>
    <n v="808.4475000000001"/>
    <n v="282.53249999999997"/>
    <n v="972.87750000000005"/>
    <n v="354.96000000000004"/>
    <n v="150.24913000000001"/>
    <n v="20610.090035666668"/>
    <n v="3.207766666309908E-2"/>
  </r>
  <r>
    <s v="Jan"/>
    <n v="2015"/>
    <x v="0"/>
    <d v="2015-01-06T00:00:00"/>
    <d v="2015-02-04T00:00:00"/>
    <n v="330480"/>
    <n v="20975.9"/>
    <n v="675"/>
    <n v="751"/>
    <s v="---"/>
    <n v="11395.86"/>
    <n v="723.31"/>
    <n v="6.3500000000000001E-2"/>
    <n v="63.23"/>
    <n v="29"/>
    <n v="0.96666666666666667"/>
    <n v="88.363"/>
    <n v="2197.0448333333334"/>
    <n v="5174.9775"/>
    <n v="-723.99369999999999"/>
    <n v="2996.4168800000002"/>
    <n v="8314.8768"/>
    <n v="52.2"/>
    <n v="282.53249999999997"/>
    <n v="808.4475000000001"/>
    <n v="282.53249999999997"/>
    <n v="972.87750000000005"/>
    <n v="354.96000000000004"/>
    <n v="155.32560000000001"/>
    <n v="20956.560913333335"/>
    <n v="9.2196695572856679E-4"/>
    <n v="4.2164838193360348E-3"/>
    <n v="0.44862220820553167"/>
    <n v="0.54716130797513229"/>
    <n v="1"/>
    <n v="88.363"/>
    <n v="2194.6716666666666"/>
    <n v="5167.3108666666667"/>
    <n v="-723.2116666666667"/>
    <n v="2996.4168800000002"/>
    <n v="8314.8768"/>
    <n v="52.122666666666667"/>
    <n v="282.11393333333331"/>
    <n v="807.24980000000005"/>
    <n v="282.11393333333331"/>
    <n v="971.4362000000001"/>
    <n v="354.43413333333336"/>
    <n v="155.32560000000001"/>
    <n v="20943.223813333334"/>
    <n v="13.337100000000646"/>
    <n v="88.363"/>
    <n v="2197.0448333333334"/>
    <n v="5174.9775"/>
    <n v="-723.99369999999999"/>
    <n v="2996.4104323333336"/>
    <n v="8314.851639999999"/>
    <n v="52.2"/>
    <n v="282.53249999999997"/>
    <n v="808.4475000000001"/>
    <n v="282.53249999999997"/>
    <n v="972.87750000000005"/>
    <n v="354.96000000000004"/>
    <n v="155.32513"/>
    <n v="20956.528835666664"/>
    <n v="3.2077666670375038E-2"/>
  </r>
  <r>
    <s v="Dec"/>
    <n v="2014"/>
    <x v="0"/>
    <d v="2014-12-04T00:00:00"/>
    <d v="2015-01-06T00:00:00"/>
    <n v="391680"/>
    <n v="24415.200000000001"/>
    <n v="675"/>
    <n v="751"/>
    <s v="---"/>
    <n v="11869.09"/>
    <n v="739.85"/>
    <n v="6.2300000000000001E-2"/>
    <n v="65.849999999999994"/>
    <n v="33"/>
    <n v="1.1000000000000001"/>
    <n v="100.551"/>
    <n v="2500.0855000000001"/>
    <n v="5888.7675000000008"/>
    <n v="-823.85490000000004"/>
    <n v="3858.7401600000003"/>
    <n v="9854.6687999999995"/>
    <n v="59.400000000000006"/>
    <n v="321.5025"/>
    <n v="919.9575000000001"/>
    <n v="321.5025"/>
    <n v="1107.0675000000001"/>
    <n v="403.92000000000007"/>
    <n v="184.08959999999999"/>
    <n v="24696.397660000002"/>
    <n v="1.1517319538648122E-2"/>
    <n v="4.0714844887219876E-3"/>
    <n v="0.43319468075005074"/>
    <n v="0.56273383476122718"/>
    <n v="0.99999999999999989"/>
    <n v="100.551"/>
    <n v="2497.3850000000002"/>
    <n v="5880.0434000000005"/>
    <n v="-822.96500000000003"/>
    <n v="3858.7401600000003"/>
    <n v="9854.6687999999995"/>
    <n v="59.312000000000005"/>
    <n v="321.02620000000002"/>
    <n v="918.59460000000013"/>
    <n v="321.02620000000002"/>
    <n v="1105.4274000000003"/>
    <n v="403.32160000000005"/>
    <n v="184.08959999999999"/>
    <n v="24681.220960000002"/>
    <n v="15.176699999999983"/>
    <n v="100.551"/>
    <n v="2500.0855000000001"/>
    <n v="5888.7675000000008"/>
    <n v="-823.85490000000004"/>
    <n v="3858.7328230000007"/>
    <n v="9854.6436400000002"/>
    <n v="59.400000000000006"/>
    <n v="321.5025"/>
    <n v="919.9575000000001"/>
    <n v="321.5025"/>
    <n v="1107.0675000000001"/>
    <n v="403.92000000000007"/>
    <n v="184.08912999999998"/>
    <n v="24696.364693000003"/>
    <n v="3.2966999999189284E-2"/>
  </r>
  <r>
    <s v="Nov"/>
    <n v="2014"/>
    <x v="0"/>
    <d v="2014-11-01T00:00:00"/>
    <d v="2014-12-04T00:00:00"/>
    <n v="401040"/>
    <n v="24728"/>
    <n v="675"/>
    <n v="751"/>
    <s v="---"/>
    <n v="12152.73"/>
    <n v="749.33"/>
    <n v="6.1699999999999998E-2"/>
    <n v="67.430000000000007"/>
    <n v="33"/>
    <n v="1.1000000000000001"/>
    <n v="100.551"/>
    <n v="2500.0855000000001"/>
    <n v="5888.7675000000008"/>
    <n v="-823.85490000000004"/>
    <n v="3927.4144800000004"/>
    <n v="10090.1664"/>
    <n v="59.400000000000006"/>
    <n v="321.5025"/>
    <n v="919.9575000000001"/>
    <n v="321.5025"/>
    <n v="1107.0675000000001"/>
    <n v="403.92000000000007"/>
    <n v="188.4888"/>
    <n v="25004.968779999996"/>
    <n v="1.120061387900338E-2"/>
    <n v="4.0212407735707644E-3"/>
    <n v="0.42784888851998809"/>
    <n v="0.56812987070644139"/>
    <n v="1.0000000000000002"/>
    <n v="100.551"/>
    <n v="2497.3850000000002"/>
    <n v="5880.0434000000005"/>
    <n v="-822.96500000000003"/>
    <n v="3927.4144800000004"/>
    <n v="10090.1664"/>
    <n v="59.312000000000005"/>
    <n v="321.02620000000002"/>
    <n v="918.59460000000013"/>
    <n v="321.02620000000002"/>
    <n v="1105.4274000000003"/>
    <n v="403.32160000000005"/>
    <n v="188.4888"/>
    <n v="24989.792080000003"/>
    <n v="15.176699999992707"/>
    <n v="100.551"/>
    <n v="2500.0855000000001"/>
    <n v="5888.7675000000008"/>
    <n v="-823.85490000000004"/>
    <n v="3927.4071430000004"/>
    <n v="10090.141239999999"/>
    <n v="59.400000000000006"/>
    <n v="321.5025"/>
    <n v="919.9575000000001"/>
    <n v="321.5025"/>
    <n v="1107.0675000000001"/>
    <n v="403.92000000000007"/>
    <n v="188.48832999999999"/>
    <n v="25004.935812999996"/>
    <n v="3.2966999999189284E-2"/>
  </r>
  <r>
    <s v="Oct"/>
    <n v="2014"/>
    <x v="0"/>
    <d v="2014-10-03T00:00:00"/>
    <d v="2014-11-01T00:00:00"/>
    <n v="375120"/>
    <n v="22979.81"/>
    <n v="719"/>
    <n v="751"/>
    <s v="---"/>
    <n v="12935.17"/>
    <n v="792.41"/>
    <n v="6.13E-2"/>
    <n v="71.77"/>
    <n v="29"/>
    <n v="0.96666666666666667"/>
    <n v="88.363"/>
    <n v="2197.0448333333334"/>
    <n v="5512.3093666666664"/>
    <n v="-723.99369999999999"/>
    <n v="3284.2407200000002"/>
    <n v="10015.704"/>
    <n v="39.616900000000001"/>
    <n v="158.4676"/>
    <n v="849.33073333333323"/>
    <n v="252.29710000000003"/>
    <n v="1028.6493333333333"/>
    <n v="293.9991"/>
    <n v="165.05280000000002"/>
    <n v="23161.081786666669"/>
    <n v="7.8883065902924359E-3"/>
    <n v="3.8151499491214896E-3"/>
    <n v="0.41482178402381981"/>
    <n v="0.58136306602705856"/>
    <n v="0.99999999999999978"/>
    <n v="88.363"/>
    <n v="2194.6716666666666"/>
    <n v="5504.6427333333331"/>
    <n v="-723.2116666666667"/>
    <n v="3284.2407200000002"/>
    <n v="10015.704"/>
    <n v="39.561800000000005"/>
    <n v="158.24720000000002"/>
    <n v="848.14946666666663"/>
    <n v="251.9462"/>
    <n v="1027.2186666666669"/>
    <n v="293.59019999999998"/>
    <n v="165.05280000000002"/>
    <n v="23148.176786666663"/>
    <n v="12.905000000006112"/>
    <n v="88.363"/>
    <n v="2197.0448333333334"/>
    <n v="5512.3093666666664"/>
    <n v="-723.99369999999999"/>
    <n v="3284.2342723333331"/>
    <n v="10015.677300000001"/>
    <n v="39.616900000000001"/>
    <n v="158.4676"/>
    <n v="849.33073333333323"/>
    <n v="252.29710000000003"/>
    <n v="1028.6493333333333"/>
    <n v="293.9991"/>
    <n v="165.05235999999999"/>
    <n v="23161.048199000001"/>
    <n v="3.3587666668609018E-2"/>
  </r>
  <r>
    <s v="Sep"/>
    <n v="2014"/>
    <x v="0"/>
    <d v="2014-09-04T00:00:00"/>
    <d v="2014-10-03T00:00:00"/>
    <n v="409680"/>
    <n v="24322.25"/>
    <n v="738"/>
    <n v="751"/>
    <s v="---"/>
    <n v="14126.9"/>
    <n v="838.7"/>
    <n v="5.9400000000000001E-2"/>
    <n v="78.38"/>
    <n v="29"/>
    <n v="0.96666666666666667"/>
    <n v="88.363"/>
    <n v="2197.0448333333334"/>
    <n v="5657.9754000000003"/>
    <n v="-723.99369999999999"/>
    <n v="3507.0720799999999"/>
    <n v="10938.456"/>
    <n v="40.663800000000002"/>
    <n v="162.65520000000001"/>
    <n v="871.77480000000003"/>
    <n v="258.96420000000001"/>
    <n v="1055.8320000000001"/>
    <n v="301.76819999999998"/>
    <n v="180.25919999999999"/>
    <n v="24536.835013333326"/>
    <n v="8.8225806960016469E-3"/>
    <n v="3.6012387071104935E-3"/>
    <n v="0.40032403233732811"/>
    <n v="0.59607472895556179"/>
    <n v="1.0000000000000004"/>
    <n v="88.363"/>
    <n v="2194.6716666666666"/>
    <n v="5650.308766666667"/>
    <n v="-723.2116666666667"/>
    <n v="3507.0720799999999"/>
    <n v="10938.456"/>
    <n v="40.608699999999999"/>
    <n v="162.4348"/>
    <n v="870.59353333333343"/>
    <n v="258.61329999999998"/>
    <n v="1054.4013333333332"/>
    <n v="301.35929999999996"/>
    <n v="180.25919999999999"/>
    <n v="24523.930013333335"/>
    <n v="12.90499999999156"/>
    <n v="88.363"/>
    <n v="2197.0448333333334"/>
    <n v="5657.9754000000003"/>
    <n v="-723.99369999999999"/>
    <n v="3507.0656323333333"/>
    <n v="10938.4293"/>
    <n v="40.663800000000002"/>
    <n v="162.65520000000001"/>
    <n v="871.77480000000003"/>
    <n v="258.96420000000001"/>
    <n v="1055.8320000000001"/>
    <n v="301.76819999999998"/>
    <n v="180.25876"/>
    <n v="24536.801425666661"/>
    <n v="3.3587666664971039E-2"/>
  </r>
  <r>
    <s v="Aug"/>
    <n v="2014"/>
    <x v="0"/>
    <d v="2014-08-05T00:00:00"/>
    <d v="2014-09-04T00:00:00"/>
    <n v="439920"/>
    <n v="25719.69"/>
    <n v="741"/>
    <n v="751"/>
    <s v="---"/>
    <n v="14664"/>
    <n v="857.32"/>
    <n v="5.8500000000000003E-2"/>
    <n v="81.36"/>
    <n v="30"/>
    <n v="1"/>
    <n v="91.41"/>
    <n v="2272.8049999999998"/>
    <n v="5876.8710000000001"/>
    <n v="-748.95899999999995"/>
    <n v="3829.7064"/>
    <n v="11745.864000000001"/>
    <n v="42.237000000000002"/>
    <n v="168.94800000000001"/>
    <n v="905.50199999999995"/>
    <n v="268.983"/>
    <n v="1096.68"/>
    <n v="313.44299999999998"/>
    <n v="193.56480000000002"/>
    <n v="26057.055200000003"/>
    <n v="1.3117001021396598E-2"/>
    <n v="3.5080710118002892E-3"/>
    <n v="0.39131474841408781"/>
    <n v="0.60517718057411185"/>
    <n v="1"/>
    <n v="91.41"/>
    <n v="2270.35"/>
    <n v="5868.94"/>
    <n v="-748.15"/>
    <n v="3829.7064"/>
    <n v="11745.864000000001"/>
    <n v="42.18"/>
    <n v="168.72"/>
    <n v="904.28"/>
    <n v="268.62"/>
    <n v="1095.2"/>
    <n v="313.02"/>
    <n v="193.56480000000002"/>
    <n v="26043.7052"/>
    <n v="13.350000000002183"/>
    <n v="91.41"/>
    <n v="2272.8049999999998"/>
    <n v="5876.8710000000001"/>
    <n v="-748.95899999999995"/>
    <n v="3829.6997300000003"/>
    <n v="11745.837300000001"/>
    <n v="42.237000000000002"/>
    <n v="168.94800000000001"/>
    <n v="905.50199999999995"/>
    <n v="268.983"/>
    <n v="1096.68"/>
    <n v="313.44299999999998"/>
    <n v="193.56435999999999"/>
    <n v="26057.021390000002"/>
    <n v="3.3810000000812579E-2"/>
  </r>
  <r>
    <s v="Jul"/>
    <n v="2014"/>
    <x v="0"/>
    <d v="2014-07-07T00:00:00"/>
    <d v="2014-08-05T00:00:00"/>
    <n v="420480"/>
    <n v="24898.51"/>
    <n v="730"/>
    <n v="755"/>
    <s v="---"/>
    <n v="14499.31"/>
    <n v="858.57"/>
    <n v="5.9200000000000003E-2"/>
    <n v="80.02"/>
    <n v="29"/>
    <n v="0.96666666666666667"/>
    <n v="75.88333333333334"/>
    <n v="2206.5374999999999"/>
    <n v="5596.6423333333332"/>
    <n v="-727.12183333333326"/>
    <n v="3576.7068800000002"/>
    <n v="11226.816000000001"/>
    <n v="40.222999999999999"/>
    <n v="160.892"/>
    <n v="862.32466666666664"/>
    <n v="256.15700000000004"/>
    <n v="1044.3866666666668"/>
    <n v="298.49699999999996"/>
    <n v="185.0112"/>
    <n v="24802.955746666667"/>
    <n v="3.8377498626757938E-3"/>
    <n v="3.0594471928423891E-3"/>
    <n v="0.39263620162053142"/>
    <n v="0.60430435118662618"/>
    <n v="1"/>
    <n v="75.88333333333334"/>
    <n v="2204.1643333333336"/>
    <n v="5588.9757"/>
    <n v="-726.33979999999997"/>
    <n v="3576.7068800000002"/>
    <n v="11226.816000000001"/>
    <n v="40.167900000000003"/>
    <n v="160.67160000000001"/>
    <n v="861.14339999999993"/>
    <n v="255.80610000000001"/>
    <n v="1042.9560000000001"/>
    <n v="298.0881"/>
    <n v="185.0112"/>
    <n v="24790.050746666675"/>
    <n v="12.90499999999156"/>
    <n v="75.88333333333334"/>
    <n v="2206.5374999999999"/>
    <n v="5596.6423333333332"/>
    <n v="-727.12183333333326"/>
    <n v="3576.7004323333331"/>
    <n v="11226.7893"/>
    <n v="40.222999999999999"/>
    <n v="160.892"/>
    <n v="862.32466666666664"/>
    <n v="256.15700000000004"/>
    <n v="1044.3866666666668"/>
    <n v="298.49699999999996"/>
    <n v="185.01076"/>
    <n v="24802.922159000002"/>
    <n v="3.3587666664971039E-2"/>
  </r>
  <r>
    <s v="Jun"/>
    <n v="2014"/>
    <x v="1"/>
    <d v="2014-06-05T00:00:00"/>
    <d v="2014-07-07T00:00:00"/>
    <n v="475200"/>
    <n v="28189.55"/>
    <n v="751"/>
    <n v="755"/>
    <s v="---"/>
    <n v="14850"/>
    <n v="880.92"/>
    <n v="5.9299999999999999E-2"/>
    <n v="81.95"/>
    <n v="32"/>
    <n v="1.0666666666666667"/>
    <n v="83.733333333333334"/>
    <n v="2434.8000000000002"/>
    <n v="6353.2597333333324"/>
    <n v="-802.3413333333333"/>
    <n v="4336.0255999999999"/>
    <n v="12687.84"/>
    <n v="45.660800000000002"/>
    <n v="182.64320000000001"/>
    <n v="978.90346666666665"/>
    <n v="290.78719999999998"/>
    <n v="1185.5786666666668"/>
    <n v="338.85120000000001"/>
    <n v="209.08799999999999"/>
    <n v="28324.829866666667"/>
    <n v="4.7989367218230746E-3"/>
    <n v="2.956181333744663E-3"/>
    <n v="0.38863933111520554"/>
    <n v="0.6084044875510497"/>
    <n v="0.99999999999999989"/>
    <n v="83.733333333333334"/>
    <n v="2432.1813333333334"/>
    <n v="6344.8"/>
    <n v="-801.47839999999997"/>
    <n v="4336.0255999999999"/>
    <n v="12687.84"/>
    <n v="45.6"/>
    <n v="182.4"/>
    <n v="977.6"/>
    <n v="290.39999999999998"/>
    <n v="1184"/>
    <n v="338.4"/>
    <n v="209.08799999999999"/>
    <n v="28310.589866666669"/>
    <n v="14.239999999997963"/>
    <n v="83.733333333333334"/>
    <n v="2434.8000000000002"/>
    <n v="6353.2597333333324"/>
    <n v="-802.3413333333333"/>
    <n v="4336.018485333333"/>
    <n v="12687.813300000002"/>
    <n v="45.660800000000002"/>
    <n v="182.64320000000001"/>
    <n v="978.90346666666665"/>
    <n v="290.78719999999998"/>
    <n v="1185.5786666666668"/>
    <n v="338.85120000000001"/>
    <n v="209.08756"/>
    <n v="28324.795612000002"/>
    <n v="3.4254666665219702E-2"/>
  </r>
  <r>
    <s v="May"/>
    <n v="2014"/>
    <x v="1"/>
    <d v="2014-05-06T00:00:00"/>
    <d v="2014-06-05T00:00:00"/>
    <n v="432000"/>
    <n v="25512.66"/>
    <n v="712"/>
    <n v="755"/>
    <s v="---"/>
    <n v="14400"/>
    <n v="850.42"/>
    <n v="5.91E-2"/>
    <n v="79.47"/>
    <n v="30"/>
    <n v="1"/>
    <n v="78.5"/>
    <n v="2282.625"/>
    <n v="5646.8720000000003"/>
    <n v="-752.19499999999994"/>
    <n v="3776.88"/>
    <n v="11534.400000000001"/>
    <n v="40.584000000000003"/>
    <n v="162.33600000000001"/>
    <n v="870.06399999999996"/>
    <n v="258.45600000000002"/>
    <n v="1053.76"/>
    <n v="301.17599999999999"/>
    <n v="190.08"/>
    <n v="25443.537999999997"/>
    <n v="2.7093215681941057E-3"/>
    <n v="3.0852627492292937E-3"/>
    <n v="0.38766927775531851"/>
    <n v="0.60924545949545239"/>
    <n v="1.0000000000000002"/>
    <n v="78.5"/>
    <n v="2280.17"/>
    <n v="5638.9409999999998"/>
    <n v="-751.38599999999997"/>
    <n v="3776.88"/>
    <n v="11534.400000000001"/>
    <n v="40.527000000000001"/>
    <n v="162.108"/>
    <n v="868.84199999999998"/>
    <n v="258.09300000000002"/>
    <n v="1052.28"/>
    <n v="300.75299999999999"/>
    <n v="190.08"/>
    <n v="25430.188000000002"/>
    <n v="13.349999999994907"/>
    <n v="78.5"/>
    <n v="2282.625"/>
    <n v="5646.8720000000003"/>
    <n v="-752.19499999999994"/>
    <n v="3776.8733300000004"/>
    <n v="11534.373300000001"/>
    <n v="40.584000000000003"/>
    <n v="162.33600000000001"/>
    <n v="870.06399999999996"/>
    <n v="258.45600000000002"/>
    <n v="1053.76"/>
    <n v="301.17599999999999"/>
    <n v="190.07956000000001"/>
    <n v="25443.504189999996"/>
    <n v="3.3810000000812579E-2"/>
  </r>
  <r>
    <s v="Apr"/>
    <n v="2014"/>
    <x v="1"/>
    <d v="2014-04-04T00:00:00"/>
    <d v="2014-05-06T00:00:00"/>
    <n v="385200"/>
    <n v="24233.37"/>
    <n v="679"/>
    <n v="755"/>
    <s v="---"/>
    <n v="12037.5"/>
    <n v="757.29"/>
    <n v="6.2899999999999998E-2"/>
    <n v="66.430000000000007"/>
    <n v="32"/>
    <n v="1.0666666666666667"/>
    <n v="83.733333333333334"/>
    <n v="2434.8000000000002"/>
    <n v="5744.1589333333341"/>
    <n v="-802.3413333333333"/>
    <n v="3695.7056000000002"/>
    <n v="10284.84"/>
    <n v="41.283200000000001"/>
    <n v="165.1328"/>
    <n v="885.05386666666664"/>
    <n v="262.90879999999999"/>
    <n v="1071.9146666666666"/>
    <n v="306.3648"/>
    <n v="169.488"/>
    <n v="24343.042666666668"/>
    <n v="4.5256877878177533E-3"/>
    <n v="3.439723393657391E-3"/>
    <n v="0.41528398367292563"/>
    <n v="0.58127629293341687"/>
    <n v="0.99999999999999989"/>
    <n v="83.733333333333334"/>
    <n v="2432.1813333333334"/>
    <n v="5735.6992"/>
    <n v="-801.47839999999997"/>
    <n v="3695.7056000000002"/>
    <n v="10284.84"/>
    <n v="41.2224"/>
    <n v="164.8896"/>
    <n v="883.7503999999999"/>
    <n v="262.52159999999998"/>
    <n v="1070.336"/>
    <n v="305.91359999999997"/>
    <n v="169.488"/>
    <n v="24328.802666666666"/>
    <n v="14.240000000001601"/>
    <n v="83.733333333333334"/>
    <n v="2434.8000000000002"/>
    <n v="5744.1589333333341"/>
    <n v="-802.3413333333333"/>
    <n v="3695.6984853333333"/>
    <n v="10284.8133"/>
    <n v="41.283200000000001"/>
    <n v="165.1328"/>
    <n v="885.05386666666664"/>
    <n v="262.90879999999999"/>
    <n v="1071.9146666666666"/>
    <n v="306.3648"/>
    <n v="169.48756"/>
    <n v="24343.008411999999"/>
    <n v="3.4254666668857681E-2"/>
  </r>
  <r>
    <s v="Mar"/>
    <n v="2014"/>
    <x v="1"/>
    <d v="2014-03-05T00:00:00"/>
    <d v="2014-04-04T00:00:00"/>
    <n v="341280"/>
    <n v="22044.68"/>
    <n v="679"/>
    <n v="755"/>
    <s v="---"/>
    <n v="11376"/>
    <n v="734.82"/>
    <n v="6.4600000000000005E-2"/>
    <n v="62.78"/>
    <n v="30"/>
    <n v="1"/>
    <n v="78.5"/>
    <n v="2282.625"/>
    <n v="5385.1490000000003"/>
    <n v="-752.19499999999994"/>
    <n v="3171.7775999999999"/>
    <n v="9112.1760000000013"/>
    <n v="38.703000000000003"/>
    <n v="154.81200000000001"/>
    <n v="829.73799999999994"/>
    <n v="246.477"/>
    <n v="1004.92"/>
    <n v="287.21699999999998"/>
    <n v="150.16320000000002"/>
    <n v="21990.062800000003"/>
    <n v="2.4775682840484396E-3"/>
    <n v="3.5697942617971962E-3"/>
    <n v="0.43098767321392101"/>
    <n v="0.56544253252428178"/>
    <n v="1"/>
    <n v="78.5"/>
    <n v="2280.17"/>
    <n v="5377.2179999999998"/>
    <n v="-751.38599999999997"/>
    <n v="3171.7775999999999"/>
    <n v="9112.1760000000013"/>
    <n v="38.646000000000001"/>
    <n v="154.584"/>
    <n v="828.51599999999996"/>
    <n v="246.114"/>
    <n v="1003.4399999999999"/>
    <n v="286.79399999999998"/>
    <n v="150.16320000000002"/>
    <n v="21976.712800000001"/>
    <n v="13.350000000002183"/>
    <n v="78.5"/>
    <n v="2282.625"/>
    <n v="5385.1490000000003"/>
    <n v="-752.19499999999994"/>
    <n v="3171.7709300000001"/>
    <n v="9112.1493000000009"/>
    <n v="38.703000000000003"/>
    <n v="154.81200000000001"/>
    <n v="829.73799999999994"/>
    <n v="246.477"/>
    <n v="1004.92"/>
    <n v="287.21699999999998"/>
    <n v="150.16275999999999"/>
    <n v="21990.028990000003"/>
    <n v="3.3810000000812579E-2"/>
  </r>
  <r>
    <s v="Feb"/>
    <n v="2014"/>
    <x v="1"/>
    <d v="2014-02-04T00:00:00"/>
    <d v="2014-03-05T00:00:00"/>
    <n v="339840"/>
    <n v="21647.35"/>
    <n v="679"/>
    <n v="755"/>
    <s v="---"/>
    <n v="11718.62"/>
    <n v="746.46"/>
    <n v="6.3700000000000007E-2"/>
    <n v="64.67"/>
    <n v="29"/>
    <n v="0.96666666666666667"/>
    <n v="75.88333333333334"/>
    <n v="2206.5374999999999"/>
    <n v="5205.6440333333339"/>
    <n v="-727.12183333333326"/>
    <n v="3056.7670400000002"/>
    <n v="9073.728000000001"/>
    <n v="37.4129"/>
    <n v="149.6516"/>
    <n v="802.08006666666665"/>
    <n v="238.2611"/>
    <n v="971.4226666666666"/>
    <n v="277.6431"/>
    <n v="149.52960000000002"/>
    <n v="21517.439106666669"/>
    <n v="6.0012377188584298E-3"/>
    <n v="3.5265968667164806E-3"/>
    <n v="0.42577237411560054"/>
    <n v="0.57070102901768305"/>
    <n v="1"/>
    <n v="75.88333333333334"/>
    <n v="2204.1643333333336"/>
    <n v="5197.9773999999998"/>
    <n v="-726.33979999999997"/>
    <n v="3056.7670400000002"/>
    <n v="9073.728000000001"/>
    <n v="37.357800000000005"/>
    <n v="149.43120000000002"/>
    <n v="800.89879999999994"/>
    <n v="237.9102"/>
    <n v="969.99199999999996"/>
    <n v="277.23419999999999"/>
    <n v="149.52960000000002"/>
    <n v="21504.534106666666"/>
    <n v="12.905000000002474"/>
    <n v="75.88333333333334"/>
    <n v="2206.5374999999999"/>
    <n v="5205.6440333333339"/>
    <n v="-727.12183333333326"/>
    <n v="3056.7605923333335"/>
    <n v="9073.7013000000006"/>
    <n v="37.4129"/>
    <n v="149.6516"/>
    <n v="802.08006666666665"/>
    <n v="238.2611"/>
    <n v="971.4226666666666"/>
    <n v="277.6431"/>
    <n v="149.52916000000002"/>
    <n v="21517.405519"/>
    <n v="3.3587666668609018E-2"/>
  </r>
  <r>
    <s v="Jan"/>
    <n v="2014"/>
    <x v="1"/>
    <d v="2014-01-06T00:00:00"/>
    <d v="2014-02-04T00:00:00"/>
    <n v="343440"/>
    <n v="21769.64"/>
    <n v="679"/>
    <n v="755"/>
    <s v="---"/>
    <n v="11842.76"/>
    <n v="750.68"/>
    <n v="6.3399999999999998E-2"/>
    <n v="65.36"/>
    <n v="29"/>
    <n v="0.96666666666666667"/>
    <n v="75.88333333333334"/>
    <n v="2206.5374999999999"/>
    <n v="5205.6440333333339"/>
    <n v="-727.12183333333326"/>
    <n v="3079.9786399999998"/>
    <n v="9169.848"/>
    <n v="37.4129"/>
    <n v="149.6516"/>
    <n v="802.08006666666665"/>
    <n v="238.2611"/>
    <n v="971.4226666666666"/>
    <n v="277.6431"/>
    <n v="151.11360000000002"/>
    <n v="21638.354706666669"/>
    <n v="6.0306598241096606E-3"/>
    <n v="3.5068901661896718E-3"/>
    <n v="0.42339314876425016"/>
    <n v="0.57309996106956007"/>
    <n v="0.99999999999999989"/>
    <n v="75.88333333333334"/>
    <n v="2204.1643333333336"/>
    <n v="5197.9773999999998"/>
    <n v="-726.33979999999997"/>
    <n v="3079.9786399999998"/>
    <n v="9169.848"/>
    <n v="37.357800000000005"/>
    <n v="149.43120000000002"/>
    <n v="800.89879999999994"/>
    <n v="237.9102"/>
    <n v="969.99199999999996"/>
    <n v="277.23419999999999"/>
    <n v="151.11360000000002"/>
    <n v="21625.449706666663"/>
    <n v="12.905000000006112"/>
    <n v="75.88333333333334"/>
    <n v="2206.5374999999999"/>
    <n v="5205.6440333333339"/>
    <n v="-727.12183333333326"/>
    <n v="3079.9721923333336"/>
    <n v="9169.8212999999996"/>
    <n v="37.4129"/>
    <n v="149.6516"/>
    <n v="802.08006666666665"/>
    <n v="238.2611"/>
    <n v="971.4226666666666"/>
    <n v="277.6431"/>
    <n v="151.11315999999999"/>
    <n v="21638.321119"/>
    <n v="3.3587666668609018E-2"/>
  </r>
  <r>
    <s v="Dec"/>
    <n v="2013"/>
    <x v="1"/>
    <d v="2013-12-04T00:00:00"/>
    <d v="2014-01-06T00:00:00"/>
    <n v="406800"/>
    <n v="25262.26"/>
    <n v="679"/>
    <n v="755"/>
    <s v="---"/>
    <n v="12327.27"/>
    <n v="765.52"/>
    <n v="6.2100000000000002E-2"/>
    <n v="68.03"/>
    <n v="33"/>
    <n v="1.1000000000000001"/>
    <n v="86.350000000000009"/>
    <n v="2510.8875000000003"/>
    <n v="5923.6639000000005"/>
    <n v="-827.41449999999998"/>
    <n v="3969.6756000000005"/>
    <n v="10861.560000000001"/>
    <n v="42.573300000000003"/>
    <n v="170.29320000000001"/>
    <n v="912.71180000000004"/>
    <n v="271.12470000000002"/>
    <n v="1105.412"/>
    <n v="315.93869999999998"/>
    <n v="178.99200000000002"/>
    <n v="25521.768200000002"/>
    <n v="1.0272564687403419E-2"/>
    <n v="3.3833862655331223E-3"/>
    <n v="0.40848230100295324"/>
    <n v="0.58813431273151362"/>
    <n v="1"/>
    <n v="86.350000000000009"/>
    <n v="2508.1870000000004"/>
    <n v="5914.9398000000001"/>
    <n v="-826.52460000000008"/>
    <n v="3969.6756000000005"/>
    <n v="10861.560000000001"/>
    <n v="42.510600000000004"/>
    <n v="170.04240000000001"/>
    <n v="911.36760000000004"/>
    <n v="270.72540000000004"/>
    <n v="1103.7840000000001"/>
    <n v="315.47340000000003"/>
    <n v="178.99200000000002"/>
    <n v="25507.083200000001"/>
    <n v="14.68500000000131"/>
    <n v="86.350000000000009"/>
    <n v="2510.8875000000003"/>
    <n v="5923.6639000000005"/>
    <n v="-827.41449999999998"/>
    <n v="3969.6682630000005"/>
    <n v="10861.533300000001"/>
    <n v="42.573300000000003"/>
    <n v="170.29320000000001"/>
    <n v="912.71180000000004"/>
    <n v="271.12470000000002"/>
    <n v="1105.412"/>
    <n v="315.93869999999998"/>
    <n v="178.99155999999999"/>
    <n v="25521.733723000001"/>
    <n v="3.4477000001061242E-2"/>
  </r>
  <r>
    <s v="Nov"/>
    <n v="2013"/>
    <x v="1"/>
    <d v="2013-11-01T00:00:00"/>
    <d v="2013-12-04T00:00:00"/>
    <n v="423360"/>
    <n v="25810.31"/>
    <n v="679"/>
    <n v="755"/>
    <s v="---"/>
    <n v="12829.09"/>
    <n v="782.13"/>
    <n v="6.0999999999999999E-2"/>
    <n v="70.8"/>
    <n v="33"/>
    <n v="1.1000000000000001"/>
    <n v="86.350000000000009"/>
    <n v="2510.8875000000003"/>
    <n v="5923.6639000000005"/>
    <n v="-827.41449999999998"/>
    <n v="4091.17632"/>
    <n v="11303.712000000001"/>
    <n v="42.573300000000003"/>
    <n v="170.29320000000001"/>
    <n v="912.71180000000004"/>
    <n v="271.12470000000002"/>
    <n v="1105.412"/>
    <n v="315.93869999999998"/>
    <n v="186.2784"/>
    <n v="26092.707320000001"/>
    <n v="1.0941260294820171E-2"/>
    <n v="3.3093537953347188E-3"/>
    <n v="0.3995442279003803"/>
    <n v="0.59714641830428505"/>
    <n v="1"/>
    <n v="86.350000000000009"/>
    <n v="2508.1870000000004"/>
    <n v="5914.9398000000001"/>
    <n v="-826.52460000000008"/>
    <n v="4091.17632"/>
    <n v="11303.712000000001"/>
    <n v="42.510600000000004"/>
    <n v="170.04240000000001"/>
    <n v="911.36760000000004"/>
    <n v="270.72540000000004"/>
    <n v="1103.7840000000001"/>
    <n v="315.47340000000003"/>
    <n v="186.2784"/>
    <n v="26078.02232"/>
    <n v="14.68500000000131"/>
    <n v="86.350000000000009"/>
    <n v="2510.8875000000003"/>
    <n v="5923.6639000000005"/>
    <n v="-827.41449999999998"/>
    <n v="4091.1689830000005"/>
    <n v="11303.685300000001"/>
    <n v="42.573300000000003"/>
    <n v="170.29320000000001"/>
    <n v="912.71180000000004"/>
    <n v="271.12470000000002"/>
    <n v="1105.412"/>
    <n v="315.93869999999998"/>
    <n v="186.27796000000001"/>
    <n v="26092.672843000004"/>
    <n v="3.4476999997423263E-2"/>
  </r>
  <r>
    <s v="Oct"/>
    <n v="2013"/>
    <x v="1"/>
    <d v="2013-10-03T00:00:00"/>
    <d v="2013-11-01T00:00:00"/>
    <n v="397440"/>
    <n v="23981.69"/>
    <n v="718"/>
    <n v="755"/>
    <s v="---"/>
    <n v="13704.83"/>
    <n v="826.95"/>
    <n v="6.0299999999999999E-2"/>
    <n v="75.63"/>
    <n v="29"/>
    <n v="0.96666666666666667"/>
    <n v="75.88333333333334"/>
    <n v="2206.5374999999999"/>
    <n v="5504.6427333333331"/>
    <n v="-727.12183333333326"/>
    <n v="3428.1526400000002"/>
    <n v="10611.648000000001"/>
    <n v="39.561800000000005"/>
    <n v="158.24720000000002"/>
    <n v="848.14946666666663"/>
    <n v="251.9462"/>
    <n v="1027.2186666666669"/>
    <n v="293.59019999999998"/>
    <n v="174.87360000000001"/>
    <n v="23893.329506666665"/>
    <n v="3.6844981872976254E-3"/>
    <n v="3.1759212675722126E-3"/>
    <n v="0.40190179148761956"/>
    <n v="0.59492228724480845"/>
    <n v="1.0000000000000002"/>
    <n v="75.88333333333334"/>
    <n v="2204.1643333333336"/>
    <n v="5496.9760999999999"/>
    <n v="-726.33979999999997"/>
    <n v="3428.1526400000002"/>
    <n v="10611.648000000001"/>
    <n v="39.506700000000002"/>
    <n v="158.02680000000001"/>
    <n v="846.96820000000002"/>
    <n v="251.59530000000001"/>
    <n v="1025.788"/>
    <n v="293.18130000000002"/>
    <n v="174.87360000000001"/>
    <n v="23880.42450666667"/>
    <n v="12.904999999995198"/>
    <n v="75.88333333333334"/>
    <n v="2206.5374999999999"/>
    <n v="5504.6427333333331"/>
    <n v="-727.12183333333326"/>
    <n v="3428.1461923333336"/>
    <n v="10611.621300000001"/>
    <n v="39.561800000000005"/>
    <n v="158.24720000000002"/>
    <n v="848.14946666666663"/>
    <n v="251.9462"/>
    <n v="1027.2186666666669"/>
    <n v="293.59019999999998"/>
    <n v="174.87316000000001"/>
    <n v="23893.295918999997"/>
    <n v="3.3587666668609018E-2"/>
  </r>
  <r>
    <s v="Sep"/>
    <n v="2013"/>
    <x v="1"/>
    <d v="2013-09-03T00:00:00"/>
    <d v="2013-10-03T00:00:00"/>
    <n v="390240"/>
    <n v="23645.41"/>
    <n v="679"/>
    <n v="755"/>
    <s v="---"/>
    <n v="13008"/>
    <n v="788.18"/>
    <n v="6.0600000000000001E-2"/>
    <n v="71.790000000000006"/>
    <n v="30"/>
    <n v="1"/>
    <n v="78.5"/>
    <n v="2282.625"/>
    <n v="5385.1490000000003"/>
    <n v="-752.19499999999994"/>
    <n v="3498.3407999999999"/>
    <n v="10419.408000000001"/>
    <n v="38.703000000000003"/>
    <n v="154.81200000000001"/>
    <n v="829.73799999999994"/>
    <n v="246.477"/>
    <n v="1004.92"/>
    <n v="287.21699999999998"/>
    <n v="171.7056"/>
    <n v="23645.400400000002"/>
    <n v="4.0599845794977558E-7"/>
    <n v="3.3198845725615198E-3"/>
    <n v="0.40081562755012601"/>
    <n v="0.5958644878773125"/>
    <n v="1"/>
    <n v="78.5"/>
    <n v="2280.17"/>
    <n v="5377.2179999999998"/>
    <n v="-751.38599999999997"/>
    <n v="3498.3407999999999"/>
    <n v="10419.408000000001"/>
    <n v="38.646000000000001"/>
    <n v="154.584"/>
    <n v="828.51599999999996"/>
    <n v="246.114"/>
    <n v="1003.4399999999999"/>
    <n v="286.79399999999998"/>
    <n v="171.7056"/>
    <n v="23632.050400000004"/>
    <n v="13.349999999998545"/>
    <n v="78.5"/>
    <n v="2282.625"/>
    <n v="5385.1490000000003"/>
    <n v="-752.19499999999994"/>
    <n v="3498.3341300000002"/>
    <n v="10419.381300000001"/>
    <n v="38.703000000000003"/>
    <n v="154.81200000000001"/>
    <n v="829.73799999999994"/>
    <n v="246.477"/>
    <n v="1004.92"/>
    <n v="287.21699999999998"/>
    <n v="171.70516000000001"/>
    <n v="23645.366590000005"/>
    <n v="3.38099999971746E-2"/>
  </r>
  <r>
    <s v="Aug"/>
    <n v="2013"/>
    <x v="1"/>
    <d v="2013-08-05T00:00:00"/>
    <d v="2013-09-03T00:00:00"/>
    <n v="396720"/>
    <n v="24375.96"/>
    <n v="755"/>
    <n v="755.6"/>
    <s v="---"/>
    <n v="13680"/>
    <n v="840.55"/>
    <n v="6.1400000000000003E-2"/>
    <n v="75.44"/>
    <n v="29"/>
    <n v="0.96666666666666667"/>
    <n v="75.88333333333334"/>
    <n v="2207.9614000000001"/>
    <n v="5788.3081666666667"/>
    <n v="-727.59105333333332"/>
    <n v="3423.5103199999999"/>
    <n v="10592.424000000001"/>
    <n v="41.600500000000004"/>
    <n v="166.40200000000002"/>
    <n v="891.8563333333334"/>
    <n v="264.92950000000002"/>
    <n v="1080.1533333333334"/>
    <n v="308.71950000000004"/>
    <n v="174.55680000000001"/>
    <n v="24288.714133333327"/>
    <n v="3.5791766423423589E-3"/>
    <n v="3.1242219294430507E-3"/>
    <n v="0.41263360526136489"/>
    <n v="0.58424217280919222"/>
    <n v="1.0000000000000002"/>
    <n v="75.88333333333334"/>
    <n v="2205.5882333333334"/>
    <n v="5780.6415333333334"/>
    <n v="-726.80902000000003"/>
    <n v="3423.5103199999999"/>
    <n v="10592.424000000001"/>
    <n v="41.545400000000001"/>
    <n v="166.1816"/>
    <n v="890.67506666666668"/>
    <n v="264.57859999999999"/>
    <n v="1078.7226666666668"/>
    <n v="308.31060000000002"/>
    <n v="174.55680000000001"/>
    <n v="24275.809133333336"/>
    <n v="12.90499999999156"/>
    <n v="75.88333333333334"/>
    <n v="2207.9614000000001"/>
    <n v="5788.3081666666667"/>
    <n v="-727.59105333333332"/>
    <n v="3423.5038723333332"/>
    <n v="10592.397300000001"/>
    <n v="41.600500000000004"/>
    <n v="166.40200000000002"/>
    <n v="891.8563333333334"/>
    <n v="264.92950000000002"/>
    <n v="1080.1533333333334"/>
    <n v="308.71950000000004"/>
    <n v="174.55636000000001"/>
    <n v="24288.680545666663"/>
    <n v="3.3587666664971039E-2"/>
  </r>
  <r>
    <s v="Jul"/>
    <n v="2013"/>
    <x v="1"/>
    <d v="2013-07-05T00:00:00"/>
    <d v="2013-08-05T00:00:00"/>
    <n v="444960"/>
    <n v="25864.240000000002"/>
    <n v="688"/>
    <n v="703"/>
    <s v="---"/>
    <n v="14353.55"/>
    <n v="834.33"/>
    <n v="5.8099999999999999E-2"/>
    <n v="85.07"/>
    <n v="31"/>
    <n v="1.0333333333333334"/>
    <n v="81.116666666666674"/>
    <n v="2226.7971666666667"/>
    <n v="5638.4122666666672"/>
    <n v="-733.79790000000003"/>
    <n v="3992.1006400000001"/>
    <n v="11880.432000000001"/>
    <n v="40.523200000000003"/>
    <n v="162.09280000000001"/>
    <n v="868.76053333333346"/>
    <n v="258.06880000000001"/>
    <n v="1052.1813333333334"/>
    <n v="300.72480000000002"/>
    <n v="195.7824"/>
    <n v="25963.194706666669"/>
    <n v="3.8259274839186198E-3"/>
    <n v="3.1242945093285473E-3"/>
    <n v="0.37798749772038204"/>
    <n v="0.61888820777028952"/>
    <n v="1"/>
    <n v="81.116666666666674"/>
    <n v="2224.2603333333332"/>
    <n v="5630.2169000000004"/>
    <n v="-732.96193333333338"/>
    <n v="3992.1006400000001"/>
    <n v="11880.432000000001"/>
    <n v="40.464300000000001"/>
    <n v="161.85720000000001"/>
    <n v="867.4978000000001"/>
    <n v="257.69370000000004"/>
    <n v="1050.652"/>
    <n v="300.28770000000003"/>
    <n v="195.7824"/>
    <n v="25949.399706666667"/>
    <n v="13.795000000001892"/>
    <n v="81.116666666666674"/>
    <n v="2226.7971666666667"/>
    <n v="5638.4122666666672"/>
    <n v="-733.79790000000003"/>
    <n v="3992.0937476666672"/>
    <n v="11880.4053"/>
    <n v="40.523200000000003"/>
    <n v="162.09280000000001"/>
    <n v="868.76053333333346"/>
    <n v="258.06880000000001"/>
    <n v="1052.1813333333334"/>
    <n v="300.72480000000002"/>
    <n v="195.78196"/>
    <n v="25963.160674333336"/>
    <n v="3.403233333301614E-2"/>
  </r>
  <r>
    <s v="Jun"/>
    <n v="2013"/>
    <x v="2"/>
    <d v="2013-06-05T00:00:00"/>
    <d v="2013-07-05T00:00:00"/>
    <n v="417600"/>
    <n v="25781.62"/>
    <n v="703"/>
    <n v="705"/>
    <s v="---"/>
    <n v="13920"/>
    <n v="859.39"/>
    <n v="6.1699999999999998E-2"/>
    <n v="82.27"/>
    <n v="30"/>
    <n v="1"/>
    <n v="78.5"/>
    <n v="2159.875"/>
    <n v="5575.4930000000004"/>
    <n v="-711.74499999999989"/>
    <n v="3680.8320000000003"/>
    <n v="12586.464"/>
    <n v="21.792999999999999"/>
    <m/>
    <n v="790.875"/>
    <n v="263.625"/>
    <n v="1233.7649999999999"/>
    <n v="120.916"/>
    <n v="183.744"/>
    <n v="25984.137000000002"/>
    <n v="7.8550921160114636E-3"/>
    <n v="3.0210739729397205E-3"/>
    <n v="0.36386034294692948"/>
    <n v="0.63311858308013069"/>
    <n v="0.99999999999999989"/>
    <n v="78.5"/>
    <n v="2157.42"/>
    <n v="5567.5619999999999"/>
    <n v="-710.93599999999992"/>
    <n v="3680.8320000000003"/>
    <n v="12586.464"/>
    <n v="21.762"/>
    <m/>
    <n v="789.75"/>
    <n v="263.25"/>
    <n v="1232.01"/>
    <n v="120.74399999999999"/>
    <n v="183.744"/>
    <n v="25971.101999999995"/>
    <n v="13.03500000000713"/>
    <n v="78.5"/>
    <n v="2159.875"/>
    <n v="5575.4930000000004"/>
    <n v="-711.74499999999989"/>
    <n v="3680.8253300000001"/>
    <n v="12586.433859999999"/>
    <n v="21.792999999999999"/>
    <m/>
    <n v="790.875"/>
    <n v="263.625"/>
    <n v="1233.7649999999999"/>
    <n v="120.916"/>
    <n v="183.74356"/>
    <n v="25984.099750000001"/>
    <n v="3.7250000001222361E-2"/>
  </r>
  <r>
    <s v="May"/>
    <n v="2013"/>
    <x v="2"/>
    <d v="2013-05-03T00:00:00"/>
    <d v="2013-06-05T00:00:00"/>
    <n v="433440"/>
    <n v="26752.6"/>
    <n v="634"/>
    <n v="705"/>
    <s v="---"/>
    <n v="13134.55"/>
    <n v="810.68"/>
    <n v="6.1699999999999998E-2"/>
    <n v="77.63"/>
    <n v="33"/>
    <n v="1.1000000000000001"/>
    <n v="86.350000000000009"/>
    <n v="2375.8625000000002"/>
    <n v="5531.0794000000005"/>
    <n v="-782.91949999999997"/>
    <n v="4165.1332800000009"/>
    <n v="13063.881600000001"/>
    <n v="21.619400000000002"/>
    <m/>
    <n v="784.57500000000005"/>
    <n v="261.52500000000003"/>
    <n v="1223.9369999999999"/>
    <n v="119.9528"/>
    <n v="190.71360000000001"/>
    <n v="27041.710080000001"/>
    <n v="1.080680307708418E-2"/>
    <n v="3.1932152125195776E-3"/>
    <n v="0.3526267965964377"/>
    <n v="0.64417998819104272"/>
    <n v="1"/>
    <n v="86.350000000000009"/>
    <n v="2373.1620000000003"/>
    <n v="5522.3553000000011"/>
    <n v="-782.02959999999996"/>
    <n v="4165.1332800000009"/>
    <n v="13063.881600000001"/>
    <n v="21.585300000000004"/>
    <m/>
    <n v="783.33750000000009"/>
    <n v="261.11250000000001"/>
    <n v="1222.0065"/>
    <n v="119.7636"/>
    <n v="190.71360000000001"/>
    <n v="27027.371579999999"/>
    <n v="14.338500000001659"/>
    <n v="86.350000000000009"/>
    <n v="2375.8625000000002"/>
    <n v="5531.0794000000005"/>
    <n v="-782.91949999999997"/>
    <n v="4165.125943"/>
    <n v="13063.85146"/>
    <n v="21.619400000000002"/>
    <m/>
    <n v="784.57500000000005"/>
    <n v="261.52500000000003"/>
    <n v="1223.9369999999999"/>
    <n v="119.9528"/>
    <n v="190.71316000000002"/>
    <n v="27041.672162999996"/>
    <n v="3.7917000005109003E-2"/>
  </r>
  <r>
    <s v="Apr"/>
    <n v="2013"/>
    <x v="2"/>
    <d v="2013-04-05T00:00:00"/>
    <d v="2013-05-03T00:00:00"/>
    <n v="345600"/>
    <n v="21873.439999999999"/>
    <n v="634"/>
    <n v="705"/>
    <s v="---"/>
    <n v="12342.86"/>
    <n v="781.19"/>
    <n v="6.3299999999999995E-2"/>
    <n v="72.95"/>
    <n v="28"/>
    <n v="0.93333333333333335"/>
    <n v="73.266666666666666"/>
    <n v="2015.8833333333334"/>
    <n v="4693.0370666666668"/>
    <n v="-664.29533333333325"/>
    <n v="2987.2192"/>
    <n v="10416.384"/>
    <n v="18.343733333333333"/>
    <m/>
    <n v="665.7"/>
    <n v="221.9"/>
    <n v="1038.492"/>
    <n v="101.77813333333333"/>
    <n v="152.06399999999999"/>
    <n v="21719.772800000002"/>
    <n v="7.0252872890590708E-3"/>
    <n v="3.3732703993416845E-3"/>
    <n v="0.37251029317089962"/>
    <n v="0.62411643642975856"/>
    <n v="0.99999999999999989"/>
    <n v="73.266666666666666"/>
    <n v="2013.5920000000001"/>
    <n v="4685.6348000000007"/>
    <n v="-663.54026666666664"/>
    <n v="2987.2192"/>
    <n v="10416.384"/>
    <n v="18.314800000000002"/>
    <m/>
    <n v="664.65"/>
    <n v="221.55"/>
    <n v="1036.854"/>
    <n v="101.6176"/>
    <n v="152.06399999999999"/>
    <n v="21707.606800000001"/>
    <n v="12.166000000001077"/>
    <n v="73.266666666666666"/>
    <n v="2015.8833333333334"/>
    <n v="4693.0370666666668"/>
    <n v="-664.29533333333325"/>
    <n v="2987.2129746666665"/>
    <n v="10416.353859999999"/>
    <n v="18.343733333333333"/>
    <m/>
    <n v="665.7"/>
    <n v="221.9"/>
    <n v="1038.492"/>
    <n v="101.77813333333333"/>
    <n v="152.06356"/>
    <n v="21719.735994666669"/>
    <n v="3.6805333333177259E-2"/>
  </r>
  <r>
    <s v="Mar"/>
    <n v="2013"/>
    <x v="2"/>
    <d v="2013-03-06T00:00:00"/>
    <d v="2013-04-05T00:00:00"/>
    <n v="357840"/>
    <n v="22972.23"/>
    <n v="634"/>
    <n v="705"/>
    <s v="---"/>
    <n v="11928"/>
    <n v="765.74"/>
    <n v="6.4199999999999993E-2"/>
    <n v="70.5"/>
    <n v="30"/>
    <n v="1"/>
    <n v="78.5"/>
    <n v="2159.875"/>
    <n v="5028.2539999999999"/>
    <n v="-711.74499999999989"/>
    <n v="3282.2328000000002"/>
    <n v="10785.2976"/>
    <n v="19.654"/>
    <m/>
    <n v="713.25"/>
    <n v="237.75"/>
    <n v="1112.6699999999998"/>
    <n v="109.04799999999999"/>
    <n v="157.4496"/>
    <n v="22972.235999999997"/>
    <n v="2.6118491751059353E-7"/>
    <n v="3.4171684462931695E-3"/>
    <n v="0.37735795505496295"/>
    <n v="0.61922487649874403"/>
    <n v="1.0000000000000002"/>
    <n v="78.5"/>
    <n v="2157.42"/>
    <n v="5020.3230000000003"/>
    <n v="-710.93599999999992"/>
    <n v="3282.2328000000002"/>
    <n v="10785.2976"/>
    <n v="19.623000000000001"/>
    <m/>
    <n v="712.125"/>
    <n v="237.375"/>
    <n v="1110.915"/>
    <n v="108.87599999999999"/>
    <n v="157.4496"/>
    <n v="22959.201000000001"/>
    <n v="13.034999999996217"/>
    <n v="78.5"/>
    <n v="2159.875"/>
    <n v="5028.2539999999999"/>
    <n v="-711.74499999999989"/>
    <n v="3282.22613"/>
    <n v="10785.267460000001"/>
    <n v="19.654"/>
    <m/>
    <n v="713.25"/>
    <n v="237.75"/>
    <n v="1112.6699999999998"/>
    <n v="109.04799999999999"/>
    <n v="157.44916000000001"/>
    <n v="22972.19875"/>
    <n v="3.7249999997584382E-2"/>
  </r>
  <r>
    <s v="Feb"/>
    <n v="2013"/>
    <x v="2"/>
    <d v="2013-02-05T00:00:00"/>
    <d v="2013-03-06T00:00:00"/>
    <n v="358560"/>
    <n v="22677.66"/>
    <n v="634"/>
    <n v="705"/>
    <s v="---"/>
    <n v="12364.14"/>
    <n v="781.99"/>
    <n v="6.3200000000000006E-2"/>
    <n v="73.069999999999993"/>
    <n v="29"/>
    <n v="0.96666666666666667"/>
    <n v="75.88333333333334"/>
    <n v="2087.8791666666666"/>
    <n v="4860.6455333333333"/>
    <n v="-688.02016666666657"/>
    <n v="3177.4673600000001"/>
    <n v="10806.9984"/>
    <n v="18.998866666666668"/>
    <m/>
    <n v="689.47500000000002"/>
    <n v="229.82499999999999"/>
    <n v="1075.5809999999999"/>
    <n v="105.41306666666665"/>
    <n v="157.7664"/>
    <n v="22597.912959999998"/>
    <n v="3.5165462397796781E-3"/>
    <n v="3.3579797155450829E-3"/>
    <n v="0.37082174276445518"/>
    <n v="0.62582027751999991"/>
    <n v="1.0000000000000002"/>
    <n v="75.88333333333334"/>
    <n v="2085.5060000000003"/>
    <n v="4852.9789000000001"/>
    <n v="-687.23813333333328"/>
    <n v="3177.4673600000001"/>
    <n v="10806.9984"/>
    <n v="18.968900000000001"/>
    <m/>
    <n v="688.38750000000005"/>
    <n v="229.46250000000001"/>
    <n v="1073.8844999999999"/>
    <n v="105.24679999999999"/>
    <n v="157.7664"/>
    <n v="22585.312460000005"/>
    <n v="12.60049999999319"/>
    <n v="75.88333333333334"/>
    <n v="2087.8791666666666"/>
    <n v="4860.6455333333333"/>
    <n v="-688.02016666666657"/>
    <n v="3177.4609123333335"/>
    <n v="10806.96826"/>
    <n v="18.998866666666668"/>
    <m/>
    <n v="689.47500000000002"/>
    <n v="229.82499999999999"/>
    <n v="1075.5809999999999"/>
    <n v="105.41306666666665"/>
    <n v="157.76596000000001"/>
    <n v="22597.875932333332"/>
    <n v="3.7027666665380821E-2"/>
  </r>
  <r>
    <s v="Jan"/>
    <n v="2013"/>
    <x v="2"/>
    <d v="2013-01-07T00:00:00"/>
    <d v="2013-02-05T00:00:00"/>
    <n v="358560"/>
    <n v="22677.66"/>
    <n v="634"/>
    <n v="705"/>
    <s v="---"/>
    <n v="12364.14"/>
    <n v="781.99"/>
    <n v="6.3200000000000006E-2"/>
    <n v="73.069999999999993"/>
    <n v="29"/>
    <n v="0.96666666666666667"/>
    <n v="75.88333333333334"/>
    <n v="2087.8791666666666"/>
    <n v="4860.6455333333333"/>
    <n v="-688.02016666666657"/>
    <n v="3177.4673600000001"/>
    <n v="10806.9984"/>
    <n v="18.998866666666668"/>
    <m/>
    <n v="689.47500000000002"/>
    <n v="229.82499999999999"/>
    <n v="1075.5809999999999"/>
    <n v="105.41306666666665"/>
    <n v="157.7664"/>
    <n v="22597.912959999998"/>
    <n v="3.5165462397796781E-3"/>
    <n v="3.3579797155450829E-3"/>
    <n v="0.37082174276445518"/>
    <n v="0.62582027751999991"/>
    <n v="1.0000000000000002"/>
    <n v="75.88333333333334"/>
    <n v="2085.5060000000003"/>
    <n v="4852.9789000000001"/>
    <n v="-687.23813333333328"/>
    <n v="3177.4673600000001"/>
    <n v="10806.9984"/>
    <n v="18.968900000000001"/>
    <m/>
    <n v="688.38750000000005"/>
    <n v="229.46250000000001"/>
    <n v="1073.8844999999999"/>
    <n v="105.24679999999999"/>
    <n v="157.7664"/>
    <n v="22585.312460000005"/>
    <n v="12.60049999999319"/>
    <n v="75.88333333333334"/>
    <n v="2087.8791666666666"/>
    <n v="4860.6455333333333"/>
    <n v="-688.02016666666657"/>
    <n v="3177.4609123333335"/>
    <n v="10806.96826"/>
    <n v="18.998866666666668"/>
    <m/>
    <n v="689.47500000000002"/>
    <n v="229.82499999999999"/>
    <n v="1075.5809999999999"/>
    <n v="105.41306666666665"/>
    <n v="157.76596000000001"/>
    <n v="22597.875932333332"/>
    <n v="3.7027666665380821E-2"/>
  </r>
  <r>
    <s v="Dec"/>
    <n v="2012"/>
    <x v="2"/>
    <d v="2012-12-05T00:00:00"/>
    <d v="2013-01-07T00:00:00"/>
    <n v="410400"/>
    <n v="25871.74"/>
    <n v="634"/>
    <n v="705"/>
    <s v="---"/>
    <n v="12436.36"/>
    <n v="783.99"/>
    <n v="6.3E-2"/>
    <n v="73.5"/>
    <n v="33"/>
    <n v="1.1000000000000001"/>
    <n v="86.350000000000009"/>
    <n v="2375.8625000000002"/>
    <n v="5531.0794000000005"/>
    <n v="-782.91949999999997"/>
    <n v="3996.0888000000004"/>
    <n v="12369.456"/>
    <n v="21.619400000000002"/>
    <m/>
    <n v="784.57500000000005"/>
    <n v="261.52500000000003"/>
    <n v="1223.9369999999999"/>
    <n v="119.9528"/>
    <n v="180.57599999999999"/>
    <n v="26168.102400000003"/>
    <n v="1.1455062550876045E-2"/>
    <n v="3.2998189429280129E-3"/>
    <n v="0.36439904790345046"/>
    <n v="0.63230113315362135"/>
    <n v="0.99999999999999978"/>
    <n v="86.350000000000009"/>
    <n v="2373.1620000000003"/>
    <n v="5522.3553000000011"/>
    <n v="-782.02959999999996"/>
    <n v="3996.0888000000004"/>
    <n v="12369.456"/>
    <n v="21.585300000000004"/>
    <m/>
    <n v="783.33750000000009"/>
    <n v="261.11250000000001"/>
    <n v="1222.0065"/>
    <n v="119.7636"/>
    <n v="180.57599999999999"/>
    <n v="26153.763899999998"/>
    <n v="14.338500000005297"/>
    <n v="86.350000000000009"/>
    <n v="2375.8625000000002"/>
    <n v="5531.0794000000005"/>
    <n v="-782.91949999999997"/>
    <n v="3996.0814630000004"/>
    <n v="12369.425859999999"/>
    <n v="21.619400000000002"/>
    <m/>
    <n v="784.57500000000005"/>
    <n v="261.52500000000003"/>
    <n v="1223.9369999999999"/>
    <n v="119.9528"/>
    <n v="180.57556"/>
    <n v="26168.064482999998"/>
    <n v="3.7917000005109003E-2"/>
  </r>
  <r>
    <s v="Nov"/>
    <n v="2012"/>
    <x v="2"/>
    <d v="2012-11-01T00:00:00"/>
    <d v="2012-12-05T00:00:00"/>
    <n v="404640"/>
    <n v="26779.57"/>
    <n v="634"/>
    <n v="705"/>
    <s v="---"/>
    <n v="11901.18"/>
    <n v="787.63"/>
    <n v="6.6199999999999995E-2"/>
    <n v="70.34"/>
    <n v="34"/>
    <n v="1.1333333333333333"/>
    <n v="88.966666666666669"/>
    <n v="2447.8583333333331"/>
    <n v="5698.6878666666662"/>
    <n v="-806.64433333333318"/>
    <n v="4073.6406399999996"/>
    <n v="12195.8496"/>
    <n v="22.274533333333334"/>
    <m/>
    <n v="808.35"/>
    <n v="269.45"/>
    <n v="1261.0259999999998"/>
    <n v="123.58773333333332"/>
    <n v="178.04160000000002"/>
    <n v="26361.088639999998"/>
    <n v="1.56268887065775E-2"/>
    <n v="3.3749238463418284E-3"/>
    <n v="0.37269288334418854"/>
    <n v="0.62393219280946965"/>
    <n v="1"/>
    <n v="88.966666666666669"/>
    <n v="2445.076"/>
    <n v="5689.6994000000004"/>
    <n v="-805.7274666666666"/>
    <n v="4073.6406399999996"/>
    <n v="12195.8496"/>
    <n v="22.2394"/>
    <m/>
    <n v="807.07499999999993"/>
    <n v="269.02499999999998"/>
    <n v="1259.037"/>
    <n v="123.39279999999998"/>
    <n v="178.04160000000002"/>
    <n v="26346.315640000004"/>
    <n v="14.772999999993772"/>
    <n v="88.966666666666669"/>
    <n v="2447.8583333333331"/>
    <n v="5698.6878666666662"/>
    <n v="-806.64433333333318"/>
    <n v="4073.6330806666665"/>
    <n v="12195.819460000001"/>
    <n v="22.274533333333334"/>
    <m/>
    <n v="808.35"/>
    <n v="269.45"/>
    <n v="1261.0259999999998"/>
    <n v="123.58773333333332"/>
    <n v="178.04116000000002"/>
    <n v="26361.050500666664"/>
    <n v="3.8139333333674585E-2"/>
  </r>
  <r>
    <s v="Oct"/>
    <n v="2012"/>
    <x v="2"/>
    <d v="2012-10-03T00:00:00"/>
    <d v="2012-11-01T00:00:00"/>
    <n v="356400"/>
    <n v="23260.27"/>
    <n v="634"/>
    <n v="705"/>
    <s v="---"/>
    <n v="12289.66"/>
    <n v="802.08"/>
    <n v="6.5299999999999997E-2"/>
    <n v="72.63"/>
    <n v="29"/>
    <n v="0.96666666666666667"/>
    <n v="75.88333333333334"/>
    <n v="2087.8791666666666"/>
    <n v="4860.6455333333333"/>
    <n v="-688.02016666666657"/>
    <n v="3163.5404000000003"/>
    <n v="10741.896000000001"/>
    <n v="18.998866666666668"/>
    <m/>
    <n v="689.47500000000002"/>
    <n v="229.82499999999999"/>
    <n v="1075.5809999999999"/>
    <n v="105.41306666666665"/>
    <n v="156.816"/>
    <n v="22517.933199999999"/>
    <n v="3.1914367288083972E-2"/>
    <n v="3.3699066721333618E-3"/>
    <n v="0.37213883673243453"/>
    <n v="0.62449125659543214"/>
    <n v="1"/>
    <n v="75.88333333333334"/>
    <n v="2085.5060000000003"/>
    <n v="4852.9789000000001"/>
    <n v="-687.23813333333328"/>
    <n v="3163.5404000000003"/>
    <n v="10741.896000000001"/>
    <n v="18.968900000000001"/>
    <m/>
    <n v="688.38750000000005"/>
    <n v="229.46250000000001"/>
    <n v="1073.8844999999999"/>
    <n v="105.24679999999999"/>
    <n v="156.816"/>
    <n v="22505.332700000003"/>
    <n v="12.600499999996828"/>
    <n v="75.88333333333334"/>
    <n v="2087.8791666666666"/>
    <n v="4860.6455333333333"/>
    <n v="-688.02016666666657"/>
    <n v="3163.5339523333332"/>
    <n v="10741.86586"/>
    <n v="18.998866666666668"/>
    <m/>
    <n v="689.47500000000002"/>
    <n v="229.82499999999999"/>
    <n v="1075.5809999999999"/>
    <n v="105.41306666666665"/>
    <n v="156.81556"/>
    <n v="22517.89617233333"/>
    <n v="3.7027666669018799E-2"/>
  </r>
  <r>
    <s v="Sep"/>
    <n v="2012"/>
    <x v="2"/>
    <d v="2012-09-04T00:00:00"/>
    <d v="2012-10-03T00:00:00"/>
    <n v="393120"/>
    <n v="25231.02"/>
    <n v="689"/>
    <n v="705"/>
    <s v="---"/>
    <n v="13555.86"/>
    <n v="870.03"/>
    <n v="6.4199999999999993E-2"/>
    <n v="80.12"/>
    <n v="29"/>
    <n v="0.96666666666666667"/>
    <n v="75.88333333333334"/>
    <n v="2087.8791666666666"/>
    <n v="5282.3103666666666"/>
    <n v="-688.02016666666657"/>
    <n v="3400.2987200000002"/>
    <n v="11848.6368"/>
    <n v="20.647033333333333"/>
    <m/>
    <n v="749.28750000000002"/>
    <n v="249.76249999999999"/>
    <n v="1168.8885"/>
    <n v="114.55773333333333"/>
    <n v="172.97280000000001"/>
    <n v="24483.104286666668"/>
    <n v="2.9642706213753228E-2"/>
    <n v="3.0994163340087102E-3"/>
    <n v="0.36700054568761009"/>
    <n v="0.62990003797838112"/>
    <n v="1"/>
    <n v="75.88333333333334"/>
    <n v="2085.5060000000003"/>
    <n v="5274.6437333333333"/>
    <n v="-687.23813333333328"/>
    <n v="3400.2987200000002"/>
    <n v="11848.6368"/>
    <n v="20.617066666666666"/>
    <m/>
    <n v="748.2"/>
    <n v="249.4"/>
    <n v="1167.1919999999998"/>
    <n v="114.39146666666666"/>
    <n v="172.97280000000001"/>
    <n v="24470.503786666668"/>
    <n v="12.600500000000466"/>
    <n v="75.88333333333334"/>
    <n v="2087.8791666666666"/>
    <n v="5282.3103666666666"/>
    <n v="-688.02016666666657"/>
    <n v="3400.2922723333336"/>
    <n v="11848.606659999999"/>
    <n v="20.647033333333333"/>
    <m/>
    <n v="749.28750000000002"/>
    <n v="249.76249999999999"/>
    <n v="1168.8885"/>
    <n v="114.55773333333333"/>
    <n v="172.97236000000001"/>
    <n v="24483.067259000003"/>
    <n v="3.7027666665380821E-2"/>
  </r>
  <r>
    <s v="Aug"/>
    <n v="2012"/>
    <x v="2"/>
    <d v="2012-08-03T00:00:00"/>
    <d v="2012-09-04T00:00:00"/>
    <n v="462240"/>
    <n v="28187.19"/>
    <n v="689"/>
    <n v="732"/>
    <s v="---"/>
    <n v="14445"/>
    <n v="880.85"/>
    <n v="6.0999999999999999E-2"/>
    <n v="82.22"/>
    <n v="32"/>
    <n v="1.0666666666666667"/>
    <n v="83.733333333333334"/>
    <n v="2374.5706666666665"/>
    <n v="5828.7562666666663"/>
    <n v="-782.49386666666658"/>
    <n v="4243.81952"/>
    <n v="13931.9136"/>
    <n v="22.782933333333332"/>
    <m/>
    <n v="826.8"/>
    <n v="275.60000000000002"/>
    <n v="1289.808"/>
    <n v="126.40853333333332"/>
    <n v="203.38560000000001"/>
    <n v="28425.084586666668"/>
    <n v="8.4398120801211143E-3"/>
    <n v="2.9457549397270771E-3"/>
    <n v="0.35047327662153416"/>
    <n v="0.6465809684387388"/>
    <n v="1"/>
    <n v="83.733333333333334"/>
    <n v="2371.9519999999998"/>
    <n v="5820.2965333333332"/>
    <n v="-781.63093333333325"/>
    <n v="4243.81952"/>
    <n v="13931.9136"/>
    <n v="22.749866666666666"/>
    <m/>
    <n v="825.6"/>
    <n v="275.2"/>
    <n v="1287.9359999999997"/>
    <n v="126.22506666666665"/>
    <n v="203.38560000000001"/>
    <n v="28411.180586666662"/>
    <n v="13.904000000005908"/>
    <n v="83.733333333333334"/>
    <n v="2374.5706666666665"/>
    <n v="5828.7562666666663"/>
    <n v="-782.49386666666658"/>
    <n v="4243.8124053333331"/>
    <n v="13931.883460000001"/>
    <n v="22.782933333333332"/>
    <m/>
    <n v="826.8"/>
    <n v="275.60000000000002"/>
    <n v="1289.808"/>
    <n v="126.40853333333332"/>
    <n v="203.38516000000001"/>
    <n v="28425.046891999998"/>
    <n v="3.7694666669267463E-2"/>
  </r>
  <r>
    <s v="Jul"/>
    <n v="2012"/>
    <x v="2"/>
    <d v="2012-07-05T00:00:00"/>
    <d v="2012-08-03T00:00:00"/>
    <n v="419760"/>
    <n v="25762.13"/>
    <n v="705"/>
    <n v="738"/>
    <s v="---"/>
    <n v="14474.48"/>
    <n v="888.35"/>
    <n v="6.1400000000000003E-2"/>
    <n v="81.72"/>
    <n v="29"/>
    <n v="0.96666666666666667"/>
    <n v="75.88333333333334"/>
    <n v="2166.1936666666666"/>
    <n v="5404.9765000000007"/>
    <n v="-713.82726666666656"/>
    <n v="3572.0645599999998"/>
    <n v="12651.5664"/>
    <n v="21.1265"/>
    <m/>
    <n v="766.6875"/>
    <n v="255.5625"/>
    <n v="1196.0324999999998"/>
    <n v="117.21799999999999"/>
    <n v="184.6944"/>
    <n v="25698.178593333334"/>
    <n v="2.4823804035872432E-3"/>
    <n v="2.9528681598087704E-3"/>
    <n v="0.35854564036652409"/>
    <n v="0.63850149147366708"/>
    <n v="1"/>
    <n v="75.88333333333334"/>
    <n v="2163.8204999999998"/>
    <n v="5397.3098666666665"/>
    <n v="-713.04523333333327"/>
    <n v="3572.0645599999998"/>
    <n v="12651.5664"/>
    <n v="21.096533333333333"/>
    <m/>
    <n v="765.6"/>
    <n v="255.2"/>
    <n v="1194.336"/>
    <n v="117.05173333333333"/>
    <n v="184.6944"/>
    <n v="25685.578093333334"/>
    <n v="12.600500000000466"/>
    <n v="75.88333333333334"/>
    <n v="2166.1936666666666"/>
    <n v="5404.9765000000007"/>
    <n v="-713.82726666666656"/>
    <n v="3572.0581123333336"/>
    <n v="12651.536260000001"/>
    <n v="21.1265"/>
    <m/>
    <n v="766.6875"/>
    <n v="255.5625"/>
    <n v="1196.0324999999998"/>
    <n v="117.21799999999999"/>
    <n v="184.69396"/>
    <n v="25698.141565666669"/>
    <n v="3.7027666665380821E-2"/>
  </r>
  <r>
    <s v="Jun"/>
    <n v="2012"/>
    <x v="3"/>
    <d v="2012-06-05T00:00:00"/>
    <d v="2012-07-05T00:00:00"/>
    <n v="416160"/>
    <n v="26650.86"/>
    <n v="692"/>
    <n v="762"/>
    <s v="---"/>
    <n v="13872"/>
    <n v="888.36"/>
    <n v="6.4000000000000001E-2"/>
    <n v="75.849999999999994"/>
    <n v="30"/>
    <n v="1"/>
    <n v="78.5"/>
    <n v="2299.81"/>
    <n v="5488.2520000000004"/>
    <n v="-757.85799999999995"/>
    <n v="3671.2272000000003"/>
    <n v="14111.985600000002"/>
    <m/>
    <m/>
    <n v="568.13199999999995"/>
    <n v="268.49599999999998"/>
    <n v="716.21999999999991"/>
    <m/>
    <n v="183.1104"/>
    <n v="26627.875200000002"/>
    <n v="8.624412120283682E-4"/>
    <n v="2.9480384525761931E-3"/>
    <n v="0.32233334186574525"/>
    <n v="0.67471861968167857"/>
    <n v="1"/>
    <n v="78.5"/>
    <n v="2297.355"/>
    <n v="5480.3209999999999"/>
    <n v="-757.04899999999998"/>
    <n v="3671.2272000000003"/>
    <n v="14111.985600000002"/>
    <m/>
    <m/>
    <n v="567.31099999999992"/>
    <n v="268.108"/>
    <n v="715.18499999999995"/>
    <m/>
    <n v="183.1104"/>
    <n v="26616.054200000006"/>
    <n v="11.820999999996275"/>
    <n v="78.5"/>
    <n v="2299.81"/>
    <n v="5488.2520000000004"/>
    <n v="-757.85799999999995"/>
    <n v="3671.2205300000001"/>
    <n v="14111.951690000002"/>
    <m/>
    <m/>
    <n v="568.13199999999995"/>
    <n v="268.49599999999998"/>
    <n v="716.21999999999991"/>
    <m/>
    <n v="183.10996"/>
    <n v="26627.834180000005"/>
    <n v="4.101999999693362E-2"/>
  </r>
  <r>
    <s v="May"/>
    <n v="2012"/>
    <x v="3"/>
    <d v="2012-05-04T00:00:00"/>
    <d v="2012-06-05T00:00:00"/>
    <n v="431280"/>
    <n v="27999"/>
    <n v="685"/>
    <n v="762"/>
    <s v="---"/>
    <n v="13477.5"/>
    <n v="874.97"/>
    <n v="6.4899999999999999E-2"/>
    <n v="73.7"/>
    <n v="32"/>
    <n v="1.0666666666666667"/>
    <n v="83.733333333333334"/>
    <n v="2453.1306666666665"/>
    <n v="5794.9173333333329"/>
    <n v="-808.38186666666661"/>
    <n v="4023.5494400000002"/>
    <n v="14624.704800000001"/>
    <m/>
    <m/>
    <n v="599.87733333333335"/>
    <n v="283.49866666666668"/>
    <n v="756.2399999999999"/>
    <m/>
    <n v="189.76320000000001"/>
    <n v="28001.032906666671"/>
    <n v="7.2606402609768091E-5"/>
    <n v="2.9903658773029599E-3"/>
    <n v="0.32424811483192384"/>
    <n v="0.6727615192907731"/>
    <n v="0.99999999999999989"/>
    <n v="83.733333333333334"/>
    <n v="2450.5120000000002"/>
    <n v="5786.4575999999997"/>
    <n v="-807.51893333333328"/>
    <n v="4023.5494400000002"/>
    <n v="14624.704800000001"/>
    <m/>
    <m/>
    <n v="599.00159999999994"/>
    <n v="283.08479999999997"/>
    <n v="755.13599999999997"/>
    <m/>
    <n v="189.76320000000001"/>
    <n v="27988.423840000003"/>
    <n v="12.609066666667786"/>
    <n v="83.733333333333334"/>
    <n v="2453.1306666666665"/>
    <n v="5794.9173333333329"/>
    <n v="-808.38186666666661"/>
    <n v="4023.5423253333333"/>
    <n v="14624.670890000001"/>
    <m/>
    <m/>
    <n v="599.87733333333335"/>
    <n v="283.49866666666668"/>
    <n v="756.2399999999999"/>
    <m/>
    <n v="189.76276000000001"/>
    <n v="28000.991442000002"/>
    <n v="4.1464666668616701E-2"/>
  </r>
  <r>
    <s v="Apr"/>
    <n v="2012"/>
    <x v="3"/>
    <d v="2012-04-04T00:00:00"/>
    <d v="2012-05-04T00:00:00"/>
    <n v="402480"/>
    <n v="26173.52"/>
    <n v="685"/>
    <n v="762"/>
    <s v="---"/>
    <n v="13416"/>
    <n v="872.45"/>
    <n v="6.5000000000000002E-2"/>
    <n v="73.36"/>
    <n v="30"/>
    <n v="1"/>
    <n v="78.5"/>
    <n v="2299.81"/>
    <n v="5432.7349999999997"/>
    <n v="-757.85799999999995"/>
    <n v="3579.9816000000001"/>
    <n v="13648.096800000001"/>
    <m/>
    <m/>
    <n v="562.38499999999999"/>
    <n v="265.78000000000003"/>
    <n v="708.97499999999991"/>
    <m/>
    <n v="177.09120000000001"/>
    <n v="25995.496599999999"/>
    <n v="6.8016606096544087E-3"/>
    <n v="3.0197538138201988E-3"/>
    <n v="0.32743467574302848"/>
    <n v="0.66954557044315133"/>
    <n v="1"/>
    <n v="78.5"/>
    <n v="2297.355"/>
    <n v="5424.8040000000001"/>
    <n v="-757.04899999999998"/>
    <n v="3579.9816000000001"/>
    <n v="13648.096800000001"/>
    <m/>
    <m/>
    <n v="561.56399999999996"/>
    <n v="265.392"/>
    <n v="707.93999999999994"/>
    <m/>
    <n v="177.09120000000001"/>
    <n v="25983.675599999995"/>
    <n v="11.821000000003551"/>
    <n v="78.5"/>
    <n v="2299.81"/>
    <n v="5432.7349999999997"/>
    <n v="-757.85799999999995"/>
    <n v="3579.9749300000003"/>
    <n v="13648.062890000001"/>
    <m/>
    <m/>
    <n v="562.38499999999999"/>
    <n v="265.78000000000003"/>
    <n v="708.97499999999991"/>
    <m/>
    <n v="177.09076000000002"/>
    <n v="25995.455579999998"/>
    <n v="4.1020000000571599E-2"/>
  </r>
  <r>
    <s v="Mar"/>
    <n v="2012"/>
    <x v="3"/>
    <d v="2012-03-06T00:00:00"/>
    <d v="2012-04-04T00:00:00"/>
    <n v="399600"/>
    <n v="25864.16"/>
    <n v="698"/>
    <n v="762"/>
    <s v="---"/>
    <n v="13779.31"/>
    <n v="891.87"/>
    <n v="6.4699999999999994E-2"/>
    <n v="75.349999999999994"/>
    <n v="29"/>
    <n v="0.96666666666666667"/>
    <n v="75.88333333333334"/>
    <n v="2223.1496666666667"/>
    <n v="5351.3100666666669"/>
    <n v="-732.59606666666662"/>
    <n v="3442.0796"/>
    <n v="13550.436000000002"/>
    <m/>
    <m/>
    <n v="553.95606666666663"/>
    <n v="261.79653333333334"/>
    <n v="698.34899999999993"/>
    <m/>
    <n v="175.82400000000001"/>
    <n v="25600.188200000001"/>
    <n v="1.0206084404055626E-2"/>
    <n v="2.9641709170455761E-3"/>
    <n v="0.32640249366083435"/>
    <n v="0.67063333542212011"/>
    <n v="1"/>
    <n v="75.88333333333334"/>
    <n v="2220.7764999999999"/>
    <n v="5343.6434333333336"/>
    <n v="-731.81403333333333"/>
    <n v="3442.0796"/>
    <n v="13550.436000000002"/>
    <m/>
    <m/>
    <n v="553.1624333333333"/>
    <n v="261.42146666666673"/>
    <n v="697.34849999999994"/>
    <m/>
    <n v="175.82400000000001"/>
    <n v="25588.761233333338"/>
    <n v="11.426966666662338"/>
    <n v="75.88333333333334"/>
    <n v="2223.1496666666667"/>
    <n v="5351.3100666666669"/>
    <n v="-732.59606666666662"/>
    <n v="3442.0731523333334"/>
    <n v="13550.402090000001"/>
    <m/>
    <m/>
    <n v="553.95606666666663"/>
    <n v="261.79653333333334"/>
    <n v="698.34899999999993"/>
    <m/>
    <n v="175.82356000000001"/>
    <n v="25600.147402333336"/>
    <n v="4.0797666664730059E-2"/>
  </r>
  <r>
    <s v="Feb"/>
    <n v="2012"/>
    <x v="3"/>
    <d v="2012-02-06T00:00:00"/>
    <d v="2012-03-06T00:00:00"/>
    <n v="380160"/>
    <n v="24936.44"/>
    <n v="685"/>
    <n v="762"/>
    <s v="---"/>
    <n v="13108.97"/>
    <n v="859.88"/>
    <n v="6.5600000000000006E-2"/>
    <n v="71.680000000000007"/>
    <n v="29"/>
    <n v="0.96666666666666667"/>
    <n v="75.88333333333334"/>
    <n v="2223.1496666666667"/>
    <n v="5251.6438333333326"/>
    <n v="-732.59606666666662"/>
    <n v="3316.7369600000002"/>
    <n v="12891.225600000002"/>
    <m/>
    <m/>
    <n v="543.63883333333331"/>
    <n v="256.9206666666667"/>
    <n v="685.34249999999997"/>
    <m/>
    <n v="167.2704"/>
    <n v="24679.215726666665"/>
    <n v="1.0315196288376901E-2"/>
    <n v="3.0747870667275305E-3"/>
    <n v="0.33340198183212982"/>
    <n v="0.66352323110114275"/>
    <n v="1"/>
    <n v="75.88333333333334"/>
    <n v="2220.7764999999999"/>
    <n v="5243.9772000000003"/>
    <n v="-731.81403333333333"/>
    <n v="3316.7369600000002"/>
    <n v="12891.225600000002"/>
    <m/>
    <m/>
    <n v="542.84519999999998"/>
    <n v="256.54559999999998"/>
    <n v="684.34199999999998"/>
    <m/>
    <n v="167.2704"/>
    <n v="24667.788760000007"/>
    <n v="11.4269666666587"/>
    <n v="75.88333333333334"/>
    <n v="2223.1496666666667"/>
    <n v="5251.6438333333326"/>
    <n v="-732.59606666666662"/>
    <n v="3316.7305123333335"/>
    <n v="12891.191690000001"/>
    <m/>
    <m/>
    <n v="543.63883333333331"/>
    <n v="256.9206666666667"/>
    <n v="685.34249999999997"/>
    <m/>
    <n v="167.26996"/>
    <n v="24679.174929000001"/>
    <n v="4.0797666664730059E-2"/>
  </r>
  <r>
    <s v="Jan"/>
    <n v="2012"/>
    <x v="3"/>
    <d v="2012-01-05T00:00:00"/>
    <d v="2012-02-06T00:00:00"/>
    <n v="400320"/>
    <n v="26909.97"/>
    <n v="701"/>
    <n v="762"/>
    <s v="---"/>
    <n v="12510"/>
    <n v="840.94"/>
    <n v="6.7199999999999996E-2"/>
    <n v="68.41"/>
    <n v="32"/>
    <n v="1.0666666666666667"/>
    <n v="83.733333333333334"/>
    <n v="2453.1306666666665"/>
    <n v="5930.2730666666666"/>
    <n v="-808.38186666666661"/>
    <n v="3803.27936"/>
    <n v="13574.851200000001"/>
    <m/>
    <m/>
    <n v="613.88906666666662"/>
    <n v="290.12053333333336"/>
    <n v="773.904"/>
    <m/>
    <n v="176.14080000000001"/>
    <n v="26890.940160000002"/>
    <n v="7.0716689762193117E-4"/>
    <n v="3.113812043577629E-3"/>
    <n v="0.34409118504641623"/>
    <n v="0.65279500291000614"/>
    <n v="1"/>
    <n v="83.733333333333334"/>
    <n v="2450.5120000000002"/>
    <n v="5921.8133333333335"/>
    <n v="-807.51893333333328"/>
    <n v="3803.27936"/>
    <n v="13574.851200000001"/>
    <m/>
    <m/>
    <n v="613.01333333333321"/>
    <n v="289.70666666666671"/>
    <n v="772.8"/>
    <m/>
    <n v="176.14080000000001"/>
    <n v="26878.331093333334"/>
    <n v="12.609066666667786"/>
    <n v="83.733333333333334"/>
    <n v="2453.1306666666665"/>
    <n v="5930.2730666666666"/>
    <n v="-808.38186666666661"/>
    <n v="3803.2722453333331"/>
    <n v="13574.817290000001"/>
    <m/>
    <m/>
    <n v="613.88906666666662"/>
    <n v="290.12053333333336"/>
    <n v="773.904"/>
    <m/>
    <n v="176.14036000000002"/>
    <n v="26890.898695333333"/>
    <n v="4.1464666668616701E-2"/>
  </r>
  <r>
    <s v="Dec"/>
    <n v="2011"/>
    <x v="3"/>
    <d v="2011-12-06T00:00:00"/>
    <d v="2012-01-05T00:00:00"/>
    <n v="390240"/>
    <n v="25523.22"/>
    <n v="685"/>
    <n v="762"/>
    <s v="---"/>
    <n v="13008"/>
    <n v="850.77"/>
    <n v="6.54E-2"/>
    <n v="71.13"/>
    <n v="30"/>
    <n v="1"/>
    <n v="78.5"/>
    <n v="2299.81"/>
    <n v="5432.7349999999997"/>
    <n v="-757.85799999999995"/>
    <n v="3498.3407999999999"/>
    <n v="13233.038400000001"/>
    <m/>
    <m/>
    <n v="562.38499999999999"/>
    <n v="265.78000000000003"/>
    <n v="708.97499999999991"/>
    <m/>
    <n v="171.7056"/>
    <n v="25493.411799999998"/>
    <n v="1.1678855567598104E-3"/>
    <n v="3.0792269240321928E-3"/>
    <n v="0.33388339963190017"/>
    <n v="0.66303737344406788"/>
    <n v="1.0000000000000002"/>
    <n v="78.5"/>
    <n v="2297.355"/>
    <n v="5424.8040000000001"/>
    <n v="-757.04899999999998"/>
    <n v="3498.3407999999999"/>
    <n v="13233.038400000001"/>
    <m/>
    <m/>
    <n v="561.56399999999996"/>
    <n v="265.392"/>
    <n v="707.93999999999994"/>
    <m/>
    <n v="171.7056"/>
    <n v="25481.590799999998"/>
    <n v="11.820999999999913"/>
    <n v="78.5"/>
    <n v="2299.81"/>
    <n v="5432.7349999999997"/>
    <n v="-757.85799999999995"/>
    <n v="3498.3341300000002"/>
    <n v="13233.004490000001"/>
    <m/>
    <m/>
    <n v="562.38499999999999"/>
    <n v="265.78000000000003"/>
    <n v="708.97499999999991"/>
    <m/>
    <n v="171.70516000000001"/>
    <n v="25493.370779999997"/>
    <n v="4.1020000000571599E-2"/>
  </r>
  <r>
    <s v="Nov"/>
    <n v="2011"/>
    <x v="3"/>
    <d v="2011-11-02T00:00:00"/>
    <d v="2011-12-06T00:00:00"/>
    <n v="457200"/>
    <n v="29504.880000000001"/>
    <n v="685"/>
    <n v="762"/>
    <s v="---"/>
    <n v="13447.06"/>
    <n v="867.79"/>
    <n v="6.4500000000000002E-2"/>
    <n v="73.53"/>
    <n v="34"/>
    <n v="1.1333333333333333"/>
    <n v="88.966666666666669"/>
    <n v="2606.4513333333334"/>
    <n v="6157.0996666666661"/>
    <n v="-858.90573333333327"/>
    <n v="4470.9592000000002"/>
    <n v="15503.652000000002"/>
    <m/>
    <m/>
    <n v="637.3696666666666"/>
    <n v="301.21733333333339"/>
    <n v="803.50499999999988"/>
    <m/>
    <n v="201.16800000000001"/>
    <n v="29911.483133333339"/>
    <n v="1.3780877378024841E-2"/>
    <n v="2.9743315057327354E-3"/>
    <n v="0.32250949321587963"/>
    <n v="0.67451617527838759"/>
    <n v="1"/>
    <n v="88.966666666666669"/>
    <n v="2603.6689999999999"/>
    <n v="6148.1112000000003"/>
    <n v="-857.98886666666658"/>
    <n v="4470.9592000000002"/>
    <n v="15503.652000000002"/>
    <m/>
    <m/>
    <n v="636.43919999999991"/>
    <n v="300.77760000000001"/>
    <n v="802.33199999999988"/>
    <m/>
    <n v="201.16800000000001"/>
    <n v="29898.086000000003"/>
    <n v="13.39713333333566"/>
    <n v="88.966666666666669"/>
    <n v="2606.4513333333334"/>
    <n v="6157.0996666666661"/>
    <n v="-858.90573333333327"/>
    <n v="4470.9516406666671"/>
    <n v="15503.618090000002"/>
    <m/>
    <m/>
    <n v="637.3696666666666"/>
    <n v="301.21733333333339"/>
    <n v="803.50499999999988"/>
    <m/>
    <n v="201.16756000000001"/>
    <n v="29911.441224000006"/>
    <n v="4.1909333333023824E-2"/>
  </r>
  <r>
    <s v="Oct"/>
    <n v="2011"/>
    <x v="3"/>
    <d v="2011-10-04T00:00:00"/>
    <d v="2011-11-02T00:00:00"/>
    <n v="406080"/>
    <n v="25826.97"/>
    <n v="685"/>
    <n v="762"/>
    <s v="---"/>
    <n v="14002.76"/>
    <n v="890.58"/>
    <n v="6.3600000000000004E-2"/>
    <n v="76.569999999999993"/>
    <n v="29"/>
    <n v="0.96666666666666667"/>
    <n v="75.88333333333334"/>
    <n v="2223.1496666666667"/>
    <n v="5251.6438333333326"/>
    <n v="-732.59606666666662"/>
    <n v="3483.8604799999998"/>
    <n v="13770.1728"/>
    <m/>
    <m/>
    <n v="543.63883333333331"/>
    <n v="256.9206666666667"/>
    <n v="685.34249999999997"/>
    <m/>
    <n v="178.67520000000002"/>
    <n v="25736.691246666665"/>
    <n v="3.4955224454644028E-3"/>
    <n v="2.9484494570824644E-3"/>
    <n v="0.31970307894178163"/>
    <n v="0.67734847160113598"/>
    <n v="1"/>
    <n v="75.88333333333334"/>
    <n v="2220.7764999999999"/>
    <n v="5243.9772000000003"/>
    <n v="-731.81403333333333"/>
    <n v="3483.8604799999998"/>
    <n v="13770.1728"/>
    <m/>
    <m/>
    <n v="542.84519999999998"/>
    <n v="256.54559999999998"/>
    <n v="684.34199999999998"/>
    <m/>
    <n v="178.67520000000002"/>
    <n v="25725.264280000003"/>
    <n v="11.426966666662338"/>
    <n v="75.88333333333334"/>
    <n v="2223.1496666666667"/>
    <n v="5251.6438333333326"/>
    <n v="-732.59606666666662"/>
    <n v="3483.8540323333332"/>
    <n v="13770.13889"/>
    <m/>
    <m/>
    <n v="543.63883333333331"/>
    <n v="256.9206666666667"/>
    <n v="685.34249999999997"/>
    <m/>
    <n v="178.67476000000002"/>
    <n v="25736.650448999997"/>
    <n v="4.0797666668368038E-2"/>
  </r>
  <r>
    <s v="Sep"/>
    <n v="2011"/>
    <x v="3"/>
    <d v="2011-09-02T00:00:00"/>
    <d v="2011-10-04T00:00:00"/>
    <n v="469440"/>
    <n v="29884.68"/>
    <n v="732"/>
    <n v="762"/>
    <s v="---"/>
    <n v="14670"/>
    <n v="933.9"/>
    <n v="6.3700000000000007E-2"/>
    <n v="80.22"/>
    <n v="32"/>
    <n v="1.0666666666666667"/>
    <n v="83.733333333333334"/>
    <n v="2453.1306666666665"/>
    <n v="6192.5248000000001"/>
    <n v="-808.38186666666661"/>
    <n v="4295.0451199999998"/>
    <n v="15918.710400000002"/>
    <m/>
    <m/>
    <n v="641.03679999999997"/>
    <n v="302.9504"/>
    <n v="808.12799999999993"/>
    <m/>
    <n v="206.55360000000002"/>
    <n v="30093.43125333334"/>
    <n v="6.9852263210895774E-3"/>
    <n v="2.7824455319982329E-3"/>
    <n v="0.3186538856029526"/>
    <n v="0.67856366886504904"/>
    <n v="0.99999999999999989"/>
    <n v="83.733333333333334"/>
    <n v="2450.5120000000002"/>
    <n v="6184.0650666666661"/>
    <n v="-807.51893333333328"/>
    <n v="4295.0451199999998"/>
    <n v="15918.710400000002"/>
    <m/>
    <m/>
    <n v="640.16106666666656"/>
    <n v="302.5365333333333"/>
    <n v="807.02399999999989"/>
    <m/>
    <n v="206.55360000000002"/>
    <n v="30080.822186666668"/>
    <n v="12.609066666671424"/>
    <n v="83.733333333333334"/>
    <n v="2453.1306666666665"/>
    <n v="6192.5248000000001"/>
    <n v="-808.38186666666661"/>
    <n v="4295.0380053333338"/>
    <n v="15918.676490000002"/>
    <m/>
    <m/>
    <n v="641.03679999999997"/>
    <n v="302.9504"/>
    <n v="808.12799999999993"/>
    <m/>
    <n v="206.55316000000002"/>
    <n v="30093.389788666675"/>
    <n v="4.1464666664978722E-2"/>
  </r>
  <r>
    <s v="Aug"/>
    <n v="2011"/>
    <x v="3"/>
    <d v="2011-08-04T00:00:00"/>
    <d v="2011-09-02T00:00:00"/>
    <n v="448560"/>
    <n v="28090.82"/>
    <n v="738"/>
    <n v="762"/>
    <s v="---"/>
    <n v="15467.59"/>
    <n v="968.65"/>
    <n v="6.2600000000000003E-2"/>
    <n v="84.58"/>
    <n v="29"/>
    <n v="0.96666666666666667"/>
    <n v="75.88333333333334"/>
    <n v="2223.1496666666667"/>
    <n v="5657.9754000000003"/>
    <n v="-732.59606666666662"/>
    <n v="3757.7573600000001"/>
    <n v="15210.669600000001"/>
    <m/>
    <m/>
    <n v="585.70139999999992"/>
    <n v="276.79919999999998"/>
    <n v="738.36899999999991"/>
    <m/>
    <n v="197.3664"/>
    <n v="27991.075293333335"/>
    <n v="3.5507936993887886E-3"/>
    <n v="2.710983145095771E-3"/>
    <n v="0.3125781524400334"/>
    <n v="0.68471086441487072"/>
    <n v="0.99999999999999989"/>
    <n v="75.88333333333334"/>
    <n v="2220.7764999999999"/>
    <n v="5650.308766666667"/>
    <n v="-731.81403333333333"/>
    <n v="3757.7573600000001"/>
    <n v="15210.669600000001"/>
    <m/>
    <m/>
    <n v="584.9077666666667"/>
    <n v="276.42413333333337"/>
    <n v="737.36849999999993"/>
    <m/>
    <n v="197.3664"/>
    <n v="27979.648326666669"/>
    <n v="11.426966666665976"/>
    <n v="75.88333333333334"/>
    <n v="2223.1496666666667"/>
    <n v="5657.9754000000003"/>
    <n v="-732.59606666666662"/>
    <n v="3757.750912333333"/>
    <n v="15210.635690000001"/>
    <m/>
    <m/>
    <n v="585.70139999999992"/>
    <n v="276.79919999999998"/>
    <n v="738.36899999999991"/>
    <m/>
    <n v="197.36596"/>
    <n v="27991.034495666663"/>
    <n v="4.0797666672006017E-2"/>
  </r>
  <r>
    <s v="Jul"/>
    <n v="2011"/>
    <x v="3"/>
    <d v="2011-07-06T00:00:00"/>
    <d v="2011-08-04T00:00:00"/>
    <n v="442080"/>
    <n v="28073.78"/>
    <n v="762"/>
    <n v="770"/>
    <s v="---"/>
    <n v="15244.14"/>
    <n v="968.06"/>
    <n v="6.3500000000000001E-2"/>
    <n v="82.49"/>
    <n v="29"/>
    <n v="0.96666666666666667"/>
    <n v="75.88333333333334"/>
    <n v="2242.1349999999998"/>
    <n v="5841.9746000000005"/>
    <n v="-738.85233333333326"/>
    <n v="3715.9764800000003"/>
    <n v="14990.9328"/>
    <m/>
    <m/>
    <n v="604.74860000000001"/>
    <n v="285.80079999999998"/>
    <n v="762.38099999999997"/>
    <m/>
    <n v="194.51519999999999"/>
    <n v="27975.495480000001"/>
    <n v="3.5009364609966107E-3"/>
    <n v="2.7124929167950998E-3"/>
    <n v="0.32164533683056923"/>
    <n v="0.67564217025263573"/>
    <n v="1"/>
    <n v="75.88333333333334"/>
    <n v="2239.7618333333335"/>
    <n v="5834.3079666666663"/>
    <n v="-738.07029999999997"/>
    <n v="3715.9764800000003"/>
    <n v="14990.9328"/>
    <m/>
    <m/>
    <n v="603.95496666666668"/>
    <n v="285.42573333333337"/>
    <n v="761.38049999999998"/>
    <m/>
    <n v="194.51519999999999"/>
    <n v="27964.068513333335"/>
    <n v="11.426966666665976"/>
    <n v="75.88333333333334"/>
    <n v="2242.1349999999998"/>
    <n v="5841.9746000000005"/>
    <n v="-738.85233333333326"/>
    <n v="3715.9700323333332"/>
    <n v="14990.89889"/>
    <m/>
    <m/>
    <n v="604.74860000000001"/>
    <n v="285.80079999999998"/>
    <n v="762.38099999999997"/>
    <m/>
    <n v="194.51476"/>
    <n v="27975.454682333333"/>
    <n v="4.0797666668368038E-2"/>
  </r>
  <r>
    <s v="Jun"/>
    <n v="2011"/>
    <x v="4"/>
    <d v="2011-06-06T00:00:00"/>
    <d v="2011-07-06T00:00:00"/>
    <n v="414000"/>
    <n v="24664.54"/>
    <n v="727"/>
    <n v="787"/>
    <s v="---"/>
    <n v="13800"/>
    <n v="822.15"/>
    <n v="5.96E-2"/>
    <n v="73.06"/>
    <n v="30"/>
    <n v="1"/>
    <n v="78.5"/>
    <n v="2361.1849999999999"/>
    <n v="5765.8370000000004"/>
    <n v="-778.08299999999997"/>
    <n v="3656.8199999999997"/>
    <n v="11198.7"/>
    <m/>
    <m/>
    <n v="596.86699999999996"/>
    <n v="282.07600000000002"/>
    <n v="752.44499999999994"/>
    <m/>
    <n v="182.16"/>
    <n v="24096.507000000001"/>
    <n v="2.3030350454539165E-2"/>
    <n v="3.2577335793938927E-3"/>
    <n v="0.3726816919979315"/>
    <n v="0.6240605744226746"/>
    <n v="1"/>
    <n v="78.5"/>
    <n v="2358.73"/>
    <n v="5757.9059999999999"/>
    <n v="-777.27399999999989"/>
    <n v="3656.8199999999997"/>
    <n v="11198.7"/>
    <m/>
    <m/>
    <n v="596.04599999999994"/>
    <n v="281.68799999999999"/>
    <n v="751.41"/>
    <m/>
    <n v="182.16"/>
    <n v="24084.685999999998"/>
    <n v="11.821000000003551"/>
    <n v="78.5"/>
    <n v="2361.1849999999999"/>
    <n v="5765.8370000000004"/>
    <n v="-778.08299999999997"/>
    <n v="3656.81333"/>
    <n v="11198.67295"/>
    <m/>
    <m/>
    <n v="596.86699999999996"/>
    <n v="282.07600000000002"/>
    <n v="752.44499999999994"/>
    <m/>
    <n v="182.15956"/>
    <n v="24096.472840000002"/>
    <n v="3.4159999999246793E-2"/>
  </r>
  <r>
    <s v="May"/>
    <n v="2011"/>
    <x v="4"/>
    <d v="2011-05-05T00:00:00"/>
    <d v="2011-06-06T00:00:00"/>
    <n v="442800"/>
    <n v="25704.04"/>
    <n v="723"/>
    <n v="789"/>
    <s v="---"/>
    <n v="13837.5"/>
    <n v="803.25"/>
    <n v="5.8000000000000003E-2"/>
    <n v="73.08"/>
    <n v="32"/>
    <n v="1.0666666666666667"/>
    <n v="83.733333333333334"/>
    <n v="2523.8346666666666"/>
    <n v="6116.3872000000001"/>
    <n v="-831.68106666666654"/>
    <n v="4105.5104000000001"/>
    <n v="11977.74"/>
    <m/>
    <m/>
    <n v="633.15519999999992"/>
    <n v="299.22559999999999"/>
    <n v="798.19199999999989"/>
    <m/>
    <n v="194.83199999999999"/>
    <n v="25900.929333333337"/>
    <n v="7.6598594358449588E-3"/>
    <n v="3.2328312338033476E-3"/>
    <n v="0.36829232948501145"/>
    <n v="0.62847483928118508"/>
    <n v="0.99999999999999989"/>
    <n v="83.733333333333334"/>
    <n v="2521.2159999999999"/>
    <n v="6107.9274666666661"/>
    <n v="-830.81813333333321"/>
    <n v="4105.5104000000001"/>
    <n v="11977.74"/>
    <m/>
    <m/>
    <n v="632.27946666666662"/>
    <n v="298.81173333333334"/>
    <n v="797.08799999999997"/>
    <m/>
    <n v="194.83199999999999"/>
    <n v="25888.320266666662"/>
    <n v="12.609066666675062"/>
    <n v="83.733333333333334"/>
    <n v="2523.8346666666666"/>
    <n v="6116.3872000000001"/>
    <n v="-831.68106666666654"/>
    <n v="4105.5032853333332"/>
    <n v="11977.712950000001"/>
    <m/>
    <m/>
    <n v="633.15519999999992"/>
    <n v="299.22559999999999"/>
    <n v="798.19199999999989"/>
    <m/>
    <n v="194.83156"/>
    <n v="25900.89472866667"/>
    <n v="3.4604666667291895E-2"/>
  </r>
  <r>
    <s v="Apr"/>
    <n v="2011"/>
    <x v="4"/>
    <d v="2011-04-05T00:00:00"/>
    <d v="2011-05-05T00:00:00"/>
    <n v="406800"/>
    <n v="23680.880000000001"/>
    <n v="710"/>
    <n v="789"/>
    <s v="---"/>
    <n v="13560"/>
    <n v="789.36"/>
    <n v="5.8200000000000002E-2"/>
    <n v="71.61"/>
    <n v="30"/>
    <n v="1"/>
    <n v="78.5"/>
    <n v="2366.0949999999998"/>
    <n v="5631.01"/>
    <n v="-779.70099999999991"/>
    <n v="3608.7960000000003"/>
    <n v="11003.94"/>
    <m/>
    <m/>
    <n v="582.91"/>
    <n v="275.48"/>
    <n v="734.84999999999991"/>
    <m/>
    <n v="178.99200000000002"/>
    <n v="23680.871999999996"/>
    <n v="3.3782528374231838E-7"/>
    <n v="3.3149117143997067E-3"/>
    <n v="0.37205741410198079"/>
    <n v="0.62462767418361975"/>
    <n v="1.0000000000000002"/>
    <n v="78.5"/>
    <n v="2363.64"/>
    <n v="5623.0789999999997"/>
    <n v="-778.89199999999994"/>
    <n v="3608.7960000000003"/>
    <n v="11003.94"/>
    <m/>
    <m/>
    <n v="582.08899999999994"/>
    <n v="275.09199999999998"/>
    <n v="733.81499999999994"/>
    <m/>
    <n v="178.99200000000002"/>
    <n v="23669.050999999999"/>
    <n v="11.820999999996275"/>
    <n v="78.5"/>
    <n v="2366.0949999999998"/>
    <n v="5631.01"/>
    <n v="-779.70099999999991"/>
    <n v="3608.7893300000001"/>
    <n v="11003.91295"/>
    <m/>
    <m/>
    <n v="582.91"/>
    <n v="275.48"/>
    <n v="734.84999999999991"/>
    <m/>
    <n v="178.99155999999999"/>
    <n v="23680.837839999997"/>
    <n v="3.4159999999246793E-2"/>
  </r>
  <r>
    <s v="Mar"/>
    <n v="2011"/>
    <x v="4"/>
    <d v="2011-03-04T00:00:00"/>
    <d v="2011-04-05T00:00:00"/>
    <n v="414000"/>
    <n v="23404.15"/>
    <n v="710"/>
    <n v="789"/>
    <s v="---"/>
    <n v="12937.5"/>
    <n v="731.38"/>
    <n v="5.6500000000000002E-2"/>
    <n v="68.319999999999993"/>
    <n v="32"/>
    <n v="1.0666666666666667"/>
    <n v="83.733333333333334"/>
    <n v="2523.8346666666666"/>
    <n v="6006.4106666666667"/>
    <n v="-831.68106666666654"/>
    <n v="3900.6079999999997"/>
    <n v="11198.7"/>
    <m/>
    <m/>
    <n v="621.77066666666667"/>
    <n v="293.84533333333337"/>
    <n v="783.83999999999992"/>
    <m/>
    <n v="182.16"/>
    <n v="24763.221600000004"/>
    <n v="5.8069684222670032E-2"/>
    <n v="3.3813586408859386E-3"/>
    <n v="0.37951525122509361"/>
    <n v="0.61710339013402027"/>
    <n v="0.99999999999999978"/>
    <n v="83.733333333333334"/>
    <n v="2521.2159999999999"/>
    <n v="5997.9509333333326"/>
    <n v="-830.81813333333321"/>
    <n v="3900.6079999999997"/>
    <n v="11198.7"/>
    <m/>
    <m/>
    <n v="620.89493333333326"/>
    <n v="293.43146666666667"/>
    <n v="782.73599999999988"/>
    <m/>
    <n v="182.16"/>
    <n v="24750.612533333333"/>
    <n v="12.609066666671424"/>
    <n v="83.733333333333334"/>
    <n v="2523.8346666666666"/>
    <n v="6006.4106666666667"/>
    <n v="-831.68106666666654"/>
    <n v="3900.6008853333333"/>
    <n v="11198.67295"/>
    <m/>
    <m/>
    <n v="621.77066666666667"/>
    <n v="293.84533333333337"/>
    <n v="783.83999999999992"/>
    <m/>
    <n v="182.15956"/>
    <n v="24763.186995333333"/>
    <n v="3.4604666670929873E-2"/>
  </r>
  <r>
    <s v="Feb"/>
    <n v="2011"/>
    <x v="4"/>
    <d v="2011-02-04T00:00:00"/>
    <d v="2011-03-04T00:00:00"/>
    <n v="329040"/>
    <n v="19153.75"/>
    <n v="710"/>
    <n v="789"/>
    <s v="---"/>
    <n v="11751.43"/>
    <n v="684.06"/>
    <n v="5.8200000000000002E-2"/>
    <n v="62.06"/>
    <n v="28"/>
    <n v="0.93333333333333335"/>
    <n v="73.266666666666666"/>
    <n v="2208.355333333333"/>
    <n v="5255.6093333333338"/>
    <n v="-727.72093333333328"/>
    <n v="2884.1276800000001"/>
    <n v="8900.5320000000011"/>
    <m/>
    <m/>
    <m/>
    <m/>
    <m/>
    <m/>
    <n v="144.77760000000001"/>
    <n v="18738.947680000005"/>
    <n v="2.1656454741238413E-2"/>
    <n v="3.9098602503097784E-3"/>
    <n v="0.35947822942709301"/>
    <n v="0.63661191032259701"/>
    <n v="0.99999999999999978"/>
    <n v="73.266666666666666"/>
    <n v="2206.0639999999999"/>
    <n v="5248.2070666666668"/>
    <n v="-726.96586666666667"/>
    <n v="2884.1276800000001"/>
    <n v="8900.5320000000011"/>
    <m/>
    <m/>
    <m/>
    <m/>
    <m/>
    <m/>
    <n v="144.77760000000001"/>
    <n v="18730.009146666671"/>
    <n v="8.9385333333339076"/>
    <n v="73.266666666666666"/>
    <n v="2208.355333333333"/>
    <n v="5255.6093333333338"/>
    <n v="-727.72093333333328"/>
    <n v="2884.1214546666665"/>
    <n v="8900.5049500000005"/>
    <m/>
    <m/>
    <m/>
    <m/>
    <m/>
    <m/>
    <n v="144.77716000000001"/>
    <n v="18738.91396466667"/>
    <n v="3.371533333483967E-2"/>
  </r>
  <r>
    <s v="Jan"/>
    <n v="2011"/>
    <x v="4"/>
    <d v="2011-01-06T00:00:00"/>
    <d v="2011-02-04T00:00:00"/>
    <n v="327600"/>
    <n v="19387.21"/>
    <n v="710"/>
    <n v="789"/>
    <s v="---"/>
    <n v="11296.55"/>
    <n v="668.52"/>
    <n v="5.9200000000000003E-2"/>
    <n v="59.66"/>
    <n v="29"/>
    <n v="0.96666666666666667"/>
    <n v="75.88333333333334"/>
    <n v="2287.2251666666666"/>
    <n v="5443.309666666667"/>
    <n v="-753.71096666666654"/>
    <n v="2977.8476000000001"/>
    <n v="8861.58"/>
    <m/>
    <m/>
    <m/>
    <m/>
    <m/>
    <m/>
    <n v="144.14400000000001"/>
    <n v="19036.2788"/>
    <n v="1.8101170823444895E-2"/>
    <n v="3.9862482647256324E-3"/>
    <n v="0.36650145440539916"/>
    <n v="0.62951229732987513"/>
    <n v="1"/>
    <n v="75.88333333333334"/>
    <n v="2284.8519999999999"/>
    <n v="5435.6430333333328"/>
    <n v="-752.92893333333325"/>
    <n v="2977.8476000000001"/>
    <n v="8861.58"/>
    <m/>
    <m/>
    <m/>
    <m/>
    <m/>
    <m/>
    <n v="144.14400000000001"/>
    <n v="19027.021033333331"/>
    <n v="9.2577666666693403"/>
    <n v="75.88333333333334"/>
    <n v="2287.2251666666666"/>
    <n v="5443.309666666667"/>
    <n v="-753.71096666666654"/>
    <n v="2977.8411523333334"/>
    <n v="8861.5529500000011"/>
    <m/>
    <m/>
    <m/>
    <m/>
    <m/>
    <m/>
    <n v="144.14356000000001"/>
    <n v="19036.244862333337"/>
    <n v="3.3937666663405253E-2"/>
  </r>
  <r>
    <s v="Dec"/>
    <n v="2010"/>
    <x v="4"/>
    <d v="2010-12-07T00:00:00"/>
    <d v="2011-01-06T00:00:00"/>
    <n v="350640"/>
    <n v="20487.73"/>
    <n v="710"/>
    <n v="789"/>
    <s v="---"/>
    <n v="11688"/>
    <n v="682.92"/>
    <n v="5.8400000000000001E-2"/>
    <n v="61.72"/>
    <n v="30"/>
    <n v="1"/>
    <n v="78.5"/>
    <n v="2366.0949999999998"/>
    <n v="5631.01"/>
    <n v="-779.70099999999991"/>
    <n v="3234.2088000000003"/>
    <n v="9484.8119999999999"/>
    <m/>
    <m/>
    <m/>
    <m/>
    <m/>
    <m/>
    <n v="154.2816"/>
    <n v="20169.206399999999"/>
    <n v="1.5547042058832308E-2"/>
    <n v="3.8920718268815975E-3"/>
    <n v="0.35784273594423627"/>
    <n v="0.63826519222888223"/>
    <n v="1"/>
    <n v="78.5"/>
    <n v="2363.64"/>
    <n v="5623.0789999999997"/>
    <n v="-778.89199999999994"/>
    <n v="3234.2088000000003"/>
    <n v="9484.8119999999999"/>
    <m/>
    <m/>
    <m/>
    <m/>
    <m/>
    <m/>
    <n v="154.2816"/>
    <n v="20159.629399999998"/>
    <n v="9.577000000001135"/>
    <n v="78.5"/>
    <n v="2366.0949999999998"/>
    <n v="5631.01"/>
    <n v="-779.70099999999991"/>
    <n v="3234.2021300000001"/>
    <n v="9484.7849500000011"/>
    <m/>
    <m/>
    <m/>
    <m/>
    <m/>
    <m/>
    <n v="154.28116"/>
    <n v="20169.17224"/>
    <n v="3.4159999999246793E-2"/>
  </r>
  <r>
    <s v="Nov"/>
    <n v="2010"/>
    <x v="4"/>
    <d v="2010-11-03T00:00:00"/>
    <d v="2010-12-07T00:00:00"/>
    <n v="399600"/>
    <n v="23303.85"/>
    <n v="710"/>
    <n v="789"/>
    <s v="---"/>
    <n v="11752.94"/>
    <n v="685.41"/>
    <n v="5.8299999999999998E-2"/>
    <n v="62.07"/>
    <n v="34"/>
    <n v="1.1333333333333333"/>
    <n v="88.966666666666669"/>
    <n v="2681.574333333333"/>
    <n v="6381.8113333333331"/>
    <n v="-883.66113333333317"/>
    <n v="4035.5416"/>
    <n v="10809.18"/>
    <m/>
    <m/>
    <m/>
    <m/>
    <m/>
    <m/>
    <n v="175.82400000000001"/>
    <n v="23289.236799999999"/>
    <n v="6.2707235070598975E-4"/>
    <n v="3.8200765199255765E-3"/>
    <n v="0.35122338286900551"/>
    <n v="0.644956540611069"/>
    <n v="1"/>
    <n v="88.966666666666669"/>
    <n v="2678.7919999999999"/>
    <n v="6372.8228666666664"/>
    <n v="-882.74426666666659"/>
    <n v="4035.5416"/>
    <n v="10809.18"/>
    <m/>
    <m/>
    <m/>
    <m/>
    <m/>
    <m/>
    <n v="175.82400000000001"/>
    <n v="23278.382866666667"/>
    <n v="10.853933333331952"/>
    <n v="88.966666666666669"/>
    <n v="2681.574333333333"/>
    <n v="6381.8113333333331"/>
    <n v="-883.66113333333317"/>
    <n v="4035.5340406666669"/>
    <n v="10809.15295"/>
    <m/>
    <m/>
    <m/>
    <m/>
    <m/>
    <m/>
    <n v="175.82356000000001"/>
    <n v="23289.201750666667"/>
    <n v="3.5049333331699017E-2"/>
  </r>
  <r>
    <s v="Oct"/>
    <n v="2010"/>
    <x v="4"/>
    <d v="2010-10-05T00:00:00"/>
    <d v="2010-11-03T00:00:00"/>
    <n v="380880"/>
    <n v="21416.39"/>
    <n v="730"/>
    <n v="789"/>
    <s v="---"/>
    <n v="13133.79"/>
    <n v="738.5"/>
    <n v="5.62E-2"/>
    <n v="69.36"/>
    <n v="29"/>
    <n v="0.96666666666666667"/>
    <n v="75.88333333333334"/>
    <n v="2287.2251666666666"/>
    <n v="5596.6423333333332"/>
    <n v="-753.71096666666654"/>
    <n v="3321.3792800000001"/>
    <n v="10302.804"/>
    <m/>
    <m/>
    <m/>
    <m/>
    <m/>
    <m/>
    <n v="167.5872"/>
    <n v="20997.810346666669"/>
    <n v="1.9544827738630578E-2"/>
    <n v="3.613868878731899E-3"/>
    <n v="0.33956666983923023"/>
    <n v="0.65681946128203783"/>
    <n v="1"/>
    <n v="75.88333333333334"/>
    <n v="2284.8519999999999"/>
    <n v="5588.9757"/>
    <n v="-752.92893333333325"/>
    <n v="3321.3792800000001"/>
    <n v="10302.804"/>
    <m/>
    <m/>
    <m/>
    <m/>
    <m/>
    <m/>
    <n v="167.5872"/>
    <n v="20988.552580000003"/>
    <n v="9.2577666666657024"/>
    <n v="75.88333333333334"/>
    <n v="2287.2251666666666"/>
    <n v="5596.6423333333332"/>
    <n v="-753.71096666666654"/>
    <n v="3321.3728323333335"/>
    <n v="10302.776950000001"/>
    <m/>
    <m/>
    <m/>
    <m/>
    <m/>
    <m/>
    <n v="167.58676"/>
    <n v="20997.776408999998"/>
    <n v="3.393766667068121E-2"/>
  </r>
  <r>
    <s v="Sep"/>
    <n v="2010"/>
    <x v="4"/>
    <d v="2010-09-08T00:00:00"/>
    <d v="2010-10-05T00:00:00"/>
    <n v="380880"/>
    <n v="21042.02"/>
    <n v="756"/>
    <n v="789"/>
    <s v="---"/>
    <n v="14106.67"/>
    <n v="779.33"/>
    <n v="5.5199999999999999E-2"/>
    <n v="74.5"/>
    <n v="27"/>
    <n v="0.9"/>
    <n v="70.650000000000006"/>
    <n v="2129.4854999999998"/>
    <n v="5396.2524000000003"/>
    <n v="-701.73089999999991"/>
    <n v="3092.31864"/>
    <n v="10302.804"/>
    <m/>
    <m/>
    <m/>
    <m/>
    <m/>
    <m/>
    <n v="167.5872"/>
    <n v="20457.366840000002"/>
    <n v="2.7785030144444212E-2"/>
    <n v="3.4535236402887907E-3"/>
    <n v="0.33357210893129779"/>
    <n v="0.66297436742841331"/>
    <n v="0.99999999999999989"/>
    <n v="70.650000000000006"/>
    <n v="2127.2759999999998"/>
    <n v="5389.1144999999997"/>
    <n v="-701.00279999999998"/>
    <n v="3092.31864"/>
    <n v="10302.804"/>
    <m/>
    <m/>
    <m/>
    <m/>
    <m/>
    <m/>
    <n v="167.5872"/>
    <n v="20448.74754"/>
    <n v="8.6193000000021129"/>
    <n v="70.650000000000006"/>
    <n v="2129.4854999999998"/>
    <n v="5396.2524000000003"/>
    <n v="-701.73089999999991"/>
    <n v="3092.3126370000004"/>
    <n v="10302.776950000001"/>
    <m/>
    <m/>
    <m/>
    <m/>
    <m/>
    <m/>
    <n v="167.58676"/>
    <n v="20457.333347"/>
    <n v="3.3493000002636109E-2"/>
  </r>
  <r>
    <s v="Aug"/>
    <n v="2010"/>
    <x v="4"/>
    <d v="2010-08-09T00:00:00"/>
    <d v="2010-09-08T00:00:00"/>
    <n v="478800"/>
    <n v="25406.55"/>
    <n v="770"/>
    <n v="789"/>
    <s v="---"/>
    <n v="15960"/>
    <n v="846.88"/>
    <n v="5.3100000000000001E-2"/>
    <n v="84.28"/>
    <n v="30"/>
    <n v="1"/>
    <n v="78.5"/>
    <n v="2366.0949999999998"/>
    <n v="6106.87"/>
    <n v="-779.70099999999991"/>
    <n v="4089.0360000000001"/>
    <n v="12951.54"/>
    <m/>
    <m/>
    <m/>
    <m/>
    <m/>
    <m/>
    <n v="210.672"/>
    <n v="25023.011999999999"/>
    <n v="1.5096028386380696E-2"/>
    <n v="3.1371123508233145E-3"/>
    <n v="0.30744756066935508"/>
    <n v="0.68941532697982166"/>
    <n v="1"/>
    <n v="78.5"/>
    <n v="2363.64"/>
    <n v="6098.9390000000003"/>
    <n v="-778.89199999999994"/>
    <n v="4089.0360000000001"/>
    <n v="12951.54"/>
    <m/>
    <m/>
    <m/>
    <m/>
    <m/>
    <m/>
    <n v="210.672"/>
    <n v="25013.434999999998"/>
    <n v="9.577000000001135"/>
    <n v="78.5"/>
    <n v="2366.0949999999998"/>
    <n v="6106.87"/>
    <n v="-779.70099999999991"/>
    <n v="4089.0293300000003"/>
    <n v="12951.51295"/>
    <m/>
    <m/>
    <m/>
    <m/>
    <m/>
    <m/>
    <n v="210.67156"/>
    <n v="25022.97784"/>
    <n v="3.4159999999246793E-2"/>
  </r>
  <r>
    <s v="Jul"/>
    <n v="2010"/>
    <x v="4"/>
    <d v="2010-07-08T00:00:00"/>
    <d v="2010-08-09T00:00:00"/>
    <n v="523440"/>
    <n v="27700.66"/>
    <n v="787"/>
    <n v="794"/>
    <s v="---"/>
    <n v="16357.5"/>
    <n v="865.65"/>
    <n v="5.2900000000000003E-2"/>
    <n v="85.84"/>
    <n v="32"/>
    <n v="1.0666666666666667"/>
    <n v="83.733333333333334"/>
    <n v="2536.9279999999999"/>
    <n v="6657.8101333333334"/>
    <n v="-835.99573333333331"/>
    <n v="4679.2371200000007"/>
    <n v="14159.052000000001"/>
    <m/>
    <m/>
    <m/>
    <m/>
    <m/>
    <m/>
    <n v="230.31360000000001"/>
    <n v="27511.078453333335"/>
    <n v="6.8439360891280028E-3"/>
    <n v="3.043622352913901E-3"/>
    <n v="0.30383186955679758"/>
    <n v="0.69312450809028847"/>
    <n v="1"/>
    <n v="83.733333333333334"/>
    <n v="2534.3093333333331"/>
    <n v="6649.3503999999994"/>
    <n v="-835.13279999999986"/>
    <n v="4679.2371200000007"/>
    <n v="14159.052000000001"/>
    <m/>
    <m/>
    <m/>
    <m/>
    <m/>
    <m/>
    <n v="230.31360000000001"/>
    <n v="27500.862986666667"/>
    <n v="10.215466666668362"/>
    <n v="83.733333333333334"/>
    <n v="2536.9279999999999"/>
    <n v="6657.8101333333334"/>
    <n v="-835.99573333333331"/>
    <n v="4679.2300053333329"/>
    <n v="14159.024950000001"/>
    <m/>
    <m/>
    <m/>
    <m/>
    <m/>
    <m/>
    <n v="230.31316000000001"/>
    <n v="27511.043848666668"/>
    <n v="3.4604666667291895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0">
  <r>
    <x v="0"/>
    <s v="Q4"/>
    <x v="0"/>
    <s v="Jun"/>
    <n v="2015"/>
    <d v="2015-06-05T00:00:00"/>
    <d v="2015-07-07T00:00:00"/>
    <n v="447120"/>
    <n v="26858.23"/>
    <n v="754"/>
    <n v="754.3"/>
    <s v="---"/>
    <n v="13972.5"/>
    <n v="839.32"/>
    <n v="6.0100000000000001E-2"/>
    <n v="77.180000000000007"/>
    <n v="32"/>
  </r>
  <r>
    <x v="0"/>
    <s v="Q4"/>
    <x v="0"/>
    <s v="May"/>
    <n v="2015"/>
    <d v="2015-05-06T00:00:00"/>
    <d v="2015-06-05T00:00:00"/>
    <n v="379440"/>
    <n v="23165.94"/>
    <n v="696"/>
    <n v="751"/>
    <s v="---"/>
    <n v="12648"/>
    <n v="772.2"/>
    <n v="6.1100000000000002E-2"/>
    <n v="70.17"/>
    <n v="30"/>
  </r>
  <r>
    <x v="0"/>
    <s v="Q4"/>
    <x v="0"/>
    <s v="Apr"/>
    <n v="2015"/>
    <d v="2015-04-07T00:00:00"/>
    <d v="2015-05-06T00:00:00"/>
    <n v="342000"/>
    <n v="21347.99"/>
    <n v="675"/>
    <n v="751"/>
    <s v="---"/>
    <n v="11793.1"/>
    <n v="736.14"/>
    <n v="6.2399999999999997E-2"/>
    <n v="65.430000000000007"/>
    <n v="29"/>
  </r>
  <r>
    <x v="0"/>
    <s v="Q3"/>
    <x v="0"/>
    <s v="Mar"/>
    <n v="2015"/>
    <d v="2015-03-05T00:00:00"/>
    <d v="2015-04-07T00:00:00"/>
    <n v="376560"/>
    <n v="23885.16"/>
    <n v="675"/>
    <n v="751"/>
    <s v="---"/>
    <n v="11410.91"/>
    <n v="723.79"/>
    <n v="6.3399999999999998E-2"/>
    <n v="63.31"/>
    <n v="33"/>
  </r>
  <r>
    <x v="0"/>
    <s v="Q3"/>
    <x v="0"/>
    <s v="Feb"/>
    <n v="2015"/>
    <d v="2015-02-04T00:00:00"/>
    <d v="2015-03-05T00:00:00"/>
    <n v="319680"/>
    <n v="20627.060000000001"/>
    <n v="675"/>
    <n v="751"/>
    <s v="---"/>
    <n v="11023.45"/>
    <n v="711.28"/>
    <n v="6.4500000000000002E-2"/>
    <n v="61.16"/>
    <n v="29"/>
  </r>
  <r>
    <x v="0"/>
    <s v="Q3"/>
    <x v="0"/>
    <s v="Jan"/>
    <n v="2015"/>
    <d v="2015-01-06T00:00:00"/>
    <d v="2015-02-04T00:00:00"/>
    <n v="330480"/>
    <n v="20975.9"/>
    <n v="675"/>
    <n v="751"/>
    <s v="---"/>
    <n v="11395.86"/>
    <n v="723.31"/>
    <n v="6.3500000000000001E-2"/>
    <n v="63.23"/>
    <n v="29"/>
  </r>
  <r>
    <x v="0"/>
    <s v="Q2"/>
    <x v="0"/>
    <s v="Dec"/>
    <n v="2014"/>
    <d v="2014-12-04T00:00:00"/>
    <d v="2015-01-06T00:00:00"/>
    <n v="391680"/>
    <n v="24415.200000000001"/>
    <n v="675"/>
    <n v="751"/>
    <s v="---"/>
    <n v="11869.09"/>
    <n v="739.85"/>
    <n v="6.2300000000000001E-2"/>
    <n v="65.849999999999994"/>
    <n v="33"/>
  </r>
  <r>
    <x v="0"/>
    <s v="Q2"/>
    <x v="0"/>
    <s v="Nov"/>
    <n v="2014"/>
    <d v="2014-11-01T00:00:00"/>
    <d v="2014-12-04T00:00:00"/>
    <n v="401040"/>
    <n v="24728"/>
    <n v="675"/>
    <n v="751"/>
    <s v="---"/>
    <n v="12152.73"/>
    <n v="749.33"/>
    <n v="6.1699999999999998E-2"/>
    <n v="67.430000000000007"/>
    <n v="33"/>
  </r>
  <r>
    <x v="0"/>
    <s v="Q2"/>
    <x v="0"/>
    <s v="Oct"/>
    <n v="2014"/>
    <d v="2014-10-03T00:00:00"/>
    <d v="2014-11-01T00:00:00"/>
    <n v="375120"/>
    <n v="22979.81"/>
    <n v="719"/>
    <n v="751"/>
    <s v="---"/>
    <n v="12935.17"/>
    <n v="792.41"/>
    <n v="6.13E-2"/>
    <n v="71.77"/>
    <n v="29"/>
  </r>
  <r>
    <x v="0"/>
    <s v="Q1"/>
    <x v="0"/>
    <s v="Sep"/>
    <n v="2014"/>
    <d v="2014-09-04T00:00:00"/>
    <d v="2014-10-03T00:00:00"/>
    <n v="409680"/>
    <n v="24322.25"/>
    <n v="738"/>
    <n v="751"/>
    <s v="---"/>
    <n v="14126.9"/>
    <n v="838.7"/>
    <n v="5.9400000000000001E-2"/>
    <n v="78.38"/>
    <n v="29"/>
  </r>
  <r>
    <x v="0"/>
    <s v="Q1"/>
    <x v="0"/>
    <s v="Aug"/>
    <n v="2014"/>
    <d v="2014-08-05T00:00:00"/>
    <d v="2014-09-04T00:00:00"/>
    <n v="439920"/>
    <n v="25719.69"/>
    <n v="741"/>
    <n v="751"/>
    <s v="---"/>
    <n v="14664"/>
    <n v="857.32"/>
    <n v="5.8500000000000003E-2"/>
    <n v="81.36"/>
    <n v="30"/>
  </r>
  <r>
    <x v="0"/>
    <s v="Q1"/>
    <x v="0"/>
    <s v="Jul"/>
    <n v="2014"/>
    <d v="2014-07-07T00:00:00"/>
    <d v="2014-08-05T00:00:00"/>
    <n v="420480"/>
    <n v="24898.51"/>
    <n v="730"/>
    <n v="755"/>
    <s v="---"/>
    <n v="14499.31"/>
    <n v="858.57"/>
    <n v="5.9200000000000003E-2"/>
    <n v="80.02"/>
    <n v="29"/>
  </r>
  <r>
    <x v="1"/>
    <s v="Q4"/>
    <x v="0"/>
    <s v="Jun"/>
    <n v="2014"/>
    <d v="2014-06-05T00:00:00"/>
    <d v="2014-07-07T00:00:00"/>
    <n v="475200"/>
    <n v="28189.55"/>
    <n v="751"/>
    <n v="755"/>
    <s v="---"/>
    <n v="14850"/>
    <n v="880.92"/>
    <n v="5.9299999999999999E-2"/>
    <n v="81.95"/>
    <n v="32"/>
  </r>
  <r>
    <x v="1"/>
    <s v="Q4"/>
    <x v="0"/>
    <s v="May"/>
    <n v="2014"/>
    <d v="2014-05-06T00:00:00"/>
    <d v="2014-06-05T00:00:00"/>
    <n v="432000"/>
    <n v="25512.66"/>
    <n v="712"/>
    <n v="755"/>
    <s v="---"/>
    <n v="14400"/>
    <n v="850.42"/>
    <n v="5.91E-2"/>
    <n v="79.47"/>
    <n v="30"/>
  </r>
  <r>
    <x v="1"/>
    <s v="Q4"/>
    <x v="0"/>
    <s v="Apr"/>
    <n v="2014"/>
    <d v="2014-04-04T00:00:00"/>
    <d v="2014-05-06T00:00:00"/>
    <n v="385200"/>
    <n v="24233.37"/>
    <n v="679"/>
    <n v="755"/>
    <s v="---"/>
    <n v="12037.5"/>
    <n v="757.29"/>
    <n v="6.2899999999999998E-2"/>
    <n v="66.430000000000007"/>
    <n v="32"/>
  </r>
  <r>
    <x v="1"/>
    <s v="Q3"/>
    <x v="0"/>
    <s v="Mar"/>
    <n v="2014"/>
    <d v="2014-03-05T00:00:00"/>
    <d v="2014-04-04T00:00:00"/>
    <n v="341280"/>
    <n v="22044.68"/>
    <n v="679"/>
    <n v="755"/>
    <s v="---"/>
    <n v="11376"/>
    <n v="734.82"/>
    <n v="6.4600000000000005E-2"/>
    <n v="62.78"/>
    <n v="30"/>
  </r>
  <r>
    <x v="1"/>
    <s v="Q3"/>
    <x v="0"/>
    <s v="Feb"/>
    <n v="2014"/>
    <d v="2014-02-04T00:00:00"/>
    <d v="2014-03-05T00:00:00"/>
    <n v="339840"/>
    <n v="21647.35"/>
    <n v="679"/>
    <n v="755"/>
    <s v="---"/>
    <n v="11718.62"/>
    <n v="746.46"/>
    <n v="6.3700000000000007E-2"/>
    <n v="64.67"/>
    <n v="29"/>
  </r>
  <r>
    <x v="1"/>
    <s v="Q3"/>
    <x v="0"/>
    <s v="Jan"/>
    <n v="2014"/>
    <d v="2014-01-06T00:00:00"/>
    <d v="2014-02-04T00:00:00"/>
    <n v="343440"/>
    <n v="21769.64"/>
    <n v="679"/>
    <n v="755"/>
    <s v="---"/>
    <n v="11842.76"/>
    <n v="750.68"/>
    <n v="6.3399999999999998E-2"/>
    <n v="65.36"/>
    <n v="29"/>
  </r>
  <r>
    <x v="1"/>
    <s v="Q2"/>
    <x v="0"/>
    <s v="Dec"/>
    <n v="2013"/>
    <d v="2013-12-04T00:00:00"/>
    <d v="2014-01-06T00:00:00"/>
    <n v="406800"/>
    <n v="25262.26"/>
    <n v="679"/>
    <n v="755"/>
    <s v="---"/>
    <n v="12327.27"/>
    <n v="765.52"/>
    <n v="6.2100000000000002E-2"/>
    <n v="68.03"/>
    <n v="33"/>
  </r>
  <r>
    <x v="1"/>
    <s v="Q2"/>
    <x v="0"/>
    <s v="Nov"/>
    <n v="2013"/>
    <d v="2013-11-01T00:00:00"/>
    <d v="2013-12-04T00:00:00"/>
    <n v="423360"/>
    <n v="25810.31"/>
    <n v="679"/>
    <n v="755"/>
    <s v="---"/>
    <n v="12829.09"/>
    <n v="782.13"/>
    <n v="6.0999999999999999E-2"/>
    <n v="70.8"/>
    <n v="33"/>
  </r>
  <r>
    <x v="1"/>
    <s v="Q2"/>
    <x v="0"/>
    <s v="Oct"/>
    <n v="2013"/>
    <d v="2013-10-03T00:00:00"/>
    <d v="2013-11-01T00:00:00"/>
    <n v="397440"/>
    <n v="23981.69"/>
    <n v="718"/>
    <n v="755"/>
    <s v="---"/>
    <n v="13704.83"/>
    <n v="826.95"/>
    <n v="6.0299999999999999E-2"/>
    <n v="75.63"/>
    <n v="29"/>
  </r>
  <r>
    <x v="1"/>
    <s v="Q1"/>
    <x v="0"/>
    <s v="Sep"/>
    <n v="2013"/>
    <d v="2013-09-03T00:00:00"/>
    <d v="2013-10-03T00:00:00"/>
    <n v="390240"/>
    <n v="23645.41"/>
    <n v="679"/>
    <n v="755"/>
    <s v="---"/>
    <n v="13008"/>
    <n v="788.18"/>
    <n v="6.0600000000000001E-2"/>
    <n v="71.790000000000006"/>
    <n v="30"/>
  </r>
  <r>
    <x v="1"/>
    <s v="Q1"/>
    <x v="0"/>
    <s v="Aug"/>
    <n v="2013"/>
    <d v="2013-08-05T00:00:00"/>
    <d v="2013-09-03T00:00:00"/>
    <n v="396720"/>
    <n v="24375.96"/>
    <n v="755"/>
    <n v="755.6"/>
    <s v="---"/>
    <n v="13680"/>
    <n v="840.55"/>
    <n v="6.1400000000000003E-2"/>
    <n v="75.44"/>
    <n v="29"/>
  </r>
  <r>
    <x v="1"/>
    <s v="Q1"/>
    <x v="0"/>
    <s v="Jul"/>
    <n v="2013"/>
    <d v="2013-07-05T00:00:00"/>
    <d v="2013-08-05T00:00:00"/>
    <n v="444960"/>
    <n v="25864.240000000002"/>
    <n v="688"/>
    <n v="703"/>
    <s v="---"/>
    <n v="14353.55"/>
    <n v="834.33"/>
    <n v="5.8099999999999999E-2"/>
    <n v="85.07"/>
    <n v="31"/>
  </r>
  <r>
    <x v="2"/>
    <s v="Q4"/>
    <x v="0"/>
    <s v="Jun"/>
    <n v="2013"/>
    <d v="2013-06-05T00:00:00"/>
    <d v="2013-07-05T00:00:00"/>
    <n v="417600"/>
    <n v="25781.62"/>
    <n v="703"/>
    <n v="705"/>
    <s v="---"/>
    <n v="13920"/>
    <n v="859.39"/>
    <n v="6.1699999999999998E-2"/>
    <n v="82.27"/>
    <n v="30"/>
  </r>
  <r>
    <x v="2"/>
    <s v="Q4"/>
    <x v="0"/>
    <s v="May"/>
    <n v="2013"/>
    <d v="2013-05-03T00:00:00"/>
    <d v="2013-06-05T00:00:00"/>
    <n v="433440"/>
    <n v="26752.6"/>
    <n v="634"/>
    <n v="705"/>
    <s v="---"/>
    <n v="13134.55"/>
    <n v="810.68"/>
    <n v="6.1699999999999998E-2"/>
    <n v="77.63"/>
    <n v="33"/>
  </r>
  <r>
    <x v="2"/>
    <s v="Q4"/>
    <x v="0"/>
    <s v="Apr"/>
    <n v="2013"/>
    <d v="2013-04-05T00:00:00"/>
    <d v="2013-05-03T00:00:00"/>
    <n v="345600"/>
    <n v="21873.439999999999"/>
    <n v="634"/>
    <n v="705"/>
    <s v="---"/>
    <n v="12342.86"/>
    <n v="781.19"/>
    <n v="6.3299999999999995E-2"/>
    <n v="72.95"/>
    <n v="28"/>
  </r>
  <r>
    <x v="2"/>
    <s v="Q3"/>
    <x v="0"/>
    <s v="Mar"/>
    <n v="2013"/>
    <d v="2013-03-06T00:00:00"/>
    <d v="2013-04-05T00:00:00"/>
    <n v="357840"/>
    <n v="22972.23"/>
    <n v="634"/>
    <n v="705"/>
    <s v="---"/>
    <n v="11928"/>
    <n v="765.74"/>
    <n v="6.4199999999999993E-2"/>
    <n v="70.5"/>
    <n v="30"/>
  </r>
  <r>
    <x v="2"/>
    <s v="Q3"/>
    <x v="0"/>
    <s v="Feb"/>
    <n v="2013"/>
    <d v="2013-02-05T00:00:00"/>
    <d v="2013-03-06T00:00:00"/>
    <n v="358560"/>
    <n v="22677.66"/>
    <n v="634"/>
    <n v="705"/>
    <s v="---"/>
    <n v="12364.14"/>
    <n v="781.99"/>
    <n v="6.3200000000000006E-2"/>
    <n v="73.069999999999993"/>
    <n v="29"/>
  </r>
  <r>
    <x v="2"/>
    <s v="Q3"/>
    <x v="0"/>
    <s v="Jan"/>
    <n v="2013"/>
    <d v="2013-01-07T00:00:00"/>
    <d v="2013-02-05T00:00:00"/>
    <n v="358560"/>
    <n v="22677.66"/>
    <n v="634"/>
    <n v="705"/>
    <s v="---"/>
    <n v="12364.14"/>
    <n v="781.99"/>
    <n v="6.3200000000000006E-2"/>
    <n v="73.069999999999993"/>
    <n v="29"/>
  </r>
  <r>
    <x v="2"/>
    <s v="Q2"/>
    <x v="0"/>
    <s v="Dec"/>
    <n v="2012"/>
    <d v="2012-12-05T00:00:00"/>
    <d v="2013-01-07T00:00:00"/>
    <n v="410400"/>
    <n v="25871.74"/>
    <n v="634"/>
    <n v="705"/>
    <s v="---"/>
    <n v="12436.36"/>
    <n v="783.99"/>
    <n v="6.3E-2"/>
    <n v="73.5"/>
    <n v="33"/>
  </r>
  <r>
    <x v="2"/>
    <s v="Q2"/>
    <x v="0"/>
    <s v="Nov"/>
    <n v="2012"/>
    <d v="2012-11-01T00:00:00"/>
    <d v="2012-12-05T00:00:00"/>
    <n v="404640"/>
    <n v="26779.57"/>
    <n v="634"/>
    <n v="705"/>
    <s v="---"/>
    <n v="11901.18"/>
    <n v="787.63"/>
    <n v="6.6199999999999995E-2"/>
    <n v="70.34"/>
    <n v="34"/>
  </r>
  <r>
    <x v="2"/>
    <s v="Q2"/>
    <x v="0"/>
    <s v="Oct"/>
    <n v="2012"/>
    <d v="2012-10-03T00:00:00"/>
    <d v="2012-11-01T00:00:00"/>
    <n v="356400"/>
    <n v="23260.27"/>
    <n v="634"/>
    <n v="705"/>
    <s v="---"/>
    <n v="12289.66"/>
    <n v="802.08"/>
    <n v="6.5299999999999997E-2"/>
    <n v="72.63"/>
    <n v="29"/>
  </r>
  <r>
    <x v="2"/>
    <s v="Q1"/>
    <x v="0"/>
    <s v="Sep"/>
    <n v="2012"/>
    <d v="2012-09-04T00:00:00"/>
    <d v="2012-10-03T00:00:00"/>
    <n v="393120"/>
    <n v="25231.02"/>
    <n v="689"/>
    <n v="705"/>
    <s v="---"/>
    <n v="13555.86"/>
    <n v="870.03"/>
    <n v="6.4199999999999993E-2"/>
    <n v="80.12"/>
    <n v="29"/>
  </r>
  <r>
    <x v="2"/>
    <s v="Q1"/>
    <x v="0"/>
    <s v="Aug"/>
    <n v="2012"/>
    <d v="2012-08-03T00:00:00"/>
    <d v="2012-09-04T00:00:00"/>
    <n v="462240"/>
    <n v="28187.19"/>
    <n v="689"/>
    <n v="732"/>
    <s v="---"/>
    <n v="14445"/>
    <n v="880.85"/>
    <n v="6.0999999999999999E-2"/>
    <n v="82.22"/>
    <n v="32"/>
  </r>
  <r>
    <x v="2"/>
    <s v="Q1"/>
    <x v="0"/>
    <s v="Jul"/>
    <n v="2012"/>
    <d v="2012-07-05T00:00:00"/>
    <d v="2012-08-03T00:00:00"/>
    <n v="419760"/>
    <n v="25762.13"/>
    <n v="705"/>
    <n v="738"/>
    <s v="---"/>
    <n v="14474.48"/>
    <n v="888.35"/>
    <n v="6.1400000000000003E-2"/>
    <n v="81.72"/>
    <n v="29"/>
  </r>
  <r>
    <x v="3"/>
    <s v="Q4"/>
    <x v="0"/>
    <s v="Jun"/>
    <n v="2012"/>
    <d v="2012-06-05T00:00:00"/>
    <d v="2012-07-05T00:00:00"/>
    <n v="416160"/>
    <n v="26650.86"/>
    <n v="692"/>
    <n v="762"/>
    <s v="---"/>
    <n v="13872"/>
    <n v="888.36"/>
    <n v="6.4000000000000001E-2"/>
    <n v="75.849999999999994"/>
    <n v="30"/>
  </r>
  <r>
    <x v="3"/>
    <s v="Q4"/>
    <x v="0"/>
    <s v="May"/>
    <n v="2012"/>
    <d v="2012-05-04T00:00:00"/>
    <d v="2012-06-05T00:00:00"/>
    <n v="431280"/>
    <n v="27999"/>
    <n v="685"/>
    <n v="762"/>
    <s v="---"/>
    <n v="13477.5"/>
    <n v="874.97"/>
    <n v="6.4899999999999999E-2"/>
    <n v="73.7"/>
    <n v="32"/>
  </r>
  <r>
    <x v="3"/>
    <s v="Q4"/>
    <x v="0"/>
    <s v="Apr"/>
    <n v="2012"/>
    <d v="2012-04-04T00:00:00"/>
    <d v="2012-05-04T00:00:00"/>
    <n v="402480"/>
    <n v="26173.52"/>
    <n v="685"/>
    <n v="762"/>
    <s v="---"/>
    <n v="13416"/>
    <n v="872.45"/>
    <n v="6.5000000000000002E-2"/>
    <n v="73.36"/>
    <n v="30"/>
  </r>
  <r>
    <x v="3"/>
    <s v="Q3"/>
    <x v="0"/>
    <s v="Mar"/>
    <n v="2012"/>
    <d v="2012-03-06T00:00:00"/>
    <d v="2012-04-04T00:00:00"/>
    <n v="399600"/>
    <n v="25864.16"/>
    <n v="698"/>
    <n v="762"/>
    <s v="---"/>
    <n v="13779.31"/>
    <n v="891.87"/>
    <n v="6.4699999999999994E-2"/>
    <n v="75.349999999999994"/>
    <n v="29"/>
  </r>
  <r>
    <x v="3"/>
    <s v="Q3"/>
    <x v="0"/>
    <s v="Feb"/>
    <n v="2012"/>
    <d v="2012-02-06T00:00:00"/>
    <d v="2012-03-06T00:00:00"/>
    <n v="380160"/>
    <n v="24936.44"/>
    <n v="685"/>
    <n v="762"/>
    <s v="---"/>
    <n v="13108.97"/>
    <n v="859.88"/>
    <n v="6.5600000000000006E-2"/>
    <n v="71.680000000000007"/>
    <n v="29"/>
  </r>
  <r>
    <x v="3"/>
    <s v="Q3"/>
    <x v="0"/>
    <s v="Jan"/>
    <n v="2012"/>
    <d v="2012-01-05T00:00:00"/>
    <d v="2012-02-06T00:00:00"/>
    <n v="400320"/>
    <n v="26909.97"/>
    <n v="701"/>
    <n v="762"/>
    <s v="---"/>
    <n v="12510"/>
    <n v="840.94"/>
    <n v="6.7199999999999996E-2"/>
    <n v="68.41"/>
    <n v="32"/>
  </r>
  <r>
    <x v="3"/>
    <s v="Q2"/>
    <x v="0"/>
    <s v="Dec"/>
    <n v="2011"/>
    <d v="2011-12-06T00:00:00"/>
    <d v="2012-01-05T00:00:00"/>
    <n v="390240"/>
    <n v="25523.22"/>
    <n v="685"/>
    <n v="762"/>
    <s v="---"/>
    <n v="13008"/>
    <n v="850.77"/>
    <n v="6.54E-2"/>
    <n v="71.13"/>
    <n v="30"/>
  </r>
  <r>
    <x v="3"/>
    <s v="Q2"/>
    <x v="0"/>
    <s v="Nov"/>
    <n v="2011"/>
    <d v="2011-11-02T00:00:00"/>
    <d v="2011-12-06T00:00:00"/>
    <n v="457200"/>
    <n v="29504.880000000001"/>
    <n v="685"/>
    <n v="762"/>
    <s v="---"/>
    <n v="13447.06"/>
    <n v="867.79"/>
    <n v="6.4500000000000002E-2"/>
    <n v="73.53"/>
    <n v="34"/>
  </r>
  <r>
    <x v="3"/>
    <s v="Q2"/>
    <x v="0"/>
    <s v="Oct"/>
    <n v="2011"/>
    <d v="2011-10-04T00:00:00"/>
    <d v="2011-11-02T00:00:00"/>
    <n v="406080"/>
    <n v="25826.97"/>
    <n v="685"/>
    <n v="762"/>
    <s v="---"/>
    <n v="14002.76"/>
    <n v="890.58"/>
    <n v="6.3600000000000004E-2"/>
    <n v="76.569999999999993"/>
    <n v="29"/>
  </r>
  <r>
    <x v="3"/>
    <s v="Q1"/>
    <x v="0"/>
    <s v="Sep"/>
    <n v="2011"/>
    <d v="2011-09-02T00:00:00"/>
    <d v="2011-10-04T00:00:00"/>
    <n v="469440"/>
    <n v="29884.68"/>
    <n v="732"/>
    <n v="762"/>
    <s v="---"/>
    <n v="14670"/>
    <n v="933.9"/>
    <n v="6.3700000000000007E-2"/>
    <n v="80.22"/>
    <n v="32"/>
  </r>
  <r>
    <x v="3"/>
    <s v="Q1"/>
    <x v="0"/>
    <s v="Aug"/>
    <n v="2011"/>
    <d v="2011-08-04T00:00:00"/>
    <d v="2011-09-02T00:00:00"/>
    <n v="448560"/>
    <n v="28090.82"/>
    <n v="738"/>
    <n v="762"/>
    <s v="---"/>
    <n v="15467.59"/>
    <n v="968.65"/>
    <n v="6.2600000000000003E-2"/>
    <n v="84.58"/>
    <n v="29"/>
  </r>
  <r>
    <x v="3"/>
    <s v="Q1"/>
    <x v="0"/>
    <s v="Jul"/>
    <n v="2011"/>
    <d v="2011-07-06T00:00:00"/>
    <d v="2011-08-04T00:00:00"/>
    <n v="442080"/>
    <n v="28073.78"/>
    <n v="762"/>
    <n v="770"/>
    <s v="---"/>
    <n v="15244.14"/>
    <n v="968.06"/>
    <n v="6.3500000000000001E-2"/>
    <n v="82.49"/>
    <n v="29"/>
  </r>
  <r>
    <x v="4"/>
    <s v="Q4"/>
    <x v="0"/>
    <s v="Jun"/>
    <n v="2011"/>
    <d v="2011-06-06T00:00:00"/>
    <d v="2011-07-06T00:00:00"/>
    <n v="414000"/>
    <n v="24664.54"/>
    <n v="727"/>
    <n v="787"/>
    <s v="---"/>
    <n v="13800"/>
    <n v="822.15"/>
    <n v="5.96E-2"/>
    <n v="73.06"/>
    <n v="30"/>
  </r>
  <r>
    <x v="4"/>
    <s v="Q4"/>
    <x v="0"/>
    <s v="May"/>
    <n v="2011"/>
    <d v="2011-05-05T00:00:00"/>
    <d v="2011-06-06T00:00:00"/>
    <n v="442800"/>
    <n v="25704.04"/>
    <n v="723"/>
    <n v="789"/>
    <s v="---"/>
    <n v="13837.5"/>
    <n v="803.25"/>
    <n v="5.8000000000000003E-2"/>
    <n v="73.08"/>
    <n v="32"/>
  </r>
  <r>
    <x v="4"/>
    <s v="Q4"/>
    <x v="0"/>
    <s v="Apr"/>
    <n v="2011"/>
    <d v="2011-04-05T00:00:00"/>
    <d v="2011-05-05T00:00:00"/>
    <n v="406800"/>
    <n v="23680.880000000001"/>
    <n v="710"/>
    <n v="789"/>
    <s v="---"/>
    <n v="13560"/>
    <n v="789.36"/>
    <n v="5.8200000000000002E-2"/>
    <n v="71.61"/>
    <n v="30"/>
  </r>
  <r>
    <x v="4"/>
    <s v="Q3"/>
    <x v="0"/>
    <s v="Mar"/>
    <n v="2011"/>
    <d v="2011-03-04T00:00:00"/>
    <d v="2011-04-05T00:00:00"/>
    <n v="414000"/>
    <n v="23404.15"/>
    <n v="710"/>
    <n v="789"/>
    <s v="---"/>
    <n v="12937.5"/>
    <n v="731.38"/>
    <n v="5.6500000000000002E-2"/>
    <n v="68.319999999999993"/>
    <n v="32"/>
  </r>
  <r>
    <x v="4"/>
    <s v="Q3"/>
    <x v="0"/>
    <s v="Feb"/>
    <n v="2011"/>
    <d v="2011-02-04T00:00:00"/>
    <d v="2011-03-04T00:00:00"/>
    <n v="329040"/>
    <n v="19153.75"/>
    <n v="710"/>
    <n v="789"/>
    <s v="---"/>
    <n v="11751.43"/>
    <n v="684.06"/>
    <n v="5.8200000000000002E-2"/>
    <n v="62.06"/>
    <n v="28"/>
  </r>
  <r>
    <x v="4"/>
    <s v="Q3"/>
    <x v="0"/>
    <s v="Jan"/>
    <n v="2011"/>
    <d v="2011-01-06T00:00:00"/>
    <d v="2011-02-04T00:00:00"/>
    <n v="327600"/>
    <n v="19387.21"/>
    <n v="710"/>
    <n v="789"/>
    <s v="---"/>
    <n v="11296.55"/>
    <n v="668.52"/>
    <n v="5.9200000000000003E-2"/>
    <n v="59.66"/>
    <n v="29"/>
  </r>
  <r>
    <x v="4"/>
    <s v="Q2"/>
    <x v="0"/>
    <s v="Dec"/>
    <n v="2010"/>
    <d v="2010-12-07T00:00:00"/>
    <d v="2011-01-06T00:00:00"/>
    <n v="350640"/>
    <n v="20487.73"/>
    <n v="710"/>
    <n v="789"/>
    <s v="---"/>
    <n v="11688"/>
    <n v="682.92"/>
    <n v="5.8400000000000001E-2"/>
    <n v="61.72"/>
    <n v="30"/>
  </r>
  <r>
    <x v="4"/>
    <s v="Q2"/>
    <x v="0"/>
    <s v="Nov"/>
    <n v="2010"/>
    <d v="2010-11-03T00:00:00"/>
    <d v="2010-12-07T00:00:00"/>
    <n v="399600"/>
    <n v="23303.85"/>
    <n v="710"/>
    <n v="789"/>
    <s v="---"/>
    <n v="11752.94"/>
    <n v="685.41"/>
    <n v="5.8299999999999998E-2"/>
    <n v="62.07"/>
    <n v="34"/>
  </r>
  <r>
    <x v="4"/>
    <s v="Q2"/>
    <x v="0"/>
    <s v="Oct"/>
    <n v="2010"/>
    <d v="2010-10-05T00:00:00"/>
    <d v="2010-11-03T00:00:00"/>
    <n v="380880"/>
    <n v="21416.39"/>
    <n v="730"/>
    <n v="789"/>
    <s v="---"/>
    <n v="13133.79"/>
    <n v="738.5"/>
    <n v="5.62E-2"/>
    <n v="69.36"/>
    <n v="29"/>
  </r>
  <r>
    <x v="4"/>
    <s v="Q1"/>
    <x v="0"/>
    <s v="Sep"/>
    <n v="2010"/>
    <d v="2010-09-08T00:00:00"/>
    <d v="2010-10-05T00:00:00"/>
    <n v="380880"/>
    <n v="21042.02"/>
    <n v="756"/>
    <n v="789"/>
    <s v="---"/>
    <n v="14106.67"/>
    <n v="779.33"/>
    <n v="5.5199999999999999E-2"/>
    <n v="74.5"/>
    <n v="27"/>
  </r>
  <r>
    <x v="4"/>
    <s v="Q1"/>
    <x v="0"/>
    <s v="Aug"/>
    <n v="2010"/>
    <d v="2010-08-09T00:00:00"/>
    <d v="2010-09-08T00:00:00"/>
    <n v="478800"/>
    <n v="25406.55"/>
    <n v="770"/>
    <n v="789"/>
    <s v="---"/>
    <n v="15960"/>
    <n v="846.88"/>
    <n v="5.3100000000000001E-2"/>
    <n v="84.28"/>
    <n v="30"/>
  </r>
  <r>
    <x v="4"/>
    <s v="Q1"/>
    <x v="0"/>
    <s v="Jul"/>
    <n v="2010"/>
    <d v="2010-07-08T00:00:00"/>
    <d v="2010-08-09T00:00:00"/>
    <n v="523440"/>
    <n v="27700.66"/>
    <n v="787"/>
    <n v="794"/>
    <s v="---"/>
    <n v="16357.5"/>
    <n v="865.65"/>
    <n v="5.2900000000000003E-2"/>
    <n v="85.84"/>
    <n v="32"/>
  </r>
  <r>
    <x v="0"/>
    <s v="Q4"/>
    <x v="1"/>
    <s v="June"/>
    <n v="2015"/>
    <d v="2015-06-09T00:00:00"/>
    <d v="2015-07-09T00:00:00"/>
    <n v="10000"/>
    <n v="6954"/>
    <m/>
    <m/>
    <m/>
    <n v="333.33333333333331"/>
    <n v="231.8"/>
    <n v="0.69540000000000002"/>
    <m/>
    <n v="30"/>
  </r>
  <r>
    <x v="0"/>
    <s v="Q4"/>
    <x v="1"/>
    <s v="May"/>
    <n v="2015"/>
    <d v="2015-05-08T00:00:00"/>
    <d v="2015-06-09T00:00:00"/>
    <n v="9885"/>
    <n v="6873.59"/>
    <m/>
    <m/>
    <s v="---"/>
    <n v="308.89"/>
    <n v="214.8"/>
    <n v="0.69540000000000002"/>
    <m/>
    <n v="32"/>
  </r>
  <r>
    <x v="0"/>
    <s v="Q4"/>
    <x v="1"/>
    <s v="Apr"/>
    <n v="2015"/>
    <d v="2015-04-09T00:00:00"/>
    <d v="2015-05-08T00:00:00"/>
    <n v="13349"/>
    <n v="9037.81"/>
    <m/>
    <m/>
    <s v="---"/>
    <n v="460.3"/>
    <n v="311.64999999999998"/>
    <n v="0.67710000000000004"/>
    <m/>
    <n v="29"/>
  </r>
  <r>
    <x v="0"/>
    <s v="Q3"/>
    <x v="1"/>
    <s v="Mar"/>
    <n v="2015"/>
    <d v="2015-03-12T00:00:00"/>
    <d v="2015-04-09T00:00:00"/>
    <n v="17119"/>
    <n v="11698.69"/>
    <m/>
    <m/>
    <s v="---"/>
    <n v="611.38"/>
    <n v="417.81"/>
    <n v="0.68340000000000001"/>
    <m/>
    <n v="28"/>
  </r>
  <r>
    <x v="0"/>
    <s v="Q3"/>
    <x v="1"/>
    <s v="Feb"/>
    <n v="2015"/>
    <d v="2015-02-09T00:00:00"/>
    <d v="2015-03-12T00:00:00"/>
    <n v="22920"/>
    <n v="16437.689999999999"/>
    <m/>
    <m/>
    <s v="---"/>
    <n v="739.35"/>
    <n v="530.25"/>
    <n v="0.71719999999999995"/>
    <m/>
    <n v="31"/>
  </r>
  <r>
    <x v="0"/>
    <s v="Q3"/>
    <x v="1"/>
    <s v="Jan"/>
    <n v="2015"/>
    <d v="2015-01-12T00:00:00"/>
    <d v="2015-02-09T00:00:00"/>
    <n v="6053"/>
    <n v="4364.8500000000004"/>
    <m/>
    <m/>
    <s v="---"/>
    <n v="216.19"/>
    <n v="155.88999999999999"/>
    <n v="0.72109999999999996"/>
    <m/>
    <n v="28"/>
  </r>
  <r>
    <x v="0"/>
    <s v="Q2"/>
    <x v="1"/>
    <s v="Dec"/>
    <n v="2014"/>
    <d v="2014-12-09T00:00:00"/>
    <d v="2015-01-12T00:00:00"/>
    <n v="10859"/>
    <n v="7872.24"/>
    <m/>
    <m/>
    <s v="---"/>
    <n v="319.37"/>
    <n v="231.54"/>
    <n v="0.72499999999999998"/>
    <m/>
    <n v="34"/>
  </r>
  <r>
    <x v="0"/>
    <s v="Q2"/>
    <x v="1"/>
    <s v="Nov"/>
    <n v="2014"/>
    <d v="2014-11-05T00:00:00"/>
    <d v="2014-12-09T00:00:00"/>
    <n v="10967"/>
    <n v="7956.67"/>
    <m/>
    <m/>
    <s v="---"/>
    <n v="322.56"/>
    <n v="234.02"/>
    <n v="0.72550000000000003"/>
    <m/>
    <n v="34"/>
  </r>
  <r>
    <x v="0"/>
    <s v="Q2"/>
    <x v="1"/>
    <s v="Oct"/>
    <n v="2014"/>
    <d v="2014-10-07T00:00:00"/>
    <d v="2014-11-05T00:00:00"/>
    <n v="14019"/>
    <n v="10214.86"/>
    <m/>
    <m/>
    <s v="---"/>
    <n v="483.42"/>
    <n v="352.24"/>
    <n v="0.72860000000000003"/>
    <m/>
    <n v="29"/>
  </r>
  <r>
    <x v="0"/>
    <s v="Q1"/>
    <x v="1"/>
    <s v="Sep"/>
    <n v="2014"/>
    <d v="2014-09-08T00:00:00"/>
    <d v="2014-10-07T00:00:00"/>
    <n v="8193"/>
    <n v="6559.81"/>
    <m/>
    <m/>
    <s v="---"/>
    <n v="282.51"/>
    <n v="226.2"/>
    <n v="0.80069999999999997"/>
    <m/>
    <n v="29"/>
  </r>
  <r>
    <x v="0"/>
    <s v="Q1"/>
    <x v="1"/>
    <s v="Aug"/>
    <n v="2014"/>
    <d v="2014-08-07T00:00:00"/>
    <d v="2014-09-08T00:00:00"/>
    <n v="7289"/>
    <n v="4616.04"/>
    <m/>
    <m/>
    <s v="---"/>
    <n v="227.77"/>
    <n v="144.25"/>
    <n v="0.63329999999999997"/>
    <m/>
    <n v="32"/>
  </r>
  <r>
    <x v="0"/>
    <s v="Q1"/>
    <x v="1"/>
    <s v="Jul"/>
    <n v="2014"/>
    <d v="2014-07-09T00:00:00"/>
    <d v="2014-08-07T00:00:00"/>
    <n v="7526"/>
    <n v="5495.18"/>
    <m/>
    <m/>
    <s v="---"/>
    <n v="259.5"/>
    <n v="189.49"/>
    <n v="0.73019999999999996"/>
    <m/>
    <n v="29"/>
  </r>
  <r>
    <x v="1"/>
    <s v="Q4"/>
    <x v="1"/>
    <s v="Jun"/>
    <n v="2014"/>
    <d v="2014-06-09T00:00:00"/>
    <d v="2014-07-09T00:00:00"/>
    <n v="10371"/>
    <n v="6938.72"/>
    <m/>
    <m/>
    <s v="---"/>
    <n v="345.69"/>
    <n v="231.29"/>
    <n v="0.66910000000000003"/>
    <m/>
    <n v="30"/>
  </r>
  <r>
    <x v="1"/>
    <s v="Q4"/>
    <x v="1"/>
    <s v="May"/>
    <n v="2014"/>
    <d v="2014-05-08T00:00:00"/>
    <d v="2014-06-09T00:00:00"/>
    <n v="14265"/>
    <n v="10302.68"/>
    <m/>
    <m/>
    <s v="---"/>
    <n v="445.78"/>
    <n v="321.95999999999998"/>
    <n v="0.72219999999999995"/>
    <m/>
    <n v="32"/>
  </r>
  <r>
    <x v="1"/>
    <s v="Q4"/>
    <x v="1"/>
    <s v="Apr"/>
    <n v="2014"/>
    <d v="2014-04-09T00:00:00"/>
    <d v="2014-05-08T00:00:00"/>
    <n v="16573"/>
    <n v="11489.22"/>
    <m/>
    <m/>
    <s v="---"/>
    <n v="571.47"/>
    <n v="396.18"/>
    <n v="0.69330000000000003"/>
    <m/>
    <n v="29"/>
  </r>
  <r>
    <x v="1"/>
    <s v="Q3"/>
    <x v="1"/>
    <s v="Mar"/>
    <n v="2014"/>
    <d v="2014-03-11T00:00:00"/>
    <d v="2014-04-09T00:00:00"/>
    <n v="20609"/>
    <n v="14059.5"/>
    <m/>
    <m/>
    <s v="---"/>
    <n v="710.64"/>
    <n v="484.81"/>
    <n v="0.68220000000000003"/>
    <m/>
    <n v="29"/>
  </r>
  <r>
    <x v="1"/>
    <s v="Q3"/>
    <x v="1"/>
    <s v="Feb"/>
    <n v="2014"/>
    <d v="2014-02-10T00:00:00"/>
    <d v="2014-03-11T00:00:00"/>
    <n v="23048"/>
    <n v="16710.87"/>
    <m/>
    <m/>
    <s v="---"/>
    <n v="794.75"/>
    <n v="576.24"/>
    <n v="0.72509999999999997"/>
    <m/>
    <n v="29"/>
  </r>
  <r>
    <x v="1"/>
    <s v="Q3"/>
    <x v="1"/>
    <s v="Jan"/>
    <n v="2014"/>
    <d v="2014-01-10T00:00:00"/>
    <d v="2014-02-10T00:00:00"/>
    <n v="24857"/>
    <n v="17898.830000000002"/>
    <m/>
    <m/>
    <s v="---"/>
    <n v="801.84"/>
    <n v="577.38"/>
    <n v="0.72009999999999996"/>
    <m/>
    <n v="31"/>
  </r>
  <r>
    <x v="1"/>
    <s v="Q2"/>
    <x v="1"/>
    <s v="Dec"/>
    <n v="2013"/>
    <d v="2013-12-09T00:00:00"/>
    <d v="2014-01-10T00:00:00"/>
    <n v="23817"/>
    <n v="17296.509999999998"/>
    <m/>
    <m/>
    <s v="---"/>
    <n v="744.28"/>
    <n v="540.52"/>
    <n v="0.72619999999999996"/>
    <m/>
    <n v="32"/>
  </r>
  <r>
    <x v="1"/>
    <s v="Q2"/>
    <x v="1"/>
    <s v="Nov"/>
    <n v="2013"/>
    <d v="2013-11-05T00:00:00"/>
    <d v="2013-12-09T00:00:00"/>
    <n v="23630"/>
    <n v="16738.77"/>
    <m/>
    <m/>
    <s v="---"/>
    <n v="695.01"/>
    <n v="492.32"/>
    <n v="0.70840000000000003"/>
    <m/>
    <n v="34"/>
  </r>
  <r>
    <x v="1"/>
    <s v="Q2"/>
    <x v="1"/>
    <s v="Oct"/>
    <n v="2013"/>
    <d v="2013-10-07T00:00:00"/>
    <d v="2013-11-05T00:00:00"/>
    <n v="12038"/>
    <n v="8911.66"/>
    <m/>
    <m/>
    <s v="---"/>
    <n v="415.11"/>
    <n v="307.3"/>
    <n v="0.74029999999999996"/>
    <m/>
    <n v="29"/>
  </r>
  <r>
    <x v="1"/>
    <s v="Q1"/>
    <x v="1"/>
    <s v="Sep"/>
    <n v="2013"/>
    <d v="2013-09-06T00:00:00"/>
    <d v="2013-10-07T00:00:00"/>
    <n v="9216"/>
    <n v="7002.64"/>
    <m/>
    <m/>
    <s v="---"/>
    <n v="297.29000000000002"/>
    <n v="225.89"/>
    <n v="0.75980000000000003"/>
    <m/>
    <n v="31"/>
  </r>
  <r>
    <x v="1"/>
    <s v="Q1"/>
    <x v="1"/>
    <s v="Aug"/>
    <n v="2013"/>
    <d v="2013-08-07T00:00:00"/>
    <d v="2013-09-06T00:00:00"/>
    <n v="6944"/>
    <n v="4538.95"/>
    <m/>
    <m/>
    <s v="---"/>
    <n v="231.45"/>
    <n v="151.30000000000001"/>
    <n v="0.65369999999999995"/>
    <m/>
    <n v="30"/>
  </r>
  <r>
    <x v="1"/>
    <s v="Q1"/>
    <x v="1"/>
    <s v="Jul"/>
    <n v="2013"/>
    <d v="2013-07-09T00:00:00"/>
    <d v="2013-08-07T00:00:00"/>
    <n v="6579"/>
    <n v="5502.99"/>
    <m/>
    <m/>
    <s v="---"/>
    <n v="226.86"/>
    <n v="189.76"/>
    <n v="0.83640000000000003"/>
    <m/>
    <n v="29"/>
  </r>
  <r>
    <x v="2"/>
    <s v="Q4"/>
    <x v="1"/>
    <s v="Jun"/>
    <n v="2013"/>
    <d v="2013-06-07T00:00:00"/>
    <d v="2013-07-09T00:00:00"/>
    <n v="8294"/>
    <n v="6093.49"/>
    <m/>
    <m/>
    <s v="---"/>
    <n v="259.18"/>
    <n v="190.42"/>
    <n v="0.73470000000000002"/>
    <m/>
    <n v="32"/>
  </r>
  <r>
    <x v="2"/>
    <s v="Q4"/>
    <x v="1"/>
    <s v="May"/>
    <n v="2013"/>
    <d v="2013-05-08T00:00:00"/>
    <d v="2013-06-07T00:00:00"/>
    <n v="11477"/>
    <n v="8398.2000000000007"/>
    <m/>
    <m/>
    <s v="---"/>
    <n v="382.57"/>
    <n v="279.94"/>
    <n v="0.73170000000000002"/>
    <m/>
    <n v="30"/>
  </r>
  <r>
    <x v="2"/>
    <s v="Q4"/>
    <x v="1"/>
    <s v="Apr"/>
    <n v="2013"/>
    <d v="2013-04-09T00:00:00"/>
    <d v="2013-05-08T00:00:00"/>
    <n v="15079"/>
    <n v="11006.13"/>
    <m/>
    <m/>
    <s v="---"/>
    <n v="519.97"/>
    <n v="379.52"/>
    <n v="0.72989999999999999"/>
    <m/>
    <n v="29"/>
  </r>
  <r>
    <x v="2"/>
    <s v="Q3"/>
    <x v="1"/>
    <s v="Mar"/>
    <n v="2013"/>
    <d v="2013-03-12T00:00:00"/>
    <d v="2013-04-09T00:00:00"/>
    <n v="19441"/>
    <n v="14144.49"/>
    <m/>
    <m/>
    <s v="---"/>
    <n v="694.31"/>
    <n v="505.16"/>
    <n v="0.72760000000000002"/>
    <m/>
    <n v="28"/>
  </r>
  <r>
    <x v="2"/>
    <s v="Q3"/>
    <x v="1"/>
    <s v="Feb"/>
    <n v="2013"/>
    <d v="2013-02-08T00:00:00"/>
    <d v="2013-03-12T00:00:00"/>
    <n v="22436"/>
    <n v="16303.36"/>
    <m/>
    <m/>
    <s v="---"/>
    <n v="701.13"/>
    <n v="509.48"/>
    <n v="0.72670000000000001"/>
    <m/>
    <n v="32"/>
  </r>
  <r>
    <x v="2"/>
    <s v="Q3"/>
    <x v="1"/>
    <s v="Jan"/>
    <n v="2013"/>
    <d v="2013-01-09T00:00:00"/>
    <d v="2013-02-08T00:00:00"/>
    <n v="21534"/>
    <n v="15651.42"/>
    <m/>
    <m/>
    <s v="---"/>
    <n v="717.8"/>
    <n v="521.71"/>
    <n v="0.7268"/>
    <m/>
    <n v="30"/>
  </r>
  <r>
    <x v="2"/>
    <s v="Q2"/>
    <x v="1"/>
    <s v="Dec"/>
    <n v="2012"/>
    <d v="2012-12-07T00:00:00"/>
    <d v="2013-01-09T00:00:00"/>
    <n v="23447"/>
    <n v="17033.72"/>
    <m/>
    <m/>
    <s v="---"/>
    <n v="710.5"/>
    <n v="516.16999999999996"/>
    <n v="0.72650000000000003"/>
    <m/>
    <n v="33"/>
  </r>
  <r>
    <x v="2"/>
    <s v="Q2"/>
    <x v="1"/>
    <s v="Nov"/>
    <n v="2012"/>
    <d v="2012-11-05T00:00:00"/>
    <d v="2012-12-07T00:00:00"/>
    <n v="21167"/>
    <n v="21931.4"/>
    <m/>
    <m/>
    <s v="---"/>
    <n v="661.48"/>
    <n v="685.36"/>
    <n v="1.0361"/>
    <m/>
    <n v="32"/>
  </r>
  <r>
    <x v="2"/>
    <s v="Q2"/>
    <x v="1"/>
    <s v="Oct"/>
    <n v="2012"/>
    <d v="2012-10-05T00:00:00"/>
    <d v="2012-11-05T00:00:00"/>
    <n v="15826"/>
    <n v="16419.189999999999"/>
    <m/>
    <m/>
    <s v="---"/>
    <n v="510.5"/>
    <n v="529.65"/>
    <n v="1.0375000000000001"/>
    <m/>
    <n v="31"/>
  </r>
  <r>
    <x v="2"/>
    <s v="Q1"/>
    <x v="1"/>
    <s v="Sep"/>
    <n v="2012"/>
    <d v="2012-09-06T00:00:00"/>
    <d v="2012-10-05T00:00:00"/>
    <n v="8127"/>
    <n v="9205.56"/>
    <m/>
    <m/>
    <s v="---"/>
    <n v="280.25"/>
    <n v="317.43"/>
    <n v="1.1327"/>
    <m/>
    <n v="29"/>
  </r>
  <r>
    <x v="2"/>
    <s v="Q1"/>
    <x v="1"/>
    <s v="Aug"/>
    <n v="2012"/>
    <d v="2012-08-07T00:00:00"/>
    <d v="2012-09-06T00:00:00"/>
    <n v="6515"/>
    <n v="7686.14"/>
    <m/>
    <m/>
    <s v="---"/>
    <n v="217.18"/>
    <n v="256.2"/>
    <n v="1.1797"/>
    <m/>
    <n v="30"/>
  </r>
  <r>
    <x v="2"/>
    <s v="Q1"/>
    <x v="1"/>
    <s v="Jul"/>
    <n v="2012"/>
    <d v="2012-07-09T00:00:00"/>
    <d v="2012-08-07T00:00:00"/>
    <n v="5565"/>
    <n v="6748.96"/>
    <m/>
    <m/>
    <s v="---"/>
    <n v="191.88"/>
    <n v="232.72"/>
    <n v="1.2129000000000001"/>
    <m/>
    <n v="29"/>
  </r>
  <r>
    <x v="3"/>
    <s v="Q4"/>
    <x v="1"/>
    <s v="Jun"/>
    <n v="2012"/>
    <d v="2012-06-07T00:00:00"/>
    <d v="2012-07-09T00:00:00"/>
    <n v="9408"/>
    <n v="9918.68"/>
    <m/>
    <m/>
    <s v="---"/>
    <n v="294.01"/>
    <n v="309.95999999999998"/>
    <n v="1.0542"/>
    <m/>
    <n v="32"/>
  </r>
  <r>
    <x v="3"/>
    <s v="Q4"/>
    <x v="1"/>
    <s v="May"/>
    <n v="2012"/>
    <d v="2012-05-08T00:00:00"/>
    <d v="2012-06-07T00:00:00"/>
    <n v="10054"/>
    <n v="10592.85"/>
    <m/>
    <m/>
    <s v="---"/>
    <n v="335.12"/>
    <n v="353.09"/>
    <n v="1.0536000000000001"/>
    <m/>
    <n v="30"/>
  </r>
  <r>
    <x v="3"/>
    <s v="Q4"/>
    <x v="1"/>
    <s v="Apr"/>
    <n v="2012"/>
    <d v="2012-04-09T00:00:00"/>
    <d v="2012-05-08T00:00:00"/>
    <n v="12657"/>
    <n v="13312.82"/>
    <m/>
    <m/>
    <s v="---"/>
    <n v="436.44"/>
    <n v="459.06"/>
    <n v="1.0518000000000001"/>
    <m/>
    <n v="29"/>
  </r>
  <r>
    <x v="3"/>
    <s v="Q3"/>
    <x v="1"/>
    <s v="Mar"/>
    <n v="2012"/>
    <d v="2012-03-09T00:00:00"/>
    <d v="2012-04-09T00:00:00"/>
    <n v="14624"/>
    <n v="15368.15"/>
    <m/>
    <m/>
    <s v="---"/>
    <n v="471.73"/>
    <n v="495.75"/>
    <n v="1.0508999999999999"/>
    <m/>
    <n v="31"/>
  </r>
  <r>
    <x v="3"/>
    <s v="Q3"/>
    <x v="1"/>
    <s v="Feb"/>
    <n v="2012"/>
    <d v="2012-02-08T00:00:00"/>
    <d v="2012-03-09T00:00:00"/>
    <n v="18545"/>
    <n v="19465.099999999999"/>
    <m/>
    <m/>
    <s v="---"/>
    <n v="618.15"/>
    <n v="648.84"/>
    <n v="1.0496000000000001"/>
    <m/>
    <n v="30"/>
  </r>
  <r>
    <x v="3"/>
    <s v="Q3"/>
    <x v="1"/>
    <s v="Jan"/>
    <n v="2012"/>
    <d v="2012-01-09T00:00:00"/>
    <d v="2012-02-08T00:00:00"/>
    <n v="14825"/>
    <n v="15578.59"/>
    <m/>
    <m/>
    <s v="---"/>
    <n v="494.17"/>
    <n v="519.29"/>
    <n v="1.0508"/>
    <m/>
    <n v="30"/>
  </r>
  <r>
    <x v="3"/>
    <s v="Q2"/>
    <x v="1"/>
    <s v="Dec"/>
    <n v="2011"/>
    <d v="2011-12-07T00:00:00"/>
    <d v="2012-01-09T00:00:00"/>
    <n v="22014"/>
    <n v="23089.75"/>
    <m/>
    <m/>
    <s v="---"/>
    <n v="667.08"/>
    <n v="699.69"/>
    <n v="1.0488999999999999"/>
    <m/>
    <n v="33"/>
  </r>
  <r>
    <x v="3"/>
    <s v="Q2"/>
    <x v="1"/>
    <s v="Nov"/>
    <n v="2011"/>
    <d v="2011-11-03T00:00:00"/>
    <d v="2011-12-07T00:00:00"/>
    <n v="20251"/>
    <n v="21263.77"/>
    <m/>
    <m/>
    <s v="---"/>
    <n v="595.6"/>
    <n v="625.4"/>
    <n v="1.05"/>
    <m/>
    <n v="34"/>
  </r>
  <r>
    <x v="3"/>
    <s v="Q2"/>
    <x v="1"/>
    <s v="Oct"/>
    <n v="2011"/>
    <d v="2011-10-05T00:00:00"/>
    <d v="2011-11-03T00:00:00"/>
    <n v="12663"/>
    <n v="13329.64"/>
    <m/>
    <m/>
    <s v="---"/>
    <n v="436.66"/>
    <n v="459.64"/>
    <n v="1.0526"/>
    <m/>
    <n v="29"/>
  </r>
  <r>
    <x v="3"/>
    <s v="Q1"/>
    <x v="1"/>
    <s v="Sep"/>
    <n v="2011"/>
    <d v="2011-09-06T00:00:00"/>
    <d v="2011-10-05T00:00:00"/>
    <n v="9176"/>
    <n v="9534.61"/>
    <m/>
    <m/>
    <s v="---"/>
    <n v="316.39999999999998"/>
    <n v="328.78"/>
    <n v="1.0390999999999999"/>
    <m/>
    <n v="29"/>
  </r>
  <r>
    <x v="3"/>
    <s v="Q1"/>
    <x v="1"/>
    <s v="Aug"/>
    <n v="2011"/>
    <d v="2011-08-05T00:00:00"/>
    <d v="2011-09-06T00:00:00"/>
    <n v="7172"/>
    <n v="7446.08"/>
    <m/>
    <m/>
    <s v="---"/>
    <n v="224.13"/>
    <n v="232.69"/>
    <n v="1.0382"/>
    <m/>
    <n v="32"/>
  </r>
  <r>
    <x v="3"/>
    <s v="Q1"/>
    <x v="1"/>
    <s v="Jul"/>
    <n v="2011"/>
    <d v="2011-07-07T00:00:00"/>
    <d v="2011-08-05T00:00:00"/>
    <n v="6704.5"/>
    <n v="6965.9699999999993"/>
    <m/>
    <m/>
    <m/>
    <n v="216.01999999999998"/>
    <n v="224.44499999999999"/>
    <n v="1.03905"/>
    <m/>
    <n v="29"/>
  </r>
  <r>
    <x v="4"/>
    <s v="Q4"/>
    <x v="1"/>
    <s v="Jun"/>
    <n v="2011"/>
    <d v="2011-06-07T00:00:00"/>
    <d v="2011-07-07T00:00:00"/>
    <n v="6237"/>
    <n v="6485.86"/>
    <m/>
    <m/>
    <s v="---"/>
    <n v="207.91"/>
    <n v="216.2"/>
    <n v="1.0399"/>
    <m/>
    <n v="30"/>
  </r>
  <r>
    <x v="4"/>
    <s v="Q4"/>
    <x v="1"/>
    <s v="May"/>
    <n v="2011"/>
    <d v="2011-05-06T00:00:00"/>
    <d v="2011-06-07T00:00:00"/>
    <n v="9240"/>
    <n v="9575.99"/>
    <m/>
    <m/>
    <s v="---"/>
    <n v="288.73"/>
    <n v="299.25"/>
    <n v="1.0364"/>
    <m/>
    <n v="32"/>
  </r>
  <r>
    <x v="4"/>
    <s v="Q4"/>
    <x v="1"/>
    <s v="Apr"/>
    <n v="2011"/>
    <d v="2011-04-07T00:00:00"/>
    <d v="2011-05-06T00:00:00"/>
    <n v="11668"/>
    <n v="12071.58"/>
    <m/>
    <m/>
    <s v="---"/>
    <n v="402.33"/>
    <n v="416.26"/>
    <n v="1.0346"/>
    <m/>
    <n v="29"/>
  </r>
  <r>
    <x v="4"/>
    <s v="Q3"/>
    <x v="1"/>
    <s v="Mar"/>
    <n v="2011"/>
    <d v="2011-03-09T00:00:00"/>
    <d v="2011-04-07T00:00:00"/>
    <n v="14964"/>
    <n v="15396.26"/>
    <m/>
    <m/>
    <s v="---"/>
    <n v="515.98"/>
    <n v="530.91"/>
    <n v="1.0288999999999999"/>
    <m/>
    <n v="29"/>
  </r>
  <r>
    <x v="4"/>
    <s v="Q3"/>
    <x v="1"/>
    <s v="Feb"/>
    <n v="2011"/>
    <d v="2011-02-09T00:00:00"/>
    <d v="2011-03-09T00:00:00"/>
    <n v="13754"/>
    <n v="14157.91"/>
    <m/>
    <m/>
    <s v="---"/>
    <n v="491.2"/>
    <n v="505.64"/>
    <n v="1.0294000000000001"/>
    <m/>
    <n v="28"/>
  </r>
  <r>
    <x v="4"/>
    <s v="Q3"/>
    <x v="1"/>
    <s v="Jan"/>
    <n v="2011"/>
    <d v="2011-01-10T00:00:00"/>
    <d v="2011-02-09T00:00:00"/>
    <n v="11577"/>
    <n v="11929.63"/>
    <m/>
    <m/>
    <s v="---"/>
    <n v="385.89"/>
    <n v="397.65"/>
    <n v="1.0305"/>
    <m/>
    <n v="30"/>
  </r>
  <r>
    <x v="4"/>
    <s v="Q2"/>
    <x v="1"/>
    <s v="Dec"/>
    <n v="2010"/>
    <d v="2010-12-08T00:00:00"/>
    <d v="2011-01-10T00:00:00"/>
    <n v="13293"/>
    <n v="13685.83"/>
    <m/>
    <m/>
    <s v="---"/>
    <n v="402.8"/>
    <n v="414.72"/>
    <n v="1.0296000000000001"/>
    <m/>
    <n v="33"/>
  </r>
  <r>
    <x v="4"/>
    <s v="Q2"/>
    <x v="1"/>
    <s v="Nov"/>
    <n v="2010"/>
    <d v="2010-11-04T00:00:00"/>
    <d v="2010-12-08T00:00:00"/>
    <n v="11518"/>
    <n v="14128.79"/>
    <m/>
    <m/>
    <s v="---"/>
    <n v="338.75"/>
    <n v="415.55"/>
    <n v="1.2266999999999999"/>
    <m/>
    <n v="34"/>
  </r>
  <r>
    <x v="4"/>
    <s v="Q2"/>
    <x v="1"/>
    <s v="Oct"/>
    <n v="2010"/>
    <d v="2010-10-06T00:00:00"/>
    <d v="2010-11-04T00:00:00"/>
    <n v="7178"/>
    <n v="8831.16"/>
    <m/>
    <m/>
    <s v="---"/>
    <n v="247.52"/>
    <n v="304.52"/>
    <n v="1.2302999999999999"/>
    <m/>
    <n v="29"/>
  </r>
  <r>
    <x v="4"/>
    <s v="Q1"/>
    <x v="1"/>
    <s v="Sep"/>
    <n v="2010"/>
    <d v="2010-09-07T00:00:00"/>
    <d v="2010-10-06T00:00:00"/>
    <n v="5220"/>
    <n v="6444.09"/>
    <m/>
    <m/>
    <s v="---"/>
    <n v="180.01"/>
    <n v="222.21"/>
    <n v="1.2344999999999999"/>
    <m/>
    <n v="29"/>
  </r>
  <r>
    <x v="4"/>
    <s v="Q1"/>
    <x v="1"/>
    <s v="Aug"/>
    <n v="2010"/>
    <d v="2010-08-06T00:00:00"/>
    <d v="2010-09-07T00:00:00"/>
    <n v="4586"/>
    <n v="5670.75"/>
    <m/>
    <m/>
    <s v="---"/>
    <n v="143.31"/>
    <n v="177.21"/>
    <n v="1.2365999999999999"/>
    <m/>
    <n v="32"/>
  </r>
  <r>
    <x v="4"/>
    <s v="Q1"/>
    <x v="1"/>
    <s v="Jul"/>
    <n v="2010"/>
    <d v="2010-07-08T00:00:00"/>
    <d v="2010-08-06T00:00:00"/>
    <n v="4132"/>
    <n v="5117.1099999999997"/>
    <m/>
    <m/>
    <s v="---"/>
    <n v="142.47999999999999"/>
    <n v="176.45"/>
    <n v="1.2384999999999999"/>
    <m/>
    <n v="29"/>
  </r>
  <r>
    <x v="0"/>
    <s v="Q4"/>
    <x v="2"/>
    <s v="Jun"/>
    <n v="2015"/>
    <d v="2015-05-28T00:00:00"/>
    <d v="2015-06-26T00:00:00"/>
    <n v="1338000"/>
    <n v="5604.73"/>
    <m/>
    <m/>
    <s v="---"/>
    <n v="46137.93"/>
    <n v="193.27"/>
    <n v="4.1999999999999997E-3"/>
    <m/>
    <n v="29"/>
  </r>
  <r>
    <x v="0"/>
    <s v="Q4"/>
    <x v="2"/>
    <s v="May"/>
    <n v="2015"/>
    <d v="2015-04-29T00:00:00"/>
    <d v="2015-05-28T00:00:00"/>
    <n v="1397000"/>
    <n v="5767.77"/>
    <m/>
    <m/>
    <s v="---"/>
    <n v="48172.41"/>
    <n v="198.89"/>
    <n v="4.1000000000000003E-3"/>
    <m/>
    <n v="29"/>
  </r>
  <r>
    <x v="0"/>
    <s v="Q4"/>
    <x v="2"/>
    <s v="Apr"/>
    <n v="2015"/>
    <d v="2015-03-27T00:00:00"/>
    <d v="2015-04-29T00:00:00"/>
    <n v="1494000"/>
    <n v="6143.6"/>
    <m/>
    <m/>
    <s v="---"/>
    <n v="45272.73"/>
    <n v="186.17"/>
    <n v="4.1000000000000003E-3"/>
    <m/>
    <n v="33"/>
  </r>
  <r>
    <x v="0"/>
    <s v="Q3"/>
    <x v="2"/>
    <s v="Mar"/>
    <n v="2015"/>
    <d v="2015-02-27T00:00:00"/>
    <d v="2015-03-27T00:00:00"/>
    <n v="1239000"/>
    <n v="5155.59"/>
    <m/>
    <m/>
    <s v="---"/>
    <n v="44250"/>
    <n v="184.13"/>
    <n v="4.1999999999999997E-3"/>
    <m/>
    <n v="28"/>
  </r>
  <r>
    <x v="0"/>
    <s v="Q3"/>
    <x v="2"/>
    <s v="Feb"/>
    <n v="2015"/>
    <d v="2015-01-28T00:00:00"/>
    <d v="2015-02-27T00:00:00"/>
    <n v="1302000"/>
    <n v="5399.68"/>
    <m/>
    <m/>
    <s v="---"/>
    <n v="43400"/>
    <n v="179.99"/>
    <n v="4.1000000000000003E-3"/>
    <m/>
    <n v="30"/>
  </r>
  <r>
    <x v="0"/>
    <s v="Q3"/>
    <x v="2"/>
    <s v="Jan"/>
    <n v="2015"/>
    <d v="2014-12-27T00:00:00"/>
    <d v="2015-01-28T00:00:00"/>
    <n v="1283000"/>
    <n v="5326.07"/>
    <m/>
    <m/>
    <s v="---"/>
    <n v="40093.75"/>
    <n v="166.44"/>
    <n v="4.1999999999999997E-3"/>
    <m/>
    <n v="32"/>
  </r>
  <r>
    <x v="0"/>
    <s v="Q2"/>
    <x v="2"/>
    <s v="Dec"/>
    <n v="2014"/>
    <d v="2014-11-25T00:00:00"/>
    <d v="2014-12-27T00:00:00"/>
    <n v="1324000"/>
    <n v="5616"/>
    <m/>
    <m/>
    <s v="---"/>
    <n v="41375"/>
    <n v="175.5"/>
    <n v="4.1999999999999997E-3"/>
    <m/>
    <n v="32"/>
  </r>
  <r>
    <x v="0"/>
    <s v="Q2"/>
    <x v="2"/>
    <s v="Nov"/>
    <n v="2014"/>
    <d v="2014-10-28T00:00:00"/>
    <d v="2014-11-25T00:00:00"/>
    <n v="1240000"/>
    <n v="5282.21"/>
    <m/>
    <m/>
    <s v="---"/>
    <n v="44285.71"/>
    <n v="188.65"/>
    <n v="4.3E-3"/>
    <m/>
    <n v="28"/>
  </r>
  <r>
    <x v="0"/>
    <s v="Q2"/>
    <x v="2"/>
    <s v="Oct"/>
    <n v="2014"/>
    <d v="2014-09-29T00:00:00"/>
    <d v="2014-10-28T00:00:00"/>
    <n v="1363000"/>
    <n v="5770.97"/>
    <m/>
    <m/>
    <s v="---"/>
    <n v="47000"/>
    <n v="199"/>
    <n v="4.1999999999999997E-3"/>
    <m/>
    <n v="29"/>
  </r>
  <r>
    <x v="0"/>
    <s v="Q1"/>
    <x v="2"/>
    <s v="Sep"/>
    <n v="2014"/>
    <d v="2014-08-26T00:00:00"/>
    <d v="2014-09-29T00:00:00"/>
    <n v="1717000"/>
    <n v="7177.62"/>
    <m/>
    <m/>
    <s v="---"/>
    <n v="50500"/>
    <n v="211.11"/>
    <n v="4.1999999999999997E-3"/>
    <m/>
    <n v="34"/>
  </r>
  <r>
    <x v="0"/>
    <s v="Q1"/>
    <x v="2"/>
    <s v="Aug"/>
    <n v="2014"/>
    <d v="2014-07-25T00:00:00"/>
    <d v="2014-08-26T00:00:00"/>
    <n v="1597000"/>
    <n v="6700.79"/>
    <m/>
    <m/>
    <s v="---"/>
    <n v="49906.25"/>
    <n v="209.4"/>
    <n v="4.1999999999999997E-3"/>
    <m/>
    <n v="32"/>
  </r>
  <r>
    <x v="0"/>
    <s v="Q1"/>
    <x v="2"/>
    <s v="Jul"/>
    <n v="2014"/>
    <d v="2014-06-24T00:00:00"/>
    <d v="2014-07-25T00:00:00"/>
    <n v="1822000"/>
    <n v="7594.85"/>
    <m/>
    <m/>
    <s v="---"/>
    <n v="58774.19"/>
    <n v="244.99"/>
    <n v="4.1999999999999997E-3"/>
    <m/>
    <n v="31"/>
  </r>
  <r>
    <x v="1"/>
    <s v="Q4"/>
    <x v="2"/>
    <s v="Jun"/>
    <n v="2014"/>
    <d v="2014-05-22T00:00:00"/>
    <d v="2014-06-24T00:00:00"/>
    <n v="1711000"/>
    <n v="7153.78"/>
    <m/>
    <m/>
    <s v="---"/>
    <n v="51848.480000000003"/>
    <n v="216.78"/>
    <n v="4.1999999999999997E-3"/>
    <m/>
    <n v="33"/>
  </r>
  <r>
    <x v="1"/>
    <s v="Q4"/>
    <x v="2"/>
    <s v="May"/>
    <n v="2014"/>
    <d v="2014-04-23T00:00:00"/>
    <d v="2014-05-22T00:00:00"/>
    <n v="1272000"/>
    <n v="5465.34"/>
    <m/>
    <m/>
    <s v="---"/>
    <n v="43862.07"/>
    <n v="188.46"/>
    <n v="4.3E-3"/>
    <m/>
    <n v="29"/>
  </r>
  <r>
    <x v="1"/>
    <s v="Q4"/>
    <x v="2"/>
    <s v="Apr"/>
    <n v="2014"/>
    <d v="2014-03-25T00:00:00"/>
    <d v="2014-04-23T00:00:00"/>
    <n v="1378000"/>
    <n v="5891.2"/>
    <m/>
    <m/>
    <s v="---"/>
    <n v="47517.24"/>
    <n v="203.14"/>
    <n v="4.3E-3"/>
    <m/>
    <n v="29"/>
  </r>
  <r>
    <x v="1"/>
    <s v="Q3"/>
    <x v="2"/>
    <s v="Mar"/>
    <n v="2014"/>
    <d v="2014-02-24T00:00:00"/>
    <d v="2014-03-25T00:00:00"/>
    <n v="1189000"/>
    <n v="5131.88"/>
    <m/>
    <m/>
    <s v="---"/>
    <n v="41000"/>
    <n v="176.96"/>
    <n v="4.3E-3"/>
    <m/>
    <n v="29"/>
  </r>
  <r>
    <x v="1"/>
    <s v="Q3"/>
    <x v="2"/>
    <s v="Feb"/>
    <n v="2014"/>
    <d v="2014-01-23T00:00:00"/>
    <d v="2014-02-24T00:00:00"/>
    <n v="1240000"/>
    <n v="5336.77"/>
    <m/>
    <m/>
    <s v="---"/>
    <n v="38750"/>
    <n v="166.77"/>
    <n v="4.3E-3"/>
    <m/>
    <n v="32"/>
  </r>
  <r>
    <x v="1"/>
    <s v="Q3"/>
    <x v="2"/>
    <s v="Jan"/>
    <n v="2014"/>
    <d v="2013-12-19T00:00:00"/>
    <d v="2014-01-23T00:00:00"/>
    <n v="1377000"/>
    <n v="5887.19"/>
    <m/>
    <m/>
    <s v="---"/>
    <n v="39342.86"/>
    <n v="168.21"/>
    <n v="4.3E-3"/>
    <m/>
    <n v="35"/>
  </r>
  <r>
    <x v="1"/>
    <s v="Q2"/>
    <x v="2"/>
    <s v="Dec"/>
    <n v="2013"/>
    <d v="2013-11-20T00:00:00"/>
    <d v="2013-12-19T00:00:00"/>
    <n v="1216000"/>
    <n v="5121.18"/>
    <m/>
    <m/>
    <s v="---"/>
    <n v="41931.03"/>
    <n v="176.59"/>
    <n v="4.1999999999999997E-3"/>
    <m/>
    <n v="29"/>
  </r>
  <r>
    <x v="1"/>
    <s v="Q2"/>
    <x v="2"/>
    <s v="Nov"/>
    <n v="2013"/>
    <d v="2013-10-22T00:00:00"/>
    <d v="2013-11-20T00:00:00"/>
    <n v="1197000"/>
    <n v="5046.71"/>
    <m/>
    <m/>
    <s v="---"/>
    <n v="41275.86"/>
    <n v="174.02"/>
    <n v="4.1999999999999997E-3"/>
    <m/>
    <n v="29"/>
  </r>
  <r>
    <x v="1"/>
    <s v="Q2"/>
    <x v="2"/>
    <s v="Oct"/>
    <n v="2013"/>
    <d v="2013-09-20T00:00:00"/>
    <d v="2013-10-22T00:00:00"/>
    <n v="1375000"/>
    <n v="5744.4"/>
    <m/>
    <m/>
    <s v="---"/>
    <n v="42968.75"/>
    <n v="179.51"/>
    <n v="4.1999999999999997E-3"/>
    <m/>
    <n v="32"/>
  </r>
  <r>
    <x v="1"/>
    <s v="Q1"/>
    <x v="2"/>
    <s v="Sep"/>
    <n v="2013"/>
    <d v="2013-08-21T00:00:00"/>
    <d v="2013-09-20T00:00:00"/>
    <n v="1331000"/>
    <n v="5571.94"/>
    <m/>
    <m/>
    <s v="---"/>
    <n v="44366.67"/>
    <n v="185.73"/>
    <n v="4.1999999999999997E-3"/>
    <m/>
    <n v="30"/>
  </r>
  <r>
    <x v="1"/>
    <s v="Q1"/>
    <x v="2"/>
    <s v="Aug"/>
    <n v="2013"/>
    <d v="2013-07-22T00:00:00"/>
    <d v="2013-08-21T00:00:00"/>
    <n v="1372000"/>
    <n v="5732.64"/>
    <m/>
    <m/>
    <s v="---"/>
    <n v="45733.33"/>
    <n v="191.09"/>
    <n v="4.1999999999999997E-3"/>
    <m/>
    <n v="30"/>
  </r>
  <r>
    <x v="1"/>
    <s v="Q1"/>
    <x v="2"/>
    <s v="Jul"/>
    <n v="2013"/>
    <d v="2013-06-20T00:00:00"/>
    <d v="2013-07-22T00:00:00"/>
    <n v="1611000"/>
    <n v="6669.43"/>
    <m/>
    <m/>
    <s v="---"/>
    <n v="50343.75"/>
    <n v="208.42"/>
    <n v="4.1000000000000003E-3"/>
    <m/>
    <n v="32"/>
  </r>
  <r>
    <x v="2"/>
    <s v="Q4"/>
    <x v="2"/>
    <s v="Jun"/>
    <n v="2013"/>
    <d v="2013-05-21T00:00:00"/>
    <d v="2013-06-20T00:00:00"/>
    <n v="1432000"/>
    <n v="5967.82"/>
    <m/>
    <m/>
    <s v="---"/>
    <n v="47733.33"/>
    <n v="198.93"/>
    <n v="4.1999999999999997E-3"/>
    <m/>
    <n v="30"/>
  </r>
  <r>
    <x v="2"/>
    <s v="Q4"/>
    <x v="2"/>
    <s v="May"/>
    <n v="2013"/>
    <d v="2013-04-19T00:00:00"/>
    <d v="2013-05-21T00:00:00"/>
    <n v="1400000"/>
    <n v="5898.39"/>
    <m/>
    <m/>
    <s v="---"/>
    <n v="43750"/>
    <n v="184.32"/>
    <n v="4.1999999999999997E-3"/>
    <m/>
    <n v="32"/>
  </r>
  <r>
    <x v="2"/>
    <s v="Q4"/>
    <x v="2"/>
    <s v="Apr"/>
    <n v="2013"/>
    <d v="2013-03-20T00:00:00"/>
    <d v="2013-04-19T00:00:00"/>
    <n v="1257000"/>
    <n v="5332.17"/>
    <m/>
    <m/>
    <s v="---"/>
    <n v="41900"/>
    <n v="177.74"/>
    <n v="4.1999999999999997E-3"/>
    <m/>
    <n v="30"/>
  </r>
  <r>
    <x v="2"/>
    <s v="Q3"/>
    <x v="2"/>
    <s v="Mar"/>
    <n v="2013"/>
    <d v="2013-02-20T00:00:00"/>
    <d v="2013-03-20T00:00:00"/>
    <n v="1111000"/>
    <n v="4754.07"/>
    <m/>
    <m/>
    <s v="---"/>
    <n v="39678.57"/>
    <n v="169.79"/>
    <n v="4.3E-3"/>
    <m/>
    <n v="28"/>
  </r>
  <r>
    <x v="2"/>
    <s v="Q3"/>
    <x v="2"/>
    <s v="Feb"/>
    <n v="2013"/>
    <d v="2013-01-18T00:00:00"/>
    <d v="2013-02-20T00:00:00"/>
    <n v="1357000"/>
    <n v="5728.13"/>
    <m/>
    <m/>
    <s v="---"/>
    <n v="41121.21"/>
    <n v="173.58"/>
    <n v="4.1999999999999997E-3"/>
    <m/>
    <n v="33"/>
  </r>
  <r>
    <x v="2"/>
    <s v="Q3"/>
    <x v="2"/>
    <s v="Jan"/>
    <n v="2013"/>
    <d v="2012-12-19T00:00:00"/>
    <d v="2013-01-18T00:00:00"/>
    <n v="1118000"/>
    <n v="4781.78"/>
    <m/>
    <m/>
    <s v="---"/>
    <n v="37266.67"/>
    <n v="159.38999999999999"/>
    <n v="4.3E-3"/>
    <m/>
    <n v="30"/>
  </r>
  <r>
    <x v="2"/>
    <s v="Q2"/>
    <x v="2"/>
    <s v="Dec"/>
    <n v="2012"/>
    <d v="2012-11-19T00:00:00"/>
    <d v="2012-12-19T00:00:00"/>
    <n v="1179000"/>
    <n v="5013.8900000000003"/>
    <m/>
    <m/>
    <s v="---"/>
    <n v="39300"/>
    <n v="167.13"/>
    <n v="4.3E-3"/>
    <m/>
    <n v="30"/>
  </r>
  <r>
    <x v="2"/>
    <s v="Q2"/>
    <x v="2"/>
    <s v="Nov"/>
    <n v="2012"/>
    <d v="2012-10-16T00:00:00"/>
    <d v="2012-11-19T00:00:00"/>
    <n v="1148000"/>
    <n v="4938.71"/>
    <m/>
    <m/>
    <s v="---"/>
    <n v="33764.71"/>
    <n v="145.26"/>
    <n v="4.3E-3"/>
    <m/>
    <n v="34"/>
  </r>
  <r>
    <x v="2"/>
    <s v="Q2"/>
    <x v="2"/>
    <s v="Oct"/>
    <n v="2012"/>
    <d v="2012-09-21T00:00:00"/>
    <d v="2012-10-16T00:00:00"/>
    <n v="1519000"/>
    <n v="6298.26"/>
    <m/>
    <m/>
    <s v="---"/>
    <n v="60760"/>
    <n v="251.93"/>
    <n v="4.1000000000000003E-3"/>
    <m/>
    <n v="25"/>
  </r>
  <r>
    <x v="2"/>
    <s v="Q1"/>
    <x v="2"/>
    <s v="Sep"/>
    <n v="2012"/>
    <d v="2012-08-21T00:00:00"/>
    <d v="2012-09-21T00:00:00"/>
    <n v="1528000"/>
    <n v="18446.259999999998"/>
    <m/>
    <m/>
    <s v="---"/>
    <n v="49290.32"/>
    <n v="595.04"/>
    <n v="1.21E-2"/>
    <m/>
    <n v="31"/>
  </r>
  <r>
    <x v="2"/>
    <s v="Q1"/>
    <x v="2"/>
    <s v="Aug"/>
    <n v="2012"/>
    <d v="2012-07-20T00:00:00"/>
    <d v="2012-08-21T00:00:00"/>
    <n v="1687000"/>
    <n v="20284.55"/>
    <m/>
    <m/>
    <s v="---"/>
    <n v="52718.75"/>
    <n v="633.89"/>
    <n v="1.2E-2"/>
    <m/>
    <n v="32"/>
  </r>
  <r>
    <x v="2"/>
    <s v="Q1"/>
    <x v="2"/>
    <s v="Jul"/>
    <n v="2012"/>
    <d v="2012-06-21T00:00:00"/>
    <d v="2012-07-20T00:00:00"/>
    <n v="1458000"/>
    <n v="17349.189999999999"/>
    <m/>
    <m/>
    <s v="---"/>
    <n v="50275.86"/>
    <n v="598.25"/>
    <n v="1.1900000000000001E-2"/>
    <m/>
    <n v="29"/>
  </r>
  <r>
    <x v="3"/>
    <s v="Q4"/>
    <x v="2"/>
    <s v="Jun"/>
    <n v="2012"/>
    <d v="2012-05-22T00:00:00"/>
    <d v="2012-06-21T00:00:00"/>
    <n v="1480000"/>
    <n v="17468.36"/>
    <m/>
    <m/>
    <s v="---"/>
    <n v="49333.33"/>
    <n v="582.28"/>
    <n v="1.18E-2"/>
    <m/>
    <n v="30"/>
  </r>
  <r>
    <x v="3"/>
    <s v="Q4"/>
    <x v="2"/>
    <s v="May"/>
    <n v="2012"/>
    <d v="2012-04-20T00:00:00"/>
    <d v="2012-05-22T00:00:00"/>
    <n v="1461000"/>
    <n v="17144.05"/>
    <m/>
    <m/>
    <s v="---"/>
    <n v="45656.25"/>
    <n v="535.75"/>
    <n v="1.17E-2"/>
    <m/>
    <n v="32"/>
  </r>
  <r>
    <x v="3"/>
    <s v="Q4"/>
    <x v="2"/>
    <s v="Apr"/>
    <n v="2012"/>
    <d v="2012-03-21T00:00:00"/>
    <d v="2012-04-20T00:00:00"/>
    <n v="1448000"/>
    <n v="16998.11"/>
    <m/>
    <m/>
    <s v="---"/>
    <n v="48266.67"/>
    <n v="566.6"/>
    <n v="1.17E-2"/>
    <m/>
    <n v="30"/>
  </r>
  <r>
    <x v="3"/>
    <s v="Q3"/>
    <x v="2"/>
    <s v="Mar"/>
    <n v="2012"/>
    <d v="2012-02-17T00:00:00"/>
    <d v="2012-03-21T00:00:00"/>
    <n v="1380000"/>
    <n v="16234.67"/>
    <m/>
    <m/>
    <s v="---"/>
    <n v="41818.18"/>
    <n v="491.96"/>
    <n v="1.18E-2"/>
    <m/>
    <n v="33"/>
  </r>
  <r>
    <x v="3"/>
    <s v="Q3"/>
    <x v="2"/>
    <s v="Feb"/>
    <n v="2012"/>
    <d v="2012-01-19T00:00:00"/>
    <d v="2012-02-17T00:00:00"/>
    <n v="1138000"/>
    <n v="13517.77"/>
    <m/>
    <m/>
    <s v="---"/>
    <n v="39241.379999999997"/>
    <n v="466.13"/>
    <n v="1.1900000000000001E-2"/>
    <m/>
    <n v="29"/>
  </r>
  <r>
    <x v="3"/>
    <s v="Q3"/>
    <x v="2"/>
    <s v="Jan"/>
    <n v="2012"/>
    <d v="2011-12-20T00:00:00"/>
    <d v="2012-01-19T00:00:00"/>
    <n v="1138000"/>
    <n v="13517.77"/>
    <m/>
    <m/>
    <s v="---"/>
    <n v="37933.33"/>
    <n v="450.59"/>
    <n v="1.1900000000000001E-2"/>
    <m/>
    <n v="30"/>
  </r>
  <r>
    <x v="3"/>
    <s v="Q2"/>
    <x v="2"/>
    <s v="Dec"/>
    <n v="2011"/>
    <d v="2011-11-18T00:00:00"/>
    <d v="2011-12-20T00:00:00"/>
    <n v="1344000"/>
    <n v="15775.4"/>
    <m/>
    <m/>
    <s v="---"/>
    <n v="42000"/>
    <n v="492.98"/>
    <n v="1.17E-2"/>
    <m/>
    <n v="32"/>
  </r>
  <r>
    <x v="3"/>
    <s v="Q2"/>
    <x v="2"/>
    <s v="Nov"/>
    <n v="2011"/>
    <d v="2011-10-21T00:00:00"/>
    <d v="2011-11-18T00:00:00"/>
    <n v="1182000"/>
    <n v="13963.28"/>
    <m/>
    <m/>
    <s v="---"/>
    <n v="42214.29"/>
    <n v="498.69"/>
    <n v="1.18E-2"/>
    <m/>
    <n v="28"/>
  </r>
  <r>
    <x v="3"/>
    <s v="Q2"/>
    <x v="2"/>
    <s v="Oct"/>
    <n v="2011"/>
    <d v="2011-09-22T00:00:00"/>
    <d v="2011-10-21T00:00:00"/>
    <n v="1525000"/>
    <n v="17742.03"/>
    <m/>
    <m/>
    <s v="---"/>
    <n v="52586.21"/>
    <n v="611.79"/>
    <n v="1.1599999999999999E-2"/>
    <m/>
    <n v="29"/>
  </r>
  <r>
    <x v="3"/>
    <s v="Q1"/>
    <x v="2"/>
    <s v="Sep"/>
    <n v="2011"/>
    <d v="2011-08-22T00:00:00"/>
    <d v="2011-09-22T00:00:00"/>
    <n v="1490000"/>
    <n v="17198.21"/>
    <m/>
    <m/>
    <s v="---"/>
    <n v="48064.52"/>
    <n v="554.78"/>
    <n v="1.15E-2"/>
    <m/>
    <n v="31"/>
  </r>
  <r>
    <x v="3"/>
    <s v="Q1"/>
    <x v="2"/>
    <s v="Aug"/>
    <n v="2011"/>
    <d v="2011-07-21T00:00:00"/>
    <d v="2011-08-22T00:00:00"/>
    <n v="1627000"/>
    <n v="18730.68"/>
    <m/>
    <m/>
    <s v="---"/>
    <n v="50843.75"/>
    <n v="585.33000000000004"/>
    <n v="1.15E-2"/>
    <m/>
    <n v="32"/>
  </r>
  <r>
    <x v="3"/>
    <s v="Q1"/>
    <x v="2"/>
    <s v="Jul"/>
    <n v="2011"/>
    <d v="2011-06-22T00:00:00"/>
    <d v="2011-07-21T00:00:00"/>
    <n v="1360000"/>
    <n v="15744.04"/>
    <m/>
    <m/>
    <s v="---"/>
    <n v="46896.55"/>
    <n v="542.9"/>
    <n v="1.1599999999999999E-2"/>
    <m/>
    <n v="29"/>
  </r>
  <r>
    <x v="4"/>
    <s v="Q4"/>
    <x v="2"/>
    <s v="Jun"/>
    <n v="2011"/>
    <d v="2011-05-20T00:00:00"/>
    <d v="2011-06-22T00:00:00"/>
    <n v="1517000"/>
    <n v="17500.23"/>
    <m/>
    <m/>
    <s v="---"/>
    <n v="45969.7"/>
    <n v="530.30999999999995"/>
    <n v="1.15E-2"/>
    <m/>
    <n v="33"/>
  </r>
  <r>
    <x v="4"/>
    <s v="Q4"/>
    <x v="2"/>
    <s v="May"/>
    <n v="2011"/>
    <d v="2011-04-20T00:00:00"/>
    <d v="2011-05-20T00:00:00"/>
    <n v="1286000"/>
    <n v="14885.42"/>
    <m/>
    <m/>
    <s v="---"/>
    <n v="42866.67"/>
    <n v="496.18"/>
    <n v="1.1599999999999999E-2"/>
    <m/>
    <n v="30"/>
  </r>
  <r>
    <x v="4"/>
    <s v="Q4"/>
    <x v="2"/>
    <s v="Apr"/>
    <n v="2011"/>
    <d v="2011-03-22T00:00:00"/>
    <d v="2011-04-20T00:00:00"/>
    <n v="1236000"/>
    <n v="14327.33"/>
    <m/>
    <m/>
    <s v="---"/>
    <n v="42620.69"/>
    <n v="494.05"/>
    <n v="1.1599999999999999E-2"/>
    <m/>
    <n v="29"/>
  </r>
  <r>
    <x v="4"/>
    <s v="Q3"/>
    <x v="2"/>
    <s v="Mar"/>
    <n v="2011"/>
    <d v="2011-02-17T00:00:00"/>
    <d v="2011-03-22T00:00:00"/>
    <n v="1676000"/>
    <n v="19238.560000000001"/>
    <m/>
    <m/>
    <s v="---"/>
    <n v="50787.88"/>
    <n v="582.99"/>
    <n v="1.15E-2"/>
    <m/>
    <n v="33"/>
  </r>
  <r>
    <x v="4"/>
    <s v="Q3"/>
    <x v="2"/>
    <s v="Feb"/>
    <n v="2011"/>
    <d v="2011-01-20T00:00:00"/>
    <d v="2011-02-17T00:00:00"/>
    <n v="1153000"/>
    <n v="13400.89"/>
    <m/>
    <m/>
    <s v="---"/>
    <n v="41178.57"/>
    <n v="478.6"/>
    <n v="1.1599999999999999E-2"/>
    <m/>
    <n v="28"/>
  </r>
  <r>
    <x v="4"/>
    <s v="Q3"/>
    <x v="2"/>
    <s v="Jan"/>
    <n v="2011"/>
    <d v="2010-12-20T00:00:00"/>
    <d v="2011-01-20T00:00:00"/>
    <n v="1215000"/>
    <n v="14092.93"/>
    <m/>
    <m/>
    <s v="---"/>
    <n v="39193.550000000003"/>
    <n v="454.61"/>
    <n v="1.1599999999999999E-2"/>
    <m/>
    <n v="31"/>
  </r>
  <r>
    <x v="4"/>
    <s v="Q2"/>
    <x v="2"/>
    <s v="Dec"/>
    <n v="2010"/>
    <d v="2010-11-19T00:00:00"/>
    <d v="2010-12-20T00:00:00"/>
    <n v="1302000"/>
    <n v="14972.87"/>
    <m/>
    <m/>
    <s v="---"/>
    <n v="42000"/>
    <n v="483"/>
    <n v="1.15E-2"/>
    <m/>
    <n v="31"/>
  </r>
  <r>
    <x v="4"/>
    <s v="Q2"/>
    <x v="2"/>
    <s v="Nov"/>
    <n v="2010"/>
    <d v="2010-10-20T00:00:00"/>
    <d v="2010-11-19T00:00:00"/>
    <n v="1241000"/>
    <n v="14296.27"/>
    <m/>
    <m/>
    <s v="---"/>
    <n v="41366.67"/>
    <n v="476.54"/>
    <n v="1.15E-2"/>
    <m/>
    <n v="30"/>
  </r>
  <r>
    <x v="4"/>
    <s v="Q2"/>
    <x v="2"/>
    <s v="Oct"/>
    <n v="2010"/>
    <d v="2010-09-22T00:00:00"/>
    <d v="2010-10-20T00:00:00"/>
    <n v="1243000"/>
    <n v="14258.36"/>
    <m/>
    <m/>
    <s v="---"/>
    <n v="44392.86"/>
    <n v="509.23"/>
    <n v="1.15E-2"/>
    <m/>
    <n v="28"/>
  </r>
  <r>
    <x v="4"/>
    <s v="Q1"/>
    <x v="2"/>
    <s v="Sep"/>
    <n v="2010"/>
    <d v="2010-08-20T00:00:00"/>
    <d v="2010-09-22T00:00:00"/>
    <n v="1465000"/>
    <n v="16570.509999999998"/>
    <m/>
    <m/>
    <s v="---"/>
    <n v="44393.94"/>
    <n v="502.14"/>
    <n v="1.1299999999999999E-2"/>
    <m/>
    <n v="33"/>
  </r>
  <r>
    <x v="4"/>
    <s v="Q1"/>
    <x v="2"/>
    <s v="Aug"/>
    <n v="2010"/>
    <d v="2010-07-21T00:00:00"/>
    <d v="2010-08-20T00:00:00"/>
    <n v="1516000"/>
    <n v="16760.73"/>
    <m/>
    <m/>
    <s v="---"/>
    <n v="50533.33"/>
    <n v="558.69000000000005"/>
    <n v="1.11E-2"/>
    <m/>
    <n v="30"/>
  </r>
  <r>
    <x v="4"/>
    <s v="Q1"/>
    <x v="2"/>
    <s v="Jul"/>
    <n v="2010"/>
    <d v="2010-06-22T00:00:00"/>
    <d v="2010-07-21T00:00:00"/>
    <n v="1513000"/>
    <n v="16591.84"/>
    <m/>
    <m/>
    <s v="---"/>
    <n v="52172.41"/>
    <n v="572.13"/>
    <n v="1.0999999999999999E-2"/>
    <m/>
    <n v="29"/>
  </r>
  <r>
    <x v="0"/>
    <s v="Q4"/>
    <x v="3"/>
    <s v="Jun"/>
    <n v="2015"/>
    <d v="2015-05-28T00:00:00"/>
    <d v="2015-06-26T00:00:00"/>
    <n v="1338000"/>
    <n v="11185.56"/>
    <m/>
    <m/>
    <s v="---"/>
    <n v="46137.93"/>
    <n v="385.71"/>
    <n v="8.3999999999999995E-3"/>
    <m/>
    <n v="29"/>
  </r>
  <r>
    <x v="0"/>
    <s v="Q4"/>
    <x v="3"/>
    <s v="May"/>
    <n v="2015"/>
    <d v="2015-04-29T00:00:00"/>
    <d v="2015-05-28T00:00:00"/>
    <n v="1397000"/>
    <n v="11651.07"/>
    <m/>
    <m/>
    <s v="---"/>
    <n v="48172.41"/>
    <n v="401.76"/>
    <n v="8.3000000000000001E-3"/>
    <m/>
    <n v="29"/>
  </r>
  <r>
    <x v="0"/>
    <s v="Q4"/>
    <x v="3"/>
    <s v="Apr"/>
    <n v="2015"/>
    <d v="2015-03-27T00:00:00"/>
    <d v="2015-04-29T00:00:00"/>
    <n v="1494000"/>
    <n v="12416.4"/>
    <m/>
    <m/>
    <s v="---"/>
    <n v="45272.73"/>
    <n v="376.25"/>
    <n v="8.3000000000000001E-3"/>
    <m/>
    <n v="33"/>
  </r>
  <r>
    <x v="0"/>
    <s v="Q3"/>
    <x v="3"/>
    <s v="Mar"/>
    <n v="2015"/>
    <d v="2015-02-27T00:00:00"/>
    <d v="2015-03-27T00:00:00"/>
    <n v="1239000"/>
    <n v="10404.450000000001"/>
    <m/>
    <m/>
    <s v="---"/>
    <n v="44250"/>
    <n v="371.59"/>
    <n v="8.3999999999999995E-3"/>
    <m/>
    <n v="28"/>
  </r>
  <r>
    <x v="0"/>
    <s v="Q3"/>
    <x v="3"/>
    <s v="Feb"/>
    <n v="2015"/>
    <d v="2015-01-28T00:00:00"/>
    <d v="2015-02-27T00:00:00"/>
    <n v="1302000"/>
    <n v="10901.52"/>
    <m/>
    <m/>
    <s v="---"/>
    <n v="43400"/>
    <n v="363.38"/>
    <n v="8.3999999999999995E-3"/>
    <m/>
    <n v="30"/>
  </r>
  <r>
    <x v="0"/>
    <s v="Q3"/>
    <x v="3"/>
    <s v="Jan"/>
    <n v="2015"/>
    <d v="2014-12-27T00:00:00"/>
    <d v="2015-01-28T00:00:00"/>
    <n v="1283000"/>
    <n v="10751.61"/>
    <m/>
    <m/>
    <s v="---"/>
    <n v="40093.75"/>
    <n v="335.99"/>
    <n v="8.3999999999999995E-3"/>
    <m/>
    <n v="32"/>
  </r>
  <r>
    <x v="0"/>
    <s v="Q2"/>
    <x v="3"/>
    <s v="Dec"/>
    <n v="2014"/>
    <d v="2014-11-25T00:00:00"/>
    <d v="2014-12-27T00:00:00"/>
    <n v="1324000"/>
    <n v="11075.1"/>
    <m/>
    <m/>
    <s v="---"/>
    <n v="41375"/>
    <n v="346.1"/>
    <n v="8.3999999999999995E-3"/>
    <m/>
    <n v="32"/>
  </r>
  <r>
    <x v="0"/>
    <s v="Q2"/>
    <x v="3"/>
    <s v="Nov"/>
    <n v="2014"/>
    <d v="2014-10-28T00:00:00"/>
    <d v="2014-11-25T00:00:00"/>
    <n v="1240000"/>
    <n v="10412.34"/>
    <m/>
    <m/>
    <s v="---"/>
    <n v="44285.71"/>
    <n v="371.87"/>
    <n v="8.3999999999999995E-3"/>
    <m/>
    <n v="28"/>
  </r>
  <r>
    <x v="0"/>
    <s v="Q2"/>
    <x v="3"/>
    <s v="Oct"/>
    <n v="2014"/>
    <d v="2014-09-29T00:00:00"/>
    <d v="2014-10-28T00:00:00"/>
    <n v="1363000"/>
    <n v="11376.7"/>
    <m/>
    <m/>
    <s v="---"/>
    <n v="47000"/>
    <n v="392.3"/>
    <n v="8.3000000000000001E-3"/>
    <m/>
    <n v="29"/>
  </r>
  <r>
    <x v="0"/>
    <s v="Q1"/>
    <x v="3"/>
    <s v="Sep"/>
    <n v="2014"/>
    <d v="2014-08-26T00:00:00"/>
    <d v="2014-09-29T00:00:00"/>
    <n v="1717000"/>
    <n v="13952.66"/>
    <m/>
    <m/>
    <s v="---"/>
    <n v="50500"/>
    <n v="410.37"/>
    <n v="8.0999999999999996E-3"/>
    <m/>
    <n v="34"/>
  </r>
  <r>
    <x v="0"/>
    <s v="Q1"/>
    <x v="3"/>
    <s v="Aug"/>
    <n v="2014"/>
    <d v="2014-07-25T00:00:00"/>
    <d v="2014-08-26T00:00:00"/>
    <n v="1597000"/>
    <n v="13021.46"/>
    <m/>
    <m/>
    <s v="---"/>
    <n v="49906.25"/>
    <n v="406.92"/>
    <n v="8.2000000000000007E-3"/>
    <m/>
    <n v="32"/>
  </r>
  <r>
    <x v="0"/>
    <s v="Q1"/>
    <x v="3"/>
    <s v="Jul"/>
    <n v="2014"/>
    <d v="2014-06-24T00:00:00"/>
    <d v="2014-07-25T00:00:00"/>
    <n v="1822000"/>
    <n v="14767.46"/>
    <m/>
    <m/>
    <s v="---"/>
    <n v="58774.19"/>
    <n v="476.37"/>
    <n v="8.0999999999999996E-3"/>
    <m/>
    <n v="31"/>
  </r>
  <r>
    <x v="1"/>
    <s v="Q4"/>
    <x v="3"/>
    <s v="Jun"/>
    <n v="2014"/>
    <d v="2014-05-22T00:00:00"/>
    <d v="2014-06-24T00:00:00"/>
    <n v="1711000"/>
    <n v="13906.1"/>
    <m/>
    <m/>
    <s v="---"/>
    <n v="51848.480000000003"/>
    <n v="421.4"/>
    <n v="8.0999999999999996E-3"/>
    <m/>
    <n v="33"/>
  </r>
  <r>
    <x v="1"/>
    <s v="Q4"/>
    <x v="3"/>
    <s v="May"/>
    <n v="2014"/>
    <d v="2014-04-23T00:00:00"/>
    <d v="2014-05-22T00:00:00"/>
    <n v="1272000"/>
    <n v="10499.46"/>
    <m/>
    <m/>
    <s v="---"/>
    <n v="43862.07"/>
    <n v="362.05"/>
    <n v="8.3000000000000001E-3"/>
    <m/>
    <n v="29"/>
  </r>
  <r>
    <x v="1"/>
    <s v="Q4"/>
    <x v="3"/>
    <s v="Apr"/>
    <n v="2014"/>
    <d v="2014-03-25T00:00:00"/>
    <d v="2014-04-23T00:00:00"/>
    <n v="1378000"/>
    <n v="11322.02"/>
    <m/>
    <m/>
    <s v="---"/>
    <n v="47517.24"/>
    <n v="390.41"/>
    <n v="8.2000000000000007E-3"/>
    <m/>
    <n v="29"/>
  </r>
  <r>
    <x v="1"/>
    <s v="Q3"/>
    <x v="3"/>
    <s v="Mar"/>
    <n v="2014"/>
    <d v="2014-02-24T00:00:00"/>
    <d v="2014-03-25T00:00:00"/>
    <n v="1189000"/>
    <n v="9855.3799999999992"/>
    <m/>
    <m/>
    <s v="---"/>
    <n v="41000"/>
    <n v="339.84"/>
    <n v="8.3000000000000001E-3"/>
    <m/>
    <n v="29"/>
  </r>
  <r>
    <x v="1"/>
    <s v="Q3"/>
    <x v="3"/>
    <s v="Feb"/>
    <n v="2014"/>
    <d v="2014-01-23T00:00:00"/>
    <d v="2014-02-24T00:00:00"/>
    <n v="1240000"/>
    <n v="10251.14"/>
    <m/>
    <m/>
    <s v="---"/>
    <n v="38750"/>
    <n v="320.35000000000002"/>
    <n v="8.3000000000000001E-3"/>
    <m/>
    <n v="32"/>
  </r>
  <r>
    <x v="1"/>
    <s v="Q3"/>
    <x v="3"/>
    <s v="Jan"/>
    <n v="2014"/>
    <d v="2013-12-19T00:00:00"/>
    <d v="2014-01-23T00:00:00"/>
    <n v="1377000"/>
    <n v="11314.26"/>
    <m/>
    <m/>
    <s v="---"/>
    <n v="39342.86"/>
    <n v="323.26"/>
    <n v="8.2000000000000007E-3"/>
    <m/>
    <n v="35"/>
  </r>
  <r>
    <x v="1"/>
    <s v="Q2"/>
    <x v="3"/>
    <s v="Dec"/>
    <n v="2013"/>
    <d v="2013-11-20T00:00:00"/>
    <d v="2013-12-19T00:00:00"/>
    <n v="1197000"/>
    <n v="9917.4599999999991"/>
    <m/>
    <m/>
    <s v="---"/>
    <n v="41275.86"/>
    <n v="341.98"/>
    <n v="8.3000000000000001E-3"/>
    <m/>
    <n v="29"/>
  </r>
  <r>
    <x v="1"/>
    <s v="Q2"/>
    <x v="3"/>
    <s v="Nov"/>
    <n v="2013"/>
    <d v="2013-10-22T00:00:00"/>
    <d v="2013-11-20T00:00:00"/>
    <n v="1197000"/>
    <n v="9917.4599999999991"/>
    <m/>
    <m/>
    <s v="---"/>
    <n v="41275.86"/>
    <n v="341.98"/>
    <n v="8.3000000000000001E-3"/>
    <m/>
    <n v="29"/>
  </r>
  <r>
    <x v="1"/>
    <s v="Q2"/>
    <x v="3"/>
    <s v="Oct"/>
    <n v="2013"/>
    <d v="2013-09-20T00:00:00"/>
    <d v="2013-10-22T00:00:00"/>
    <n v="1375000"/>
    <n v="11234.3"/>
    <m/>
    <m/>
    <s v="---"/>
    <n v="42968.75"/>
    <n v="351.07"/>
    <n v="8.2000000000000007E-3"/>
    <m/>
    <n v="32"/>
  </r>
  <r>
    <x v="1"/>
    <s v="Q1"/>
    <x v="3"/>
    <s v="Sep"/>
    <n v="2013"/>
    <d v="2013-08-21T00:00:00"/>
    <d v="2013-09-20T00:00:00"/>
    <n v="1331000"/>
    <n v="10764.43"/>
    <m/>
    <m/>
    <s v="---"/>
    <n v="44366.67"/>
    <n v="358.81"/>
    <n v="8.0999999999999996E-3"/>
    <m/>
    <n v="30"/>
  </r>
  <r>
    <x v="1"/>
    <s v="Q1"/>
    <x v="3"/>
    <s v="Aug"/>
    <n v="2013"/>
    <d v="2013-07-22T00:00:00"/>
    <d v="2013-08-21T00:00:00"/>
    <n v="1372000"/>
    <n v="11076.44"/>
    <m/>
    <m/>
    <s v="---"/>
    <n v="45733.33"/>
    <n v="369.21"/>
    <n v="8.0999999999999996E-3"/>
    <m/>
    <n v="30"/>
  </r>
  <r>
    <x v="1"/>
    <s v="Q1"/>
    <x v="3"/>
    <s v="Jul"/>
    <n v="2013"/>
    <d v="2013-06-20T00:00:00"/>
    <d v="2013-07-22T00:00:00"/>
    <n v="1611000"/>
    <n v="12895.23"/>
    <m/>
    <m/>
    <s v="---"/>
    <n v="50343.75"/>
    <n v="402.98"/>
    <n v="8.0000000000000002E-3"/>
    <m/>
    <n v="32"/>
  </r>
  <r>
    <x v="2"/>
    <s v="Q4"/>
    <x v="3"/>
    <s v="Jun"/>
    <n v="2013"/>
    <d v="2013-05-21T00:00:00"/>
    <d v="2013-06-20T00:00:00"/>
    <n v="1432000"/>
    <n v="11533.04"/>
    <m/>
    <m/>
    <s v="---"/>
    <n v="47733.33"/>
    <n v="384.43"/>
    <n v="8.0999999999999996E-3"/>
    <m/>
    <n v="30"/>
  </r>
  <r>
    <x v="2"/>
    <s v="Q4"/>
    <x v="3"/>
    <s v="May"/>
    <n v="2013"/>
    <d v="2013-04-19T00:00:00"/>
    <d v="2013-05-21T00:00:00"/>
    <n v="1400000"/>
    <n v="11289.52"/>
    <m/>
    <m/>
    <s v="---"/>
    <n v="43750"/>
    <n v="352.8"/>
    <n v="8.0999999999999996E-3"/>
    <m/>
    <n v="32"/>
  </r>
  <r>
    <x v="2"/>
    <s v="Q4"/>
    <x v="3"/>
    <s v="Apr"/>
    <n v="2013"/>
    <d v="2013-03-20T00:00:00"/>
    <d v="2013-04-19T00:00:00"/>
    <n v="1257000"/>
    <n v="10201.290000000001"/>
    <m/>
    <m/>
    <s v="---"/>
    <n v="41900"/>
    <n v="340.04"/>
    <n v="8.0999999999999996E-3"/>
    <m/>
    <n v="30"/>
  </r>
  <r>
    <x v="2"/>
    <s v="Q3"/>
    <x v="3"/>
    <s v="Mar"/>
    <n v="2013"/>
    <d v="2013-02-20T00:00:00"/>
    <d v="2013-03-20T00:00:00"/>
    <n v="1111000"/>
    <n v="9090.23"/>
    <m/>
    <m/>
    <s v="---"/>
    <n v="39678.57"/>
    <n v="324.64999999999998"/>
    <n v="8.2000000000000007E-3"/>
    <m/>
    <n v="28"/>
  </r>
  <r>
    <x v="2"/>
    <s v="Q3"/>
    <x v="3"/>
    <s v="Feb"/>
    <n v="2013"/>
    <d v="2013-01-18T00:00:00"/>
    <d v="2013-02-20T00:00:00"/>
    <n v="1357000"/>
    <n v="10962.29"/>
    <m/>
    <m/>
    <s v="---"/>
    <n v="41121.21"/>
    <n v="332.19"/>
    <n v="8.0999999999999996E-3"/>
    <m/>
    <n v="33"/>
  </r>
  <r>
    <x v="2"/>
    <s v="Q3"/>
    <x v="3"/>
    <s v="Jan"/>
    <n v="2013"/>
    <d v="2012-12-19T00:00:00"/>
    <d v="2013-01-18T00:00:00"/>
    <n v="1118000"/>
    <n v="9143.5"/>
    <m/>
    <m/>
    <s v="---"/>
    <n v="37266.67"/>
    <n v="304.77999999999997"/>
    <n v="8.2000000000000007E-3"/>
    <m/>
    <n v="30"/>
  </r>
  <r>
    <x v="2"/>
    <s v="Q2"/>
    <x v="3"/>
    <s v="Dec"/>
    <n v="2012"/>
    <d v="2012-11-19T00:00:00"/>
    <d v="2012-12-19T00:00:00"/>
    <n v="1179000"/>
    <n v="9607.7099999999991"/>
    <m/>
    <m/>
    <s v="---"/>
    <n v="39300"/>
    <n v="320.26"/>
    <n v="8.0999999999999996E-3"/>
    <m/>
    <n v="30"/>
  </r>
  <r>
    <x v="2"/>
    <s v="Q2"/>
    <x v="3"/>
    <s v="Nov"/>
    <n v="2012"/>
    <d v="2012-10-16T00:00:00"/>
    <d v="2012-11-19T00:00:00"/>
    <n v="1148000"/>
    <n v="9371.7999999999993"/>
    <m/>
    <m/>
    <s v="---"/>
    <n v="33764.71"/>
    <n v="275.64"/>
    <n v="8.2000000000000007E-3"/>
    <m/>
    <n v="34"/>
  </r>
  <r>
    <x v="2"/>
    <s v="Q2"/>
    <x v="3"/>
    <s v="Oct"/>
    <n v="2012"/>
    <d v="2012-09-21T00:00:00"/>
    <d v="2012-10-16T00:00:00"/>
    <n v="1519000"/>
    <n v="12119.39"/>
    <m/>
    <m/>
    <s v="---"/>
    <n v="60760"/>
    <n v="484.78"/>
    <n v="8.0000000000000002E-3"/>
    <m/>
    <n v="25"/>
  </r>
  <r>
    <x v="2"/>
    <s v="Q1"/>
    <x v="3"/>
    <s v="Sep"/>
    <n v="2012"/>
    <d v="2012-08-21T00:00:00"/>
    <d v="2012-09-21T00:00:00"/>
    <n v="1528000"/>
    <n v="0"/>
    <m/>
    <m/>
    <m/>
    <m/>
    <m/>
    <n v="0"/>
    <m/>
    <n v="31"/>
  </r>
  <r>
    <x v="2"/>
    <s v="Q1"/>
    <x v="3"/>
    <s v="Aug"/>
    <n v="2012"/>
    <d v="2012-07-20T00:00:00"/>
    <d v="2012-08-21T00:00:00"/>
    <n v="1687000"/>
    <n v="0"/>
    <m/>
    <m/>
    <m/>
    <m/>
    <m/>
    <n v="0"/>
    <m/>
    <n v="32"/>
  </r>
  <r>
    <x v="2"/>
    <s v="Q1"/>
    <x v="3"/>
    <s v="Jul"/>
    <n v="2012"/>
    <d v="2012-06-21T00:00:00"/>
    <d v="2012-07-20T00:00:00"/>
    <n v="1458000"/>
    <n v="0"/>
    <m/>
    <m/>
    <m/>
    <m/>
    <m/>
    <n v="0"/>
    <m/>
    <n v="29"/>
  </r>
  <r>
    <x v="3"/>
    <s v="Q4"/>
    <x v="3"/>
    <s v="Jun"/>
    <n v="2012"/>
    <d v="2012-05-22T00:00:00"/>
    <d v="2012-06-21T00:00:00"/>
    <n v="1480000"/>
    <n v="0"/>
    <m/>
    <m/>
    <m/>
    <m/>
    <m/>
    <n v="0"/>
    <m/>
    <n v="30"/>
  </r>
  <r>
    <x v="3"/>
    <s v="Q4"/>
    <x v="3"/>
    <s v="May"/>
    <n v="2012"/>
    <d v="2012-04-20T00:00:00"/>
    <d v="2012-05-22T00:00:00"/>
    <n v="1461000"/>
    <n v="0"/>
    <m/>
    <m/>
    <m/>
    <m/>
    <m/>
    <n v="0"/>
    <m/>
    <n v="32"/>
  </r>
  <r>
    <x v="3"/>
    <s v="Q4"/>
    <x v="3"/>
    <s v="Apr"/>
    <n v="2012"/>
    <d v="2012-03-21T00:00:00"/>
    <d v="2012-04-20T00:00:00"/>
    <n v="1448000"/>
    <n v="0"/>
    <m/>
    <m/>
    <m/>
    <m/>
    <m/>
    <n v="0"/>
    <m/>
    <n v="30"/>
  </r>
  <r>
    <x v="3"/>
    <s v="Q3"/>
    <x v="3"/>
    <s v="Mar"/>
    <n v="2012"/>
    <d v="2012-02-17T00:00:00"/>
    <d v="2012-03-21T00:00:00"/>
    <n v="1380000"/>
    <n v="0"/>
    <m/>
    <m/>
    <m/>
    <m/>
    <m/>
    <n v="0"/>
    <m/>
    <n v="33"/>
  </r>
  <r>
    <x v="3"/>
    <s v="Q3"/>
    <x v="3"/>
    <s v="Feb"/>
    <n v="2012"/>
    <d v="2012-01-19T00:00:00"/>
    <d v="2012-02-17T00:00:00"/>
    <n v="1138000"/>
    <n v="0"/>
    <m/>
    <m/>
    <m/>
    <m/>
    <m/>
    <n v="0"/>
    <m/>
    <n v="29"/>
  </r>
  <r>
    <x v="3"/>
    <s v="Q3"/>
    <x v="3"/>
    <s v="Jan"/>
    <n v="2012"/>
    <d v="2011-12-20T00:00:00"/>
    <d v="2012-01-19T00:00:00"/>
    <n v="1138000"/>
    <n v="0"/>
    <m/>
    <m/>
    <m/>
    <m/>
    <m/>
    <n v="0"/>
    <m/>
    <n v="30"/>
  </r>
  <r>
    <x v="3"/>
    <s v="Q2"/>
    <x v="3"/>
    <s v="Dec"/>
    <n v="2011"/>
    <d v="2011-11-18T00:00:00"/>
    <d v="2011-12-20T00:00:00"/>
    <n v="1344000"/>
    <n v="0"/>
    <m/>
    <m/>
    <m/>
    <m/>
    <m/>
    <n v="0"/>
    <m/>
    <n v="32"/>
  </r>
  <r>
    <x v="3"/>
    <s v="Q2"/>
    <x v="3"/>
    <s v="Nov"/>
    <n v="2011"/>
    <d v="2011-10-21T00:00:00"/>
    <d v="2011-11-18T00:00:00"/>
    <n v="1182000"/>
    <n v="0"/>
    <m/>
    <m/>
    <m/>
    <m/>
    <m/>
    <n v="0"/>
    <m/>
    <n v="28"/>
  </r>
  <r>
    <x v="3"/>
    <s v="Q2"/>
    <x v="3"/>
    <s v="Oct"/>
    <n v="2011"/>
    <d v="2011-09-22T00:00:00"/>
    <d v="2011-10-21T00:00:00"/>
    <n v="1525000"/>
    <n v="0"/>
    <m/>
    <m/>
    <m/>
    <m/>
    <m/>
    <n v="0"/>
    <m/>
    <n v="29"/>
  </r>
  <r>
    <x v="3"/>
    <s v="Q1"/>
    <x v="3"/>
    <s v="Sep"/>
    <n v="2011"/>
    <d v="2011-08-22T00:00:00"/>
    <d v="2011-09-22T00:00:00"/>
    <n v="1490000"/>
    <n v="0"/>
    <m/>
    <m/>
    <m/>
    <m/>
    <m/>
    <n v="0"/>
    <m/>
    <n v="31"/>
  </r>
  <r>
    <x v="3"/>
    <s v="Q1"/>
    <x v="3"/>
    <s v="Aug"/>
    <n v="2011"/>
    <d v="2011-07-21T00:00:00"/>
    <d v="2011-08-22T00:00:00"/>
    <n v="1627000"/>
    <n v="0"/>
    <m/>
    <m/>
    <m/>
    <m/>
    <m/>
    <n v="0"/>
    <m/>
    <n v="32"/>
  </r>
  <r>
    <x v="3"/>
    <s v="Q1"/>
    <x v="3"/>
    <s v="Jul"/>
    <n v="2011"/>
    <d v="2011-06-22T00:00:00"/>
    <d v="2011-07-21T00:00:00"/>
    <n v="1360000"/>
    <n v="0"/>
    <m/>
    <m/>
    <m/>
    <m/>
    <m/>
    <n v="0"/>
    <m/>
    <n v="29"/>
  </r>
  <r>
    <x v="4"/>
    <s v="Q4"/>
    <x v="3"/>
    <s v="Jun"/>
    <n v="2011"/>
    <d v="2011-05-20T00:00:00"/>
    <d v="2011-06-22T00:00:00"/>
    <n v="1517000"/>
    <n v="0"/>
    <m/>
    <m/>
    <m/>
    <m/>
    <m/>
    <n v="0"/>
    <m/>
    <n v="33"/>
  </r>
  <r>
    <x v="4"/>
    <s v="Q4"/>
    <x v="3"/>
    <s v="May"/>
    <n v="2011"/>
    <d v="2011-04-20T00:00:00"/>
    <d v="2011-05-20T00:00:00"/>
    <n v="1286000"/>
    <n v="0"/>
    <m/>
    <m/>
    <m/>
    <m/>
    <m/>
    <n v="0"/>
    <m/>
    <n v="30"/>
  </r>
  <r>
    <x v="4"/>
    <s v="Q4"/>
    <x v="3"/>
    <s v="Apr"/>
    <n v="2011"/>
    <d v="2011-03-22T00:00:00"/>
    <d v="2011-04-20T00:00:00"/>
    <n v="1236000"/>
    <n v="0"/>
    <m/>
    <m/>
    <m/>
    <m/>
    <m/>
    <n v="0"/>
    <m/>
    <n v="29"/>
  </r>
  <r>
    <x v="4"/>
    <s v="Q3"/>
    <x v="3"/>
    <s v="Mar"/>
    <n v="2011"/>
    <d v="2011-02-17T00:00:00"/>
    <d v="2011-03-22T00:00:00"/>
    <n v="1676000"/>
    <n v="0"/>
    <m/>
    <m/>
    <m/>
    <m/>
    <m/>
    <n v="0"/>
    <m/>
    <n v="33"/>
  </r>
  <r>
    <x v="4"/>
    <s v="Q3"/>
    <x v="3"/>
    <s v="Feb"/>
    <n v="2011"/>
    <d v="2011-01-20T00:00:00"/>
    <d v="2011-02-17T00:00:00"/>
    <n v="1153000"/>
    <n v="0"/>
    <m/>
    <m/>
    <m/>
    <m/>
    <m/>
    <n v="0"/>
    <m/>
    <n v="28"/>
  </r>
  <r>
    <x v="4"/>
    <s v="Q3"/>
    <x v="3"/>
    <s v="Jan"/>
    <n v="2011"/>
    <d v="2010-12-20T00:00:00"/>
    <d v="2011-01-20T00:00:00"/>
    <n v="1215000"/>
    <n v="0"/>
    <m/>
    <m/>
    <m/>
    <m/>
    <m/>
    <n v="0"/>
    <m/>
    <n v="31"/>
  </r>
  <r>
    <x v="4"/>
    <s v="Q2"/>
    <x v="3"/>
    <s v="Dec"/>
    <n v="2010"/>
    <d v="2010-11-19T00:00:00"/>
    <d v="2010-12-20T00:00:00"/>
    <n v="1302000"/>
    <n v="0"/>
    <m/>
    <m/>
    <m/>
    <m/>
    <m/>
    <n v="0"/>
    <m/>
    <n v="31"/>
  </r>
  <r>
    <x v="4"/>
    <s v="Q2"/>
    <x v="3"/>
    <s v="Nov"/>
    <n v="2010"/>
    <d v="2010-10-20T00:00:00"/>
    <d v="2010-11-19T00:00:00"/>
    <n v="1241000"/>
    <n v="0"/>
    <m/>
    <m/>
    <m/>
    <m/>
    <m/>
    <n v="0"/>
    <m/>
    <n v="30"/>
  </r>
  <r>
    <x v="4"/>
    <s v="Q2"/>
    <x v="3"/>
    <s v="Oct"/>
    <n v="2010"/>
    <d v="2010-09-22T00:00:00"/>
    <d v="2010-10-20T00:00:00"/>
    <n v="1243000"/>
    <n v="0"/>
    <m/>
    <m/>
    <m/>
    <m/>
    <m/>
    <n v="0"/>
    <m/>
    <n v="28"/>
  </r>
  <r>
    <x v="4"/>
    <s v="Q1"/>
    <x v="3"/>
    <s v="Sep"/>
    <n v="2010"/>
    <d v="2010-08-20T00:00:00"/>
    <d v="2010-09-22T00:00:00"/>
    <n v="1465000"/>
    <n v="0"/>
    <m/>
    <m/>
    <m/>
    <m/>
    <m/>
    <n v="0"/>
    <m/>
    <n v="33"/>
  </r>
  <r>
    <x v="4"/>
    <s v="Q1"/>
    <x v="3"/>
    <s v="Aug"/>
    <n v="2010"/>
    <d v="2010-07-21T00:00:00"/>
    <d v="2010-08-20T00:00:00"/>
    <n v="1516000"/>
    <n v="0"/>
    <m/>
    <m/>
    <m/>
    <m/>
    <m/>
    <n v="0"/>
    <m/>
    <n v="30"/>
  </r>
  <r>
    <x v="4"/>
    <s v="Q1"/>
    <x v="3"/>
    <s v="Jul"/>
    <n v="2010"/>
    <d v="2010-06-22T00:00:00"/>
    <d v="2010-07-21T00:00:00"/>
    <n v="1513000"/>
    <n v="0"/>
    <m/>
    <m/>
    <m/>
    <m/>
    <m/>
    <n v="0"/>
    <m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M10" firstHeaderRow="1" firstDataRow="3" firstDataCol="1"/>
  <pivotFields count="17">
    <pivotField axis="axisRow" showAll="0">
      <items count="6">
        <item x="4"/>
        <item x="3"/>
        <item x="2"/>
        <item x="1"/>
        <item x="0"/>
        <item t="default"/>
      </items>
    </pivotField>
    <pivotField showAll="0" defaultSubtotal="0"/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numFmtId="14" showAll="0"/>
    <pivotField showAll="0"/>
    <pivotField dataField="1" showAll="0" defaultSubtota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</colItems>
  <dataFields count="3">
    <dataField name="Sum of Use" fld="7" baseField="0" baseItem="2"/>
    <dataField name="Sum of Cost" fld="8" baseField="0" baseItem="1" numFmtId="1"/>
    <dataField name="Average of Unit Cost" fld="14" subtotal="average" baseField="0" baseItem="2" numFmtId="165"/>
  </dataFields>
  <formats count="6">
    <format dxfId="11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10">
      <pivotArea outline="0" collapsedLevelsAreSubtotals="1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format>
    <format dxfId="9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8">
      <pivotArea outline="0" collapsedLevelsAreSubtotals="1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format>
    <format dxfId="7">
      <pivotArea outline="0" fieldPosition="0">
        <references count="1">
          <reference field="4294967294" count="1">
            <x v="2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A3:D8" firstHeaderRow="0" firstDataRow="1" firstDataCol="1"/>
  <pivotFields count="35"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numFmtId="14" showAll="0"/>
    <pivotField numFmtId="14" showAll="0"/>
    <pivotField numFmtId="3" showAll="0"/>
    <pivotField numFmtId="8" showAll="0"/>
    <pivotField showAll="0"/>
    <pivotField showAll="0"/>
    <pivotField showAll="0"/>
    <pivotField numFmtId="4" showAll="0"/>
    <pivotField numFmtId="8" showAll="0"/>
    <pivotField numFmtId="167" showAll="0"/>
    <pivotField showAll="0"/>
    <pivotField showAll="0"/>
    <pivotField numFmtId="9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9" showAll="0"/>
    <pivotField dataField="1" numFmtId="166" showAll="0"/>
    <pivotField dataField="1" numFmtId="9" showAll="0"/>
    <pivotField dataField="1" numFmtId="9" showAll="0"/>
    <pivotField numFmtId="9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rkDwn_Administrative" fld="31" subtotal="average" baseField="2" baseItem="0"/>
    <dataField name="Average of BrkDwn_Demand" fld="32" subtotal="average" baseField="2" baseItem="0"/>
    <dataField name="Average of BrkDwn_Energy" fld="33" subtotal="average" baseField="2" baseItem="0"/>
  </dataFields>
  <formats count="1">
    <format dxfId="5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C8" firstHeaderRow="0" firstDataRow="1" firstDataCol="1"/>
  <pivotFields count="65"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numFmtId="14" showAll="0"/>
    <pivotField numFmtId="14" showAll="0"/>
    <pivotField numFmtId="3" showAll="0"/>
    <pivotField numFmtId="8" showAll="0"/>
    <pivotField showAll="0"/>
    <pivotField showAll="0"/>
    <pivotField showAll="0"/>
    <pivotField numFmtId="4" showAll="0"/>
    <pivotField numFmtId="8" showAll="0"/>
    <pivotField numFmtId="167" showAll="0"/>
    <pivotField showAll="0"/>
    <pivotField showAll="0"/>
    <pivotField numFmtId="9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9" showAll="0"/>
    <pivotField numFmtId="166" showAll="0"/>
    <pivotField numFmtId="9" showAll="0"/>
    <pivotField numFmtId="9" showAll="0"/>
    <pivotField numFmtId="9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numFmtId="2" showAll="0"/>
    <pivotField numFmtId="2" showAll="0" defaultSubtotal="0"/>
    <pivotField numFmtId="2" showAll="0" defaultSubtotal="0"/>
    <pivotField numFmtId="2" showAll="0" defaultSubtotal="0"/>
    <pivotField numFmtId="2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" showAll="0" defaultSubtotal="0"/>
    <pivotField showAll="0" defaultSubtota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Average of AvoidedCostDemand" fld="49" subtotal="average" baseField="2" baseItem="0" numFmtId="2"/>
    <dataField name="Average of Avoided CostEnergy" fld="64" subtotal="average" baseField="2" baseItem="0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E8" firstHeaderRow="0" firstDataRow="1" firstDataCol="1"/>
  <pivotFields count="65"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numFmtId="14" showAll="0"/>
    <pivotField numFmtId="14" showAll="0"/>
    <pivotField dataField="1" numFmtId="3" showAll="0"/>
    <pivotField numFmtId="8" showAll="0"/>
    <pivotField showAll="0"/>
    <pivotField dataField="1" showAll="0"/>
    <pivotField showAll="0"/>
    <pivotField dataField="1" numFmtId="4" showAll="0"/>
    <pivotField numFmtId="8" showAll="0"/>
    <pivotField dataField="1" numFmtId="167" showAll="0"/>
    <pivotField showAll="0"/>
    <pivotField showAll="0"/>
    <pivotField numFmtId="9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9" showAll="0"/>
    <pivotField numFmtId="166" showAll="0"/>
    <pivotField numFmtId="9" showAll="0"/>
    <pivotField numFmtId="9" showAll="0"/>
    <pivotField numFmtId="9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164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se(KWH)" fld="5" baseField="0" baseItem="0"/>
    <dataField name="Average of Use/Day" fld="10" subtotal="average" baseField="2" baseItem="0"/>
    <dataField name="Average of Act Dem" fld="8" subtotal="average" baseField="2" baseItem="2"/>
    <dataField name="Average of Unit Cost" fld="12" subtotal="average" baseField="2" baseItem="3" numFmtId="164"/>
  </dataFields>
  <formats count="3">
    <format dxfId="2">
      <pivotArea collapsedLevelsAreSubtotals="1" fieldPosition="0">
        <references count="2">
          <reference field="4294967294" count="2" selected="0">
            <x v="1"/>
            <x v="2"/>
          </reference>
          <reference field="2" count="4">
            <x v="1"/>
            <x v="2"/>
            <x v="3"/>
            <x v="4"/>
          </reference>
        </references>
      </pivotArea>
    </format>
    <format dxfId="1">
      <pivotArea collapsedLevelsAreSubtotals="1" fieldPosition="0">
        <references count="2">
          <reference field="4294967294" count="2" selected="0">
            <x v="1"/>
            <x v="2"/>
          </reference>
          <reference field="2" count="1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9" firstHeaderRow="0" firstDataRow="1" firstDataCol="1" rowPageCount="1" colPageCount="1"/>
  <pivotFields count="17"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axis="axisPage" multipleItemSelectionAllowed="1" showAll="0">
      <items count="5">
        <item h="1" x="0"/>
        <item x="1"/>
        <item h="1" x="3"/>
        <item h="1" x="2"/>
        <item t="default"/>
      </items>
    </pivotField>
    <pivotField showAll="0"/>
    <pivotField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 of Use" fld="7" baseField="0" baseItem="0"/>
    <dataField name="Sum of Cost" fld="8" baseField="0" baseItem="0"/>
    <dataField name="Average of Use/Day" fld="12" subtotal="average" baseField="0" baseItem="3"/>
    <dataField name="Average of Unit Cost" fld="14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4"/>
  <sheetViews>
    <sheetView tabSelected="1" topLeftCell="A71" workbookViewId="0">
      <selection activeCell="J217" sqref="J217"/>
    </sheetView>
  </sheetViews>
  <sheetFormatPr defaultRowHeight="15" x14ac:dyDescent="0.25"/>
  <cols>
    <col min="1" max="3" width="13.42578125" customWidth="1"/>
    <col min="4" max="4" width="6.85546875" bestFit="1" customWidth="1"/>
    <col min="5" max="5" width="8.85546875" bestFit="1" customWidth="1"/>
    <col min="6" max="7" width="10.7109375" bestFit="1" customWidth="1"/>
    <col min="8" max="8" width="9.140625" bestFit="1" customWidth="1"/>
    <col min="9" max="9" width="10.85546875" bestFit="1" customWidth="1"/>
    <col min="10" max="11" width="8.42578125" bestFit="1" customWidth="1"/>
    <col min="12" max="12" width="5.42578125" bestFit="1" customWidth="1"/>
    <col min="14" max="15" width="9" bestFit="1" customWidth="1"/>
    <col min="16" max="16" width="6.42578125" bestFit="1" customWidth="1"/>
    <col min="17" max="17" width="5.140625" bestFit="1" customWidth="1"/>
  </cols>
  <sheetData>
    <row r="1" spans="1:17" ht="30" x14ac:dyDescent="0.25">
      <c r="A1" s="9" t="s">
        <v>44</v>
      </c>
      <c r="B1" s="9" t="s">
        <v>103</v>
      </c>
      <c r="C1" s="9" t="s">
        <v>89</v>
      </c>
      <c r="D1" s="9" t="s">
        <v>0</v>
      </c>
      <c r="E1" s="9" t="s">
        <v>43</v>
      </c>
      <c r="F1" s="9" t="s">
        <v>1</v>
      </c>
      <c r="G1" s="9" t="s">
        <v>2</v>
      </c>
      <c r="H1" s="9" t="s">
        <v>96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26</v>
      </c>
    </row>
    <row r="2" spans="1:17" x14ac:dyDescent="0.25">
      <c r="A2">
        <v>2015</v>
      </c>
      <c r="B2" t="s">
        <v>104</v>
      </c>
      <c r="C2" t="s">
        <v>90</v>
      </c>
      <c r="D2" t="s">
        <v>12</v>
      </c>
      <c r="E2">
        <v>2015</v>
      </c>
      <c r="F2" s="1">
        <v>42160</v>
      </c>
      <c r="G2" s="1">
        <v>42192</v>
      </c>
      <c r="H2" s="2">
        <v>447120</v>
      </c>
      <c r="I2" s="3">
        <v>26858.23</v>
      </c>
      <c r="J2">
        <v>754</v>
      </c>
      <c r="K2">
        <v>754.3</v>
      </c>
      <c r="L2" t="s">
        <v>13</v>
      </c>
      <c r="M2" s="4">
        <v>13972.5</v>
      </c>
      <c r="N2" s="3">
        <v>839.32</v>
      </c>
      <c r="O2" s="7">
        <v>6.0100000000000001E-2</v>
      </c>
      <c r="P2">
        <v>77.180000000000007</v>
      </c>
      <c r="Q2">
        <f t="shared" ref="Q2:Q33" si="0">G2-F2</f>
        <v>32</v>
      </c>
    </row>
    <row r="3" spans="1:17" x14ac:dyDescent="0.25">
      <c r="A3">
        <v>2015</v>
      </c>
      <c r="B3" t="s">
        <v>104</v>
      </c>
      <c r="C3" t="s">
        <v>90</v>
      </c>
      <c r="D3" t="s">
        <v>14</v>
      </c>
      <c r="E3">
        <v>2015</v>
      </c>
      <c r="F3" s="1">
        <v>42130</v>
      </c>
      <c r="G3" s="1">
        <v>42160</v>
      </c>
      <c r="H3" s="2">
        <v>379440</v>
      </c>
      <c r="I3" s="3">
        <v>23165.94</v>
      </c>
      <c r="J3">
        <v>696</v>
      </c>
      <c r="K3">
        <v>751</v>
      </c>
      <c r="L3" t="s">
        <v>13</v>
      </c>
      <c r="M3" s="4">
        <v>12648</v>
      </c>
      <c r="N3" s="3">
        <v>772.2</v>
      </c>
      <c r="O3" s="7">
        <v>6.1100000000000002E-2</v>
      </c>
      <c r="P3">
        <v>70.17</v>
      </c>
      <c r="Q3">
        <f t="shared" si="0"/>
        <v>30</v>
      </c>
    </row>
    <row r="4" spans="1:17" x14ac:dyDescent="0.25">
      <c r="A4">
        <v>2015</v>
      </c>
      <c r="B4" t="s">
        <v>104</v>
      </c>
      <c r="C4" t="s">
        <v>90</v>
      </c>
      <c r="D4" t="s">
        <v>15</v>
      </c>
      <c r="E4">
        <v>2015</v>
      </c>
      <c r="F4" s="1">
        <v>42101</v>
      </c>
      <c r="G4" s="1">
        <v>42130</v>
      </c>
      <c r="H4" s="2">
        <v>342000</v>
      </c>
      <c r="I4" s="3">
        <v>21347.99</v>
      </c>
      <c r="J4">
        <v>675</v>
      </c>
      <c r="K4">
        <v>751</v>
      </c>
      <c r="L4" t="s">
        <v>13</v>
      </c>
      <c r="M4" s="4">
        <v>11793.1</v>
      </c>
      <c r="N4" s="3">
        <v>736.14</v>
      </c>
      <c r="O4" s="7">
        <v>6.2399999999999997E-2</v>
      </c>
      <c r="P4">
        <v>65.430000000000007</v>
      </c>
      <c r="Q4">
        <f t="shared" si="0"/>
        <v>29</v>
      </c>
    </row>
    <row r="5" spans="1:17" x14ac:dyDescent="0.25">
      <c r="A5">
        <v>2015</v>
      </c>
      <c r="B5" t="s">
        <v>105</v>
      </c>
      <c r="C5" t="s">
        <v>90</v>
      </c>
      <c r="D5" t="s">
        <v>16</v>
      </c>
      <c r="E5">
        <v>2015</v>
      </c>
      <c r="F5" s="1">
        <v>42068</v>
      </c>
      <c r="G5" s="1">
        <v>42101</v>
      </c>
      <c r="H5" s="2">
        <v>376560</v>
      </c>
      <c r="I5" s="3">
        <v>23885.16</v>
      </c>
      <c r="J5">
        <v>675</v>
      </c>
      <c r="K5">
        <v>751</v>
      </c>
      <c r="L5" t="s">
        <v>13</v>
      </c>
      <c r="M5" s="4">
        <v>11410.91</v>
      </c>
      <c r="N5" s="3">
        <v>723.79</v>
      </c>
      <c r="O5" s="7">
        <v>6.3399999999999998E-2</v>
      </c>
      <c r="P5">
        <v>63.31</v>
      </c>
      <c r="Q5">
        <f t="shared" si="0"/>
        <v>33</v>
      </c>
    </row>
    <row r="6" spans="1:17" x14ac:dyDescent="0.25">
      <c r="A6">
        <v>2015</v>
      </c>
      <c r="B6" t="s">
        <v>105</v>
      </c>
      <c r="C6" t="s">
        <v>90</v>
      </c>
      <c r="D6" t="s">
        <v>17</v>
      </c>
      <c r="E6">
        <v>2015</v>
      </c>
      <c r="F6" s="1">
        <v>42039</v>
      </c>
      <c r="G6" s="1">
        <v>42068</v>
      </c>
      <c r="H6" s="2">
        <v>319680</v>
      </c>
      <c r="I6" s="3">
        <v>20627.060000000001</v>
      </c>
      <c r="J6">
        <v>675</v>
      </c>
      <c r="K6">
        <v>751</v>
      </c>
      <c r="L6" t="s">
        <v>13</v>
      </c>
      <c r="M6" s="4">
        <v>11023.45</v>
      </c>
      <c r="N6" s="3">
        <v>711.28</v>
      </c>
      <c r="O6" s="7">
        <v>6.4500000000000002E-2</v>
      </c>
      <c r="P6">
        <v>61.16</v>
      </c>
      <c r="Q6">
        <f t="shared" si="0"/>
        <v>29</v>
      </c>
    </row>
    <row r="7" spans="1:17" x14ac:dyDescent="0.25">
      <c r="A7">
        <v>2015</v>
      </c>
      <c r="B7" t="s">
        <v>105</v>
      </c>
      <c r="C7" t="s">
        <v>90</v>
      </c>
      <c r="D7" t="s">
        <v>18</v>
      </c>
      <c r="E7">
        <v>2015</v>
      </c>
      <c r="F7" s="1">
        <v>42010</v>
      </c>
      <c r="G7" s="1">
        <v>42039</v>
      </c>
      <c r="H7" s="2">
        <v>330480</v>
      </c>
      <c r="I7" s="3">
        <v>20975.9</v>
      </c>
      <c r="J7">
        <v>675</v>
      </c>
      <c r="K7">
        <v>751</v>
      </c>
      <c r="L7" t="s">
        <v>13</v>
      </c>
      <c r="M7" s="4">
        <v>11395.86</v>
      </c>
      <c r="N7" s="3">
        <v>723.31</v>
      </c>
      <c r="O7" s="7">
        <v>6.3500000000000001E-2</v>
      </c>
      <c r="P7">
        <v>63.23</v>
      </c>
      <c r="Q7">
        <f t="shared" si="0"/>
        <v>29</v>
      </c>
    </row>
    <row r="8" spans="1:17" x14ac:dyDescent="0.25">
      <c r="A8">
        <v>2015</v>
      </c>
      <c r="B8" t="s">
        <v>106</v>
      </c>
      <c r="C8" t="s">
        <v>90</v>
      </c>
      <c r="D8" t="s">
        <v>19</v>
      </c>
      <c r="E8">
        <v>2014</v>
      </c>
      <c r="F8" s="1">
        <v>41977</v>
      </c>
      <c r="G8" s="1">
        <v>42010</v>
      </c>
      <c r="H8" s="2">
        <v>391680</v>
      </c>
      <c r="I8" s="3">
        <v>24415.200000000001</v>
      </c>
      <c r="J8">
        <v>675</v>
      </c>
      <c r="K8">
        <v>751</v>
      </c>
      <c r="L8" t="s">
        <v>13</v>
      </c>
      <c r="M8" s="4">
        <v>11869.09</v>
      </c>
      <c r="N8" s="3">
        <v>739.85</v>
      </c>
      <c r="O8" s="7">
        <v>6.2300000000000001E-2</v>
      </c>
      <c r="P8">
        <v>65.849999999999994</v>
      </c>
      <c r="Q8">
        <f t="shared" si="0"/>
        <v>33</v>
      </c>
    </row>
    <row r="9" spans="1:17" x14ac:dyDescent="0.25">
      <c r="A9">
        <v>2015</v>
      </c>
      <c r="B9" t="s">
        <v>106</v>
      </c>
      <c r="C9" t="s">
        <v>90</v>
      </c>
      <c r="D9" t="s">
        <v>20</v>
      </c>
      <c r="E9">
        <v>2014</v>
      </c>
      <c r="F9" s="1">
        <v>41944</v>
      </c>
      <c r="G9" s="1">
        <v>41977</v>
      </c>
      <c r="H9" s="2">
        <v>401040</v>
      </c>
      <c r="I9" s="3">
        <v>24728</v>
      </c>
      <c r="J9">
        <v>675</v>
      </c>
      <c r="K9">
        <v>751</v>
      </c>
      <c r="L9" t="s">
        <v>13</v>
      </c>
      <c r="M9" s="4">
        <v>12152.73</v>
      </c>
      <c r="N9" s="3">
        <v>749.33</v>
      </c>
      <c r="O9" s="7">
        <v>6.1699999999999998E-2</v>
      </c>
      <c r="P9">
        <v>67.430000000000007</v>
      </c>
      <c r="Q9">
        <f t="shared" si="0"/>
        <v>33</v>
      </c>
    </row>
    <row r="10" spans="1:17" x14ac:dyDescent="0.25">
      <c r="A10">
        <v>2015</v>
      </c>
      <c r="B10" t="s">
        <v>106</v>
      </c>
      <c r="C10" t="s">
        <v>90</v>
      </c>
      <c r="D10" t="s">
        <v>21</v>
      </c>
      <c r="E10">
        <v>2014</v>
      </c>
      <c r="F10" s="1">
        <v>41915</v>
      </c>
      <c r="G10" s="1">
        <v>41944</v>
      </c>
      <c r="H10" s="2">
        <v>375120</v>
      </c>
      <c r="I10" s="3">
        <v>22979.81</v>
      </c>
      <c r="J10">
        <v>719</v>
      </c>
      <c r="K10">
        <v>751</v>
      </c>
      <c r="L10" t="s">
        <v>13</v>
      </c>
      <c r="M10" s="4">
        <v>12935.17</v>
      </c>
      <c r="N10" s="3">
        <v>792.41</v>
      </c>
      <c r="O10" s="7">
        <v>6.13E-2</v>
      </c>
      <c r="P10">
        <v>71.77</v>
      </c>
      <c r="Q10">
        <f t="shared" si="0"/>
        <v>29</v>
      </c>
    </row>
    <row r="11" spans="1:17" x14ac:dyDescent="0.25">
      <c r="A11">
        <v>2015</v>
      </c>
      <c r="B11" t="s">
        <v>107</v>
      </c>
      <c r="C11" t="s">
        <v>90</v>
      </c>
      <c r="D11" t="s">
        <v>22</v>
      </c>
      <c r="E11">
        <v>2014</v>
      </c>
      <c r="F11" s="1">
        <v>41886</v>
      </c>
      <c r="G11" s="1">
        <v>41915</v>
      </c>
      <c r="H11" s="2">
        <v>409680</v>
      </c>
      <c r="I11" s="3">
        <v>24322.25</v>
      </c>
      <c r="J11">
        <v>738</v>
      </c>
      <c r="K11">
        <v>751</v>
      </c>
      <c r="L11" t="s">
        <v>13</v>
      </c>
      <c r="M11" s="4">
        <v>14126.9</v>
      </c>
      <c r="N11" s="3">
        <v>838.7</v>
      </c>
      <c r="O11" s="7">
        <v>5.9400000000000001E-2</v>
      </c>
      <c r="P11">
        <v>78.38</v>
      </c>
      <c r="Q11">
        <f t="shared" si="0"/>
        <v>29</v>
      </c>
    </row>
    <row r="12" spans="1:17" x14ac:dyDescent="0.25">
      <c r="A12">
        <v>2015</v>
      </c>
      <c r="B12" t="s">
        <v>107</v>
      </c>
      <c r="C12" t="s">
        <v>90</v>
      </c>
      <c r="D12" t="s">
        <v>23</v>
      </c>
      <c r="E12">
        <v>2014</v>
      </c>
      <c r="F12" s="1">
        <v>41856</v>
      </c>
      <c r="G12" s="1">
        <v>41886</v>
      </c>
      <c r="H12" s="2">
        <v>439920</v>
      </c>
      <c r="I12" s="3">
        <v>25719.69</v>
      </c>
      <c r="J12">
        <v>741</v>
      </c>
      <c r="K12">
        <v>751</v>
      </c>
      <c r="L12" t="s">
        <v>13</v>
      </c>
      <c r="M12" s="4">
        <v>14664</v>
      </c>
      <c r="N12" s="3">
        <v>857.32</v>
      </c>
      <c r="O12" s="7">
        <v>5.8500000000000003E-2</v>
      </c>
      <c r="P12">
        <v>81.36</v>
      </c>
      <c r="Q12">
        <f t="shared" si="0"/>
        <v>30</v>
      </c>
    </row>
    <row r="13" spans="1:17" x14ac:dyDescent="0.25">
      <c r="A13">
        <v>2015</v>
      </c>
      <c r="B13" t="s">
        <v>107</v>
      </c>
      <c r="C13" t="s">
        <v>90</v>
      </c>
      <c r="D13" t="s">
        <v>24</v>
      </c>
      <c r="E13">
        <v>2014</v>
      </c>
      <c r="F13" s="1">
        <v>41827</v>
      </c>
      <c r="G13" s="1">
        <v>41856</v>
      </c>
      <c r="H13" s="2">
        <v>420480</v>
      </c>
      <c r="I13" s="3">
        <v>24898.51</v>
      </c>
      <c r="J13">
        <v>730</v>
      </c>
      <c r="K13">
        <v>755</v>
      </c>
      <c r="L13" t="s">
        <v>13</v>
      </c>
      <c r="M13" s="4">
        <v>14499.31</v>
      </c>
      <c r="N13" s="3">
        <v>858.57</v>
      </c>
      <c r="O13" s="7">
        <v>5.9200000000000003E-2</v>
      </c>
      <c r="P13">
        <v>80.02</v>
      </c>
      <c r="Q13">
        <f t="shared" si="0"/>
        <v>29</v>
      </c>
    </row>
    <row r="14" spans="1:17" x14ac:dyDescent="0.25">
      <c r="A14">
        <v>2014</v>
      </c>
      <c r="B14" t="s">
        <v>104</v>
      </c>
      <c r="C14" t="s">
        <v>90</v>
      </c>
      <c r="D14" t="s">
        <v>12</v>
      </c>
      <c r="E14">
        <v>2014</v>
      </c>
      <c r="F14" s="1">
        <v>41795</v>
      </c>
      <c r="G14" s="1">
        <v>41827</v>
      </c>
      <c r="H14" s="2">
        <v>475200</v>
      </c>
      <c r="I14" s="3">
        <v>28189.55</v>
      </c>
      <c r="J14">
        <v>751</v>
      </c>
      <c r="K14">
        <v>755</v>
      </c>
      <c r="L14" t="s">
        <v>13</v>
      </c>
      <c r="M14" s="4">
        <v>14850</v>
      </c>
      <c r="N14" s="3">
        <v>880.92</v>
      </c>
      <c r="O14" s="7">
        <v>5.9299999999999999E-2</v>
      </c>
      <c r="P14">
        <v>81.95</v>
      </c>
      <c r="Q14">
        <f t="shared" si="0"/>
        <v>32</v>
      </c>
    </row>
    <row r="15" spans="1:17" x14ac:dyDescent="0.25">
      <c r="A15">
        <v>2014</v>
      </c>
      <c r="B15" t="s">
        <v>104</v>
      </c>
      <c r="C15" t="s">
        <v>90</v>
      </c>
      <c r="D15" t="s">
        <v>14</v>
      </c>
      <c r="E15">
        <v>2014</v>
      </c>
      <c r="F15" s="1">
        <v>41765</v>
      </c>
      <c r="G15" s="1">
        <v>41795</v>
      </c>
      <c r="H15" s="2">
        <v>432000</v>
      </c>
      <c r="I15" s="3">
        <v>25512.66</v>
      </c>
      <c r="J15">
        <v>712</v>
      </c>
      <c r="K15">
        <v>755</v>
      </c>
      <c r="L15" t="s">
        <v>13</v>
      </c>
      <c r="M15" s="4">
        <v>14400</v>
      </c>
      <c r="N15" s="3">
        <v>850.42</v>
      </c>
      <c r="O15" s="7">
        <v>5.91E-2</v>
      </c>
      <c r="P15">
        <v>79.47</v>
      </c>
      <c r="Q15">
        <f t="shared" si="0"/>
        <v>30</v>
      </c>
    </row>
    <row r="16" spans="1:17" x14ac:dyDescent="0.25">
      <c r="A16">
        <v>2014</v>
      </c>
      <c r="B16" t="s">
        <v>104</v>
      </c>
      <c r="C16" t="s">
        <v>90</v>
      </c>
      <c r="D16" t="s">
        <v>15</v>
      </c>
      <c r="E16">
        <v>2014</v>
      </c>
      <c r="F16" s="1">
        <v>41733</v>
      </c>
      <c r="G16" s="1">
        <v>41765</v>
      </c>
      <c r="H16" s="2">
        <v>385200</v>
      </c>
      <c r="I16" s="3">
        <v>24233.37</v>
      </c>
      <c r="J16">
        <v>679</v>
      </c>
      <c r="K16">
        <v>755</v>
      </c>
      <c r="L16" t="s">
        <v>13</v>
      </c>
      <c r="M16" s="4">
        <v>12037.5</v>
      </c>
      <c r="N16" s="3">
        <v>757.29</v>
      </c>
      <c r="O16" s="7">
        <v>6.2899999999999998E-2</v>
      </c>
      <c r="P16">
        <v>66.430000000000007</v>
      </c>
      <c r="Q16">
        <f t="shared" si="0"/>
        <v>32</v>
      </c>
    </row>
    <row r="17" spans="1:17" x14ac:dyDescent="0.25">
      <c r="A17">
        <v>2014</v>
      </c>
      <c r="B17" t="s">
        <v>105</v>
      </c>
      <c r="C17" t="s">
        <v>90</v>
      </c>
      <c r="D17" t="s">
        <v>16</v>
      </c>
      <c r="E17">
        <v>2014</v>
      </c>
      <c r="F17" s="1">
        <v>41703</v>
      </c>
      <c r="G17" s="1">
        <v>41733</v>
      </c>
      <c r="H17" s="2">
        <v>341280</v>
      </c>
      <c r="I17" s="3">
        <v>22044.68</v>
      </c>
      <c r="J17">
        <v>679</v>
      </c>
      <c r="K17">
        <v>755</v>
      </c>
      <c r="L17" t="s">
        <v>13</v>
      </c>
      <c r="M17" s="4">
        <v>11376</v>
      </c>
      <c r="N17" s="3">
        <v>734.82</v>
      </c>
      <c r="O17" s="7">
        <v>6.4600000000000005E-2</v>
      </c>
      <c r="P17">
        <v>62.78</v>
      </c>
      <c r="Q17">
        <f t="shared" si="0"/>
        <v>30</v>
      </c>
    </row>
    <row r="18" spans="1:17" x14ac:dyDescent="0.25">
      <c r="A18">
        <v>2014</v>
      </c>
      <c r="B18" t="s">
        <v>105</v>
      </c>
      <c r="C18" t="s">
        <v>90</v>
      </c>
      <c r="D18" t="s">
        <v>17</v>
      </c>
      <c r="E18">
        <v>2014</v>
      </c>
      <c r="F18" s="1">
        <v>41674</v>
      </c>
      <c r="G18" s="1">
        <v>41703</v>
      </c>
      <c r="H18" s="2">
        <v>339840</v>
      </c>
      <c r="I18" s="3">
        <v>21647.35</v>
      </c>
      <c r="J18">
        <v>679</v>
      </c>
      <c r="K18">
        <v>755</v>
      </c>
      <c r="L18" t="s">
        <v>13</v>
      </c>
      <c r="M18" s="4">
        <v>11718.62</v>
      </c>
      <c r="N18" s="3">
        <v>746.46</v>
      </c>
      <c r="O18" s="7">
        <v>6.3700000000000007E-2</v>
      </c>
      <c r="P18">
        <v>64.67</v>
      </c>
      <c r="Q18">
        <f t="shared" si="0"/>
        <v>29</v>
      </c>
    </row>
    <row r="19" spans="1:17" x14ac:dyDescent="0.25">
      <c r="A19">
        <v>2014</v>
      </c>
      <c r="B19" t="s">
        <v>105</v>
      </c>
      <c r="C19" t="s">
        <v>90</v>
      </c>
      <c r="D19" t="s">
        <v>18</v>
      </c>
      <c r="E19">
        <v>2014</v>
      </c>
      <c r="F19" s="1">
        <v>41645</v>
      </c>
      <c r="G19" s="1">
        <v>41674</v>
      </c>
      <c r="H19" s="2">
        <v>343440</v>
      </c>
      <c r="I19" s="3">
        <v>21769.64</v>
      </c>
      <c r="J19">
        <v>679</v>
      </c>
      <c r="K19">
        <v>755</v>
      </c>
      <c r="L19" t="s">
        <v>13</v>
      </c>
      <c r="M19" s="4">
        <v>11842.76</v>
      </c>
      <c r="N19" s="3">
        <v>750.68</v>
      </c>
      <c r="O19" s="7">
        <v>6.3399999999999998E-2</v>
      </c>
      <c r="P19">
        <v>65.36</v>
      </c>
      <c r="Q19">
        <f t="shared" si="0"/>
        <v>29</v>
      </c>
    </row>
    <row r="20" spans="1:17" x14ac:dyDescent="0.25">
      <c r="A20">
        <v>2014</v>
      </c>
      <c r="B20" t="s">
        <v>106</v>
      </c>
      <c r="C20" t="s">
        <v>90</v>
      </c>
      <c r="D20" t="s">
        <v>19</v>
      </c>
      <c r="E20">
        <v>2013</v>
      </c>
      <c r="F20" s="1">
        <v>41612</v>
      </c>
      <c r="G20" s="1">
        <v>41645</v>
      </c>
      <c r="H20" s="2">
        <v>406800</v>
      </c>
      <c r="I20" s="3">
        <v>25262.26</v>
      </c>
      <c r="J20">
        <v>679</v>
      </c>
      <c r="K20">
        <v>755</v>
      </c>
      <c r="L20" t="s">
        <v>13</v>
      </c>
      <c r="M20" s="4">
        <v>12327.27</v>
      </c>
      <c r="N20" s="3">
        <v>765.52</v>
      </c>
      <c r="O20" s="7">
        <v>6.2100000000000002E-2</v>
      </c>
      <c r="P20">
        <v>68.03</v>
      </c>
      <c r="Q20">
        <f t="shared" si="0"/>
        <v>33</v>
      </c>
    </row>
    <row r="21" spans="1:17" x14ac:dyDescent="0.25">
      <c r="A21">
        <v>2014</v>
      </c>
      <c r="B21" t="s">
        <v>106</v>
      </c>
      <c r="C21" t="s">
        <v>90</v>
      </c>
      <c r="D21" t="s">
        <v>20</v>
      </c>
      <c r="E21">
        <v>2013</v>
      </c>
      <c r="F21" s="1">
        <v>41579</v>
      </c>
      <c r="G21" s="1">
        <v>41612</v>
      </c>
      <c r="H21" s="2">
        <v>423360</v>
      </c>
      <c r="I21" s="3">
        <v>25810.31</v>
      </c>
      <c r="J21">
        <v>679</v>
      </c>
      <c r="K21">
        <v>755</v>
      </c>
      <c r="L21" t="s">
        <v>13</v>
      </c>
      <c r="M21" s="4">
        <v>12829.09</v>
      </c>
      <c r="N21" s="3">
        <v>782.13</v>
      </c>
      <c r="O21" s="7">
        <v>6.0999999999999999E-2</v>
      </c>
      <c r="P21">
        <v>70.8</v>
      </c>
      <c r="Q21">
        <f t="shared" si="0"/>
        <v>33</v>
      </c>
    </row>
    <row r="22" spans="1:17" x14ac:dyDescent="0.25">
      <c r="A22">
        <v>2014</v>
      </c>
      <c r="B22" t="s">
        <v>106</v>
      </c>
      <c r="C22" t="s">
        <v>90</v>
      </c>
      <c r="D22" t="s">
        <v>21</v>
      </c>
      <c r="E22">
        <v>2013</v>
      </c>
      <c r="F22" s="1">
        <v>41550</v>
      </c>
      <c r="G22" s="1">
        <v>41579</v>
      </c>
      <c r="H22" s="2">
        <v>397440</v>
      </c>
      <c r="I22" s="3">
        <v>23981.69</v>
      </c>
      <c r="J22">
        <v>718</v>
      </c>
      <c r="K22">
        <v>755</v>
      </c>
      <c r="L22" t="s">
        <v>13</v>
      </c>
      <c r="M22" s="4">
        <v>13704.83</v>
      </c>
      <c r="N22" s="3">
        <v>826.95</v>
      </c>
      <c r="O22" s="7">
        <v>6.0299999999999999E-2</v>
      </c>
      <c r="P22">
        <v>75.63</v>
      </c>
      <c r="Q22">
        <f t="shared" si="0"/>
        <v>29</v>
      </c>
    </row>
    <row r="23" spans="1:17" x14ac:dyDescent="0.25">
      <c r="A23">
        <v>2014</v>
      </c>
      <c r="B23" t="s">
        <v>107</v>
      </c>
      <c r="C23" t="s">
        <v>90</v>
      </c>
      <c r="D23" t="s">
        <v>22</v>
      </c>
      <c r="E23">
        <v>2013</v>
      </c>
      <c r="F23" s="1">
        <v>41520</v>
      </c>
      <c r="G23" s="1">
        <v>41550</v>
      </c>
      <c r="H23" s="2">
        <v>390240</v>
      </c>
      <c r="I23" s="3">
        <v>23645.41</v>
      </c>
      <c r="J23">
        <v>679</v>
      </c>
      <c r="K23">
        <v>755</v>
      </c>
      <c r="L23" t="s">
        <v>13</v>
      </c>
      <c r="M23" s="4">
        <v>13008</v>
      </c>
      <c r="N23" s="3">
        <v>788.18</v>
      </c>
      <c r="O23" s="7">
        <v>6.0600000000000001E-2</v>
      </c>
      <c r="P23">
        <v>71.790000000000006</v>
      </c>
      <c r="Q23">
        <f t="shared" si="0"/>
        <v>30</v>
      </c>
    </row>
    <row r="24" spans="1:17" x14ac:dyDescent="0.25">
      <c r="A24">
        <v>2014</v>
      </c>
      <c r="B24" t="s">
        <v>107</v>
      </c>
      <c r="C24" t="s">
        <v>90</v>
      </c>
      <c r="D24" t="s">
        <v>23</v>
      </c>
      <c r="E24">
        <v>2013</v>
      </c>
      <c r="F24" s="1">
        <v>41491</v>
      </c>
      <c r="G24" s="1">
        <v>41520</v>
      </c>
      <c r="H24" s="2">
        <v>396720</v>
      </c>
      <c r="I24" s="3">
        <v>24375.96</v>
      </c>
      <c r="J24">
        <v>755</v>
      </c>
      <c r="K24">
        <v>755.6</v>
      </c>
      <c r="L24" t="s">
        <v>13</v>
      </c>
      <c r="M24" s="4">
        <v>13680</v>
      </c>
      <c r="N24" s="3">
        <v>840.55</v>
      </c>
      <c r="O24" s="7">
        <v>6.1400000000000003E-2</v>
      </c>
      <c r="P24">
        <v>75.44</v>
      </c>
      <c r="Q24">
        <f t="shared" si="0"/>
        <v>29</v>
      </c>
    </row>
    <row r="25" spans="1:17" x14ac:dyDescent="0.25">
      <c r="A25">
        <v>2014</v>
      </c>
      <c r="B25" t="s">
        <v>107</v>
      </c>
      <c r="C25" t="s">
        <v>90</v>
      </c>
      <c r="D25" t="s">
        <v>24</v>
      </c>
      <c r="E25">
        <v>2013</v>
      </c>
      <c r="F25" s="1">
        <v>41460</v>
      </c>
      <c r="G25" s="1">
        <v>41491</v>
      </c>
      <c r="H25" s="2">
        <v>444960</v>
      </c>
      <c r="I25" s="3">
        <v>25864.240000000002</v>
      </c>
      <c r="J25">
        <v>688</v>
      </c>
      <c r="K25">
        <v>703</v>
      </c>
      <c r="L25" t="s">
        <v>13</v>
      </c>
      <c r="M25" s="4">
        <v>14353.55</v>
      </c>
      <c r="N25" s="3">
        <v>834.33</v>
      </c>
      <c r="O25" s="7">
        <v>5.8099999999999999E-2</v>
      </c>
      <c r="P25">
        <v>85.07</v>
      </c>
      <c r="Q25">
        <f t="shared" si="0"/>
        <v>31</v>
      </c>
    </row>
    <row r="26" spans="1:17" x14ac:dyDescent="0.25">
      <c r="A26">
        <v>2013</v>
      </c>
      <c r="B26" t="s">
        <v>104</v>
      </c>
      <c r="C26" t="s">
        <v>90</v>
      </c>
      <c r="D26" t="s">
        <v>12</v>
      </c>
      <c r="E26">
        <v>2013</v>
      </c>
      <c r="F26" s="1">
        <v>41430</v>
      </c>
      <c r="G26" s="1">
        <v>41460</v>
      </c>
      <c r="H26" s="2">
        <v>417600</v>
      </c>
      <c r="I26" s="3">
        <v>25781.62</v>
      </c>
      <c r="J26">
        <v>703</v>
      </c>
      <c r="K26">
        <v>705</v>
      </c>
      <c r="L26" t="s">
        <v>13</v>
      </c>
      <c r="M26" s="4">
        <v>13920</v>
      </c>
      <c r="N26" s="3">
        <v>859.39</v>
      </c>
      <c r="O26" s="7">
        <v>6.1699999999999998E-2</v>
      </c>
      <c r="P26">
        <v>82.27</v>
      </c>
      <c r="Q26">
        <f t="shared" si="0"/>
        <v>30</v>
      </c>
    </row>
    <row r="27" spans="1:17" x14ac:dyDescent="0.25">
      <c r="A27">
        <v>2013</v>
      </c>
      <c r="B27" t="s">
        <v>104</v>
      </c>
      <c r="C27" t="s">
        <v>90</v>
      </c>
      <c r="D27" t="s">
        <v>14</v>
      </c>
      <c r="E27">
        <v>2013</v>
      </c>
      <c r="F27" s="1">
        <v>41397</v>
      </c>
      <c r="G27" s="1">
        <v>41430</v>
      </c>
      <c r="H27" s="2">
        <v>433440</v>
      </c>
      <c r="I27" s="3">
        <v>26752.6</v>
      </c>
      <c r="J27">
        <v>634</v>
      </c>
      <c r="K27">
        <v>705</v>
      </c>
      <c r="L27" t="s">
        <v>13</v>
      </c>
      <c r="M27" s="4">
        <v>13134.55</v>
      </c>
      <c r="N27" s="3">
        <v>810.68</v>
      </c>
      <c r="O27" s="7">
        <v>6.1699999999999998E-2</v>
      </c>
      <c r="P27">
        <v>77.63</v>
      </c>
      <c r="Q27">
        <f t="shared" si="0"/>
        <v>33</v>
      </c>
    </row>
    <row r="28" spans="1:17" x14ac:dyDescent="0.25">
      <c r="A28">
        <v>2013</v>
      </c>
      <c r="B28" t="s">
        <v>104</v>
      </c>
      <c r="C28" t="s">
        <v>90</v>
      </c>
      <c r="D28" t="s">
        <v>15</v>
      </c>
      <c r="E28">
        <v>2013</v>
      </c>
      <c r="F28" s="1">
        <v>41369</v>
      </c>
      <c r="G28" s="1">
        <v>41397</v>
      </c>
      <c r="H28" s="2">
        <v>345600</v>
      </c>
      <c r="I28" s="3">
        <v>21873.439999999999</v>
      </c>
      <c r="J28">
        <v>634</v>
      </c>
      <c r="K28">
        <v>705</v>
      </c>
      <c r="L28" t="s">
        <v>13</v>
      </c>
      <c r="M28" s="4">
        <v>12342.86</v>
      </c>
      <c r="N28" s="3">
        <v>781.19</v>
      </c>
      <c r="O28" s="7">
        <v>6.3299999999999995E-2</v>
      </c>
      <c r="P28">
        <v>72.95</v>
      </c>
      <c r="Q28">
        <f t="shared" si="0"/>
        <v>28</v>
      </c>
    </row>
    <row r="29" spans="1:17" x14ac:dyDescent="0.25">
      <c r="A29">
        <v>2013</v>
      </c>
      <c r="B29" t="s">
        <v>105</v>
      </c>
      <c r="C29" t="s">
        <v>90</v>
      </c>
      <c r="D29" t="s">
        <v>16</v>
      </c>
      <c r="E29">
        <v>2013</v>
      </c>
      <c r="F29" s="1">
        <v>41339</v>
      </c>
      <c r="G29" s="1">
        <v>41369</v>
      </c>
      <c r="H29" s="2">
        <v>357840</v>
      </c>
      <c r="I29" s="3">
        <v>22972.23</v>
      </c>
      <c r="J29">
        <v>634</v>
      </c>
      <c r="K29">
        <v>705</v>
      </c>
      <c r="L29" t="s">
        <v>13</v>
      </c>
      <c r="M29" s="4">
        <v>11928</v>
      </c>
      <c r="N29" s="3">
        <v>765.74</v>
      </c>
      <c r="O29" s="7">
        <v>6.4199999999999993E-2</v>
      </c>
      <c r="P29">
        <v>70.5</v>
      </c>
      <c r="Q29">
        <f t="shared" si="0"/>
        <v>30</v>
      </c>
    </row>
    <row r="30" spans="1:17" x14ac:dyDescent="0.25">
      <c r="A30">
        <v>2013</v>
      </c>
      <c r="B30" t="s">
        <v>105</v>
      </c>
      <c r="C30" t="s">
        <v>90</v>
      </c>
      <c r="D30" t="s">
        <v>17</v>
      </c>
      <c r="E30">
        <v>2013</v>
      </c>
      <c r="F30" s="1">
        <v>41310</v>
      </c>
      <c r="G30" s="1">
        <v>41339</v>
      </c>
      <c r="H30" s="2">
        <v>358560</v>
      </c>
      <c r="I30" s="3">
        <v>22677.66</v>
      </c>
      <c r="J30">
        <v>634</v>
      </c>
      <c r="K30">
        <v>705</v>
      </c>
      <c r="L30" t="s">
        <v>13</v>
      </c>
      <c r="M30" s="4">
        <v>12364.14</v>
      </c>
      <c r="N30" s="3">
        <v>781.99</v>
      </c>
      <c r="O30" s="7">
        <v>6.3200000000000006E-2</v>
      </c>
      <c r="P30">
        <v>73.069999999999993</v>
      </c>
      <c r="Q30">
        <f t="shared" si="0"/>
        <v>29</v>
      </c>
    </row>
    <row r="31" spans="1:17" x14ac:dyDescent="0.25">
      <c r="A31">
        <v>2013</v>
      </c>
      <c r="B31" t="s">
        <v>105</v>
      </c>
      <c r="C31" t="s">
        <v>90</v>
      </c>
      <c r="D31" t="s">
        <v>18</v>
      </c>
      <c r="E31">
        <v>2013</v>
      </c>
      <c r="F31" s="1">
        <v>41281</v>
      </c>
      <c r="G31" s="1">
        <v>41310</v>
      </c>
      <c r="H31" s="2">
        <v>358560</v>
      </c>
      <c r="I31" s="3">
        <v>22677.66</v>
      </c>
      <c r="J31">
        <v>634</v>
      </c>
      <c r="K31">
        <v>705</v>
      </c>
      <c r="L31" t="s">
        <v>13</v>
      </c>
      <c r="M31" s="4">
        <v>12364.14</v>
      </c>
      <c r="N31" s="3">
        <v>781.99</v>
      </c>
      <c r="O31" s="7">
        <v>6.3200000000000006E-2</v>
      </c>
      <c r="P31">
        <v>73.069999999999993</v>
      </c>
      <c r="Q31">
        <f t="shared" si="0"/>
        <v>29</v>
      </c>
    </row>
    <row r="32" spans="1:17" x14ac:dyDescent="0.25">
      <c r="A32">
        <v>2013</v>
      </c>
      <c r="B32" t="s">
        <v>106</v>
      </c>
      <c r="C32" t="s">
        <v>90</v>
      </c>
      <c r="D32" t="s">
        <v>19</v>
      </c>
      <c r="E32">
        <v>2012</v>
      </c>
      <c r="F32" s="1">
        <v>41248</v>
      </c>
      <c r="G32" s="1">
        <v>41281</v>
      </c>
      <c r="H32" s="2">
        <v>410400</v>
      </c>
      <c r="I32" s="3">
        <v>25871.74</v>
      </c>
      <c r="J32">
        <v>634</v>
      </c>
      <c r="K32">
        <v>705</v>
      </c>
      <c r="L32" t="s">
        <v>13</v>
      </c>
      <c r="M32" s="4">
        <v>12436.36</v>
      </c>
      <c r="N32" s="3">
        <v>783.99</v>
      </c>
      <c r="O32" s="7">
        <v>6.3E-2</v>
      </c>
      <c r="P32">
        <v>73.5</v>
      </c>
      <c r="Q32">
        <f t="shared" si="0"/>
        <v>33</v>
      </c>
    </row>
    <row r="33" spans="1:17" x14ac:dyDescent="0.25">
      <c r="A33">
        <v>2013</v>
      </c>
      <c r="B33" t="s">
        <v>106</v>
      </c>
      <c r="C33" t="s">
        <v>90</v>
      </c>
      <c r="D33" t="s">
        <v>20</v>
      </c>
      <c r="E33">
        <v>2012</v>
      </c>
      <c r="F33" s="1">
        <v>41214</v>
      </c>
      <c r="G33" s="1">
        <v>41248</v>
      </c>
      <c r="H33" s="2">
        <v>404640</v>
      </c>
      <c r="I33" s="3">
        <v>26779.57</v>
      </c>
      <c r="J33">
        <v>634</v>
      </c>
      <c r="K33">
        <v>705</v>
      </c>
      <c r="L33" t="s">
        <v>13</v>
      </c>
      <c r="M33" s="4">
        <v>11901.18</v>
      </c>
      <c r="N33" s="3">
        <v>787.63</v>
      </c>
      <c r="O33" s="7">
        <v>6.6199999999999995E-2</v>
      </c>
      <c r="P33">
        <v>70.34</v>
      </c>
      <c r="Q33">
        <f t="shared" si="0"/>
        <v>34</v>
      </c>
    </row>
    <row r="34" spans="1:17" x14ac:dyDescent="0.25">
      <c r="A34">
        <v>2013</v>
      </c>
      <c r="B34" t="s">
        <v>106</v>
      </c>
      <c r="C34" t="s">
        <v>90</v>
      </c>
      <c r="D34" t="s">
        <v>21</v>
      </c>
      <c r="E34">
        <v>2012</v>
      </c>
      <c r="F34" s="1">
        <v>41185</v>
      </c>
      <c r="G34" s="1">
        <v>41214</v>
      </c>
      <c r="H34" s="2">
        <v>356400</v>
      </c>
      <c r="I34" s="3">
        <v>23260.27</v>
      </c>
      <c r="J34">
        <v>634</v>
      </c>
      <c r="K34">
        <v>705</v>
      </c>
      <c r="L34" t="s">
        <v>13</v>
      </c>
      <c r="M34" s="4">
        <v>12289.66</v>
      </c>
      <c r="N34" s="3">
        <v>802.08</v>
      </c>
      <c r="O34" s="7">
        <v>6.5299999999999997E-2</v>
      </c>
      <c r="P34">
        <v>72.63</v>
      </c>
      <c r="Q34">
        <f t="shared" ref="Q34:Q61" si="1">G34-F34</f>
        <v>29</v>
      </c>
    </row>
    <row r="35" spans="1:17" x14ac:dyDescent="0.25">
      <c r="A35">
        <v>2013</v>
      </c>
      <c r="B35" t="s">
        <v>107</v>
      </c>
      <c r="C35" t="s">
        <v>90</v>
      </c>
      <c r="D35" t="s">
        <v>22</v>
      </c>
      <c r="E35">
        <v>2012</v>
      </c>
      <c r="F35" s="1">
        <v>41156</v>
      </c>
      <c r="G35" s="1">
        <v>41185</v>
      </c>
      <c r="H35" s="2">
        <v>393120</v>
      </c>
      <c r="I35" s="3">
        <v>25231.02</v>
      </c>
      <c r="J35">
        <v>689</v>
      </c>
      <c r="K35">
        <v>705</v>
      </c>
      <c r="L35" t="s">
        <v>13</v>
      </c>
      <c r="M35" s="4">
        <v>13555.86</v>
      </c>
      <c r="N35" s="3">
        <v>870.03</v>
      </c>
      <c r="O35" s="7">
        <v>6.4199999999999993E-2</v>
      </c>
      <c r="P35">
        <v>80.12</v>
      </c>
      <c r="Q35">
        <f t="shared" si="1"/>
        <v>29</v>
      </c>
    </row>
    <row r="36" spans="1:17" x14ac:dyDescent="0.25">
      <c r="A36">
        <v>2013</v>
      </c>
      <c r="B36" t="s">
        <v>107</v>
      </c>
      <c r="C36" t="s">
        <v>90</v>
      </c>
      <c r="D36" t="s">
        <v>23</v>
      </c>
      <c r="E36">
        <v>2012</v>
      </c>
      <c r="F36" s="1">
        <v>41124</v>
      </c>
      <c r="G36" s="1">
        <v>41156</v>
      </c>
      <c r="H36" s="2">
        <v>462240</v>
      </c>
      <c r="I36" s="3">
        <v>28187.19</v>
      </c>
      <c r="J36">
        <v>689</v>
      </c>
      <c r="K36">
        <v>732</v>
      </c>
      <c r="L36" t="s">
        <v>13</v>
      </c>
      <c r="M36" s="4">
        <v>14445</v>
      </c>
      <c r="N36" s="3">
        <v>880.85</v>
      </c>
      <c r="O36" s="7">
        <v>6.0999999999999999E-2</v>
      </c>
      <c r="P36">
        <v>82.22</v>
      </c>
      <c r="Q36">
        <f t="shared" si="1"/>
        <v>32</v>
      </c>
    </row>
    <row r="37" spans="1:17" x14ac:dyDescent="0.25">
      <c r="A37">
        <v>2013</v>
      </c>
      <c r="B37" t="s">
        <v>107</v>
      </c>
      <c r="C37" t="s">
        <v>90</v>
      </c>
      <c r="D37" t="s">
        <v>24</v>
      </c>
      <c r="E37">
        <v>2012</v>
      </c>
      <c r="F37" s="1">
        <v>41095</v>
      </c>
      <c r="G37" s="1">
        <v>41124</v>
      </c>
      <c r="H37" s="2">
        <v>419760</v>
      </c>
      <c r="I37" s="3">
        <v>25762.13</v>
      </c>
      <c r="J37">
        <v>705</v>
      </c>
      <c r="K37">
        <v>738</v>
      </c>
      <c r="L37" t="s">
        <v>13</v>
      </c>
      <c r="M37" s="4">
        <v>14474.48</v>
      </c>
      <c r="N37" s="3">
        <v>888.35</v>
      </c>
      <c r="O37" s="7">
        <v>6.1400000000000003E-2</v>
      </c>
      <c r="P37">
        <v>81.72</v>
      </c>
      <c r="Q37">
        <f t="shared" si="1"/>
        <v>29</v>
      </c>
    </row>
    <row r="38" spans="1:17" x14ac:dyDescent="0.25">
      <c r="A38">
        <v>2012</v>
      </c>
      <c r="B38" t="s">
        <v>104</v>
      </c>
      <c r="C38" t="s">
        <v>90</v>
      </c>
      <c r="D38" t="s">
        <v>12</v>
      </c>
      <c r="E38">
        <v>2012</v>
      </c>
      <c r="F38" s="1">
        <v>41065</v>
      </c>
      <c r="G38" s="1">
        <v>41095</v>
      </c>
      <c r="H38" s="2">
        <v>416160</v>
      </c>
      <c r="I38" s="3">
        <v>26650.86</v>
      </c>
      <c r="J38">
        <v>692</v>
      </c>
      <c r="K38">
        <v>762</v>
      </c>
      <c r="L38" t="s">
        <v>13</v>
      </c>
      <c r="M38" s="4">
        <v>13872</v>
      </c>
      <c r="N38" s="3">
        <v>888.36</v>
      </c>
      <c r="O38" s="7">
        <v>6.4000000000000001E-2</v>
      </c>
      <c r="P38">
        <v>75.849999999999994</v>
      </c>
      <c r="Q38">
        <f t="shared" si="1"/>
        <v>30</v>
      </c>
    </row>
    <row r="39" spans="1:17" x14ac:dyDescent="0.25">
      <c r="A39">
        <v>2012</v>
      </c>
      <c r="B39" t="s">
        <v>104</v>
      </c>
      <c r="C39" t="s">
        <v>90</v>
      </c>
      <c r="D39" t="s">
        <v>14</v>
      </c>
      <c r="E39">
        <v>2012</v>
      </c>
      <c r="F39" s="1">
        <v>41033</v>
      </c>
      <c r="G39" s="1">
        <v>41065</v>
      </c>
      <c r="H39" s="2">
        <v>431280</v>
      </c>
      <c r="I39" s="3">
        <v>27999</v>
      </c>
      <c r="J39">
        <v>685</v>
      </c>
      <c r="K39">
        <v>762</v>
      </c>
      <c r="L39" t="s">
        <v>13</v>
      </c>
      <c r="M39" s="4">
        <v>13477.5</v>
      </c>
      <c r="N39" s="3">
        <v>874.97</v>
      </c>
      <c r="O39" s="7">
        <v>6.4899999999999999E-2</v>
      </c>
      <c r="P39">
        <v>73.7</v>
      </c>
      <c r="Q39">
        <f t="shared" si="1"/>
        <v>32</v>
      </c>
    </row>
    <row r="40" spans="1:17" x14ac:dyDescent="0.25">
      <c r="A40">
        <v>2012</v>
      </c>
      <c r="B40" t="s">
        <v>104</v>
      </c>
      <c r="C40" t="s">
        <v>90</v>
      </c>
      <c r="D40" t="s">
        <v>15</v>
      </c>
      <c r="E40">
        <v>2012</v>
      </c>
      <c r="F40" s="1">
        <v>41003</v>
      </c>
      <c r="G40" s="1">
        <v>41033</v>
      </c>
      <c r="H40" s="2">
        <v>402480</v>
      </c>
      <c r="I40" s="3">
        <v>26173.52</v>
      </c>
      <c r="J40">
        <v>685</v>
      </c>
      <c r="K40">
        <v>762</v>
      </c>
      <c r="L40" t="s">
        <v>13</v>
      </c>
      <c r="M40" s="4">
        <v>13416</v>
      </c>
      <c r="N40" s="3">
        <v>872.45</v>
      </c>
      <c r="O40" s="7">
        <v>6.5000000000000002E-2</v>
      </c>
      <c r="P40">
        <v>73.36</v>
      </c>
      <c r="Q40">
        <f t="shared" si="1"/>
        <v>30</v>
      </c>
    </row>
    <row r="41" spans="1:17" x14ac:dyDescent="0.25">
      <c r="A41">
        <v>2012</v>
      </c>
      <c r="B41" t="s">
        <v>105</v>
      </c>
      <c r="C41" t="s">
        <v>90</v>
      </c>
      <c r="D41" t="s">
        <v>16</v>
      </c>
      <c r="E41">
        <v>2012</v>
      </c>
      <c r="F41" s="1">
        <v>40974</v>
      </c>
      <c r="G41" s="1">
        <v>41003</v>
      </c>
      <c r="H41" s="2">
        <v>399600</v>
      </c>
      <c r="I41" s="3">
        <v>25864.16</v>
      </c>
      <c r="J41">
        <v>698</v>
      </c>
      <c r="K41">
        <v>762</v>
      </c>
      <c r="L41" t="s">
        <v>13</v>
      </c>
      <c r="M41" s="4">
        <v>13779.31</v>
      </c>
      <c r="N41" s="3">
        <v>891.87</v>
      </c>
      <c r="O41" s="7">
        <v>6.4699999999999994E-2</v>
      </c>
      <c r="P41">
        <v>75.349999999999994</v>
      </c>
      <c r="Q41">
        <f t="shared" si="1"/>
        <v>29</v>
      </c>
    </row>
    <row r="42" spans="1:17" x14ac:dyDescent="0.25">
      <c r="A42">
        <v>2012</v>
      </c>
      <c r="B42" t="s">
        <v>105</v>
      </c>
      <c r="C42" t="s">
        <v>90</v>
      </c>
      <c r="D42" t="s">
        <v>17</v>
      </c>
      <c r="E42">
        <v>2012</v>
      </c>
      <c r="F42" s="1">
        <v>40945</v>
      </c>
      <c r="G42" s="1">
        <v>40974</v>
      </c>
      <c r="H42" s="2">
        <v>380160</v>
      </c>
      <c r="I42" s="3">
        <v>24936.44</v>
      </c>
      <c r="J42">
        <v>685</v>
      </c>
      <c r="K42">
        <v>762</v>
      </c>
      <c r="L42" t="s">
        <v>13</v>
      </c>
      <c r="M42" s="4">
        <v>13108.97</v>
      </c>
      <c r="N42" s="3">
        <v>859.88</v>
      </c>
      <c r="O42" s="7">
        <v>6.5600000000000006E-2</v>
      </c>
      <c r="P42">
        <v>71.680000000000007</v>
      </c>
      <c r="Q42">
        <f t="shared" si="1"/>
        <v>29</v>
      </c>
    </row>
    <row r="43" spans="1:17" x14ac:dyDescent="0.25">
      <c r="A43">
        <v>2012</v>
      </c>
      <c r="B43" t="s">
        <v>105</v>
      </c>
      <c r="C43" t="s">
        <v>90</v>
      </c>
      <c r="D43" t="s">
        <v>18</v>
      </c>
      <c r="E43">
        <v>2012</v>
      </c>
      <c r="F43" s="1">
        <v>40913</v>
      </c>
      <c r="G43" s="1">
        <v>40945</v>
      </c>
      <c r="H43" s="2">
        <v>400320</v>
      </c>
      <c r="I43" s="3">
        <v>26909.97</v>
      </c>
      <c r="J43">
        <v>701</v>
      </c>
      <c r="K43">
        <v>762</v>
      </c>
      <c r="L43" t="s">
        <v>13</v>
      </c>
      <c r="M43" s="4">
        <v>12510</v>
      </c>
      <c r="N43" s="3">
        <v>840.94</v>
      </c>
      <c r="O43" s="7">
        <v>6.7199999999999996E-2</v>
      </c>
      <c r="P43">
        <v>68.41</v>
      </c>
      <c r="Q43">
        <f t="shared" si="1"/>
        <v>32</v>
      </c>
    </row>
    <row r="44" spans="1:17" x14ac:dyDescent="0.25">
      <c r="A44">
        <v>2012</v>
      </c>
      <c r="B44" t="s">
        <v>106</v>
      </c>
      <c r="C44" t="s">
        <v>90</v>
      </c>
      <c r="D44" t="s">
        <v>19</v>
      </c>
      <c r="E44">
        <v>2011</v>
      </c>
      <c r="F44" s="1">
        <v>40883</v>
      </c>
      <c r="G44" s="1">
        <v>40913</v>
      </c>
      <c r="H44" s="2">
        <v>390240</v>
      </c>
      <c r="I44" s="3">
        <v>25523.22</v>
      </c>
      <c r="J44">
        <v>685</v>
      </c>
      <c r="K44">
        <v>762</v>
      </c>
      <c r="L44" t="s">
        <v>13</v>
      </c>
      <c r="M44" s="4">
        <v>13008</v>
      </c>
      <c r="N44" s="3">
        <v>850.77</v>
      </c>
      <c r="O44" s="7">
        <v>6.54E-2</v>
      </c>
      <c r="P44">
        <v>71.13</v>
      </c>
      <c r="Q44">
        <f t="shared" si="1"/>
        <v>30</v>
      </c>
    </row>
    <row r="45" spans="1:17" x14ac:dyDescent="0.25">
      <c r="A45">
        <v>2012</v>
      </c>
      <c r="B45" t="s">
        <v>106</v>
      </c>
      <c r="C45" t="s">
        <v>90</v>
      </c>
      <c r="D45" t="s">
        <v>20</v>
      </c>
      <c r="E45">
        <v>2011</v>
      </c>
      <c r="F45" s="1">
        <v>40849</v>
      </c>
      <c r="G45" s="1">
        <v>40883</v>
      </c>
      <c r="H45" s="2">
        <v>457200</v>
      </c>
      <c r="I45" s="3">
        <v>29504.880000000001</v>
      </c>
      <c r="J45">
        <v>685</v>
      </c>
      <c r="K45">
        <v>762</v>
      </c>
      <c r="L45" t="s">
        <v>13</v>
      </c>
      <c r="M45" s="4">
        <v>13447.06</v>
      </c>
      <c r="N45" s="3">
        <v>867.79</v>
      </c>
      <c r="O45" s="7">
        <v>6.4500000000000002E-2</v>
      </c>
      <c r="P45">
        <v>73.53</v>
      </c>
      <c r="Q45">
        <f t="shared" si="1"/>
        <v>34</v>
      </c>
    </row>
    <row r="46" spans="1:17" x14ac:dyDescent="0.25">
      <c r="A46">
        <v>2012</v>
      </c>
      <c r="B46" t="s">
        <v>106</v>
      </c>
      <c r="C46" t="s">
        <v>90</v>
      </c>
      <c r="D46" t="s">
        <v>21</v>
      </c>
      <c r="E46">
        <v>2011</v>
      </c>
      <c r="F46" s="1">
        <v>40820</v>
      </c>
      <c r="G46" s="1">
        <v>40849</v>
      </c>
      <c r="H46" s="2">
        <v>406080</v>
      </c>
      <c r="I46" s="3">
        <v>25826.97</v>
      </c>
      <c r="J46">
        <v>685</v>
      </c>
      <c r="K46">
        <v>762</v>
      </c>
      <c r="L46" t="s">
        <v>13</v>
      </c>
      <c r="M46" s="4">
        <v>14002.76</v>
      </c>
      <c r="N46" s="3">
        <v>890.58</v>
      </c>
      <c r="O46" s="7">
        <v>6.3600000000000004E-2</v>
      </c>
      <c r="P46">
        <v>76.569999999999993</v>
      </c>
      <c r="Q46">
        <f t="shared" si="1"/>
        <v>29</v>
      </c>
    </row>
    <row r="47" spans="1:17" x14ac:dyDescent="0.25">
      <c r="A47">
        <v>2012</v>
      </c>
      <c r="B47" t="s">
        <v>107</v>
      </c>
      <c r="C47" t="s">
        <v>90</v>
      </c>
      <c r="D47" t="s">
        <v>22</v>
      </c>
      <c r="E47">
        <v>2011</v>
      </c>
      <c r="F47" s="1">
        <v>40788</v>
      </c>
      <c r="G47" s="1">
        <v>40820</v>
      </c>
      <c r="H47" s="2">
        <v>469440</v>
      </c>
      <c r="I47" s="3">
        <v>29884.68</v>
      </c>
      <c r="J47">
        <v>732</v>
      </c>
      <c r="K47">
        <v>762</v>
      </c>
      <c r="L47" t="s">
        <v>13</v>
      </c>
      <c r="M47" s="4">
        <v>14670</v>
      </c>
      <c r="N47" s="3">
        <v>933.9</v>
      </c>
      <c r="O47" s="7">
        <v>6.3700000000000007E-2</v>
      </c>
      <c r="P47">
        <v>80.22</v>
      </c>
      <c r="Q47">
        <f t="shared" si="1"/>
        <v>32</v>
      </c>
    </row>
    <row r="48" spans="1:17" x14ac:dyDescent="0.25">
      <c r="A48">
        <v>2012</v>
      </c>
      <c r="B48" t="s">
        <v>107</v>
      </c>
      <c r="C48" t="s">
        <v>90</v>
      </c>
      <c r="D48" t="s">
        <v>23</v>
      </c>
      <c r="E48">
        <v>2011</v>
      </c>
      <c r="F48" s="1">
        <v>40759</v>
      </c>
      <c r="G48" s="1">
        <v>40788</v>
      </c>
      <c r="H48" s="2">
        <v>448560</v>
      </c>
      <c r="I48" s="3">
        <v>28090.82</v>
      </c>
      <c r="J48">
        <v>738</v>
      </c>
      <c r="K48">
        <v>762</v>
      </c>
      <c r="L48" t="s">
        <v>13</v>
      </c>
      <c r="M48" s="4">
        <v>15467.59</v>
      </c>
      <c r="N48" s="3">
        <v>968.65</v>
      </c>
      <c r="O48" s="7">
        <v>6.2600000000000003E-2</v>
      </c>
      <c r="P48">
        <v>84.58</v>
      </c>
      <c r="Q48">
        <f t="shared" si="1"/>
        <v>29</v>
      </c>
    </row>
    <row r="49" spans="1:17" x14ac:dyDescent="0.25">
      <c r="A49">
        <v>2012</v>
      </c>
      <c r="B49" t="s">
        <v>107</v>
      </c>
      <c r="C49" t="s">
        <v>90</v>
      </c>
      <c r="D49" t="s">
        <v>24</v>
      </c>
      <c r="E49">
        <v>2011</v>
      </c>
      <c r="F49" s="1">
        <v>40730</v>
      </c>
      <c r="G49" s="1">
        <v>40759</v>
      </c>
      <c r="H49" s="2">
        <v>442080</v>
      </c>
      <c r="I49" s="3">
        <v>28073.78</v>
      </c>
      <c r="J49">
        <v>762</v>
      </c>
      <c r="K49">
        <v>770</v>
      </c>
      <c r="L49" t="s">
        <v>13</v>
      </c>
      <c r="M49" s="4">
        <v>15244.14</v>
      </c>
      <c r="N49" s="3">
        <v>968.06</v>
      </c>
      <c r="O49" s="7">
        <v>6.3500000000000001E-2</v>
      </c>
      <c r="P49">
        <v>82.49</v>
      </c>
      <c r="Q49">
        <f t="shared" si="1"/>
        <v>29</v>
      </c>
    </row>
    <row r="50" spans="1:17" x14ac:dyDescent="0.25">
      <c r="A50">
        <v>2011</v>
      </c>
      <c r="B50" t="s">
        <v>104</v>
      </c>
      <c r="C50" t="s">
        <v>90</v>
      </c>
      <c r="D50" t="s">
        <v>12</v>
      </c>
      <c r="E50">
        <v>2011</v>
      </c>
      <c r="F50" s="1">
        <v>40700</v>
      </c>
      <c r="G50" s="1">
        <v>40730</v>
      </c>
      <c r="H50" s="2">
        <v>414000</v>
      </c>
      <c r="I50" s="3">
        <v>24664.54</v>
      </c>
      <c r="J50">
        <v>727</v>
      </c>
      <c r="K50">
        <v>787</v>
      </c>
      <c r="L50" t="s">
        <v>13</v>
      </c>
      <c r="M50" s="4">
        <v>13800</v>
      </c>
      <c r="N50" s="3">
        <v>822.15</v>
      </c>
      <c r="O50" s="7">
        <v>5.96E-2</v>
      </c>
      <c r="P50">
        <v>73.06</v>
      </c>
      <c r="Q50">
        <f t="shared" si="1"/>
        <v>30</v>
      </c>
    </row>
    <row r="51" spans="1:17" x14ac:dyDescent="0.25">
      <c r="A51">
        <v>2011</v>
      </c>
      <c r="B51" t="s">
        <v>104</v>
      </c>
      <c r="C51" t="s">
        <v>90</v>
      </c>
      <c r="D51" t="s">
        <v>14</v>
      </c>
      <c r="E51">
        <v>2011</v>
      </c>
      <c r="F51" s="1">
        <v>40668</v>
      </c>
      <c r="G51" s="1">
        <v>40700</v>
      </c>
      <c r="H51" s="2">
        <v>442800</v>
      </c>
      <c r="I51" s="3">
        <v>25704.04</v>
      </c>
      <c r="J51">
        <v>723</v>
      </c>
      <c r="K51">
        <v>789</v>
      </c>
      <c r="L51" t="s">
        <v>13</v>
      </c>
      <c r="M51" s="4">
        <v>13837.5</v>
      </c>
      <c r="N51" s="3">
        <v>803.25</v>
      </c>
      <c r="O51" s="7">
        <v>5.8000000000000003E-2</v>
      </c>
      <c r="P51">
        <v>73.08</v>
      </c>
      <c r="Q51">
        <f t="shared" si="1"/>
        <v>32</v>
      </c>
    </row>
    <row r="52" spans="1:17" x14ac:dyDescent="0.25">
      <c r="A52">
        <v>2011</v>
      </c>
      <c r="B52" t="s">
        <v>104</v>
      </c>
      <c r="C52" t="s">
        <v>90</v>
      </c>
      <c r="D52" t="s">
        <v>15</v>
      </c>
      <c r="E52">
        <v>2011</v>
      </c>
      <c r="F52" s="1">
        <v>40638</v>
      </c>
      <c r="G52" s="1">
        <v>40668</v>
      </c>
      <c r="H52" s="2">
        <v>406800</v>
      </c>
      <c r="I52" s="3">
        <v>23680.880000000001</v>
      </c>
      <c r="J52">
        <v>710</v>
      </c>
      <c r="K52">
        <v>789</v>
      </c>
      <c r="L52" t="s">
        <v>13</v>
      </c>
      <c r="M52" s="4">
        <v>13560</v>
      </c>
      <c r="N52" s="3">
        <v>789.36</v>
      </c>
      <c r="O52" s="7">
        <v>5.8200000000000002E-2</v>
      </c>
      <c r="P52">
        <v>71.61</v>
      </c>
      <c r="Q52">
        <f t="shared" si="1"/>
        <v>30</v>
      </c>
    </row>
    <row r="53" spans="1:17" x14ac:dyDescent="0.25">
      <c r="A53">
        <v>2011</v>
      </c>
      <c r="B53" t="s">
        <v>105</v>
      </c>
      <c r="C53" t="s">
        <v>90</v>
      </c>
      <c r="D53" t="s">
        <v>16</v>
      </c>
      <c r="E53">
        <v>2011</v>
      </c>
      <c r="F53" s="1">
        <v>40606</v>
      </c>
      <c r="G53" s="1">
        <v>40638</v>
      </c>
      <c r="H53" s="2">
        <v>414000</v>
      </c>
      <c r="I53" s="3">
        <v>23404.15</v>
      </c>
      <c r="J53">
        <v>710</v>
      </c>
      <c r="K53">
        <v>789</v>
      </c>
      <c r="L53" t="s">
        <v>13</v>
      </c>
      <c r="M53" s="4">
        <v>12937.5</v>
      </c>
      <c r="N53" s="3">
        <v>731.38</v>
      </c>
      <c r="O53" s="7">
        <v>5.6500000000000002E-2</v>
      </c>
      <c r="P53">
        <v>68.319999999999993</v>
      </c>
      <c r="Q53">
        <f t="shared" si="1"/>
        <v>32</v>
      </c>
    </row>
    <row r="54" spans="1:17" x14ac:dyDescent="0.25">
      <c r="A54">
        <v>2011</v>
      </c>
      <c r="B54" t="s">
        <v>105</v>
      </c>
      <c r="C54" t="s">
        <v>90</v>
      </c>
      <c r="D54" t="s">
        <v>17</v>
      </c>
      <c r="E54">
        <v>2011</v>
      </c>
      <c r="F54" s="1">
        <v>40578</v>
      </c>
      <c r="G54" s="1">
        <v>40606</v>
      </c>
      <c r="H54" s="2">
        <v>329040</v>
      </c>
      <c r="I54" s="3">
        <v>19153.75</v>
      </c>
      <c r="J54">
        <v>710</v>
      </c>
      <c r="K54">
        <v>789</v>
      </c>
      <c r="L54" t="s">
        <v>13</v>
      </c>
      <c r="M54" s="4">
        <v>11751.43</v>
      </c>
      <c r="N54" s="3">
        <v>684.06</v>
      </c>
      <c r="O54" s="7">
        <v>5.8200000000000002E-2</v>
      </c>
      <c r="P54">
        <v>62.06</v>
      </c>
      <c r="Q54">
        <f t="shared" si="1"/>
        <v>28</v>
      </c>
    </row>
    <row r="55" spans="1:17" x14ac:dyDescent="0.25">
      <c r="A55">
        <v>2011</v>
      </c>
      <c r="B55" t="s">
        <v>105</v>
      </c>
      <c r="C55" t="s">
        <v>90</v>
      </c>
      <c r="D55" t="s">
        <v>18</v>
      </c>
      <c r="E55">
        <v>2011</v>
      </c>
      <c r="F55" s="1">
        <v>40549</v>
      </c>
      <c r="G55" s="1">
        <v>40578</v>
      </c>
      <c r="H55" s="2">
        <v>327600</v>
      </c>
      <c r="I55" s="3">
        <v>19387.21</v>
      </c>
      <c r="J55">
        <v>710</v>
      </c>
      <c r="K55">
        <v>789</v>
      </c>
      <c r="L55" t="s">
        <v>13</v>
      </c>
      <c r="M55" s="4">
        <v>11296.55</v>
      </c>
      <c r="N55" s="3">
        <v>668.52</v>
      </c>
      <c r="O55" s="7">
        <v>5.9200000000000003E-2</v>
      </c>
      <c r="P55">
        <v>59.66</v>
      </c>
      <c r="Q55">
        <f t="shared" si="1"/>
        <v>29</v>
      </c>
    </row>
    <row r="56" spans="1:17" x14ac:dyDescent="0.25">
      <c r="A56">
        <v>2011</v>
      </c>
      <c r="B56" t="s">
        <v>106</v>
      </c>
      <c r="C56" t="s">
        <v>90</v>
      </c>
      <c r="D56" t="s">
        <v>19</v>
      </c>
      <c r="E56">
        <v>2010</v>
      </c>
      <c r="F56" s="1">
        <v>40519</v>
      </c>
      <c r="G56" s="1">
        <v>40549</v>
      </c>
      <c r="H56" s="2">
        <v>350640</v>
      </c>
      <c r="I56" s="3">
        <v>20487.73</v>
      </c>
      <c r="J56">
        <v>710</v>
      </c>
      <c r="K56">
        <v>789</v>
      </c>
      <c r="L56" t="s">
        <v>13</v>
      </c>
      <c r="M56" s="4">
        <v>11688</v>
      </c>
      <c r="N56" s="3">
        <v>682.92</v>
      </c>
      <c r="O56" s="7">
        <v>5.8400000000000001E-2</v>
      </c>
      <c r="P56">
        <v>61.72</v>
      </c>
      <c r="Q56">
        <f t="shared" si="1"/>
        <v>30</v>
      </c>
    </row>
    <row r="57" spans="1:17" x14ac:dyDescent="0.25">
      <c r="A57">
        <v>2011</v>
      </c>
      <c r="B57" t="s">
        <v>106</v>
      </c>
      <c r="C57" t="s">
        <v>90</v>
      </c>
      <c r="D57" t="s">
        <v>20</v>
      </c>
      <c r="E57">
        <v>2010</v>
      </c>
      <c r="F57" s="1">
        <v>40485</v>
      </c>
      <c r="G57" s="1">
        <v>40519</v>
      </c>
      <c r="H57" s="2">
        <v>399600</v>
      </c>
      <c r="I57" s="3">
        <v>23303.85</v>
      </c>
      <c r="J57">
        <v>710</v>
      </c>
      <c r="K57">
        <v>789</v>
      </c>
      <c r="L57" t="s">
        <v>13</v>
      </c>
      <c r="M57" s="4">
        <v>11752.94</v>
      </c>
      <c r="N57" s="3">
        <v>685.41</v>
      </c>
      <c r="O57" s="7">
        <v>5.8299999999999998E-2</v>
      </c>
      <c r="P57">
        <v>62.07</v>
      </c>
      <c r="Q57">
        <f t="shared" si="1"/>
        <v>34</v>
      </c>
    </row>
    <row r="58" spans="1:17" x14ac:dyDescent="0.25">
      <c r="A58">
        <v>2011</v>
      </c>
      <c r="B58" t="s">
        <v>106</v>
      </c>
      <c r="C58" t="s">
        <v>90</v>
      </c>
      <c r="D58" t="s">
        <v>21</v>
      </c>
      <c r="E58">
        <v>2010</v>
      </c>
      <c r="F58" s="1">
        <v>40456</v>
      </c>
      <c r="G58" s="1">
        <v>40485</v>
      </c>
      <c r="H58" s="2">
        <v>380880</v>
      </c>
      <c r="I58" s="3">
        <v>21416.39</v>
      </c>
      <c r="J58">
        <v>730</v>
      </c>
      <c r="K58">
        <v>789</v>
      </c>
      <c r="L58" t="s">
        <v>13</v>
      </c>
      <c r="M58" s="4">
        <v>13133.79</v>
      </c>
      <c r="N58" s="3">
        <v>738.5</v>
      </c>
      <c r="O58" s="7">
        <v>5.62E-2</v>
      </c>
      <c r="P58">
        <v>69.36</v>
      </c>
      <c r="Q58">
        <f t="shared" si="1"/>
        <v>29</v>
      </c>
    </row>
    <row r="59" spans="1:17" x14ac:dyDescent="0.25">
      <c r="A59">
        <v>2011</v>
      </c>
      <c r="B59" t="s">
        <v>107</v>
      </c>
      <c r="C59" t="s">
        <v>90</v>
      </c>
      <c r="D59" t="s">
        <v>22</v>
      </c>
      <c r="E59">
        <v>2010</v>
      </c>
      <c r="F59" s="1">
        <v>40429</v>
      </c>
      <c r="G59" s="1">
        <v>40456</v>
      </c>
      <c r="H59" s="2">
        <v>380880</v>
      </c>
      <c r="I59" s="3">
        <v>21042.02</v>
      </c>
      <c r="J59">
        <v>756</v>
      </c>
      <c r="K59">
        <v>789</v>
      </c>
      <c r="L59" t="s">
        <v>13</v>
      </c>
      <c r="M59" s="4">
        <v>14106.67</v>
      </c>
      <c r="N59" s="3">
        <v>779.33</v>
      </c>
      <c r="O59" s="7">
        <v>5.5199999999999999E-2</v>
      </c>
      <c r="P59">
        <v>74.5</v>
      </c>
      <c r="Q59">
        <f t="shared" si="1"/>
        <v>27</v>
      </c>
    </row>
    <row r="60" spans="1:17" x14ac:dyDescent="0.25">
      <c r="A60">
        <v>2011</v>
      </c>
      <c r="B60" t="s">
        <v>107</v>
      </c>
      <c r="C60" t="s">
        <v>90</v>
      </c>
      <c r="D60" t="s">
        <v>23</v>
      </c>
      <c r="E60">
        <v>2010</v>
      </c>
      <c r="F60" s="1">
        <v>40399</v>
      </c>
      <c r="G60" s="1">
        <v>40429</v>
      </c>
      <c r="H60" s="2">
        <v>478800</v>
      </c>
      <c r="I60" s="3">
        <v>25406.55</v>
      </c>
      <c r="J60">
        <v>770</v>
      </c>
      <c r="K60">
        <v>789</v>
      </c>
      <c r="L60" t="s">
        <v>13</v>
      </c>
      <c r="M60" s="4">
        <v>15960</v>
      </c>
      <c r="N60" s="3">
        <v>846.88</v>
      </c>
      <c r="O60" s="7">
        <v>5.3100000000000001E-2</v>
      </c>
      <c r="P60">
        <v>84.28</v>
      </c>
      <c r="Q60">
        <f t="shared" si="1"/>
        <v>30</v>
      </c>
    </row>
    <row r="61" spans="1:17" x14ac:dyDescent="0.25">
      <c r="A61">
        <v>2011</v>
      </c>
      <c r="B61" t="s">
        <v>107</v>
      </c>
      <c r="C61" t="s">
        <v>90</v>
      </c>
      <c r="D61" t="s">
        <v>24</v>
      </c>
      <c r="E61">
        <v>2010</v>
      </c>
      <c r="F61" s="1">
        <v>40367</v>
      </c>
      <c r="G61" s="1">
        <v>40399</v>
      </c>
      <c r="H61" s="2">
        <v>523440</v>
      </c>
      <c r="I61" s="3">
        <v>27700.66</v>
      </c>
      <c r="J61">
        <v>787</v>
      </c>
      <c r="K61">
        <v>794</v>
      </c>
      <c r="L61" t="s">
        <v>13</v>
      </c>
      <c r="M61" s="4">
        <v>16357.5</v>
      </c>
      <c r="N61" s="3">
        <v>865.65</v>
      </c>
      <c r="O61" s="7">
        <v>5.2900000000000003E-2</v>
      </c>
      <c r="P61">
        <v>85.84</v>
      </c>
      <c r="Q61">
        <f t="shared" si="1"/>
        <v>32</v>
      </c>
    </row>
    <row r="62" spans="1:17" x14ac:dyDescent="0.25">
      <c r="A62">
        <v>2015</v>
      </c>
      <c r="B62" t="s">
        <v>104</v>
      </c>
      <c r="C62" t="s">
        <v>91</v>
      </c>
      <c r="D62" t="s">
        <v>92</v>
      </c>
      <c r="E62">
        <v>2015</v>
      </c>
      <c r="F62" s="1">
        <v>42164</v>
      </c>
      <c r="G62" s="1">
        <f>F62+30</f>
        <v>42194</v>
      </c>
      <c r="H62" s="2">
        <v>10000</v>
      </c>
      <c r="I62">
        <f>H62*0.6954</f>
        <v>6954</v>
      </c>
      <c r="M62">
        <f>H62/Q62</f>
        <v>333.33333333333331</v>
      </c>
      <c r="N62">
        <f>I62/Q62</f>
        <v>231.8</v>
      </c>
      <c r="O62" s="7">
        <f>I62/H62</f>
        <v>0.69540000000000002</v>
      </c>
      <c r="Q62">
        <f t="shared" ref="Q62:Q125" si="2">G62-F62</f>
        <v>30</v>
      </c>
    </row>
    <row r="63" spans="1:17" x14ac:dyDescent="0.25">
      <c r="A63">
        <v>2015</v>
      </c>
      <c r="B63" t="s">
        <v>104</v>
      </c>
      <c r="C63" t="s">
        <v>91</v>
      </c>
      <c r="D63" t="s">
        <v>14</v>
      </c>
      <c r="E63">
        <v>2015</v>
      </c>
      <c r="F63" s="1">
        <v>42132</v>
      </c>
      <c r="G63" s="1">
        <v>42164</v>
      </c>
      <c r="H63" s="2">
        <v>9885</v>
      </c>
      <c r="I63" s="3">
        <v>6873.59</v>
      </c>
      <c r="L63" t="s">
        <v>13</v>
      </c>
      <c r="M63">
        <v>308.89</v>
      </c>
      <c r="N63" s="3">
        <v>214.8</v>
      </c>
      <c r="O63" s="7">
        <v>0.69540000000000002</v>
      </c>
      <c r="Q63">
        <f t="shared" si="2"/>
        <v>32</v>
      </c>
    </row>
    <row r="64" spans="1:17" x14ac:dyDescent="0.25">
      <c r="A64">
        <v>2015</v>
      </c>
      <c r="B64" t="s">
        <v>104</v>
      </c>
      <c r="C64" t="s">
        <v>91</v>
      </c>
      <c r="D64" t="s">
        <v>15</v>
      </c>
      <c r="E64">
        <v>2015</v>
      </c>
      <c r="F64" s="1">
        <v>42103</v>
      </c>
      <c r="G64" s="1">
        <v>42132</v>
      </c>
      <c r="H64" s="2">
        <v>13349</v>
      </c>
      <c r="I64" s="3">
        <v>9037.81</v>
      </c>
      <c r="L64" t="s">
        <v>13</v>
      </c>
      <c r="M64">
        <v>460.3</v>
      </c>
      <c r="N64" s="3">
        <v>311.64999999999998</v>
      </c>
      <c r="O64" s="7">
        <v>0.67710000000000004</v>
      </c>
      <c r="Q64">
        <f t="shared" si="2"/>
        <v>29</v>
      </c>
    </row>
    <row r="65" spans="1:17" x14ac:dyDescent="0.25">
      <c r="A65">
        <v>2015</v>
      </c>
      <c r="B65" t="s">
        <v>105</v>
      </c>
      <c r="C65" t="s">
        <v>91</v>
      </c>
      <c r="D65" t="s">
        <v>16</v>
      </c>
      <c r="E65">
        <v>2015</v>
      </c>
      <c r="F65" s="1">
        <v>42075</v>
      </c>
      <c r="G65" s="1">
        <v>42103</v>
      </c>
      <c r="H65" s="2">
        <v>17119</v>
      </c>
      <c r="I65" s="3">
        <v>11698.69</v>
      </c>
      <c r="L65" t="s">
        <v>13</v>
      </c>
      <c r="M65">
        <v>611.38</v>
      </c>
      <c r="N65" s="3">
        <v>417.81</v>
      </c>
      <c r="O65" s="7">
        <v>0.68340000000000001</v>
      </c>
      <c r="Q65">
        <f t="shared" si="2"/>
        <v>28</v>
      </c>
    </row>
    <row r="66" spans="1:17" x14ac:dyDescent="0.25">
      <c r="A66">
        <v>2015</v>
      </c>
      <c r="B66" t="s">
        <v>105</v>
      </c>
      <c r="C66" t="s">
        <v>91</v>
      </c>
      <c r="D66" t="s">
        <v>17</v>
      </c>
      <c r="E66">
        <v>2015</v>
      </c>
      <c r="F66" s="1">
        <v>42044</v>
      </c>
      <c r="G66" s="1">
        <v>42075</v>
      </c>
      <c r="H66" s="2">
        <v>22920</v>
      </c>
      <c r="I66" s="3">
        <v>16437.689999999999</v>
      </c>
      <c r="L66" t="s">
        <v>13</v>
      </c>
      <c r="M66">
        <v>739.35</v>
      </c>
      <c r="N66" s="3">
        <v>530.25</v>
      </c>
      <c r="O66" s="7">
        <v>0.71719999999999995</v>
      </c>
      <c r="Q66">
        <f t="shared" si="2"/>
        <v>31</v>
      </c>
    </row>
    <row r="67" spans="1:17" x14ac:dyDescent="0.25">
      <c r="A67">
        <v>2015</v>
      </c>
      <c r="B67" t="s">
        <v>105</v>
      </c>
      <c r="C67" t="s">
        <v>91</v>
      </c>
      <c r="D67" t="s">
        <v>18</v>
      </c>
      <c r="E67">
        <v>2015</v>
      </c>
      <c r="F67" s="1">
        <v>42016</v>
      </c>
      <c r="G67" s="1">
        <v>42044</v>
      </c>
      <c r="H67" s="2">
        <v>6053</v>
      </c>
      <c r="I67" s="3">
        <v>4364.8500000000004</v>
      </c>
      <c r="L67" t="s">
        <v>13</v>
      </c>
      <c r="M67">
        <v>216.19</v>
      </c>
      <c r="N67" s="3">
        <v>155.88999999999999</v>
      </c>
      <c r="O67" s="7">
        <v>0.72109999999999996</v>
      </c>
      <c r="Q67">
        <f t="shared" si="2"/>
        <v>28</v>
      </c>
    </row>
    <row r="68" spans="1:17" x14ac:dyDescent="0.25">
      <c r="A68">
        <v>2015</v>
      </c>
      <c r="B68" t="s">
        <v>106</v>
      </c>
      <c r="C68" t="s">
        <v>91</v>
      </c>
      <c r="D68" t="s">
        <v>19</v>
      </c>
      <c r="E68">
        <v>2014</v>
      </c>
      <c r="F68" s="1">
        <v>41982</v>
      </c>
      <c r="G68" s="1">
        <v>42016</v>
      </c>
      <c r="H68" s="2">
        <v>10859</v>
      </c>
      <c r="I68" s="3">
        <v>7872.24</v>
      </c>
      <c r="L68" t="s">
        <v>13</v>
      </c>
      <c r="M68">
        <v>319.37</v>
      </c>
      <c r="N68" s="3">
        <v>231.54</v>
      </c>
      <c r="O68" s="7">
        <v>0.72499999999999998</v>
      </c>
      <c r="Q68">
        <f t="shared" si="2"/>
        <v>34</v>
      </c>
    </row>
    <row r="69" spans="1:17" x14ac:dyDescent="0.25">
      <c r="A69">
        <v>2015</v>
      </c>
      <c r="B69" t="s">
        <v>106</v>
      </c>
      <c r="C69" t="s">
        <v>91</v>
      </c>
      <c r="D69" t="s">
        <v>20</v>
      </c>
      <c r="E69">
        <v>2014</v>
      </c>
      <c r="F69" s="1">
        <v>41948</v>
      </c>
      <c r="G69" s="1">
        <v>41982</v>
      </c>
      <c r="H69" s="2">
        <v>10967</v>
      </c>
      <c r="I69" s="3">
        <v>7956.67</v>
      </c>
      <c r="L69" t="s">
        <v>13</v>
      </c>
      <c r="M69">
        <v>322.56</v>
      </c>
      <c r="N69" s="3">
        <v>234.02</v>
      </c>
      <c r="O69" s="7">
        <v>0.72550000000000003</v>
      </c>
      <c r="Q69">
        <f t="shared" si="2"/>
        <v>34</v>
      </c>
    </row>
    <row r="70" spans="1:17" x14ac:dyDescent="0.25">
      <c r="A70">
        <v>2015</v>
      </c>
      <c r="B70" t="s">
        <v>106</v>
      </c>
      <c r="C70" t="s">
        <v>91</v>
      </c>
      <c r="D70" t="s">
        <v>21</v>
      </c>
      <c r="E70">
        <v>2014</v>
      </c>
      <c r="F70" s="1">
        <v>41919</v>
      </c>
      <c r="G70" s="1">
        <v>41948</v>
      </c>
      <c r="H70" s="2">
        <v>14019</v>
      </c>
      <c r="I70" s="3">
        <v>10214.86</v>
      </c>
      <c r="L70" t="s">
        <v>13</v>
      </c>
      <c r="M70">
        <v>483.42</v>
      </c>
      <c r="N70" s="3">
        <v>352.24</v>
      </c>
      <c r="O70" s="7">
        <v>0.72860000000000003</v>
      </c>
      <c r="Q70">
        <f t="shared" si="2"/>
        <v>29</v>
      </c>
    </row>
    <row r="71" spans="1:17" x14ac:dyDescent="0.25">
      <c r="A71">
        <v>2015</v>
      </c>
      <c r="B71" t="s">
        <v>107</v>
      </c>
      <c r="C71" t="s">
        <v>91</v>
      </c>
      <c r="D71" t="s">
        <v>22</v>
      </c>
      <c r="E71">
        <v>2014</v>
      </c>
      <c r="F71" s="1">
        <v>41890</v>
      </c>
      <c r="G71" s="1">
        <v>41919</v>
      </c>
      <c r="H71" s="2">
        <v>8193</v>
      </c>
      <c r="I71" s="3">
        <v>6559.81</v>
      </c>
      <c r="L71" t="s">
        <v>13</v>
      </c>
      <c r="M71">
        <v>282.51</v>
      </c>
      <c r="N71" s="3">
        <v>226.2</v>
      </c>
      <c r="O71" s="7">
        <v>0.80069999999999997</v>
      </c>
      <c r="Q71">
        <f t="shared" si="2"/>
        <v>29</v>
      </c>
    </row>
    <row r="72" spans="1:17" x14ac:dyDescent="0.25">
      <c r="A72">
        <v>2015</v>
      </c>
      <c r="B72" t="s">
        <v>107</v>
      </c>
      <c r="C72" t="s">
        <v>91</v>
      </c>
      <c r="D72" t="s">
        <v>23</v>
      </c>
      <c r="E72">
        <v>2014</v>
      </c>
      <c r="F72" s="1">
        <v>41858</v>
      </c>
      <c r="G72" s="1">
        <v>41890</v>
      </c>
      <c r="H72" s="2">
        <v>7289</v>
      </c>
      <c r="I72" s="3">
        <v>4616.04</v>
      </c>
      <c r="L72" t="s">
        <v>13</v>
      </c>
      <c r="M72">
        <v>227.77</v>
      </c>
      <c r="N72" s="3">
        <v>144.25</v>
      </c>
      <c r="O72" s="7">
        <v>0.63329999999999997</v>
      </c>
      <c r="Q72">
        <f t="shared" si="2"/>
        <v>32</v>
      </c>
    </row>
    <row r="73" spans="1:17" x14ac:dyDescent="0.25">
      <c r="A73">
        <v>2015</v>
      </c>
      <c r="B73" t="s">
        <v>107</v>
      </c>
      <c r="C73" t="s">
        <v>91</v>
      </c>
      <c r="D73" t="s">
        <v>24</v>
      </c>
      <c r="E73">
        <v>2014</v>
      </c>
      <c r="F73" s="1">
        <v>41829</v>
      </c>
      <c r="G73" s="1">
        <v>41858</v>
      </c>
      <c r="H73" s="2">
        <v>7526</v>
      </c>
      <c r="I73" s="3">
        <v>5495.18</v>
      </c>
      <c r="L73" t="s">
        <v>13</v>
      </c>
      <c r="M73">
        <v>259.5</v>
      </c>
      <c r="N73" s="3">
        <v>189.49</v>
      </c>
      <c r="O73" s="7">
        <v>0.73019999999999996</v>
      </c>
      <c r="Q73">
        <f t="shared" si="2"/>
        <v>29</v>
      </c>
    </row>
    <row r="74" spans="1:17" x14ac:dyDescent="0.25">
      <c r="A74">
        <v>2014</v>
      </c>
      <c r="B74" t="s">
        <v>104</v>
      </c>
      <c r="C74" t="s">
        <v>91</v>
      </c>
      <c r="D74" t="s">
        <v>12</v>
      </c>
      <c r="E74">
        <v>2014</v>
      </c>
      <c r="F74" s="1">
        <v>41799</v>
      </c>
      <c r="G74" s="1">
        <v>41829</v>
      </c>
      <c r="H74" s="2">
        <v>10371</v>
      </c>
      <c r="I74" s="3">
        <v>6938.72</v>
      </c>
      <c r="L74" t="s">
        <v>13</v>
      </c>
      <c r="M74">
        <v>345.69</v>
      </c>
      <c r="N74" s="3">
        <v>231.29</v>
      </c>
      <c r="O74" s="7">
        <v>0.66910000000000003</v>
      </c>
      <c r="Q74">
        <f t="shared" si="2"/>
        <v>30</v>
      </c>
    </row>
    <row r="75" spans="1:17" x14ac:dyDescent="0.25">
      <c r="A75">
        <v>2014</v>
      </c>
      <c r="B75" t="s">
        <v>104</v>
      </c>
      <c r="C75" t="s">
        <v>91</v>
      </c>
      <c r="D75" t="s">
        <v>14</v>
      </c>
      <c r="E75">
        <v>2014</v>
      </c>
      <c r="F75" s="1">
        <v>41767</v>
      </c>
      <c r="G75" s="1">
        <v>41799</v>
      </c>
      <c r="H75" s="2">
        <v>14265</v>
      </c>
      <c r="I75" s="3">
        <v>10302.68</v>
      </c>
      <c r="L75" t="s">
        <v>13</v>
      </c>
      <c r="M75">
        <v>445.78</v>
      </c>
      <c r="N75" s="3">
        <v>321.95999999999998</v>
      </c>
      <c r="O75" s="7">
        <v>0.72219999999999995</v>
      </c>
      <c r="Q75">
        <f t="shared" si="2"/>
        <v>32</v>
      </c>
    </row>
    <row r="76" spans="1:17" x14ac:dyDescent="0.25">
      <c r="A76">
        <v>2014</v>
      </c>
      <c r="B76" t="s">
        <v>104</v>
      </c>
      <c r="C76" t="s">
        <v>91</v>
      </c>
      <c r="D76" t="s">
        <v>15</v>
      </c>
      <c r="E76">
        <v>2014</v>
      </c>
      <c r="F76" s="1">
        <v>41738</v>
      </c>
      <c r="G76" s="1">
        <v>41767</v>
      </c>
      <c r="H76" s="2">
        <v>16573</v>
      </c>
      <c r="I76" s="3">
        <v>11489.22</v>
      </c>
      <c r="L76" t="s">
        <v>13</v>
      </c>
      <c r="M76">
        <v>571.47</v>
      </c>
      <c r="N76" s="3">
        <v>396.18</v>
      </c>
      <c r="O76" s="7">
        <v>0.69330000000000003</v>
      </c>
      <c r="Q76">
        <f t="shared" si="2"/>
        <v>29</v>
      </c>
    </row>
    <row r="77" spans="1:17" x14ac:dyDescent="0.25">
      <c r="A77">
        <v>2014</v>
      </c>
      <c r="B77" t="s">
        <v>105</v>
      </c>
      <c r="C77" t="s">
        <v>91</v>
      </c>
      <c r="D77" t="s">
        <v>16</v>
      </c>
      <c r="E77">
        <v>2014</v>
      </c>
      <c r="F77" s="1">
        <v>41709</v>
      </c>
      <c r="G77" s="1">
        <v>41738</v>
      </c>
      <c r="H77" s="2">
        <v>20609</v>
      </c>
      <c r="I77" s="3">
        <v>14059.5</v>
      </c>
      <c r="L77" t="s">
        <v>13</v>
      </c>
      <c r="M77">
        <v>710.64</v>
      </c>
      <c r="N77" s="3">
        <v>484.81</v>
      </c>
      <c r="O77" s="7">
        <v>0.68220000000000003</v>
      </c>
      <c r="Q77">
        <f t="shared" si="2"/>
        <v>29</v>
      </c>
    </row>
    <row r="78" spans="1:17" x14ac:dyDescent="0.25">
      <c r="A78">
        <v>2014</v>
      </c>
      <c r="B78" t="s">
        <v>105</v>
      </c>
      <c r="C78" t="s">
        <v>91</v>
      </c>
      <c r="D78" t="s">
        <v>17</v>
      </c>
      <c r="E78">
        <v>2014</v>
      </c>
      <c r="F78" s="1">
        <v>41680</v>
      </c>
      <c r="G78" s="1">
        <v>41709</v>
      </c>
      <c r="H78" s="2">
        <v>23048</v>
      </c>
      <c r="I78" s="3">
        <v>16710.87</v>
      </c>
      <c r="L78" t="s">
        <v>13</v>
      </c>
      <c r="M78">
        <v>794.75</v>
      </c>
      <c r="N78" s="3">
        <v>576.24</v>
      </c>
      <c r="O78" s="7">
        <v>0.72509999999999997</v>
      </c>
      <c r="Q78">
        <f t="shared" si="2"/>
        <v>29</v>
      </c>
    </row>
    <row r="79" spans="1:17" x14ac:dyDescent="0.25">
      <c r="A79">
        <v>2014</v>
      </c>
      <c r="B79" t="s">
        <v>105</v>
      </c>
      <c r="C79" t="s">
        <v>91</v>
      </c>
      <c r="D79" t="s">
        <v>18</v>
      </c>
      <c r="E79">
        <v>2014</v>
      </c>
      <c r="F79" s="1">
        <v>41649</v>
      </c>
      <c r="G79" s="1">
        <v>41680</v>
      </c>
      <c r="H79" s="2">
        <v>24857</v>
      </c>
      <c r="I79" s="3">
        <v>17898.830000000002</v>
      </c>
      <c r="L79" t="s">
        <v>13</v>
      </c>
      <c r="M79">
        <v>801.84</v>
      </c>
      <c r="N79" s="3">
        <v>577.38</v>
      </c>
      <c r="O79" s="7">
        <v>0.72009999999999996</v>
      </c>
      <c r="Q79">
        <f t="shared" si="2"/>
        <v>31</v>
      </c>
    </row>
    <row r="80" spans="1:17" x14ac:dyDescent="0.25">
      <c r="A80">
        <v>2014</v>
      </c>
      <c r="B80" t="s">
        <v>106</v>
      </c>
      <c r="C80" t="s">
        <v>91</v>
      </c>
      <c r="D80" t="s">
        <v>19</v>
      </c>
      <c r="E80">
        <v>2013</v>
      </c>
      <c r="F80" s="1">
        <v>41617</v>
      </c>
      <c r="G80" s="1">
        <v>41649</v>
      </c>
      <c r="H80" s="2">
        <v>23817</v>
      </c>
      <c r="I80" s="3">
        <v>17296.509999999998</v>
      </c>
      <c r="L80" t="s">
        <v>13</v>
      </c>
      <c r="M80">
        <v>744.28</v>
      </c>
      <c r="N80" s="3">
        <v>540.52</v>
      </c>
      <c r="O80" s="7">
        <v>0.72619999999999996</v>
      </c>
      <c r="Q80">
        <f t="shared" si="2"/>
        <v>32</v>
      </c>
    </row>
    <row r="81" spans="1:17" x14ac:dyDescent="0.25">
      <c r="A81">
        <v>2014</v>
      </c>
      <c r="B81" t="s">
        <v>106</v>
      </c>
      <c r="C81" t="s">
        <v>91</v>
      </c>
      <c r="D81" t="s">
        <v>20</v>
      </c>
      <c r="E81">
        <v>2013</v>
      </c>
      <c r="F81" s="1">
        <v>41583</v>
      </c>
      <c r="G81" s="1">
        <v>41617</v>
      </c>
      <c r="H81" s="2">
        <v>23630</v>
      </c>
      <c r="I81" s="3">
        <v>16738.77</v>
      </c>
      <c r="L81" t="s">
        <v>13</v>
      </c>
      <c r="M81">
        <v>695.01</v>
      </c>
      <c r="N81" s="3">
        <v>492.32</v>
      </c>
      <c r="O81" s="7">
        <v>0.70840000000000003</v>
      </c>
      <c r="Q81">
        <f t="shared" si="2"/>
        <v>34</v>
      </c>
    </row>
    <row r="82" spans="1:17" x14ac:dyDescent="0.25">
      <c r="A82">
        <v>2014</v>
      </c>
      <c r="B82" t="s">
        <v>106</v>
      </c>
      <c r="C82" t="s">
        <v>91</v>
      </c>
      <c r="D82" t="s">
        <v>21</v>
      </c>
      <c r="E82">
        <v>2013</v>
      </c>
      <c r="F82" s="1">
        <v>41554</v>
      </c>
      <c r="G82" s="1">
        <v>41583</v>
      </c>
      <c r="H82" s="2">
        <v>12038</v>
      </c>
      <c r="I82" s="3">
        <v>8911.66</v>
      </c>
      <c r="L82" t="s">
        <v>13</v>
      </c>
      <c r="M82">
        <v>415.11</v>
      </c>
      <c r="N82" s="3">
        <v>307.3</v>
      </c>
      <c r="O82" s="7">
        <v>0.74029999999999996</v>
      </c>
      <c r="Q82">
        <f t="shared" si="2"/>
        <v>29</v>
      </c>
    </row>
    <row r="83" spans="1:17" x14ac:dyDescent="0.25">
      <c r="A83">
        <v>2014</v>
      </c>
      <c r="B83" t="s">
        <v>107</v>
      </c>
      <c r="C83" t="s">
        <v>91</v>
      </c>
      <c r="D83" t="s">
        <v>22</v>
      </c>
      <c r="E83">
        <v>2013</v>
      </c>
      <c r="F83" s="1">
        <v>41523</v>
      </c>
      <c r="G83" s="1">
        <v>41554</v>
      </c>
      <c r="H83" s="2">
        <v>9216</v>
      </c>
      <c r="I83" s="3">
        <v>7002.64</v>
      </c>
      <c r="L83" t="s">
        <v>13</v>
      </c>
      <c r="M83">
        <v>297.29000000000002</v>
      </c>
      <c r="N83" s="3">
        <v>225.89</v>
      </c>
      <c r="O83" s="7">
        <v>0.75980000000000003</v>
      </c>
      <c r="Q83">
        <f t="shared" si="2"/>
        <v>31</v>
      </c>
    </row>
    <row r="84" spans="1:17" x14ac:dyDescent="0.25">
      <c r="A84">
        <v>2014</v>
      </c>
      <c r="B84" t="s">
        <v>107</v>
      </c>
      <c r="C84" t="s">
        <v>91</v>
      </c>
      <c r="D84" t="s">
        <v>23</v>
      </c>
      <c r="E84">
        <v>2013</v>
      </c>
      <c r="F84" s="1">
        <v>41493</v>
      </c>
      <c r="G84" s="1">
        <v>41523</v>
      </c>
      <c r="H84" s="2">
        <v>6944</v>
      </c>
      <c r="I84" s="3">
        <v>4538.95</v>
      </c>
      <c r="L84" t="s">
        <v>13</v>
      </c>
      <c r="M84">
        <v>231.45</v>
      </c>
      <c r="N84" s="3">
        <v>151.30000000000001</v>
      </c>
      <c r="O84" s="7">
        <v>0.65369999999999995</v>
      </c>
      <c r="Q84">
        <f t="shared" si="2"/>
        <v>30</v>
      </c>
    </row>
    <row r="85" spans="1:17" x14ac:dyDescent="0.25">
      <c r="A85">
        <v>2014</v>
      </c>
      <c r="B85" t="s">
        <v>107</v>
      </c>
      <c r="C85" t="s">
        <v>91</v>
      </c>
      <c r="D85" t="s">
        <v>24</v>
      </c>
      <c r="E85">
        <v>2013</v>
      </c>
      <c r="F85" s="1">
        <v>41464</v>
      </c>
      <c r="G85" s="1">
        <v>41493</v>
      </c>
      <c r="H85" s="2">
        <v>6579</v>
      </c>
      <c r="I85" s="3">
        <v>5502.99</v>
      </c>
      <c r="L85" t="s">
        <v>13</v>
      </c>
      <c r="M85">
        <v>226.86</v>
      </c>
      <c r="N85" s="3">
        <v>189.76</v>
      </c>
      <c r="O85" s="7">
        <v>0.83640000000000003</v>
      </c>
      <c r="Q85">
        <f t="shared" si="2"/>
        <v>29</v>
      </c>
    </row>
    <row r="86" spans="1:17" x14ac:dyDescent="0.25">
      <c r="A86">
        <v>2013</v>
      </c>
      <c r="B86" t="s">
        <v>104</v>
      </c>
      <c r="C86" t="s">
        <v>91</v>
      </c>
      <c r="D86" t="s">
        <v>12</v>
      </c>
      <c r="E86">
        <v>2013</v>
      </c>
      <c r="F86" s="1">
        <v>41432</v>
      </c>
      <c r="G86" s="1">
        <v>41464</v>
      </c>
      <c r="H86" s="2">
        <v>8294</v>
      </c>
      <c r="I86" s="3">
        <v>6093.49</v>
      </c>
      <c r="L86" t="s">
        <v>13</v>
      </c>
      <c r="M86">
        <v>259.18</v>
      </c>
      <c r="N86" s="3">
        <v>190.42</v>
      </c>
      <c r="O86" s="7">
        <v>0.73470000000000002</v>
      </c>
      <c r="Q86">
        <f t="shared" si="2"/>
        <v>32</v>
      </c>
    </row>
    <row r="87" spans="1:17" x14ac:dyDescent="0.25">
      <c r="A87">
        <v>2013</v>
      </c>
      <c r="B87" t="s">
        <v>104</v>
      </c>
      <c r="C87" t="s">
        <v>91</v>
      </c>
      <c r="D87" t="s">
        <v>14</v>
      </c>
      <c r="E87">
        <v>2013</v>
      </c>
      <c r="F87" s="1">
        <v>41402</v>
      </c>
      <c r="G87" s="1">
        <v>41432</v>
      </c>
      <c r="H87" s="2">
        <v>11477</v>
      </c>
      <c r="I87" s="3">
        <v>8398.2000000000007</v>
      </c>
      <c r="L87" t="s">
        <v>13</v>
      </c>
      <c r="M87">
        <v>382.57</v>
      </c>
      <c r="N87" s="3">
        <v>279.94</v>
      </c>
      <c r="O87" s="7">
        <v>0.73170000000000002</v>
      </c>
      <c r="Q87">
        <f t="shared" si="2"/>
        <v>30</v>
      </c>
    </row>
    <row r="88" spans="1:17" x14ac:dyDescent="0.25">
      <c r="A88">
        <v>2013</v>
      </c>
      <c r="B88" t="s">
        <v>104</v>
      </c>
      <c r="C88" t="s">
        <v>91</v>
      </c>
      <c r="D88" t="s">
        <v>15</v>
      </c>
      <c r="E88">
        <v>2013</v>
      </c>
      <c r="F88" s="1">
        <v>41373</v>
      </c>
      <c r="G88" s="1">
        <v>41402</v>
      </c>
      <c r="H88" s="2">
        <v>15079</v>
      </c>
      <c r="I88" s="3">
        <v>11006.13</v>
      </c>
      <c r="L88" t="s">
        <v>13</v>
      </c>
      <c r="M88">
        <v>519.97</v>
      </c>
      <c r="N88" s="3">
        <v>379.52</v>
      </c>
      <c r="O88" s="7">
        <v>0.72989999999999999</v>
      </c>
      <c r="Q88">
        <f t="shared" si="2"/>
        <v>29</v>
      </c>
    </row>
    <row r="89" spans="1:17" x14ac:dyDescent="0.25">
      <c r="A89">
        <v>2013</v>
      </c>
      <c r="B89" t="s">
        <v>105</v>
      </c>
      <c r="C89" t="s">
        <v>91</v>
      </c>
      <c r="D89" t="s">
        <v>16</v>
      </c>
      <c r="E89">
        <v>2013</v>
      </c>
      <c r="F89" s="1">
        <v>41345</v>
      </c>
      <c r="G89" s="1">
        <v>41373</v>
      </c>
      <c r="H89" s="2">
        <v>19441</v>
      </c>
      <c r="I89" s="3">
        <v>14144.49</v>
      </c>
      <c r="L89" t="s">
        <v>13</v>
      </c>
      <c r="M89">
        <v>694.31</v>
      </c>
      <c r="N89" s="3">
        <v>505.16</v>
      </c>
      <c r="O89" s="7">
        <v>0.72760000000000002</v>
      </c>
      <c r="Q89">
        <f t="shared" si="2"/>
        <v>28</v>
      </c>
    </row>
    <row r="90" spans="1:17" x14ac:dyDescent="0.25">
      <c r="A90">
        <v>2013</v>
      </c>
      <c r="B90" t="s">
        <v>105</v>
      </c>
      <c r="C90" t="s">
        <v>91</v>
      </c>
      <c r="D90" t="s">
        <v>17</v>
      </c>
      <c r="E90">
        <v>2013</v>
      </c>
      <c r="F90" s="1">
        <v>41313</v>
      </c>
      <c r="G90" s="1">
        <v>41345</v>
      </c>
      <c r="H90" s="2">
        <v>22436</v>
      </c>
      <c r="I90" s="3">
        <v>16303.36</v>
      </c>
      <c r="L90" t="s">
        <v>13</v>
      </c>
      <c r="M90">
        <v>701.13</v>
      </c>
      <c r="N90" s="3">
        <v>509.48</v>
      </c>
      <c r="O90" s="7">
        <v>0.72670000000000001</v>
      </c>
      <c r="Q90">
        <f t="shared" si="2"/>
        <v>32</v>
      </c>
    </row>
    <row r="91" spans="1:17" x14ac:dyDescent="0.25">
      <c r="A91">
        <v>2013</v>
      </c>
      <c r="B91" t="s">
        <v>105</v>
      </c>
      <c r="C91" t="s">
        <v>91</v>
      </c>
      <c r="D91" t="s">
        <v>18</v>
      </c>
      <c r="E91">
        <v>2013</v>
      </c>
      <c r="F91" s="1">
        <v>41283</v>
      </c>
      <c r="G91" s="1">
        <v>41313</v>
      </c>
      <c r="H91" s="2">
        <v>21534</v>
      </c>
      <c r="I91" s="3">
        <v>15651.42</v>
      </c>
      <c r="L91" t="s">
        <v>13</v>
      </c>
      <c r="M91">
        <v>717.8</v>
      </c>
      <c r="N91" s="3">
        <v>521.71</v>
      </c>
      <c r="O91" s="7">
        <v>0.7268</v>
      </c>
      <c r="Q91">
        <f t="shared" si="2"/>
        <v>30</v>
      </c>
    </row>
    <row r="92" spans="1:17" x14ac:dyDescent="0.25">
      <c r="A92">
        <v>2013</v>
      </c>
      <c r="B92" t="s">
        <v>106</v>
      </c>
      <c r="C92" t="s">
        <v>91</v>
      </c>
      <c r="D92" t="s">
        <v>19</v>
      </c>
      <c r="E92">
        <v>2012</v>
      </c>
      <c r="F92" s="1">
        <v>41250</v>
      </c>
      <c r="G92" s="1">
        <v>41283</v>
      </c>
      <c r="H92" s="2">
        <v>23447</v>
      </c>
      <c r="I92" s="3">
        <v>17033.72</v>
      </c>
      <c r="L92" t="s">
        <v>13</v>
      </c>
      <c r="M92">
        <v>710.5</v>
      </c>
      <c r="N92" s="3">
        <v>516.16999999999996</v>
      </c>
      <c r="O92" s="7">
        <v>0.72650000000000003</v>
      </c>
      <c r="Q92">
        <f t="shared" si="2"/>
        <v>33</v>
      </c>
    </row>
    <row r="93" spans="1:17" x14ac:dyDescent="0.25">
      <c r="A93">
        <v>2013</v>
      </c>
      <c r="B93" t="s">
        <v>106</v>
      </c>
      <c r="C93" t="s">
        <v>91</v>
      </c>
      <c r="D93" t="s">
        <v>20</v>
      </c>
      <c r="E93">
        <v>2012</v>
      </c>
      <c r="F93" s="1">
        <v>41218</v>
      </c>
      <c r="G93" s="1">
        <v>41250</v>
      </c>
      <c r="H93" s="2">
        <v>21167</v>
      </c>
      <c r="I93" s="3">
        <v>21931.4</v>
      </c>
      <c r="L93" t="s">
        <v>13</v>
      </c>
      <c r="M93">
        <v>661.48</v>
      </c>
      <c r="N93" s="3">
        <v>685.36</v>
      </c>
      <c r="O93" s="7">
        <v>1.0361</v>
      </c>
      <c r="Q93">
        <f t="shared" si="2"/>
        <v>32</v>
      </c>
    </row>
    <row r="94" spans="1:17" x14ac:dyDescent="0.25">
      <c r="A94">
        <v>2013</v>
      </c>
      <c r="B94" t="s">
        <v>106</v>
      </c>
      <c r="C94" t="s">
        <v>91</v>
      </c>
      <c r="D94" t="s">
        <v>21</v>
      </c>
      <c r="E94">
        <v>2012</v>
      </c>
      <c r="F94" s="1">
        <v>41187</v>
      </c>
      <c r="G94" s="1">
        <v>41218</v>
      </c>
      <c r="H94" s="2">
        <v>15826</v>
      </c>
      <c r="I94" s="3">
        <v>16419.189999999999</v>
      </c>
      <c r="L94" t="s">
        <v>13</v>
      </c>
      <c r="M94">
        <v>510.5</v>
      </c>
      <c r="N94" s="3">
        <v>529.65</v>
      </c>
      <c r="O94" s="7">
        <v>1.0375000000000001</v>
      </c>
      <c r="Q94">
        <f t="shared" si="2"/>
        <v>31</v>
      </c>
    </row>
    <row r="95" spans="1:17" x14ac:dyDescent="0.25">
      <c r="A95">
        <v>2013</v>
      </c>
      <c r="B95" t="s">
        <v>107</v>
      </c>
      <c r="C95" t="s">
        <v>91</v>
      </c>
      <c r="D95" t="s">
        <v>22</v>
      </c>
      <c r="E95">
        <v>2012</v>
      </c>
      <c r="F95" s="1">
        <v>41158</v>
      </c>
      <c r="G95" s="1">
        <v>41187</v>
      </c>
      <c r="H95" s="2">
        <v>8127</v>
      </c>
      <c r="I95" s="3">
        <v>9205.56</v>
      </c>
      <c r="L95" t="s">
        <v>13</v>
      </c>
      <c r="M95">
        <v>280.25</v>
      </c>
      <c r="N95" s="3">
        <v>317.43</v>
      </c>
      <c r="O95" s="7">
        <v>1.1327</v>
      </c>
      <c r="Q95">
        <f t="shared" si="2"/>
        <v>29</v>
      </c>
    </row>
    <row r="96" spans="1:17" x14ac:dyDescent="0.25">
      <c r="A96">
        <v>2013</v>
      </c>
      <c r="B96" t="s">
        <v>107</v>
      </c>
      <c r="C96" t="s">
        <v>91</v>
      </c>
      <c r="D96" t="s">
        <v>23</v>
      </c>
      <c r="E96">
        <v>2012</v>
      </c>
      <c r="F96" s="1">
        <v>41128</v>
      </c>
      <c r="G96" s="1">
        <v>41158</v>
      </c>
      <c r="H96" s="2">
        <v>6515</v>
      </c>
      <c r="I96" s="3">
        <v>7686.14</v>
      </c>
      <c r="L96" t="s">
        <v>13</v>
      </c>
      <c r="M96">
        <v>217.18</v>
      </c>
      <c r="N96" s="3">
        <v>256.2</v>
      </c>
      <c r="O96" s="7">
        <v>1.1797</v>
      </c>
      <c r="Q96">
        <f t="shared" si="2"/>
        <v>30</v>
      </c>
    </row>
    <row r="97" spans="1:17" x14ac:dyDescent="0.25">
      <c r="A97">
        <v>2013</v>
      </c>
      <c r="B97" t="s">
        <v>107</v>
      </c>
      <c r="C97" t="s">
        <v>91</v>
      </c>
      <c r="D97" t="s">
        <v>24</v>
      </c>
      <c r="E97">
        <v>2012</v>
      </c>
      <c r="F97" s="1">
        <v>41099</v>
      </c>
      <c r="G97" s="1">
        <v>41128</v>
      </c>
      <c r="H97" s="2">
        <v>5565</v>
      </c>
      <c r="I97" s="3">
        <v>6748.96</v>
      </c>
      <c r="L97" t="s">
        <v>13</v>
      </c>
      <c r="M97">
        <v>191.88</v>
      </c>
      <c r="N97" s="3">
        <v>232.72</v>
      </c>
      <c r="O97" s="7">
        <v>1.2129000000000001</v>
      </c>
      <c r="Q97">
        <f t="shared" si="2"/>
        <v>29</v>
      </c>
    </row>
    <row r="98" spans="1:17" x14ac:dyDescent="0.25">
      <c r="A98">
        <v>2012</v>
      </c>
      <c r="B98" t="s">
        <v>104</v>
      </c>
      <c r="C98" t="s">
        <v>91</v>
      </c>
      <c r="D98" t="s">
        <v>12</v>
      </c>
      <c r="E98">
        <v>2012</v>
      </c>
      <c r="F98" s="1">
        <v>41067</v>
      </c>
      <c r="G98" s="1">
        <v>41099</v>
      </c>
      <c r="H98" s="2">
        <v>9408</v>
      </c>
      <c r="I98" s="3">
        <v>9918.68</v>
      </c>
      <c r="L98" t="s">
        <v>13</v>
      </c>
      <c r="M98">
        <v>294.01</v>
      </c>
      <c r="N98" s="3">
        <v>309.95999999999998</v>
      </c>
      <c r="O98" s="7">
        <v>1.0542</v>
      </c>
      <c r="Q98">
        <f t="shared" si="2"/>
        <v>32</v>
      </c>
    </row>
    <row r="99" spans="1:17" x14ac:dyDescent="0.25">
      <c r="A99">
        <v>2012</v>
      </c>
      <c r="B99" t="s">
        <v>104</v>
      </c>
      <c r="C99" t="s">
        <v>91</v>
      </c>
      <c r="D99" t="s">
        <v>14</v>
      </c>
      <c r="E99">
        <v>2012</v>
      </c>
      <c r="F99" s="1">
        <v>41037</v>
      </c>
      <c r="G99" s="1">
        <v>41067</v>
      </c>
      <c r="H99" s="2">
        <v>10054</v>
      </c>
      <c r="I99" s="3">
        <v>10592.85</v>
      </c>
      <c r="L99" t="s">
        <v>13</v>
      </c>
      <c r="M99">
        <v>335.12</v>
      </c>
      <c r="N99" s="3">
        <v>353.09</v>
      </c>
      <c r="O99" s="7">
        <v>1.0536000000000001</v>
      </c>
      <c r="Q99">
        <f t="shared" si="2"/>
        <v>30</v>
      </c>
    </row>
    <row r="100" spans="1:17" x14ac:dyDescent="0.25">
      <c r="A100">
        <v>2012</v>
      </c>
      <c r="B100" t="s">
        <v>104</v>
      </c>
      <c r="C100" t="s">
        <v>91</v>
      </c>
      <c r="D100" t="s">
        <v>15</v>
      </c>
      <c r="E100">
        <v>2012</v>
      </c>
      <c r="F100" s="1">
        <v>41008</v>
      </c>
      <c r="G100" s="1">
        <v>41037</v>
      </c>
      <c r="H100" s="2">
        <v>12657</v>
      </c>
      <c r="I100" s="3">
        <v>13312.82</v>
      </c>
      <c r="L100" t="s">
        <v>13</v>
      </c>
      <c r="M100">
        <v>436.44</v>
      </c>
      <c r="N100" s="3">
        <v>459.06</v>
      </c>
      <c r="O100" s="7">
        <v>1.0518000000000001</v>
      </c>
      <c r="Q100">
        <f t="shared" si="2"/>
        <v>29</v>
      </c>
    </row>
    <row r="101" spans="1:17" x14ac:dyDescent="0.25">
      <c r="A101">
        <v>2012</v>
      </c>
      <c r="B101" t="s">
        <v>105</v>
      </c>
      <c r="C101" t="s">
        <v>91</v>
      </c>
      <c r="D101" t="s">
        <v>16</v>
      </c>
      <c r="E101">
        <v>2012</v>
      </c>
      <c r="F101" s="1">
        <v>40977</v>
      </c>
      <c r="G101" s="1">
        <v>41008</v>
      </c>
      <c r="H101" s="2">
        <v>14624</v>
      </c>
      <c r="I101" s="3">
        <v>15368.15</v>
      </c>
      <c r="L101" t="s">
        <v>13</v>
      </c>
      <c r="M101">
        <v>471.73</v>
      </c>
      <c r="N101" s="3">
        <v>495.75</v>
      </c>
      <c r="O101" s="7">
        <v>1.0508999999999999</v>
      </c>
      <c r="Q101">
        <f t="shared" si="2"/>
        <v>31</v>
      </c>
    </row>
    <row r="102" spans="1:17" x14ac:dyDescent="0.25">
      <c r="A102">
        <v>2012</v>
      </c>
      <c r="B102" t="s">
        <v>105</v>
      </c>
      <c r="C102" t="s">
        <v>91</v>
      </c>
      <c r="D102" t="s">
        <v>17</v>
      </c>
      <c r="E102">
        <v>2012</v>
      </c>
      <c r="F102" s="1">
        <v>40947</v>
      </c>
      <c r="G102" s="1">
        <v>40977</v>
      </c>
      <c r="H102" s="2">
        <v>18545</v>
      </c>
      <c r="I102" s="3">
        <v>19465.099999999999</v>
      </c>
      <c r="L102" t="s">
        <v>13</v>
      </c>
      <c r="M102">
        <v>618.15</v>
      </c>
      <c r="N102" s="3">
        <v>648.84</v>
      </c>
      <c r="O102" s="7">
        <v>1.0496000000000001</v>
      </c>
      <c r="Q102">
        <f t="shared" si="2"/>
        <v>30</v>
      </c>
    </row>
    <row r="103" spans="1:17" x14ac:dyDescent="0.25">
      <c r="A103">
        <v>2012</v>
      </c>
      <c r="B103" t="s">
        <v>105</v>
      </c>
      <c r="C103" t="s">
        <v>91</v>
      </c>
      <c r="D103" t="s">
        <v>18</v>
      </c>
      <c r="E103">
        <v>2012</v>
      </c>
      <c r="F103" s="1">
        <v>40917</v>
      </c>
      <c r="G103" s="1">
        <v>40947</v>
      </c>
      <c r="H103" s="2">
        <v>14825</v>
      </c>
      <c r="I103" s="3">
        <v>15578.59</v>
      </c>
      <c r="L103" t="s">
        <v>13</v>
      </c>
      <c r="M103">
        <v>494.17</v>
      </c>
      <c r="N103" s="3">
        <v>519.29</v>
      </c>
      <c r="O103" s="7">
        <v>1.0508</v>
      </c>
      <c r="Q103">
        <f t="shared" si="2"/>
        <v>30</v>
      </c>
    </row>
    <row r="104" spans="1:17" x14ac:dyDescent="0.25">
      <c r="A104">
        <v>2012</v>
      </c>
      <c r="B104" t="s">
        <v>106</v>
      </c>
      <c r="C104" t="s">
        <v>91</v>
      </c>
      <c r="D104" t="s">
        <v>19</v>
      </c>
      <c r="E104">
        <v>2011</v>
      </c>
      <c r="F104" s="1">
        <v>40884</v>
      </c>
      <c r="G104" s="1">
        <v>40917</v>
      </c>
      <c r="H104" s="2">
        <v>22014</v>
      </c>
      <c r="I104" s="3">
        <v>23089.75</v>
      </c>
      <c r="L104" t="s">
        <v>13</v>
      </c>
      <c r="M104">
        <v>667.08</v>
      </c>
      <c r="N104" s="3">
        <v>699.69</v>
      </c>
      <c r="O104" s="7">
        <v>1.0488999999999999</v>
      </c>
      <c r="Q104">
        <f t="shared" si="2"/>
        <v>33</v>
      </c>
    </row>
    <row r="105" spans="1:17" x14ac:dyDescent="0.25">
      <c r="A105">
        <v>2012</v>
      </c>
      <c r="B105" t="s">
        <v>106</v>
      </c>
      <c r="C105" t="s">
        <v>91</v>
      </c>
      <c r="D105" t="s">
        <v>20</v>
      </c>
      <c r="E105">
        <v>2011</v>
      </c>
      <c r="F105" s="1">
        <v>40850</v>
      </c>
      <c r="G105" s="1">
        <v>40884</v>
      </c>
      <c r="H105" s="2">
        <v>20251</v>
      </c>
      <c r="I105" s="3">
        <v>21263.77</v>
      </c>
      <c r="L105" t="s">
        <v>13</v>
      </c>
      <c r="M105">
        <v>595.6</v>
      </c>
      <c r="N105" s="3">
        <v>625.4</v>
      </c>
      <c r="O105" s="7">
        <v>1.05</v>
      </c>
      <c r="Q105">
        <f t="shared" si="2"/>
        <v>34</v>
      </c>
    </row>
    <row r="106" spans="1:17" x14ac:dyDescent="0.25">
      <c r="A106">
        <v>2012</v>
      </c>
      <c r="B106" t="s">
        <v>106</v>
      </c>
      <c r="C106" t="s">
        <v>91</v>
      </c>
      <c r="D106" t="s">
        <v>21</v>
      </c>
      <c r="E106">
        <v>2011</v>
      </c>
      <c r="F106" s="1">
        <v>40821</v>
      </c>
      <c r="G106" s="1">
        <v>40850</v>
      </c>
      <c r="H106" s="2">
        <v>12663</v>
      </c>
      <c r="I106" s="3">
        <v>13329.64</v>
      </c>
      <c r="L106" t="s">
        <v>13</v>
      </c>
      <c r="M106">
        <v>436.66</v>
      </c>
      <c r="N106" s="3">
        <v>459.64</v>
      </c>
      <c r="O106" s="7">
        <v>1.0526</v>
      </c>
      <c r="Q106">
        <f t="shared" si="2"/>
        <v>29</v>
      </c>
    </row>
    <row r="107" spans="1:17" x14ac:dyDescent="0.25">
      <c r="A107">
        <v>2012</v>
      </c>
      <c r="B107" t="s">
        <v>107</v>
      </c>
      <c r="C107" t="s">
        <v>91</v>
      </c>
      <c r="D107" t="s">
        <v>22</v>
      </c>
      <c r="E107">
        <v>2011</v>
      </c>
      <c r="F107" s="1">
        <v>40792</v>
      </c>
      <c r="G107" s="1">
        <v>40821</v>
      </c>
      <c r="H107" s="2">
        <v>9176</v>
      </c>
      <c r="I107" s="3">
        <v>9534.61</v>
      </c>
      <c r="L107" t="s">
        <v>13</v>
      </c>
      <c r="M107">
        <v>316.39999999999998</v>
      </c>
      <c r="N107" s="3">
        <v>328.78</v>
      </c>
      <c r="O107" s="7">
        <v>1.0390999999999999</v>
      </c>
      <c r="Q107">
        <f t="shared" si="2"/>
        <v>29</v>
      </c>
    </row>
    <row r="108" spans="1:17" x14ac:dyDescent="0.25">
      <c r="A108">
        <v>2012</v>
      </c>
      <c r="B108" t="s">
        <v>107</v>
      </c>
      <c r="C108" t="s">
        <v>91</v>
      </c>
      <c r="D108" t="s">
        <v>23</v>
      </c>
      <c r="E108">
        <v>2011</v>
      </c>
      <c r="F108" s="1">
        <v>40760</v>
      </c>
      <c r="G108" s="1">
        <v>40792</v>
      </c>
      <c r="H108" s="2">
        <v>7172</v>
      </c>
      <c r="I108" s="3">
        <v>7446.08</v>
      </c>
      <c r="L108" t="s">
        <v>13</v>
      </c>
      <c r="M108">
        <v>224.13</v>
      </c>
      <c r="N108" s="3">
        <v>232.69</v>
      </c>
      <c r="O108" s="7">
        <v>1.0382</v>
      </c>
      <c r="Q108">
        <f t="shared" si="2"/>
        <v>32</v>
      </c>
    </row>
    <row r="109" spans="1:17" x14ac:dyDescent="0.25">
      <c r="A109" s="18">
        <v>2012</v>
      </c>
      <c r="B109" t="s">
        <v>107</v>
      </c>
      <c r="C109" s="18" t="s">
        <v>91</v>
      </c>
      <c r="D109" s="18" t="s">
        <v>24</v>
      </c>
      <c r="E109" s="18">
        <v>2011</v>
      </c>
      <c r="F109" s="19">
        <v>40731</v>
      </c>
      <c r="G109" s="19">
        <v>40760</v>
      </c>
      <c r="H109" s="20">
        <f>AVERAGE(H110,H108)</f>
        <v>6704.5</v>
      </c>
      <c r="I109" s="20">
        <f>AVERAGE(I110,I108)</f>
        <v>6965.9699999999993</v>
      </c>
      <c r="J109" s="18"/>
      <c r="K109" s="18"/>
      <c r="L109" s="18"/>
      <c r="M109" s="20">
        <f>AVERAGE(M110,M108)</f>
        <v>216.01999999999998</v>
      </c>
      <c r="N109" s="20">
        <f>AVERAGE(N110,N108)</f>
        <v>224.44499999999999</v>
      </c>
      <c r="O109" s="21">
        <f>AVERAGE(O110,O108)</f>
        <v>1.03905</v>
      </c>
      <c r="P109" s="18"/>
      <c r="Q109" s="18">
        <f t="shared" si="2"/>
        <v>29</v>
      </c>
    </row>
    <row r="110" spans="1:17" x14ac:dyDescent="0.25">
      <c r="A110">
        <v>2011</v>
      </c>
      <c r="B110" t="s">
        <v>104</v>
      </c>
      <c r="C110" t="s">
        <v>91</v>
      </c>
      <c r="D110" t="s">
        <v>12</v>
      </c>
      <c r="E110">
        <v>2011</v>
      </c>
      <c r="F110" s="1">
        <v>40701</v>
      </c>
      <c r="G110" s="1">
        <v>40731</v>
      </c>
      <c r="H110" s="2">
        <v>6237</v>
      </c>
      <c r="I110" s="3">
        <v>6485.86</v>
      </c>
      <c r="L110" t="s">
        <v>13</v>
      </c>
      <c r="M110">
        <v>207.91</v>
      </c>
      <c r="N110" s="3">
        <v>216.2</v>
      </c>
      <c r="O110" s="7">
        <v>1.0399</v>
      </c>
      <c r="Q110">
        <f t="shared" si="2"/>
        <v>30</v>
      </c>
    </row>
    <row r="111" spans="1:17" x14ac:dyDescent="0.25">
      <c r="A111">
        <v>2011</v>
      </c>
      <c r="B111" t="s">
        <v>104</v>
      </c>
      <c r="C111" t="s">
        <v>91</v>
      </c>
      <c r="D111" t="s">
        <v>14</v>
      </c>
      <c r="E111">
        <v>2011</v>
      </c>
      <c r="F111" s="1">
        <v>40669</v>
      </c>
      <c r="G111" s="1">
        <v>40701</v>
      </c>
      <c r="H111" s="2">
        <v>9240</v>
      </c>
      <c r="I111" s="3">
        <v>9575.99</v>
      </c>
      <c r="L111" t="s">
        <v>13</v>
      </c>
      <c r="M111">
        <v>288.73</v>
      </c>
      <c r="N111" s="3">
        <v>299.25</v>
      </c>
      <c r="O111" s="7">
        <v>1.0364</v>
      </c>
      <c r="Q111">
        <f t="shared" si="2"/>
        <v>32</v>
      </c>
    </row>
    <row r="112" spans="1:17" x14ac:dyDescent="0.25">
      <c r="A112">
        <v>2011</v>
      </c>
      <c r="B112" t="s">
        <v>104</v>
      </c>
      <c r="C112" t="s">
        <v>91</v>
      </c>
      <c r="D112" t="s">
        <v>15</v>
      </c>
      <c r="E112">
        <v>2011</v>
      </c>
      <c r="F112" s="1">
        <v>40640</v>
      </c>
      <c r="G112" s="1">
        <v>40669</v>
      </c>
      <c r="H112" s="2">
        <v>11668</v>
      </c>
      <c r="I112" s="3">
        <v>12071.58</v>
      </c>
      <c r="L112" t="s">
        <v>13</v>
      </c>
      <c r="M112">
        <v>402.33</v>
      </c>
      <c r="N112" s="3">
        <v>416.26</v>
      </c>
      <c r="O112" s="7">
        <v>1.0346</v>
      </c>
      <c r="Q112">
        <f t="shared" si="2"/>
        <v>29</v>
      </c>
    </row>
    <row r="113" spans="1:17" x14ac:dyDescent="0.25">
      <c r="A113">
        <v>2011</v>
      </c>
      <c r="B113" t="s">
        <v>105</v>
      </c>
      <c r="C113" t="s">
        <v>91</v>
      </c>
      <c r="D113" t="s">
        <v>16</v>
      </c>
      <c r="E113">
        <v>2011</v>
      </c>
      <c r="F113" s="1">
        <v>40611</v>
      </c>
      <c r="G113" s="1">
        <v>40640</v>
      </c>
      <c r="H113" s="2">
        <v>14964</v>
      </c>
      <c r="I113" s="3">
        <v>15396.26</v>
      </c>
      <c r="L113" t="s">
        <v>13</v>
      </c>
      <c r="M113">
        <v>515.98</v>
      </c>
      <c r="N113" s="3">
        <v>530.91</v>
      </c>
      <c r="O113" s="7">
        <v>1.0288999999999999</v>
      </c>
      <c r="Q113">
        <f t="shared" si="2"/>
        <v>29</v>
      </c>
    </row>
    <row r="114" spans="1:17" x14ac:dyDescent="0.25">
      <c r="A114">
        <v>2011</v>
      </c>
      <c r="B114" t="s">
        <v>105</v>
      </c>
      <c r="C114" t="s">
        <v>91</v>
      </c>
      <c r="D114" t="s">
        <v>17</v>
      </c>
      <c r="E114">
        <v>2011</v>
      </c>
      <c r="F114" s="1">
        <v>40583</v>
      </c>
      <c r="G114" s="1">
        <v>40611</v>
      </c>
      <c r="H114" s="2">
        <v>13754</v>
      </c>
      <c r="I114" s="3">
        <v>14157.91</v>
      </c>
      <c r="L114" t="s">
        <v>13</v>
      </c>
      <c r="M114">
        <v>491.2</v>
      </c>
      <c r="N114" s="3">
        <v>505.64</v>
      </c>
      <c r="O114" s="7">
        <v>1.0294000000000001</v>
      </c>
      <c r="Q114">
        <f t="shared" si="2"/>
        <v>28</v>
      </c>
    </row>
    <row r="115" spans="1:17" x14ac:dyDescent="0.25">
      <c r="A115">
        <v>2011</v>
      </c>
      <c r="B115" t="s">
        <v>105</v>
      </c>
      <c r="C115" t="s">
        <v>91</v>
      </c>
      <c r="D115" t="s">
        <v>18</v>
      </c>
      <c r="E115">
        <v>2011</v>
      </c>
      <c r="F115" s="1">
        <v>40553</v>
      </c>
      <c r="G115" s="1">
        <v>40583</v>
      </c>
      <c r="H115" s="2">
        <v>11577</v>
      </c>
      <c r="I115" s="3">
        <v>11929.63</v>
      </c>
      <c r="L115" t="s">
        <v>13</v>
      </c>
      <c r="M115">
        <v>385.89</v>
      </c>
      <c r="N115" s="3">
        <v>397.65</v>
      </c>
      <c r="O115" s="7">
        <v>1.0305</v>
      </c>
      <c r="Q115">
        <f t="shared" si="2"/>
        <v>30</v>
      </c>
    </row>
    <row r="116" spans="1:17" x14ac:dyDescent="0.25">
      <c r="A116">
        <v>2011</v>
      </c>
      <c r="B116" t="s">
        <v>106</v>
      </c>
      <c r="C116" t="s">
        <v>91</v>
      </c>
      <c r="D116" t="s">
        <v>19</v>
      </c>
      <c r="E116">
        <v>2010</v>
      </c>
      <c r="F116" s="1">
        <v>40520</v>
      </c>
      <c r="G116" s="1">
        <v>40553</v>
      </c>
      <c r="H116" s="2">
        <v>13293</v>
      </c>
      <c r="I116" s="3">
        <v>13685.83</v>
      </c>
      <c r="L116" t="s">
        <v>13</v>
      </c>
      <c r="M116">
        <v>402.8</v>
      </c>
      <c r="N116" s="3">
        <v>414.72</v>
      </c>
      <c r="O116" s="7">
        <v>1.0296000000000001</v>
      </c>
      <c r="Q116">
        <f t="shared" si="2"/>
        <v>33</v>
      </c>
    </row>
    <row r="117" spans="1:17" x14ac:dyDescent="0.25">
      <c r="A117">
        <v>2011</v>
      </c>
      <c r="B117" t="s">
        <v>106</v>
      </c>
      <c r="C117" t="s">
        <v>91</v>
      </c>
      <c r="D117" t="s">
        <v>20</v>
      </c>
      <c r="E117">
        <v>2010</v>
      </c>
      <c r="F117" s="1">
        <v>40486</v>
      </c>
      <c r="G117" s="1">
        <v>40520</v>
      </c>
      <c r="H117" s="2">
        <v>11518</v>
      </c>
      <c r="I117" s="3">
        <v>14128.79</v>
      </c>
      <c r="L117" t="s">
        <v>13</v>
      </c>
      <c r="M117">
        <v>338.75</v>
      </c>
      <c r="N117" s="3">
        <v>415.55</v>
      </c>
      <c r="O117" s="7">
        <v>1.2266999999999999</v>
      </c>
      <c r="Q117">
        <f t="shared" si="2"/>
        <v>34</v>
      </c>
    </row>
    <row r="118" spans="1:17" x14ac:dyDescent="0.25">
      <c r="A118">
        <v>2011</v>
      </c>
      <c r="B118" t="s">
        <v>106</v>
      </c>
      <c r="C118" t="s">
        <v>91</v>
      </c>
      <c r="D118" t="s">
        <v>21</v>
      </c>
      <c r="E118">
        <v>2010</v>
      </c>
      <c r="F118" s="1">
        <v>40457</v>
      </c>
      <c r="G118" s="1">
        <v>40486</v>
      </c>
      <c r="H118" s="2">
        <v>7178</v>
      </c>
      <c r="I118" s="3">
        <v>8831.16</v>
      </c>
      <c r="L118" t="s">
        <v>13</v>
      </c>
      <c r="M118">
        <v>247.52</v>
      </c>
      <c r="N118" s="3">
        <v>304.52</v>
      </c>
      <c r="O118" s="7">
        <v>1.2302999999999999</v>
      </c>
      <c r="Q118">
        <f t="shared" si="2"/>
        <v>29</v>
      </c>
    </row>
    <row r="119" spans="1:17" x14ac:dyDescent="0.25">
      <c r="A119">
        <v>2011</v>
      </c>
      <c r="B119" t="s">
        <v>107</v>
      </c>
      <c r="C119" t="s">
        <v>91</v>
      </c>
      <c r="D119" t="s">
        <v>22</v>
      </c>
      <c r="E119">
        <v>2010</v>
      </c>
      <c r="F119" s="1">
        <v>40428</v>
      </c>
      <c r="G119" s="1">
        <v>40457</v>
      </c>
      <c r="H119" s="2">
        <v>5220</v>
      </c>
      <c r="I119" s="3">
        <v>6444.09</v>
      </c>
      <c r="L119" t="s">
        <v>13</v>
      </c>
      <c r="M119">
        <v>180.01</v>
      </c>
      <c r="N119" s="3">
        <v>222.21</v>
      </c>
      <c r="O119" s="7">
        <v>1.2344999999999999</v>
      </c>
      <c r="Q119">
        <f t="shared" si="2"/>
        <v>29</v>
      </c>
    </row>
    <row r="120" spans="1:17" x14ac:dyDescent="0.25">
      <c r="A120">
        <v>2011</v>
      </c>
      <c r="B120" t="s">
        <v>107</v>
      </c>
      <c r="C120" t="s">
        <v>91</v>
      </c>
      <c r="D120" t="s">
        <v>23</v>
      </c>
      <c r="E120">
        <v>2010</v>
      </c>
      <c r="F120" s="1">
        <v>40396</v>
      </c>
      <c r="G120" s="1">
        <v>40428</v>
      </c>
      <c r="H120" s="2">
        <v>4586</v>
      </c>
      <c r="I120" s="3">
        <v>5670.75</v>
      </c>
      <c r="L120" t="s">
        <v>13</v>
      </c>
      <c r="M120">
        <v>143.31</v>
      </c>
      <c r="N120" s="3">
        <v>177.21</v>
      </c>
      <c r="O120" s="7">
        <v>1.2365999999999999</v>
      </c>
      <c r="Q120">
        <f t="shared" si="2"/>
        <v>32</v>
      </c>
    </row>
    <row r="121" spans="1:17" x14ac:dyDescent="0.25">
      <c r="A121">
        <v>2011</v>
      </c>
      <c r="B121" t="s">
        <v>107</v>
      </c>
      <c r="C121" t="s">
        <v>91</v>
      </c>
      <c r="D121" t="s">
        <v>24</v>
      </c>
      <c r="E121">
        <v>2010</v>
      </c>
      <c r="F121" s="1">
        <v>40367</v>
      </c>
      <c r="G121" s="1">
        <v>40396</v>
      </c>
      <c r="H121" s="2">
        <v>4132</v>
      </c>
      <c r="I121" s="3">
        <v>5117.1099999999997</v>
      </c>
      <c r="L121" t="s">
        <v>13</v>
      </c>
      <c r="M121">
        <v>142.47999999999999</v>
      </c>
      <c r="N121" s="3">
        <v>176.45</v>
      </c>
      <c r="O121" s="7">
        <v>1.2384999999999999</v>
      </c>
      <c r="Q121">
        <f t="shared" si="2"/>
        <v>29</v>
      </c>
    </row>
    <row r="122" spans="1:17" x14ac:dyDescent="0.25">
      <c r="A122">
        <v>2015</v>
      </c>
      <c r="B122" t="s">
        <v>104</v>
      </c>
      <c r="C122" t="s">
        <v>93</v>
      </c>
      <c r="D122" t="s">
        <v>12</v>
      </c>
      <c r="E122">
        <v>2015</v>
      </c>
      <c r="F122" s="1">
        <v>42152</v>
      </c>
      <c r="G122" s="1">
        <v>42181</v>
      </c>
      <c r="H122" s="2">
        <v>1338000</v>
      </c>
      <c r="I122" s="3">
        <v>5604.73</v>
      </c>
      <c r="L122" t="s">
        <v>13</v>
      </c>
      <c r="M122" s="4">
        <v>46137.93</v>
      </c>
      <c r="N122" s="3">
        <v>193.27</v>
      </c>
      <c r="O122" s="7">
        <v>4.1999999999999997E-3</v>
      </c>
      <c r="Q122">
        <f t="shared" si="2"/>
        <v>29</v>
      </c>
    </row>
    <row r="123" spans="1:17" x14ac:dyDescent="0.25">
      <c r="A123">
        <v>2015</v>
      </c>
      <c r="B123" t="s">
        <v>104</v>
      </c>
      <c r="C123" t="s">
        <v>93</v>
      </c>
      <c r="D123" t="s">
        <v>14</v>
      </c>
      <c r="E123">
        <v>2015</v>
      </c>
      <c r="F123" s="1">
        <v>42123</v>
      </c>
      <c r="G123" s="1">
        <v>42152</v>
      </c>
      <c r="H123" s="2">
        <v>1397000</v>
      </c>
      <c r="I123" s="3">
        <v>5767.77</v>
      </c>
      <c r="L123" t="s">
        <v>13</v>
      </c>
      <c r="M123" s="4">
        <v>48172.41</v>
      </c>
      <c r="N123" s="3">
        <v>198.89</v>
      </c>
      <c r="O123" s="7">
        <v>4.1000000000000003E-3</v>
      </c>
      <c r="Q123">
        <f t="shared" si="2"/>
        <v>29</v>
      </c>
    </row>
    <row r="124" spans="1:17" x14ac:dyDescent="0.25">
      <c r="A124">
        <v>2015</v>
      </c>
      <c r="B124" t="s">
        <v>104</v>
      </c>
      <c r="C124" t="s">
        <v>93</v>
      </c>
      <c r="D124" t="s">
        <v>15</v>
      </c>
      <c r="E124">
        <v>2015</v>
      </c>
      <c r="F124" s="1">
        <v>42090</v>
      </c>
      <c r="G124" s="1">
        <v>42123</v>
      </c>
      <c r="H124" s="2">
        <v>1494000</v>
      </c>
      <c r="I124" s="3">
        <v>6143.6</v>
      </c>
      <c r="L124" t="s">
        <v>13</v>
      </c>
      <c r="M124" s="4">
        <v>45272.73</v>
      </c>
      <c r="N124" s="3">
        <v>186.17</v>
      </c>
      <c r="O124" s="7">
        <v>4.1000000000000003E-3</v>
      </c>
      <c r="Q124">
        <f t="shared" si="2"/>
        <v>33</v>
      </c>
    </row>
    <row r="125" spans="1:17" x14ac:dyDescent="0.25">
      <c r="A125">
        <v>2015</v>
      </c>
      <c r="B125" t="s">
        <v>105</v>
      </c>
      <c r="C125" t="s">
        <v>93</v>
      </c>
      <c r="D125" t="s">
        <v>16</v>
      </c>
      <c r="E125">
        <v>2015</v>
      </c>
      <c r="F125" s="1">
        <v>42062</v>
      </c>
      <c r="G125" s="1">
        <v>42090</v>
      </c>
      <c r="H125" s="2">
        <v>1239000</v>
      </c>
      <c r="I125" s="3">
        <v>5155.59</v>
      </c>
      <c r="L125" t="s">
        <v>13</v>
      </c>
      <c r="M125" s="4">
        <v>44250</v>
      </c>
      <c r="N125" s="3">
        <v>184.13</v>
      </c>
      <c r="O125" s="7">
        <v>4.1999999999999997E-3</v>
      </c>
      <c r="Q125">
        <f t="shared" si="2"/>
        <v>28</v>
      </c>
    </row>
    <row r="126" spans="1:17" x14ac:dyDescent="0.25">
      <c r="A126">
        <v>2015</v>
      </c>
      <c r="B126" t="s">
        <v>105</v>
      </c>
      <c r="C126" t="s">
        <v>93</v>
      </c>
      <c r="D126" t="s">
        <v>17</v>
      </c>
      <c r="E126">
        <v>2015</v>
      </c>
      <c r="F126" s="1">
        <v>42032</v>
      </c>
      <c r="G126" s="1">
        <v>42062</v>
      </c>
      <c r="H126" s="2">
        <v>1302000</v>
      </c>
      <c r="I126" s="3">
        <v>5399.68</v>
      </c>
      <c r="L126" t="s">
        <v>13</v>
      </c>
      <c r="M126" s="4">
        <v>43400</v>
      </c>
      <c r="N126" s="3">
        <v>179.99</v>
      </c>
      <c r="O126" s="7">
        <v>4.1000000000000003E-3</v>
      </c>
      <c r="Q126">
        <f t="shared" ref="Q126:Q189" si="3">G126-F126</f>
        <v>30</v>
      </c>
    </row>
    <row r="127" spans="1:17" x14ac:dyDescent="0.25">
      <c r="A127">
        <v>2015</v>
      </c>
      <c r="B127" t="s">
        <v>105</v>
      </c>
      <c r="C127" t="s">
        <v>93</v>
      </c>
      <c r="D127" t="s">
        <v>18</v>
      </c>
      <c r="E127">
        <v>2015</v>
      </c>
      <c r="F127" s="1">
        <v>42000</v>
      </c>
      <c r="G127" s="1">
        <v>42032</v>
      </c>
      <c r="H127" s="2">
        <v>1283000</v>
      </c>
      <c r="I127" s="3">
        <v>5326.07</v>
      </c>
      <c r="L127" t="s">
        <v>13</v>
      </c>
      <c r="M127" s="4">
        <v>40093.75</v>
      </c>
      <c r="N127" s="3">
        <v>166.44</v>
      </c>
      <c r="O127" s="7">
        <v>4.1999999999999997E-3</v>
      </c>
      <c r="Q127">
        <f t="shared" si="3"/>
        <v>32</v>
      </c>
    </row>
    <row r="128" spans="1:17" x14ac:dyDescent="0.25">
      <c r="A128">
        <v>2015</v>
      </c>
      <c r="B128" t="s">
        <v>106</v>
      </c>
      <c r="C128" t="s">
        <v>93</v>
      </c>
      <c r="D128" t="s">
        <v>19</v>
      </c>
      <c r="E128">
        <v>2014</v>
      </c>
      <c r="F128" s="1">
        <v>41968</v>
      </c>
      <c r="G128" s="1">
        <v>42000</v>
      </c>
      <c r="H128" s="2">
        <v>1324000</v>
      </c>
      <c r="I128" s="3">
        <v>5616</v>
      </c>
      <c r="L128" t="s">
        <v>13</v>
      </c>
      <c r="M128" s="4">
        <v>41375</v>
      </c>
      <c r="N128" s="3">
        <v>175.5</v>
      </c>
      <c r="O128" s="7">
        <v>4.1999999999999997E-3</v>
      </c>
      <c r="Q128">
        <f t="shared" si="3"/>
        <v>32</v>
      </c>
    </row>
    <row r="129" spans="1:17" x14ac:dyDescent="0.25">
      <c r="A129">
        <v>2015</v>
      </c>
      <c r="B129" t="s">
        <v>106</v>
      </c>
      <c r="C129" t="s">
        <v>93</v>
      </c>
      <c r="D129" t="s">
        <v>20</v>
      </c>
      <c r="E129">
        <v>2014</v>
      </c>
      <c r="F129" s="1">
        <v>41940</v>
      </c>
      <c r="G129" s="1">
        <v>41968</v>
      </c>
      <c r="H129" s="2">
        <v>1240000</v>
      </c>
      <c r="I129" s="3">
        <v>5282.21</v>
      </c>
      <c r="L129" t="s">
        <v>13</v>
      </c>
      <c r="M129" s="4">
        <v>44285.71</v>
      </c>
      <c r="N129" s="3">
        <v>188.65</v>
      </c>
      <c r="O129" s="7">
        <v>4.3E-3</v>
      </c>
      <c r="Q129">
        <f t="shared" si="3"/>
        <v>28</v>
      </c>
    </row>
    <row r="130" spans="1:17" x14ac:dyDescent="0.25">
      <c r="A130">
        <v>2015</v>
      </c>
      <c r="B130" t="s">
        <v>106</v>
      </c>
      <c r="C130" t="s">
        <v>93</v>
      </c>
      <c r="D130" t="s">
        <v>21</v>
      </c>
      <c r="E130">
        <v>2014</v>
      </c>
      <c r="F130" s="1">
        <v>41911</v>
      </c>
      <c r="G130" s="1">
        <v>41940</v>
      </c>
      <c r="H130" s="2">
        <v>1363000</v>
      </c>
      <c r="I130" s="3">
        <v>5770.97</v>
      </c>
      <c r="L130" t="s">
        <v>13</v>
      </c>
      <c r="M130" s="4">
        <v>47000</v>
      </c>
      <c r="N130" s="3">
        <v>199</v>
      </c>
      <c r="O130" s="7">
        <v>4.1999999999999997E-3</v>
      </c>
      <c r="Q130">
        <f t="shared" si="3"/>
        <v>29</v>
      </c>
    </row>
    <row r="131" spans="1:17" x14ac:dyDescent="0.25">
      <c r="A131">
        <v>2015</v>
      </c>
      <c r="B131" t="s">
        <v>107</v>
      </c>
      <c r="C131" t="s">
        <v>93</v>
      </c>
      <c r="D131" t="s">
        <v>22</v>
      </c>
      <c r="E131">
        <v>2014</v>
      </c>
      <c r="F131" s="1">
        <v>41877</v>
      </c>
      <c r="G131" s="1">
        <v>41911</v>
      </c>
      <c r="H131" s="2">
        <v>1717000</v>
      </c>
      <c r="I131" s="3">
        <v>7177.62</v>
      </c>
      <c r="L131" t="s">
        <v>13</v>
      </c>
      <c r="M131" s="4">
        <v>50500</v>
      </c>
      <c r="N131" s="3">
        <v>211.11</v>
      </c>
      <c r="O131" s="7">
        <v>4.1999999999999997E-3</v>
      </c>
      <c r="Q131">
        <f t="shared" si="3"/>
        <v>34</v>
      </c>
    </row>
    <row r="132" spans="1:17" x14ac:dyDescent="0.25">
      <c r="A132">
        <v>2015</v>
      </c>
      <c r="B132" t="s">
        <v>107</v>
      </c>
      <c r="C132" t="s">
        <v>93</v>
      </c>
      <c r="D132" t="s">
        <v>23</v>
      </c>
      <c r="E132">
        <v>2014</v>
      </c>
      <c r="F132" s="1">
        <v>41845</v>
      </c>
      <c r="G132" s="1">
        <v>41877</v>
      </c>
      <c r="H132" s="2">
        <v>1597000</v>
      </c>
      <c r="I132" s="3">
        <v>6700.79</v>
      </c>
      <c r="L132" t="s">
        <v>13</v>
      </c>
      <c r="M132" s="4">
        <v>49906.25</v>
      </c>
      <c r="N132" s="3">
        <v>209.4</v>
      </c>
      <c r="O132" s="7">
        <v>4.1999999999999997E-3</v>
      </c>
      <c r="Q132">
        <f t="shared" si="3"/>
        <v>32</v>
      </c>
    </row>
    <row r="133" spans="1:17" x14ac:dyDescent="0.25">
      <c r="A133">
        <v>2015</v>
      </c>
      <c r="B133" t="s">
        <v>107</v>
      </c>
      <c r="C133" t="s">
        <v>93</v>
      </c>
      <c r="D133" t="s">
        <v>24</v>
      </c>
      <c r="E133">
        <v>2014</v>
      </c>
      <c r="F133" s="1">
        <v>41814</v>
      </c>
      <c r="G133" s="1">
        <v>41845</v>
      </c>
      <c r="H133" s="2">
        <v>1822000</v>
      </c>
      <c r="I133" s="3">
        <v>7594.85</v>
      </c>
      <c r="L133" t="s">
        <v>13</v>
      </c>
      <c r="M133" s="4">
        <v>58774.19</v>
      </c>
      <c r="N133" s="3">
        <v>244.99</v>
      </c>
      <c r="O133" s="7">
        <v>4.1999999999999997E-3</v>
      </c>
      <c r="Q133">
        <f t="shared" si="3"/>
        <v>31</v>
      </c>
    </row>
    <row r="134" spans="1:17" x14ac:dyDescent="0.25">
      <c r="A134">
        <v>2014</v>
      </c>
      <c r="B134" t="s">
        <v>104</v>
      </c>
      <c r="C134" t="s">
        <v>93</v>
      </c>
      <c r="D134" t="s">
        <v>12</v>
      </c>
      <c r="E134">
        <v>2014</v>
      </c>
      <c r="F134" s="1">
        <v>41781</v>
      </c>
      <c r="G134" s="1">
        <v>41814</v>
      </c>
      <c r="H134" s="2">
        <v>1711000</v>
      </c>
      <c r="I134" s="3">
        <v>7153.78</v>
      </c>
      <c r="L134" t="s">
        <v>13</v>
      </c>
      <c r="M134" s="4">
        <v>51848.480000000003</v>
      </c>
      <c r="N134" s="3">
        <v>216.78</v>
      </c>
      <c r="O134" s="7">
        <v>4.1999999999999997E-3</v>
      </c>
      <c r="Q134">
        <f t="shared" si="3"/>
        <v>33</v>
      </c>
    </row>
    <row r="135" spans="1:17" x14ac:dyDescent="0.25">
      <c r="A135">
        <v>2014</v>
      </c>
      <c r="B135" t="s">
        <v>104</v>
      </c>
      <c r="C135" t="s">
        <v>93</v>
      </c>
      <c r="D135" t="s">
        <v>14</v>
      </c>
      <c r="E135">
        <v>2014</v>
      </c>
      <c r="F135" s="1">
        <v>41752</v>
      </c>
      <c r="G135" s="1">
        <v>41781</v>
      </c>
      <c r="H135" s="2">
        <v>1272000</v>
      </c>
      <c r="I135" s="3">
        <v>5465.34</v>
      </c>
      <c r="L135" t="s">
        <v>13</v>
      </c>
      <c r="M135" s="4">
        <v>43862.07</v>
      </c>
      <c r="N135" s="3">
        <v>188.46</v>
      </c>
      <c r="O135" s="7">
        <v>4.3E-3</v>
      </c>
      <c r="Q135">
        <f t="shared" si="3"/>
        <v>29</v>
      </c>
    </row>
    <row r="136" spans="1:17" x14ac:dyDescent="0.25">
      <c r="A136">
        <v>2014</v>
      </c>
      <c r="B136" t="s">
        <v>104</v>
      </c>
      <c r="C136" t="s">
        <v>93</v>
      </c>
      <c r="D136" t="s">
        <v>15</v>
      </c>
      <c r="E136">
        <v>2014</v>
      </c>
      <c r="F136" s="1">
        <v>41723</v>
      </c>
      <c r="G136" s="1">
        <v>41752</v>
      </c>
      <c r="H136" s="2">
        <v>1378000</v>
      </c>
      <c r="I136" s="3">
        <v>5891.2</v>
      </c>
      <c r="L136" t="s">
        <v>13</v>
      </c>
      <c r="M136" s="4">
        <v>47517.24</v>
      </c>
      <c r="N136" s="3">
        <v>203.14</v>
      </c>
      <c r="O136" s="7">
        <v>4.3E-3</v>
      </c>
      <c r="Q136">
        <f t="shared" si="3"/>
        <v>29</v>
      </c>
    </row>
    <row r="137" spans="1:17" x14ac:dyDescent="0.25">
      <c r="A137">
        <v>2014</v>
      </c>
      <c r="B137" t="s">
        <v>105</v>
      </c>
      <c r="C137" t="s">
        <v>93</v>
      </c>
      <c r="D137" t="s">
        <v>16</v>
      </c>
      <c r="E137">
        <v>2014</v>
      </c>
      <c r="F137" s="1">
        <v>41694</v>
      </c>
      <c r="G137" s="1">
        <v>41723</v>
      </c>
      <c r="H137" s="2">
        <v>1189000</v>
      </c>
      <c r="I137" s="3">
        <v>5131.88</v>
      </c>
      <c r="L137" t="s">
        <v>13</v>
      </c>
      <c r="M137" s="4">
        <v>41000</v>
      </c>
      <c r="N137" s="3">
        <v>176.96</v>
      </c>
      <c r="O137" s="7">
        <v>4.3E-3</v>
      </c>
      <c r="Q137">
        <f t="shared" si="3"/>
        <v>29</v>
      </c>
    </row>
    <row r="138" spans="1:17" x14ac:dyDescent="0.25">
      <c r="A138">
        <v>2014</v>
      </c>
      <c r="B138" t="s">
        <v>105</v>
      </c>
      <c r="C138" t="s">
        <v>93</v>
      </c>
      <c r="D138" t="s">
        <v>17</v>
      </c>
      <c r="E138">
        <v>2014</v>
      </c>
      <c r="F138" s="1">
        <v>41662</v>
      </c>
      <c r="G138" s="1">
        <v>41694</v>
      </c>
      <c r="H138" s="2">
        <v>1240000</v>
      </c>
      <c r="I138" s="3">
        <v>5336.77</v>
      </c>
      <c r="L138" t="s">
        <v>13</v>
      </c>
      <c r="M138" s="4">
        <v>38750</v>
      </c>
      <c r="N138" s="3">
        <v>166.77</v>
      </c>
      <c r="O138" s="7">
        <v>4.3E-3</v>
      </c>
      <c r="Q138">
        <f t="shared" si="3"/>
        <v>32</v>
      </c>
    </row>
    <row r="139" spans="1:17" x14ac:dyDescent="0.25">
      <c r="A139">
        <v>2014</v>
      </c>
      <c r="B139" t="s">
        <v>105</v>
      </c>
      <c r="C139" t="s">
        <v>93</v>
      </c>
      <c r="D139" t="s">
        <v>18</v>
      </c>
      <c r="E139">
        <v>2014</v>
      </c>
      <c r="F139" s="1">
        <v>41627</v>
      </c>
      <c r="G139" s="1">
        <v>41662</v>
      </c>
      <c r="H139" s="2">
        <v>1377000</v>
      </c>
      <c r="I139" s="3">
        <v>5887.19</v>
      </c>
      <c r="L139" t="s">
        <v>13</v>
      </c>
      <c r="M139" s="4">
        <v>39342.86</v>
      </c>
      <c r="N139" s="3">
        <v>168.21</v>
      </c>
      <c r="O139" s="7">
        <v>4.3E-3</v>
      </c>
      <c r="Q139">
        <f t="shared" si="3"/>
        <v>35</v>
      </c>
    </row>
    <row r="140" spans="1:17" x14ac:dyDescent="0.25">
      <c r="A140">
        <v>2014</v>
      </c>
      <c r="B140" t="s">
        <v>106</v>
      </c>
      <c r="C140" t="s">
        <v>93</v>
      </c>
      <c r="D140" t="s">
        <v>19</v>
      </c>
      <c r="E140">
        <v>2013</v>
      </c>
      <c r="F140" s="1">
        <v>41598</v>
      </c>
      <c r="G140" s="1">
        <v>41627</v>
      </c>
      <c r="H140" s="2">
        <v>1216000</v>
      </c>
      <c r="I140" s="3">
        <v>5121.18</v>
      </c>
      <c r="L140" t="s">
        <v>13</v>
      </c>
      <c r="M140" s="4">
        <v>41931.03</v>
      </c>
      <c r="N140" s="3">
        <v>176.59</v>
      </c>
      <c r="O140" s="7">
        <v>4.1999999999999997E-3</v>
      </c>
      <c r="Q140">
        <f t="shared" si="3"/>
        <v>29</v>
      </c>
    </row>
    <row r="141" spans="1:17" x14ac:dyDescent="0.25">
      <c r="A141">
        <v>2014</v>
      </c>
      <c r="B141" t="s">
        <v>106</v>
      </c>
      <c r="C141" t="s">
        <v>93</v>
      </c>
      <c r="D141" t="s">
        <v>20</v>
      </c>
      <c r="E141">
        <v>2013</v>
      </c>
      <c r="F141" s="1">
        <v>41569</v>
      </c>
      <c r="G141" s="1">
        <v>41598</v>
      </c>
      <c r="H141" s="2">
        <v>1197000</v>
      </c>
      <c r="I141" s="3">
        <v>5046.71</v>
      </c>
      <c r="L141" t="s">
        <v>13</v>
      </c>
      <c r="M141" s="4">
        <v>41275.86</v>
      </c>
      <c r="N141" s="3">
        <v>174.02</v>
      </c>
      <c r="O141" s="7">
        <v>4.1999999999999997E-3</v>
      </c>
      <c r="Q141">
        <f t="shared" si="3"/>
        <v>29</v>
      </c>
    </row>
    <row r="142" spans="1:17" x14ac:dyDescent="0.25">
      <c r="A142">
        <v>2014</v>
      </c>
      <c r="B142" t="s">
        <v>106</v>
      </c>
      <c r="C142" t="s">
        <v>93</v>
      </c>
      <c r="D142" t="s">
        <v>21</v>
      </c>
      <c r="E142">
        <v>2013</v>
      </c>
      <c r="F142" s="1">
        <v>41537</v>
      </c>
      <c r="G142" s="1">
        <v>41569</v>
      </c>
      <c r="H142" s="2">
        <v>1375000</v>
      </c>
      <c r="I142" s="3">
        <v>5744.4</v>
      </c>
      <c r="L142" t="s">
        <v>13</v>
      </c>
      <c r="M142" s="4">
        <v>42968.75</v>
      </c>
      <c r="N142" s="3">
        <v>179.51</v>
      </c>
      <c r="O142" s="7">
        <v>4.1999999999999997E-3</v>
      </c>
      <c r="Q142">
        <f t="shared" si="3"/>
        <v>32</v>
      </c>
    </row>
    <row r="143" spans="1:17" x14ac:dyDescent="0.25">
      <c r="A143">
        <v>2014</v>
      </c>
      <c r="B143" t="s">
        <v>107</v>
      </c>
      <c r="C143" t="s">
        <v>93</v>
      </c>
      <c r="D143" t="s">
        <v>22</v>
      </c>
      <c r="E143">
        <v>2013</v>
      </c>
      <c r="F143" s="1">
        <v>41507</v>
      </c>
      <c r="G143" s="1">
        <v>41537</v>
      </c>
      <c r="H143" s="2">
        <v>1331000</v>
      </c>
      <c r="I143" s="3">
        <v>5571.94</v>
      </c>
      <c r="L143" t="s">
        <v>13</v>
      </c>
      <c r="M143" s="4">
        <v>44366.67</v>
      </c>
      <c r="N143" s="3">
        <v>185.73</v>
      </c>
      <c r="O143" s="7">
        <v>4.1999999999999997E-3</v>
      </c>
      <c r="Q143">
        <f t="shared" si="3"/>
        <v>30</v>
      </c>
    </row>
    <row r="144" spans="1:17" x14ac:dyDescent="0.25">
      <c r="A144">
        <v>2014</v>
      </c>
      <c r="B144" t="s">
        <v>107</v>
      </c>
      <c r="C144" t="s">
        <v>93</v>
      </c>
      <c r="D144" t="s">
        <v>23</v>
      </c>
      <c r="E144">
        <v>2013</v>
      </c>
      <c r="F144" s="1">
        <v>41477</v>
      </c>
      <c r="G144" s="1">
        <v>41507</v>
      </c>
      <c r="H144" s="2">
        <v>1372000</v>
      </c>
      <c r="I144" s="3">
        <v>5732.64</v>
      </c>
      <c r="L144" t="s">
        <v>13</v>
      </c>
      <c r="M144" s="4">
        <v>45733.33</v>
      </c>
      <c r="N144" s="3">
        <v>191.09</v>
      </c>
      <c r="O144" s="7">
        <v>4.1999999999999997E-3</v>
      </c>
      <c r="Q144">
        <f t="shared" si="3"/>
        <v>30</v>
      </c>
    </row>
    <row r="145" spans="1:17" x14ac:dyDescent="0.25">
      <c r="A145">
        <v>2014</v>
      </c>
      <c r="B145" t="s">
        <v>107</v>
      </c>
      <c r="C145" t="s">
        <v>93</v>
      </c>
      <c r="D145" t="s">
        <v>24</v>
      </c>
      <c r="E145">
        <v>2013</v>
      </c>
      <c r="F145" s="1">
        <v>41445</v>
      </c>
      <c r="G145" s="1">
        <v>41477</v>
      </c>
      <c r="H145" s="2">
        <v>1611000</v>
      </c>
      <c r="I145" s="3">
        <v>6669.43</v>
      </c>
      <c r="L145" t="s">
        <v>13</v>
      </c>
      <c r="M145" s="4">
        <v>50343.75</v>
      </c>
      <c r="N145" s="3">
        <v>208.42</v>
      </c>
      <c r="O145" s="7">
        <v>4.1000000000000003E-3</v>
      </c>
      <c r="Q145">
        <f t="shared" si="3"/>
        <v>32</v>
      </c>
    </row>
    <row r="146" spans="1:17" x14ac:dyDescent="0.25">
      <c r="A146">
        <v>2013</v>
      </c>
      <c r="B146" t="s">
        <v>104</v>
      </c>
      <c r="C146" t="s">
        <v>93</v>
      </c>
      <c r="D146" t="s">
        <v>12</v>
      </c>
      <c r="E146">
        <v>2013</v>
      </c>
      <c r="F146" s="1">
        <v>41415</v>
      </c>
      <c r="G146" s="1">
        <v>41445</v>
      </c>
      <c r="H146" s="2">
        <v>1432000</v>
      </c>
      <c r="I146" s="3">
        <v>5967.82</v>
      </c>
      <c r="L146" t="s">
        <v>13</v>
      </c>
      <c r="M146" s="4">
        <v>47733.33</v>
      </c>
      <c r="N146" s="3">
        <v>198.93</v>
      </c>
      <c r="O146" s="7">
        <v>4.1999999999999997E-3</v>
      </c>
      <c r="Q146">
        <f t="shared" si="3"/>
        <v>30</v>
      </c>
    </row>
    <row r="147" spans="1:17" x14ac:dyDescent="0.25">
      <c r="A147">
        <v>2013</v>
      </c>
      <c r="B147" t="s">
        <v>104</v>
      </c>
      <c r="C147" t="s">
        <v>93</v>
      </c>
      <c r="D147" t="s">
        <v>14</v>
      </c>
      <c r="E147">
        <v>2013</v>
      </c>
      <c r="F147" s="1">
        <v>41383</v>
      </c>
      <c r="G147" s="1">
        <v>41415</v>
      </c>
      <c r="H147" s="2">
        <v>1400000</v>
      </c>
      <c r="I147" s="3">
        <v>5898.39</v>
      </c>
      <c r="L147" t="s">
        <v>13</v>
      </c>
      <c r="M147" s="4">
        <v>43750</v>
      </c>
      <c r="N147" s="3">
        <v>184.32</v>
      </c>
      <c r="O147" s="7">
        <v>4.1999999999999997E-3</v>
      </c>
      <c r="Q147">
        <f t="shared" si="3"/>
        <v>32</v>
      </c>
    </row>
    <row r="148" spans="1:17" x14ac:dyDescent="0.25">
      <c r="A148">
        <v>2013</v>
      </c>
      <c r="B148" t="s">
        <v>104</v>
      </c>
      <c r="C148" t="s">
        <v>93</v>
      </c>
      <c r="D148" t="s">
        <v>15</v>
      </c>
      <c r="E148">
        <v>2013</v>
      </c>
      <c r="F148" s="1">
        <v>41353</v>
      </c>
      <c r="G148" s="1">
        <v>41383</v>
      </c>
      <c r="H148" s="2">
        <v>1257000</v>
      </c>
      <c r="I148" s="3">
        <v>5332.17</v>
      </c>
      <c r="L148" t="s">
        <v>13</v>
      </c>
      <c r="M148" s="4">
        <v>41900</v>
      </c>
      <c r="N148" s="3">
        <v>177.74</v>
      </c>
      <c r="O148" s="7">
        <v>4.1999999999999997E-3</v>
      </c>
      <c r="Q148">
        <f t="shared" si="3"/>
        <v>30</v>
      </c>
    </row>
    <row r="149" spans="1:17" x14ac:dyDescent="0.25">
      <c r="A149">
        <v>2013</v>
      </c>
      <c r="B149" t="s">
        <v>105</v>
      </c>
      <c r="C149" t="s">
        <v>93</v>
      </c>
      <c r="D149" t="s">
        <v>16</v>
      </c>
      <c r="E149">
        <v>2013</v>
      </c>
      <c r="F149" s="1">
        <v>41325</v>
      </c>
      <c r="G149" s="1">
        <v>41353</v>
      </c>
      <c r="H149" s="2">
        <v>1111000</v>
      </c>
      <c r="I149" s="3">
        <v>4754.07</v>
      </c>
      <c r="L149" t="s">
        <v>13</v>
      </c>
      <c r="M149" s="4">
        <v>39678.57</v>
      </c>
      <c r="N149" s="3">
        <v>169.79</v>
      </c>
      <c r="O149" s="7">
        <v>4.3E-3</v>
      </c>
      <c r="Q149">
        <f t="shared" si="3"/>
        <v>28</v>
      </c>
    </row>
    <row r="150" spans="1:17" x14ac:dyDescent="0.25">
      <c r="A150">
        <v>2013</v>
      </c>
      <c r="B150" t="s">
        <v>105</v>
      </c>
      <c r="C150" t="s">
        <v>93</v>
      </c>
      <c r="D150" t="s">
        <v>17</v>
      </c>
      <c r="E150">
        <v>2013</v>
      </c>
      <c r="F150" s="1">
        <v>41292</v>
      </c>
      <c r="G150" s="1">
        <v>41325</v>
      </c>
      <c r="H150" s="2">
        <v>1357000</v>
      </c>
      <c r="I150" s="3">
        <v>5728.13</v>
      </c>
      <c r="L150" t="s">
        <v>13</v>
      </c>
      <c r="M150" s="4">
        <v>41121.21</v>
      </c>
      <c r="N150" s="3">
        <v>173.58</v>
      </c>
      <c r="O150" s="7">
        <v>4.1999999999999997E-3</v>
      </c>
      <c r="Q150">
        <f t="shared" si="3"/>
        <v>33</v>
      </c>
    </row>
    <row r="151" spans="1:17" x14ac:dyDescent="0.25">
      <c r="A151">
        <v>2013</v>
      </c>
      <c r="B151" t="s">
        <v>105</v>
      </c>
      <c r="C151" t="s">
        <v>93</v>
      </c>
      <c r="D151" t="s">
        <v>18</v>
      </c>
      <c r="E151">
        <v>2013</v>
      </c>
      <c r="F151" s="1">
        <v>41262</v>
      </c>
      <c r="G151" s="1">
        <v>41292</v>
      </c>
      <c r="H151" s="2">
        <v>1118000</v>
      </c>
      <c r="I151" s="3">
        <v>4781.78</v>
      </c>
      <c r="L151" t="s">
        <v>13</v>
      </c>
      <c r="M151" s="4">
        <v>37266.67</v>
      </c>
      <c r="N151" s="3">
        <v>159.38999999999999</v>
      </c>
      <c r="O151" s="7">
        <v>4.3E-3</v>
      </c>
      <c r="Q151">
        <f t="shared" si="3"/>
        <v>30</v>
      </c>
    </row>
    <row r="152" spans="1:17" x14ac:dyDescent="0.25">
      <c r="A152">
        <v>2013</v>
      </c>
      <c r="B152" t="s">
        <v>106</v>
      </c>
      <c r="C152" t="s">
        <v>93</v>
      </c>
      <c r="D152" t="s">
        <v>19</v>
      </c>
      <c r="E152">
        <v>2012</v>
      </c>
      <c r="F152" s="1">
        <v>41232</v>
      </c>
      <c r="G152" s="1">
        <v>41262</v>
      </c>
      <c r="H152" s="2">
        <v>1179000</v>
      </c>
      <c r="I152" s="3">
        <v>5013.8900000000003</v>
      </c>
      <c r="L152" t="s">
        <v>13</v>
      </c>
      <c r="M152" s="4">
        <v>39300</v>
      </c>
      <c r="N152" s="3">
        <v>167.13</v>
      </c>
      <c r="O152" s="7">
        <v>4.3E-3</v>
      </c>
      <c r="Q152">
        <f t="shared" si="3"/>
        <v>30</v>
      </c>
    </row>
    <row r="153" spans="1:17" x14ac:dyDescent="0.25">
      <c r="A153">
        <v>2013</v>
      </c>
      <c r="B153" t="s">
        <v>106</v>
      </c>
      <c r="C153" t="s">
        <v>93</v>
      </c>
      <c r="D153" t="s">
        <v>20</v>
      </c>
      <c r="E153">
        <v>2012</v>
      </c>
      <c r="F153" s="1">
        <v>41198</v>
      </c>
      <c r="G153" s="1">
        <v>41232</v>
      </c>
      <c r="H153" s="2">
        <v>1148000</v>
      </c>
      <c r="I153" s="3">
        <v>4938.71</v>
      </c>
      <c r="L153" t="s">
        <v>13</v>
      </c>
      <c r="M153" s="4">
        <v>33764.71</v>
      </c>
      <c r="N153" s="3">
        <v>145.26</v>
      </c>
      <c r="O153" s="7">
        <v>4.3E-3</v>
      </c>
      <c r="Q153">
        <f t="shared" si="3"/>
        <v>34</v>
      </c>
    </row>
    <row r="154" spans="1:17" x14ac:dyDescent="0.25">
      <c r="A154">
        <v>2013</v>
      </c>
      <c r="B154" t="s">
        <v>106</v>
      </c>
      <c r="C154" t="s">
        <v>93</v>
      </c>
      <c r="D154" t="s">
        <v>21</v>
      </c>
      <c r="E154">
        <v>2012</v>
      </c>
      <c r="F154" s="1">
        <v>41173</v>
      </c>
      <c r="G154" s="1">
        <v>41198</v>
      </c>
      <c r="H154" s="2">
        <v>1519000</v>
      </c>
      <c r="I154" s="3">
        <v>6298.26</v>
      </c>
      <c r="L154" t="s">
        <v>13</v>
      </c>
      <c r="M154" s="4">
        <v>60760</v>
      </c>
      <c r="N154" s="3">
        <v>251.93</v>
      </c>
      <c r="O154" s="7">
        <v>4.1000000000000003E-3</v>
      </c>
      <c r="Q154">
        <f t="shared" si="3"/>
        <v>25</v>
      </c>
    </row>
    <row r="155" spans="1:17" x14ac:dyDescent="0.25">
      <c r="A155">
        <v>2013</v>
      </c>
      <c r="B155" t="s">
        <v>107</v>
      </c>
      <c r="C155" t="s">
        <v>93</v>
      </c>
      <c r="D155" t="s">
        <v>22</v>
      </c>
      <c r="E155">
        <v>2012</v>
      </c>
      <c r="F155" s="1">
        <v>41142</v>
      </c>
      <c r="G155" s="1">
        <v>41173</v>
      </c>
      <c r="H155" s="2">
        <v>1528000</v>
      </c>
      <c r="I155" s="3">
        <v>18446.259999999998</v>
      </c>
      <c r="L155" t="s">
        <v>13</v>
      </c>
      <c r="M155" s="4">
        <v>49290.32</v>
      </c>
      <c r="N155" s="3">
        <v>595.04</v>
      </c>
      <c r="O155" s="7">
        <v>1.21E-2</v>
      </c>
      <c r="Q155">
        <f t="shared" si="3"/>
        <v>31</v>
      </c>
    </row>
    <row r="156" spans="1:17" x14ac:dyDescent="0.25">
      <c r="A156">
        <v>2013</v>
      </c>
      <c r="B156" t="s">
        <v>107</v>
      </c>
      <c r="C156" t="s">
        <v>93</v>
      </c>
      <c r="D156" t="s">
        <v>23</v>
      </c>
      <c r="E156">
        <v>2012</v>
      </c>
      <c r="F156" s="1">
        <v>41110</v>
      </c>
      <c r="G156" s="1">
        <v>41142</v>
      </c>
      <c r="H156" s="2">
        <v>1687000</v>
      </c>
      <c r="I156" s="3">
        <v>20284.55</v>
      </c>
      <c r="L156" t="s">
        <v>13</v>
      </c>
      <c r="M156" s="4">
        <v>52718.75</v>
      </c>
      <c r="N156" s="3">
        <v>633.89</v>
      </c>
      <c r="O156" s="7">
        <v>1.2E-2</v>
      </c>
      <c r="Q156">
        <f t="shared" si="3"/>
        <v>32</v>
      </c>
    </row>
    <row r="157" spans="1:17" x14ac:dyDescent="0.25">
      <c r="A157">
        <v>2013</v>
      </c>
      <c r="B157" t="s">
        <v>107</v>
      </c>
      <c r="C157" t="s">
        <v>93</v>
      </c>
      <c r="D157" t="s">
        <v>24</v>
      </c>
      <c r="E157">
        <v>2012</v>
      </c>
      <c r="F157" s="1">
        <v>41081</v>
      </c>
      <c r="G157" s="1">
        <v>41110</v>
      </c>
      <c r="H157" s="2">
        <v>1458000</v>
      </c>
      <c r="I157" s="3">
        <v>17349.189999999999</v>
      </c>
      <c r="L157" t="s">
        <v>13</v>
      </c>
      <c r="M157" s="4">
        <v>50275.86</v>
      </c>
      <c r="N157" s="3">
        <v>598.25</v>
      </c>
      <c r="O157" s="7">
        <v>1.1900000000000001E-2</v>
      </c>
      <c r="Q157">
        <f t="shared" si="3"/>
        <v>29</v>
      </c>
    </row>
    <row r="158" spans="1:17" x14ac:dyDescent="0.25">
      <c r="A158">
        <v>2012</v>
      </c>
      <c r="B158" t="s">
        <v>104</v>
      </c>
      <c r="C158" t="s">
        <v>93</v>
      </c>
      <c r="D158" t="s">
        <v>12</v>
      </c>
      <c r="E158">
        <v>2012</v>
      </c>
      <c r="F158" s="1">
        <v>41051</v>
      </c>
      <c r="G158" s="1">
        <v>41081</v>
      </c>
      <c r="H158" s="2">
        <v>1480000</v>
      </c>
      <c r="I158" s="3">
        <v>17468.36</v>
      </c>
      <c r="L158" t="s">
        <v>13</v>
      </c>
      <c r="M158" s="4">
        <v>49333.33</v>
      </c>
      <c r="N158" s="3">
        <v>582.28</v>
      </c>
      <c r="O158" s="7">
        <v>1.18E-2</v>
      </c>
      <c r="Q158">
        <f t="shared" si="3"/>
        <v>30</v>
      </c>
    </row>
    <row r="159" spans="1:17" x14ac:dyDescent="0.25">
      <c r="A159">
        <v>2012</v>
      </c>
      <c r="B159" t="s">
        <v>104</v>
      </c>
      <c r="C159" t="s">
        <v>93</v>
      </c>
      <c r="D159" t="s">
        <v>14</v>
      </c>
      <c r="E159">
        <v>2012</v>
      </c>
      <c r="F159" s="1">
        <v>41019</v>
      </c>
      <c r="G159" s="1">
        <v>41051</v>
      </c>
      <c r="H159" s="2">
        <v>1461000</v>
      </c>
      <c r="I159" s="3">
        <v>17144.05</v>
      </c>
      <c r="L159" t="s">
        <v>13</v>
      </c>
      <c r="M159" s="4">
        <v>45656.25</v>
      </c>
      <c r="N159" s="3">
        <v>535.75</v>
      </c>
      <c r="O159" s="7">
        <v>1.17E-2</v>
      </c>
      <c r="Q159">
        <f t="shared" si="3"/>
        <v>32</v>
      </c>
    </row>
    <row r="160" spans="1:17" x14ac:dyDescent="0.25">
      <c r="A160">
        <v>2012</v>
      </c>
      <c r="B160" t="s">
        <v>104</v>
      </c>
      <c r="C160" t="s">
        <v>93</v>
      </c>
      <c r="D160" t="s">
        <v>15</v>
      </c>
      <c r="E160">
        <v>2012</v>
      </c>
      <c r="F160" s="1">
        <v>40989</v>
      </c>
      <c r="G160" s="1">
        <v>41019</v>
      </c>
      <c r="H160" s="2">
        <v>1448000</v>
      </c>
      <c r="I160" s="3">
        <v>16998.11</v>
      </c>
      <c r="L160" t="s">
        <v>13</v>
      </c>
      <c r="M160" s="4">
        <v>48266.67</v>
      </c>
      <c r="N160" s="3">
        <v>566.6</v>
      </c>
      <c r="O160" s="7">
        <v>1.17E-2</v>
      </c>
      <c r="Q160">
        <f t="shared" si="3"/>
        <v>30</v>
      </c>
    </row>
    <row r="161" spans="1:17" x14ac:dyDescent="0.25">
      <c r="A161">
        <v>2012</v>
      </c>
      <c r="B161" t="s">
        <v>105</v>
      </c>
      <c r="C161" t="s">
        <v>93</v>
      </c>
      <c r="D161" t="s">
        <v>16</v>
      </c>
      <c r="E161">
        <v>2012</v>
      </c>
      <c r="F161" s="1">
        <v>40956</v>
      </c>
      <c r="G161" s="1">
        <v>40989</v>
      </c>
      <c r="H161" s="2">
        <v>1380000</v>
      </c>
      <c r="I161" s="3">
        <v>16234.67</v>
      </c>
      <c r="L161" t="s">
        <v>13</v>
      </c>
      <c r="M161" s="4">
        <v>41818.18</v>
      </c>
      <c r="N161" s="3">
        <v>491.96</v>
      </c>
      <c r="O161" s="7">
        <v>1.18E-2</v>
      </c>
      <c r="Q161">
        <f t="shared" si="3"/>
        <v>33</v>
      </c>
    </row>
    <row r="162" spans="1:17" x14ac:dyDescent="0.25">
      <c r="A162">
        <v>2012</v>
      </c>
      <c r="B162" t="s">
        <v>105</v>
      </c>
      <c r="C162" t="s">
        <v>93</v>
      </c>
      <c r="D162" t="s">
        <v>17</v>
      </c>
      <c r="E162">
        <v>2012</v>
      </c>
      <c r="F162" s="1">
        <v>40927</v>
      </c>
      <c r="G162" s="1">
        <v>40956</v>
      </c>
      <c r="H162" s="2">
        <v>1138000</v>
      </c>
      <c r="I162" s="3">
        <v>13517.77</v>
      </c>
      <c r="L162" t="s">
        <v>13</v>
      </c>
      <c r="M162" s="4">
        <v>39241.379999999997</v>
      </c>
      <c r="N162" s="3">
        <v>466.13</v>
      </c>
      <c r="O162" s="7">
        <v>1.1900000000000001E-2</v>
      </c>
      <c r="Q162">
        <f t="shared" si="3"/>
        <v>29</v>
      </c>
    </row>
    <row r="163" spans="1:17" x14ac:dyDescent="0.25">
      <c r="A163">
        <v>2012</v>
      </c>
      <c r="B163" t="s">
        <v>105</v>
      </c>
      <c r="C163" t="s">
        <v>93</v>
      </c>
      <c r="D163" t="s">
        <v>18</v>
      </c>
      <c r="E163">
        <v>2012</v>
      </c>
      <c r="F163" s="1">
        <v>40897</v>
      </c>
      <c r="G163" s="1">
        <v>40927</v>
      </c>
      <c r="H163" s="2">
        <v>1138000</v>
      </c>
      <c r="I163" s="3">
        <v>13517.77</v>
      </c>
      <c r="L163" t="s">
        <v>13</v>
      </c>
      <c r="M163" s="4">
        <v>37933.33</v>
      </c>
      <c r="N163" s="3">
        <v>450.59</v>
      </c>
      <c r="O163" s="7">
        <v>1.1900000000000001E-2</v>
      </c>
      <c r="Q163">
        <f t="shared" si="3"/>
        <v>30</v>
      </c>
    </row>
    <row r="164" spans="1:17" x14ac:dyDescent="0.25">
      <c r="A164">
        <v>2012</v>
      </c>
      <c r="B164" t="s">
        <v>106</v>
      </c>
      <c r="C164" t="s">
        <v>93</v>
      </c>
      <c r="D164" t="s">
        <v>19</v>
      </c>
      <c r="E164">
        <v>2011</v>
      </c>
      <c r="F164" s="1">
        <v>40865</v>
      </c>
      <c r="G164" s="1">
        <v>40897</v>
      </c>
      <c r="H164" s="2">
        <v>1344000</v>
      </c>
      <c r="I164" s="3">
        <v>15775.4</v>
      </c>
      <c r="L164" t="s">
        <v>13</v>
      </c>
      <c r="M164" s="4">
        <v>42000</v>
      </c>
      <c r="N164" s="3">
        <v>492.98</v>
      </c>
      <c r="O164" s="7">
        <v>1.17E-2</v>
      </c>
      <c r="Q164">
        <f t="shared" si="3"/>
        <v>32</v>
      </c>
    </row>
    <row r="165" spans="1:17" x14ac:dyDescent="0.25">
      <c r="A165">
        <v>2012</v>
      </c>
      <c r="B165" t="s">
        <v>106</v>
      </c>
      <c r="C165" t="s">
        <v>93</v>
      </c>
      <c r="D165" t="s">
        <v>20</v>
      </c>
      <c r="E165">
        <v>2011</v>
      </c>
      <c r="F165" s="1">
        <v>40837</v>
      </c>
      <c r="G165" s="1">
        <v>40865</v>
      </c>
      <c r="H165" s="2">
        <v>1182000</v>
      </c>
      <c r="I165" s="3">
        <v>13963.28</v>
      </c>
      <c r="L165" t="s">
        <v>13</v>
      </c>
      <c r="M165" s="4">
        <v>42214.29</v>
      </c>
      <c r="N165" s="3">
        <v>498.69</v>
      </c>
      <c r="O165" s="7">
        <v>1.18E-2</v>
      </c>
      <c r="Q165">
        <f t="shared" si="3"/>
        <v>28</v>
      </c>
    </row>
    <row r="166" spans="1:17" x14ac:dyDescent="0.25">
      <c r="A166">
        <v>2012</v>
      </c>
      <c r="B166" t="s">
        <v>106</v>
      </c>
      <c r="C166" t="s">
        <v>93</v>
      </c>
      <c r="D166" t="s">
        <v>21</v>
      </c>
      <c r="E166">
        <v>2011</v>
      </c>
      <c r="F166" s="1">
        <v>40808</v>
      </c>
      <c r="G166" s="1">
        <v>40837</v>
      </c>
      <c r="H166" s="2">
        <v>1525000</v>
      </c>
      <c r="I166" s="3">
        <v>17742.03</v>
      </c>
      <c r="L166" t="s">
        <v>13</v>
      </c>
      <c r="M166" s="4">
        <v>52586.21</v>
      </c>
      <c r="N166" s="3">
        <v>611.79</v>
      </c>
      <c r="O166" s="7">
        <v>1.1599999999999999E-2</v>
      </c>
      <c r="Q166">
        <f t="shared" si="3"/>
        <v>29</v>
      </c>
    </row>
    <row r="167" spans="1:17" x14ac:dyDescent="0.25">
      <c r="A167">
        <v>2012</v>
      </c>
      <c r="B167" t="s">
        <v>107</v>
      </c>
      <c r="C167" t="s">
        <v>93</v>
      </c>
      <c r="D167" t="s">
        <v>22</v>
      </c>
      <c r="E167">
        <v>2011</v>
      </c>
      <c r="F167" s="1">
        <v>40777</v>
      </c>
      <c r="G167" s="1">
        <v>40808</v>
      </c>
      <c r="H167" s="2">
        <v>1490000</v>
      </c>
      <c r="I167" s="3">
        <v>17198.21</v>
      </c>
      <c r="L167" t="s">
        <v>13</v>
      </c>
      <c r="M167" s="4">
        <v>48064.52</v>
      </c>
      <c r="N167" s="3">
        <v>554.78</v>
      </c>
      <c r="O167" s="7">
        <v>1.15E-2</v>
      </c>
      <c r="Q167">
        <f t="shared" si="3"/>
        <v>31</v>
      </c>
    </row>
    <row r="168" spans="1:17" x14ac:dyDescent="0.25">
      <c r="A168">
        <v>2012</v>
      </c>
      <c r="B168" t="s">
        <v>107</v>
      </c>
      <c r="C168" t="s">
        <v>93</v>
      </c>
      <c r="D168" t="s">
        <v>23</v>
      </c>
      <c r="E168">
        <v>2011</v>
      </c>
      <c r="F168" s="1">
        <v>40745</v>
      </c>
      <c r="G168" s="1">
        <v>40777</v>
      </c>
      <c r="H168" s="2">
        <v>1627000</v>
      </c>
      <c r="I168" s="3">
        <v>18730.68</v>
      </c>
      <c r="L168" t="s">
        <v>13</v>
      </c>
      <c r="M168" s="4">
        <v>50843.75</v>
      </c>
      <c r="N168" s="3">
        <v>585.33000000000004</v>
      </c>
      <c r="O168" s="7">
        <v>1.15E-2</v>
      </c>
      <c r="Q168">
        <f t="shared" si="3"/>
        <v>32</v>
      </c>
    </row>
    <row r="169" spans="1:17" x14ac:dyDescent="0.25">
      <c r="A169">
        <v>2012</v>
      </c>
      <c r="B169" t="s">
        <v>107</v>
      </c>
      <c r="C169" t="s">
        <v>93</v>
      </c>
      <c r="D169" t="s">
        <v>24</v>
      </c>
      <c r="E169">
        <v>2011</v>
      </c>
      <c r="F169" s="1">
        <v>40716</v>
      </c>
      <c r="G169" s="1">
        <v>40745</v>
      </c>
      <c r="H169" s="2">
        <v>1360000</v>
      </c>
      <c r="I169" s="3">
        <v>15744.04</v>
      </c>
      <c r="L169" t="s">
        <v>13</v>
      </c>
      <c r="M169" s="4">
        <v>46896.55</v>
      </c>
      <c r="N169" s="3">
        <v>542.9</v>
      </c>
      <c r="O169" s="7">
        <v>1.1599999999999999E-2</v>
      </c>
      <c r="Q169">
        <f t="shared" si="3"/>
        <v>29</v>
      </c>
    </row>
    <row r="170" spans="1:17" x14ac:dyDescent="0.25">
      <c r="A170">
        <v>2011</v>
      </c>
      <c r="B170" t="s">
        <v>104</v>
      </c>
      <c r="C170" t="s">
        <v>93</v>
      </c>
      <c r="D170" t="s">
        <v>12</v>
      </c>
      <c r="E170">
        <v>2011</v>
      </c>
      <c r="F170" s="1">
        <v>40683</v>
      </c>
      <c r="G170" s="1">
        <v>40716</v>
      </c>
      <c r="H170" s="2">
        <v>1517000</v>
      </c>
      <c r="I170" s="3">
        <v>17500.23</v>
      </c>
      <c r="L170" t="s">
        <v>13</v>
      </c>
      <c r="M170" s="4">
        <v>45969.7</v>
      </c>
      <c r="N170" s="3">
        <v>530.30999999999995</v>
      </c>
      <c r="O170" s="7">
        <v>1.15E-2</v>
      </c>
      <c r="Q170">
        <f t="shared" si="3"/>
        <v>33</v>
      </c>
    </row>
    <row r="171" spans="1:17" x14ac:dyDescent="0.25">
      <c r="A171">
        <v>2011</v>
      </c>
      <c r="B171" t="s">
        <v>104</v>
      </c>
      <c r="C171" t="s">
        <v>93</v>
      </c>
      <c r="D171" t="s">
        <v>14</v>
      </c>
      <c r="E171">
        <v>2011</v>
      </c>
      <c r="F171" s="1">
        <v>40653</v>
      </c>
      <c r="G171" s="1">
        <v>40683</v>
      </c>
      <c r="H171" s="2">
        <v>1286000</v>
      </c>
      <c r="I171" s="3">
        <v>14885.42</v>
      </c>
      <c r="L171" t="s">
        <v>13</v>
      </c>
      <c r="M171" s="4">
        <v>42866.67</v>
      </c>
      <c r="N171" s="3">
        <v>496.18</v>
      </c>
      <c r="O171" s="7">
        <v>1.1599999999999999E-2</v>
      </c>
      <c r="Q171">
        <f t="shared" si="3"/>
        <v>30</v>
      </c>
    </row>
    <row r="172" spans="1:17" x14ac:dyDescent="0.25">
      <c r="A172">
        <v>2011</v>
      </c>
      <c r="B172" t="s">
        <v>104</v>
      </c>
      <c r="C172" t="s">
        <v>93</v>
      </c>
      <c r="D172" t="s">
        <v>15</v>
      </c>
      <c r="E172">
        <v>2011</v>
      </c>
      <c r="F172" s="1">
        <v>40624</v>
      </c>
      <c r="G172" s="1">
        <v>40653</v>
      </c>
      <c r="H172" s="2">
        <v>1236000</v>
      </c>
      <c r="I172" s="3">
        <v>14327.33</v>
      </c>
      <c r="L172" t="s">
        <v>13</v>
      </c>
      <c r="M172" s="4">
        <v>42620.69</v>
      </c>
      <c r="N172" s="3">
        <v>494.05</v>
      </c>
      <c r="O172" s="7">
        <v>1.1599999999999999E-2</v>
      </c>
      <c r="Q172">
        <f t="shared" si="3"/>
        <v>29</v>
      </c>
    </row>
    <row r="173" spans="1:17" x14ac:dyDescent="0.25">
      <c r="A173">
        <v>2011</v>
      </c>
      <c r="B173" t="s">
        <v>105</v>
      </c>
      <c r="C173" t="s">
        <v>93</v>
      </c>
      <c r="D173" t="s">
        <v>16</v>
      </c>
      <c r="E173">
        <v>2011</v>
      </c>
      <c r="F173" s="1">
        <v>40591</v>
      </c>
      <c r="G173" s="1">
        <v>40624</v>
      </c>
      <c r="H173" s="2">
        <v>1676000</v>
      </c>
      <c r="I173" s="3">
        <v>19238.560000000001</v>
      </c>
      <c r="L173" t="s">
        <v>13</v>
      </c>
      <c r="M173" s="4">
        <v>50787.88</v>
      </c>
      <c r="N173" s="3">
        <v>582.99</v>
      </c>
      <c r="O173" s="7">
        <v>1.15E-2</v>
      </c>
      <c r="Q173">
        <f t="shared" si="3"/>
        <v>33</v>
      </c>
    </row>
    <row r="174" spans="1:17" x14ac:dyDescent="0.25">
      <c r="A174">
        <v>2011</v>
      </c>
      <c r="B174" t="s">
        <v>105</v>
      </c>
      <c r="C174" t="s">
        <v>93</v>
      </c>
      <c r="D174" t="s">
        <v>17</v>
      </c>
      <c r="E174">
        <v>2011</v>
      </c>
      <c r="F174" s="1">
        <v>40563</v>
      </c>
      <c r="G174" s="1">
        <v>40591</v>
      </c>
      <c r="H174" s="2">
        <v>1153000</v>
      </c>
      <c r="I174" s="3">
        <v>13400.89</v>
      </c>
      <c r="L174" t="s">
        <v>13</v>
      </c>
      <c r="M174" s="4">
        <v>41178.57</v>
      </c>
      <c r="N174" s="3">
        <v>478.6</v>
      </c>
      <c r="O174" s="7">
        <v>1.1599999999999999E-2</v>
      </c>
      <c r="Q174">
        <f t="shared" si="3"/>
        <v>28</v>
      </c>
    </row>
    <row r="175" spans="1:17" x14ac:dyDescent="0.25">
      <c r="A175">
        <v>2011</v>
      </c>
      <c r="B175" t="s">
        <v>105</v>
      </c>
      <c r="C175" t="s">
        <v>93</v>
      </c>
      <c r="D175" t="s">
        <v>18</v>
      </c>
      <c r="E175">
        <v>2011</v>
      </c>
      <c r="F175" s="1">
        <v>40532</v>
      </c>
      <c r="G175" s="1">
        <v>40563</v>
      </c>
      <c r="H175" s="2">
        <v>1215000</v>
      </c>
      <c r="I175" s="3">
        <v>14092.93</v>
      </c>
      <c r="L175" t="s">
        <v>13</v>
      </c>
      <c r="M175" s="4">
        <v>39193.550000000003</v>
      </c>
      <c r="N175" s="3">
        <v>454.61</v>
      </c>
      <c r="O175" s="7">
        <v>1.1599999999999999E-2</v>
      </c>
      <c r="Q175">
        <f t="shared" si="3"/>
        <v>31</v>
      </c>
    </row>
    <row r="176" spans="1:17" x14ac:dyDescent="0.25">
      <c r="A176">
        <v>2011</v>
      </c>
      <c r="B176" t="s">
        <v>106</v>
      </c>
      <c r="C176" t="s">
        <v>93</v>
      </c>
      <c r="D176" t="s">
        <v>19</v>
      </c>
      <c r="E176">
        <v>2010</v>
      </c>
      <c r="F176" s="1">
        <v>40501</v>
      </c>
      <c r="G176" s="1">
        <v>40532</v>
      </c>
      <c r="H176" s="2">
        <v>1302000</v>
      </c>
      <c r="I176" s="3">
        <v>14972.87</v>
      </c>
      <c r="L176" t="s">
        <v>13</v>
      </c>
      <c r="M176" s="4">
        <v>42000</v>
      </c>
      <c r="N176" s="3">
        <v>483</v>
      </c>
      <c r="O176" s="7">
        <v>1.15E-2</v>
      </c>
      <c r="Q176">
        <f t="shared" si="3"/>
        <v>31</v>
      </c>
    </row>
    <row r="177" spans="1:17" x14ac:dyDescent="0.25">
      <c r="A177">
        <v>2011</v>
      </c>
      <c r="B177" t="s">
        <v>106</v>
      </c>
      <c r="C177" t="s">
        <v>93</v>
      </c>
      <c r="D177" t="s">
        <v>20</v>
      </c>
      <c r="E177">
        <v>2010</v>
      </c>
      <c r="F177" s="1">
        <v>40471</v>
      </c>
      <c r="G177" s="1">
        <v>40501</v>
      </c>
      <c r="H177" s="2">
        <v>1241000</v>
      </c>
      <c r="I177" s="3">
        <v>14296.27</v>
      </c>
      <c r="L177" t="s">
        <v>13</v>
      </c>
      <c r="M177" s="4">
        <v>41366.67</v>
      </c>
      <c r="N177" s="3">
        <v>476.54</v>
      </c>
      <c r="O177" s="7">
        <v>1.15E-2</v>
      </c>
      <c r="Q177">
        <f t="shared" si="3"/>
        <v>30</v>
      </c>
    </row>
    <row r="178" spans="1:17" x14ac:dyDescent="0.25">
      <c r="A178">
        <v>2011</v>
      </c>
      <c r="B178" t="s">
        <v>106</v>
      </c>
      <c r="C178" t="s">
        <v>93</v>
      </c>
      <c r="D178" t="s">
        <v>21</v>
      </c>
      <c r="E178">
        <v>2010</v>
      </c>
      <c r="F178" s="1">
        <v>40443</v>
      </c>
      <c r="G178" s="1">
        <v>40471</v>
      </c>
      <c r="H178" s="2">
        <v>1243000</v>
      </c>
      <c r="I178" s="3">
        <v>14258.36</v>
      </c>
      <c r="L178" t="s">
        <v>13</v>
      </c>
      <c r="M178" s="4">
        <v>44392.86</v>
      </c>
      <c r="N178" s="3">
        <v>509.23</v>
      </c>
      <c r="O178" s="7">
        <v>1.15E-2</v>
      </c>
      <c r="Q178">
        <f t="shared" si="3"/>
        <v>28</v>
      </c>
    </row>
    <row r="179" spans="1:17" x14ac:dyDescent="0.25">
      <c r="A179">
        <v>2011</v>
      </c>
      <c r="B179" t="s">
        <v>107</v>
      </c>
      <c r="C179" t="s">
        <v>93</v>
      </c>
      <c r="D179" t="s">
        <v>22</v>
      </c>
      <c r="E179">
        <v>2010</v>
      </c>
      <c r="F179" s="1">
        <v>40410</v>
      </c>
      <c r="G179" s="1">
        <v>40443</v>
      </c>
      <c r="H179" s="2">
        <v>1465000</v>
      </c>
      <c r="I179" s="3">
        <v>16570.509999999998</v>
      </c>
      <c r="L179" t="s">
        <v>13</v>
      </c>
      <c r="M179" s="4">
        <v>44393.94</v>
      </c>
      <c r="N179" s="3">
        <v>502.14</v>
      </c>
      <c r="O179" s="7">
        <v>1.1299999999999999E-2</v>
      </c>
      <c r="Q179">
        <f t="shared" si="3"/>
        <v>33</v>
      </c>
    </row>
    <row r="180" spans="1:17" x14ac:dyDescent="0.25">
      <c r="A180">
        <v>2011</v>
      </c>
      <c r="B180" t="s">
        <v>107</v>
      </c>
      <c r="C180" t="s">
        <v>93</v>
      </c>
      <c r="D180" t="s">
        <v>23</v>
      </c>
      <c r="E180">
        <v>2010</v>
      </c>
      <c r="F180" s="1">
        <v>40380</v>
      </c>
      <c r="G180" s="1">
        <v>40410</v>
      </c>
      <c r="H180" s="2">
        <v>1516000</v>
      </c>
      <c r="I180" s="3">
        <v>16760.73</v>
      </c>
      <c r="L180" t="s">
        <v>13</v>
      </c>
      <c r="M180" s="4">
        <v>50533.33</v>
      </c>
      <c r="N180" s="3">
        <v>558.69000000000005</v>
      </c>
      <c r="O180" s="7">
        <v>1.11E-2</v>
      </c>
      <c r="Q180">
        <f t="shared" si="3"/>
        <v>30</v>
      </c>
    </row>
    <row r="181" spans="1:17" x14ac:dyDescent="0.25">
      <c r="A181">
        <v>2011</v>
      </c>
      <c r="B181" t="s">
        <v>107</v>
      </c>
      <c r="C181" t="s">
        <v>93</v>
      </c>
      <c r="D181" t="s">
        <v>24</v>
      </c>
      <c r="E181">
        <v>2010</v>
      </c>
      <c r="F181" s="1">
        <v>40351</v>
      </c>
      <c r="G181" s="1">
        <v>40380</v>
      </c>
      <c r="H181" s="2">
        <v>1513000</v>
      </c>
      <c r="I181" s="3">
        <v>16591.84</v>
      </c>
      <c r="L181" t="s">
        <v>13</v>
      </c>
      <c r="M181" s="4">
        <v>52172.41</v>
      </c>
      <c r="N181" s="3">
        <v>572.13</v>
      </c>
      <c r="O181" s="7">
        <v>1.0999999999999999E-2</v>
      </c>
      <c r="Q181">
        <f t="shared" si="3"/>
        <v>29</v>
      </c>
    </row>
    <row r="182" spans="1:17" x14ac:dyDescent="0.25">
      <c r="A182">
        <v>2015</v>
      </c>
      <c r="B182" t="s">
        <v>104</v>
      </c>
      <c r="C182" t="s">
        <v>94</v>
      </c>
      <c r="D182" t="s">
        <v>12</v>
      </c>
      <c r="E182">
        <v>2015</v>
      </c>
      <c r="F182" s="1">
        <v>42152</v>
      </c>
      <c r="G182" s="1">
        <v>42181</v>
      </c>
      <c r="H182" s="2">
        <v>1338000</v>
      </c>
      <c r="I182" s="3">
        <v>11185.56</v>
      </c>
      <c r="L182" t="s">
        <v>13</v>
      </c>
      <c r="M182" s="4">
        <v>46137.93</v>
      </c>
      <c r="N182" s="3">
        <v>385.71</v>
      </c>
      <c r="O182" s="7">
        <v>8.3999999999999995E-3</v>
      </c>
      <c r="Q182">
        <f t="shared" si="3"/>
        <v>29</v>
      </c>
    </row>
    <row r="183" spans="1:17" x14ac:dyDescent="0.25">
      <c r="A183">
        <v>2015</v>
      </c>
      <c r="B183" t="s">
        <v>104</v>
      </c>
      <c r="C183" t="s">
        <v>94</v>
      </c>
      <c r="D183" t="s">
        <v>14</v>
      </c>
      <c r="E183">
        <v>2015</v>
      </c>
      <c r="F183" s="1">
        <v>42123</v>
      </c>
      <c r="G183" s="1">
        <v>42152</v>
      </c>
      <c r="H183" s="2">
        <v>1397000</v>
      </c>
      <c r="I183" s="3">
        <v>11651.07</v>
      </c>
      <c r="L183" t="s">
        <v>13</v>
      </c>
      <c r="M183" s="4">
        <v>48172.41</v>
      </c>
      <c r="N183" s="3">
        <v>401.76</v>
      </c>
      <c r="O183" s="7">
        <v>8.3000000000000001E-3</v>
      </c>
      <c r="Q183">
        <f t="shared" si="3"/>
        <v>29</v>
      </c>
    </row>
    <row r="184" spans="1:17" x14ac:dyDescent="0.25">
      <c r="A184">
        <v>2015</v>
      </c>
      <c r="B184" t="s">
        <v>104</v>
      </c>
      <c r="C184" t="s">
        <v>94</v>
      </c>
      <c r="D184" t="s">
        <v>15</v>
      </c>
      <c r="E184">
        <v>2015</v>
      </c>
      <c r="F184" s="1">
        <v>42090</v>
      </c>
      <c r="G184" s="1">
        <v>42123</v>
      </c>
      <c r="H184" s="2">
        <v>1494000</v>
      </c>
      <c r="I184" s="3">
        <v>12416.4</v>
      </c>
      <c r="L184" t="s">
        <v>13</v>
      </c>
      <c r="M184" s="4">
        <v>45272.73</v>
      </c>
      <c r="N184" s="3">
        <v>376.25</v>
      </c>
      <c r="O184" s="7">
        <v>8.3000000000000001E-3</v>
      </c>
      <c r="Q184">
        <f t="shared" si="3"/>
        <v>33</v>
      </c>
    </row>
    <row r="185" spans="1:17" x14ac:dyDescent="0.25">
      <c r="A185">
        <v>2015</v>
      </c>
      <c r="B185" t="s">
        <v>105</v>
      </c>
      <c r="C185" t="s">
        <v>94</v>
      </c>
      <c r="D185" t="s">
        <v>16</v>
      </c>
      <c r="E185">
        <v>2015</v>
      </c>
      <c r="F185" s="1">
        <v>42062</v>
      </c>
      <c r="G185" s="1">
        <v>42090</v>
      </c>
      <c r="H185" s="2">
        <v>1239000</v>
      </c>
      <c r="I185" s="3">
        <v>10404.450000000001</v>
      </c>
      <c r="L185" t="s">
        <v>13</v>
      </c>
      <c r="M185" s="4">
        <v>44250</v>
      </c>
      <c r="N185" s="3">
        <v>371.59</v>
      </c>
      <c r="O185" s="7">
        <v>8.3999999999999995E-3</v>
      </c>
      <c r="Q185">
        <f t="shared" si="3"/>
        <v>28</v>
      </c>
    </row>
    <row r="186" spans="1:17" x14ac:dyDescent="0.25">
      <c r="A186">
        <v>2015</v>
      </c>
      <c r="B186" t="s">
        <v>105</v>
      </c>
      <c r="C186" t="s">
        <v>94</v>
      </c>
      <c r="D186" t="s">
        <v>17</v>
      </c>
      <c r="E186">
        <v>2015</v>
      </c>
      <c r="F186" s="1">
        <v>42032</v>
      </c>
      <c r="G186" s="1">
        <v>42062</v>
      </c>
      <c r="H186" s="2">
        <v>1302000</v>
      </c>
      <c r="I186" s="3">
        <v>10901.52</v>
      </c>
      <c r="L186" t="s">
        <v>13</v>
      </c>
      <c r="M186" s="4">
        <v>43400</v>
      </c>
      <c r="N186" s="3">
        <v>363.38</v>
      </c>
      <c r="O186" s="7">
        <v>8.3999999999999995E-3</v>
      </c>
      <c r="Q186">
        <f t="shared" si="3"/>
        <v>30</v>
      </c>
    </row>
    <row r="187" spans="1:17" x14ac:dyDescent="0.25">
      <c r="A187">
        <v>2015</v>
      </c>
      <c r="B187" t="s">
        <v>105</v>
      </c>
      <c r="C187" t="s">
        <v>94</v>
      </c>
      <c r="D187" t="s">
        <v>18</v>
      </c>
      <c r="E187">
        <v>2015</v>
      </c>
      <c r="F187" s="1">
        <v>42000</v>
      </c>
      <c r="G187" s="1">
        <v>42032</v>
      </c>
      <c r="H187" s="2">
        <v>1283000</v>
      </c>
      <c r="I187" s="3">
        <v>10751.61</v>
      </c>
      <c r="L187" t="s">
        <v>13</v>
      </c>
      <c r="M187" s="4">
        <v>40093.75</v>
      </c>
      <c r="N187" s="3">
        <v>335.99</v>
      </c>
      <c r="O187" s="7">
        <v>8.3999999999999995E-3</v>
      </c>
      <c r="Q187">
        <f t="shared" si="3"/>
        <v>32</v>
      </c>
    </row>
    <row r="188" spans="1:17" x14ac:dyDescent="0.25">
      <c r="A188">
        <v>2015</v>
      </c>
      <c r="B188" t="s">
        <v>106</v>
      </c>
      <c r="C188" t="s">
        <v>94</v>
      </c>
      <c r="D188" t="s">
        <v>19</v>
      </c>
      <c r="E188">
        <v>2014</v>
      </c>
      <c r="F188" s="1">
        <v>41968</v>
      </c>
      <c r="G188" s="1">
        <v>42000</v>
      </c>
      <c r="H188" s="2">
        <v>1324000</v>
      </c>
      <c r="I188" s="3">
        <v>11075.1</v>
      </c>
      <c r="L188" t="s">
        <v>13</v>
      </c>
      <c r="M188" s="4">
        <v>41375</v>
      </c>
      <c r="N188" s="3">
        <v>346.1</v>
      </c>
      <c r="O188" s="7">
        <v>8.3999999999999995E-3</v>
      </c>
      <c r="Q188">
        <f t="shared" si="3"/>
        <v>32</v>
      </c>
    </row>
    <row r="189" spans="1:17" x14ac:dyDescent="0.25">
      <c r="A189">
        <v>2015</v>
      </c>
      <c r="B189" t="s">
        <v>106</v>
      </c>
      <c r="C189" t="s">
        <v>94</v>
      </c>
      <c r="D189" t="s">
        <v>20</v>
      </c>
      <c r="E189">
        <v>2014</v>
      </c>
      <c r="F189" s="1">
        <v>41940</v>
      </c>
      <c r="G189" s="1">
        <v>41968</v>
      </c>
      <c r="H189" s="2">
        <v>1240000</v>
      </c>
      <c r="I189" s="3">
        <v>10412.34</v>
      </c>
      <c r="L189" t="s">
        <v>13</v>
      </c>
      <c r="M189" s="4">
        <v>44285.71</v>
      </c>
      <c r="N189" s="3">
        <v>371.87</v>
      </c>
      <c r="O189" s="7">
        <v>8.3999999999999995E-3</v>
      </c>
      <c r="Q189">
        <f t="shared" si="3"/>
        <v>28</v>
      </c>
    </row>
    <row r="190" spans="1:17" x14ac:dyDescent="0.25">
      <c r="A190">
        <v>2015</v>
      </c>
      <c r="B190" t="s">
        <v>106</v>
      </c>
      <c r="C190" t="s">
        <v>94</v>
      </c>
      <c r="D190" t="s">
        <v>21</v>
      </c>
      <c r="E190">
        <v>2014</v>
      </c>
      <c r="F190" s="1">
        <v>41911</v>
      </c>
      <c r="G190" s="1">
        <v>41940</v>
      </c>
      <c r="H190" s="2">
        <v>1363000</v>
      </c>
      <c r="I190" s="3">
        <v>11376.7</v>
      </c>
      <c r="L190" t="s">
        <v>13</v>
      </c>
      <c r="M190" s="4">
        <v>47000</v>
      </c>
      <c r="N190" s="3">
        <v>392.3</v>
      </c>
      <c r="O190" s="7">
        <v>8.3000000000000001E-3</v>
      </c>
      <c r="Q190">
        <f t="shared" ref="Q190:Q241" si="4">G190-F190</f>
        <v>29</v>
      </c>
    </row>
    <row r="191" spans="1:17" x14ac:dyDescent="0.25">
      <c r="A191">
        <v>2015</v>
      </c>
      <c r="B191" t="s">
        <v>107</v>
      </c>
      <c r="C191" t="s">
        <v>94</v>
      </c>
      <c r="D191" t="s">
        <v>22</v>
      </c>
      <c r="E191">
        <v>2014</v>
      </c>
      <c r="F191" s="1">
        <v>41877</v>
      </c>
      <c r="G191" s="1">
        <v>41911</v>
      </c>
      <c r="H191" s="2">
        <v>1717000</v>
      </c>
      <c r="I191" s="3">
        <v>13952.66</v>
      </c>
      <c r="L191" t="s">
        <v>13</v>
      </c>
      <c r="M191" s="4">
        <v>50500</v>
      </c>
      <c r="N191" s="3">
        <v>410.37</v>
      </c>
      <c r="O191" s="7">
        <v>8.0999999999999996E-3</v>
      </c>
      <c r="Q191">
        <f t="shared" si="4"/>
        <v>34</v>
      </c>
    </row>
    <row r="192" spans="1:17" x14ac:dyDescent="0.25">
      <c r="A192">
        <v>2015</v>
      </c>
      <c r="B192" t="s">
        <v>107</v>
      </c>
      <c r="C192" t="s">
        <v>94</v>
      </c>
      <c r="D192" t="s">
        <v>23</v>
      </c>
      <c r="E192">
        <v>2014</v>
      </c>
      <c r="F192" s="1">
        <v>41845</v>
      </c>
      <c r="G192" s="1">
        <v>41877</v>
      </c>
      <c r="H192" s="2">
        <v>1597000</v>
      </c>
      <c r="I192" s="3">
        <v>13021.46</v>
      </c>
      <c r="L192" t="s">
        <v>13</v>
      </c>
      <c r="M192" s="4">
        <v>49906.25</v>
      </c>
      <c r="N192" s="3">
        <v>406.92</v>
      </c>
      <c r="O192" s="7">
        <v>8.2000000000000007E-3</v>
      </c>
      <c r="Q192">
        <f t="shared" si="4"/>
        <v>32</v>
      </c>
    </row>
    <row r="193" spans="1:17" x14ac:dyDescent="0.25">
      <c r="A193">
        <v>2015</v>
      </c>
      <c r="B193" t="s">
        <v>107</v>
      </c>
      <c r="C193" t="s">
        <v>94</v>
      </c>
      <c r="D193" t="s">
        <v>24</v>
      </c>
      <c r="E193">
        <v>2014</v>
      </c>
      <c r="F193" s="1">
        <v>41814</v>
      </c>
      <c r="G193" s="1">
        <v>41845</v>
      </c>
      <c r="H193" s="2">
        <v>1822000</v>
      </c>
      <c r="I193" s="3">
        <v>14767.46</v>
      </c>
      <c r="L193" t="s">
        <v>13</v>
      </c>
      <c r="M193" s="4">
        <v>58774.19</v>
      </c>
      <c r="N193" s="3">
        <v>476.37</v>
      </c>
      <c r="O193" s="7">
        <v>8.0999999999999996E-3</v>
      </c>
      <c r="Q193">
        <f t="shared" si="4"/>
        <v>31</v>
      </c>
    </row>
    <row r="194" spans="1:17" x14ac:dyDescent="0.25">
      <c r="A194">
        <v>2014</v>
      </c>
      <c r="B194" t="s">
        <v>104</v>
      </c>
      <c r="C194" t="s">
        <v>94</v>
      </c>
      <c r="D194" t="s">
        <v>12</v>
      </c>
      <c r="E194">
        <v>2014</v>
      </c>
      <c r="F194" s="1">
        <v>41781</v>
      </c>
      <c r="G194" s="1">
        <v>41814</v>
      </c>
      <c r="H194" s="2">
        <v>1711000</v>
      </c>
      <c r="I194" s="3">
        <v>13906.1</v>
      </c>
      <c r="L194" t="s">
        <v>13</v>
      </c>
      <c r="M194" s="4">
        <v>51848.480000000003</v>
      </c>
      <c r="N194" s="3">
        <v>421.4</v>
      </c>
      <c r="O194" s="7">
        <v>8.0999999999999996E-3</v>
      </c>
      <c r="Q194">
        <f t="shared" si="4"/>
        <v>33</v>
      </c>
    </row>
    <row r="195" spans="1:17" x14ac:dyDescent="0.25">
      <c r="A195">
        <v>2014</v>
      </c>
      <c r="B195" t="s">
        <v>104</v>
      </c>
      <c r="C195" t="s">
        <v>94</v>
      </c>
      <c r="D195" t="s">
        <v>14</v>
      </c>
      <c r="E195">
        <v>2014</v>
      </c>
      <c r="F195" s="1">
        <v>41752</v>
      </c>
      <c r="G195" s="1">
        <v>41781</v>
      </c>
      <c r="H195" s="2">
        <v>1272000</v>
      </c>
      <c r="I195" s="3">
        <v>10499.46</v>
      </c>
      <c r="L195" t="s">
        <v>13</v>
      </c>
      <c r="M195" s="4">
        <v>43862.07</v>
      </c>
      <c r="N195" s="3">
        <v>362.05</v>
      </c>
      <c r="O195" s="7">
        <v>8.3000000000000001E-3</v>
      </c>
      <c r="Q195">
        <f t="shared" si="4"/>
        <v>29</v>
      </c>
    </row>
    <row r="196" spans="1:17" x14ac:dyDescent="0.25">
      <c r="A196">
        <v>2014</v>
      </c>
      <c r="B196" t="s">
        <v>104</v>
      </c>
      <c r="C196" t="s">
        <v>94</v>
      </c>
      <c r="D196" t="s">
        <v>15</v>
      </c>
      <c r="E196">
        <v>2014</v>
      </c>
      <c r="F196" s="1">
        <v>41723</v>
      </c>
      <c r="G196" s="1">
        <v>41752</v>
      </c>
      <c r="H196" s="2">
        <v>1378000</v>
      </c>
      <c r="I196" s="3">
        <v>11322.02</v>
      </c>
      <c r="L196" t="s">
        <v>13</v>
      </c>
      <c r="M196" s="4">
        <v>47517.24</v>
      </c>
      <c r="N196" s="3">
        <v>390.41</v>
      </c>
      <c r="O196" s="7">
        <v>8.2000000000000007E-3</v>
      </c>
      <c r="Q196">
        <f t="shared" si="4"/>
        <v>29</v>
      </c>
    </row>
    <row r="197" spans="1:17" x14ac:dyDescent="0.25">
      <c r="A197">
        <v>2014</v>
      </c>
      <c r="B197" t="s">
        <v>105</v>
      </c>
      <c r="C197" t="s">
        <v>94</v>
      </c>
      <c r="D197" t="s">
        <v>16</v>
      </c>
      <c r="E197">
        <v>2014</v>
      </c>
      <c r="F197" s="1">
        <v>41694</v>
      </c>
      <c r="G197" s="1">
        <v>41723</v>
      </c>
      <c r="H197" s="2">
        <v>1189000</v>
      </c>
      <c r="I197" s="3">
        <v>9855.3799999999992</v>
      </c>
      <c r="L197" t="s">
        <v>13</v>
      </c>
      <c r="M197" s="4">
        <v>41000</v>
      </c>
      <c r="N197" s="3">
        <v>339.84</v>
      </c>
      <c r="O197" s="7">
        <v>8.3000000000000001E-3</v>
      </c>
      <c r="Q197">
        <f t="shared" si="4"/>
        <v>29</v>
      </c>
    </row>
    <row r="198" spans="1:17" x14ac:dyDescent="0.25">
      <c r="A198">
        <v>2014</v>
      </c>
      <c r="B198" t="s">
        <v>105</v>
      </c>
      <c r="C198" t="s">
        <v>94</v>
      </c>
      <c r="D198" t="s">
        <v>17</v>
      </c>
      <c r="E198">
        <v>2014</v>
      </c>
      <c r="F198" s="1">
        <v>41662</v>
      </c>
      <c r="G198" s="1">
        <v>41694</v>
      </c>
      <c r="H198" s="2">
        <v>1240000</v>
      </c>
      <c r="I198" s="3">
        <v>10251.14</v>
      </c>
      <c r="L198" t="s">
        <v>13</v>
      </c>
      <c r="M198" s="4">
        <v>38750</v>
      </c>
      <c r="N198" s="3">
        <v>320.35000000000002</v>
      </c>
      <c r="O198" s="7">
        <v>8.3000000000000001E-3</v>
      </c>
      <c r="Q198">
        <f t="shared" si="4"/>
        <v>32</v>
      </c>
    </row>
    <row r="199" spans="1:17" x14ac:dyDescent="0.25">
      <c r="A199">
        <v>2014</v>
      </c>
      <c r="B199" t="s">
        <v>105</v>
      </c>
      <c r="C199" t="s">
        <v>94</v>
      </c>
      <c r="D199" t="s">
        <v>18</v>
      </c>
      <c r="E199">
        <v>2014</v>
      </c>
      <c r="F199" s="1">
        <v>41627</v>
      </c>
      <c r="G199" s="1">
        <v>41662</v>
      </c>
      <c r="H199" s="2">
        <v>1377000</v>
      </c>
      <c r="I199" s="3">
        <v>11314.26</v>
      </c>
      <c r="L199" t="s">
        <v>13</v>
      </c>
      <c r="M199" s="4">
        <v>39342.86</v>
      </c>
      <c r="N199" s="3">
        <v>323.26</v>
      </c>
      <c r="O199" s="7">
        <v>8.2000000000000007E-3</v>
      </c>
      <c r="Q199">
        <f t="shared" si="4"/>
        <v>35</v>
      </c>
    </row>
    <row r="200" spans="1:17" x14ac:dyDescent="0.25">
      <c r="A200">
        <v>2014</v>
      </c>
      <c r="B200" t="s">
        <v>106</v>
      </c>
      <c r="C200" t="s">
        <v>94</v>
      </c>
      <c r="D200" t="s">
        <v>19</v>
      </c>
      <c r="E200">
        <v>2013</v>
      </c>
      <c r="F200" s="1">
        <v>41598</v>
      </c>
      <c r="G200" s="1">
        <v>41627</v>
      </c>
      <c r="H200" s="2">
        <v>1197000</v>
      </c>
      <c r="I200" s="3">
        <v>9917.4599999999991</v>
      </c>
      <c r="L200" t="s">
        <v>13</v>
      </c>
      <c r="M200" s="4">
        <v>41275.86</v>
      </c>
      <c r="N200" s="3">
        <v>341.98</v>
      </c>
      <c r="O200" s="7">
        <v>8.3000000000000001E-3</v>
      </c>
      <c r="Q200">
        <f t="shared" si="4"/>
        <v>29</v>
      </c>
    </row>
    <row r="201" spans="1:17" x14ac:dyDescent="0.25">
      <c r="A201">
        <v>2014</v>
      </c>
      <c r="B201" t="s">
        <v>106</v>
      </c>
      <c r="C201" t="s">
        <v>94</v>
      </c>
      <c r="D201" t="s">
        <v>20</v>
      </c>
      <c r="E201">
        <v>2013</v>
      </c>
      <c r="F201" s="1">
        <v>41569</v>
      </c>
      <c r="G201" s="1">
        <v>41598</v>
      </c>
      <c r="H201" s="2">
        <v>1197000</v>
      </c>
      <c r="I201" s="3">
        <v>9917.4599999999991</v>
      </c>
      <c r="L201" t="s">
        <v>13</v>
      </c>
      <c r="M201" s="4">
        <v>41275.86</v>
      </c>
      <c r="N201" s="3">
        <v>341.98</v>
      </c>
      <c r="O201" s="7">
        <v>8.3000000000000001E-3</v>
      </c>
      <c r="Q201">
        <f t="shared" si="4"/>
        <v>29</v>
      </c>
    </row>
    <row r="202" spans="1:17" x14ac:dyDescent="0.25">
      <c r="A202">
        <v>2014</v>
      </c>
      <c r="B202" t="s">
        <v>106</v>
      </c>
      <c r="C202" t="s">
        <v>94</v>
      </c>
      <c r="D202" t="s">
        <v>21</v>
      </c>
      <c r="E202">
        <v>2013</v>
      </c>
      <c r="F202" s="1">
        <v>41537</v>
      </c>
      <c r="G202" s="1">
        <v>41569</v>
      </c>
      <c r="H202" s="2">
        <v>1375000</v>
      </c>
      <c r="I202" s="3">
        <v>11234.3</v>
      </c>
      <c r="L202" t="s">
        <v>13</v>
      </c>
      <c r="M202" s="4">
        <v>42968.75</v>
      </c>
      <c r="N202" s="3">
        <v>351.07</v>
      </c>
      <c r="O202" s="7">
        <v>8.2000000000000007E-3</v>
      </c>
      <c r="Q202">
        <f t="shared" si="4"/>
        <v>32</v>
      </c>
    </row>
    <row r="203" spans="1:17" x14ac:dyDescent="0.25">
      <c r="A203">
        <v>2014</v>
      </c>
      <c r="B203" t="s">
        <v>107</v>
      </c>
      <c r="C203" t="s">
        <v>94</v>
      </c>
      <c r="D203" t="s">
        <v>22</v>
      </c>
      <c r="E203">
        <v>2013</v>
      </c>
      <c r="F203" s="1">
        <v>41507</v>
      </c>
      <c r="G203" s="1">
        <v>41537</v>
      </c>
      <c r="H203" s="2">
        <v>1331000</v>
      </c>
      <c r="I203" s="3">
        <v>10764.43</v>
      </c>
      <c r="L203" t="s">
        <v>13</v>
      </c>
      <c r="M203" s="4">
        <v>44366.67</v>
      </c>
      <c r="N203" s="3">
        <v>358.81</v>
      </c>
      <c r="O203" s="7">
        <v>8.0999999999999996E-3</v>
      </c>
      <c r="Q203">
        <f t="shared" si="4"/>
        <v>30</v>
      </c>
    </row>
    <row r="204" spans="1:17" x14ac:dyDescent="0.25">
      <c r="A204">
        <v>2014</v>
      </c>
      <c r="B204" t="s">
        <v>107</v>
      </c>
      <c r="C204" t="s">
        <v>94</v>
      </c>
      <c r="D204" t="s">
        <v>23</v>
      </c>
      <c r="E204">
        <v>2013</v>
      </c>
      <c r="F204" s="1">
        <v>41477</v>
      </c>
      <c r="G204" s="1">
        <v>41507</v>
      </c>
      <c r="H204" s="2">
        <v>1372000</v>
      </c>
      <c r="I204" s="3">
        <v>11076.44</v>
      </c>
      <c r="L204" t="s">
        <v>13</v>
      </c>
      <c r="M204" s="4">
        <v>45733.33</v>
      </c>
      <c r="N204" s="3">
        <v>369.21</v>
      </c>
      <c r="O204" s="7">
        <v>8.0999999999999996E-3</v>
      </c>
      <c r="Q204">
        <f t="shared" si="4"/>
        <v>30</v>
      </c>
    </row>
    <row r="205" spans="1:17" x14ac:dyDescent="0.25">
      <c r="A205">
        <v>2014</v>
      </c>
      <c r="B205" t="s">
        <v>107</v>
      </c>
      <c r="C205" t="s">
        <v>94</v>
      </c>
      <c r="D205" t="s">
        <v>24</v>
      </c>
      <c r="E205">
        <v>2013</v>
      </c>
      <c r="F205" s="1">
        <v>41445</v>
      </c>
      <c r="G205" s="1">
        <v>41477</v>
      </c>
      <c r="H205" s="2">
        <v>1611000</v>
      </c>
      <c r="I205" s="3">
        <v>12895.23</v>
      </c>
      <c r="L205" t="s">
        <v>13</v>
      </c>
      <c r="M205" s="4">
        <v>50343.75</v>
      </c>
      <c r="N205" s="3">
        <v>402.98</v>
      </c>
      <c r="O205" s="7">
        <v>8.0000000000000002E-3</v>
      </c>
      <c r="Q205">
        <f t="shared" si="4"/>
        <v>32</v>
      </c>
    </row>
    <row r="206" spans="1:17" x14ac:dyDescent="0.25">
      <c r="A206">
        <v>2013</v>
      </c>
      <c r="B206" t="s">
        <v>104</v>
      </c>
      <c r="C206" t="s">
        <v>94</v>
      </c>
      <c r="D206" t="s">
        <v>12</v>
      </c>
      <c r="E206">
        <v>2013</v>
      </c>
      <c r="F206" s="1">
        <v>41415</v>
      </c>
      <c r="G206" s="1">
        <v>41445</v>
      </c>
      <c r="H206" s="2">
        <v>1432000</v>
      </c>
      <c r="I206" s="3">
        <v>11533.04</v>
      </c>
      <c r="L206" t="s">
        <v>13</v>
      </c>
      <c r="M206" s="4">
        <v>47733.33</v>
      </c>
      <c r="N206" s="3">
        <v>384.43</v>
      </c>
      <c r="O206" s="7">
        <v>8.0999999999999996E-3</v>
      </c>
      <c r="Q206">
        <f t="shared" si="4"/>
        <v>30</v>
      </c>
    </row>
    <row r="207" spans="1:17" x14ac:dyDescent="0.25">
      <c r="A207">
        <v>2013</v>
      </c>
      <c r="B207" t="s">
        <v>104</v>
      </c>
      <c r="C207" t="s">
        <v>94</v>
      </c>
      <c r="D207" t="s">
        <v>14</v>
      </c>
      <c r="E207">
        <v>2013</v>
      </c>
      <c r="F207" s="1">
        <v>41383</v>
      </c>
      <c r="G207" s="1">
        <v>41415</v>
      </c>
      <c r="H207" s="2">
        <v>1400000</v>
      </c>
      <c r="I207" s="3">
        <v>11289.52</v>
      </c>
      <c r="L207" t="s">
        <v>13</v>
      </c>
      <c r="M207" s="4">
        <v>43750</v>
      </c>
      <c r="N207" s="3">
        <v>352.8</v>
      </c>
      <c r="O207" s="7">
        <v>8.0999999999999996E-3</v>
      </c>
      <c r="Q207">
        <f t="shared" si="4"/>
        <v>32</v>
      </c>
    </row>
    <row r="208" spans="1:17" x14ac:dyDescent="0.25">
      <c r="A208">
        <v>2013</v>
      </c>
      <c r="B208" t="s">
        <v>104</v>
      </c>
      <c r="C208" t="s">
        <v>94</v>
      </c>
      <c r="D208" t="s">
        <v>15</v>
      </c>
      <c r="E208">
        <v>2013</v>
      </c>
      <c r="F208" s="1">
        <v>41353</v>
      </c>
      <c r="G208" s="1">
        <v>41383</v>
      </c>
      <c r="H208" s="2">
        <v>1257000</v>
      </c>
      <c r="I208" s="3">
        <v>10201.290000000001</v>
      </c>
      <c r="L208" t="s">
        <v>13</v>
      </c>
      <c r="M208" s="4">
        <v>41900</v>
      </c>
      <c r="N208" s="3">
        <v>340.04</v>
      </c>
      <c r="O208" s="7">
        <v>8.0999999999999996E-3</v>
      </c>
      <c r="Q208">
        <f t="shared" si="4"/>
        <v>30</v>
      </c>
    </row>
    <row r="209" spans="1:17" x14ac:dyDescent="0.25">
      <c r="A209">
        <v>2013</v>
      </c>
      <c r="B209" t="s">
        <v>105</v>
      </c>
      <c r="C209" t="s">
        <v>94</v>
      </c>
      <c r="D209" t="s">
        <v>16</v>
      </c>
      <c r="E209">
        <v>2013</v>
      </c>
      <c r="F209" s="1">
        <v>41325</v>
      </c>
      <c r="G209" s="1">
        <v>41353</v>
      </c>
      <c r="H209" s="2">
        <v>1111000</v>
      </c>
      <c r="I209" s="3">
        <v>9090.23</v>
      </c>
      <c r="L209" t="s">
        <v>13</v>
      </c>
      <c r="M209" s="4">
        <v>39678.57</v>
      </c>
      <c r="N209" s="3">
        <v>324.64999999999998</v>
      </c>
      <c r="O209" s="7">
        <v>8.2000000000000007E-3</v>
      </c>
      <c r="Q209">
        <f t="shared" si="4"/>
        <v>28</v>
      </c>
    </row>
    <row r="210" spans="1:17" x14ac:dyDescent="0.25">
      <c r="A210">
        <v>2013</v>
      </c>
      <c r="B210" t="s">
        <v>105</v>
      </c>
      <c r="C210" t="s">
        <v>94</v>
      </c>
      <c r="D210" t="s">
        <v>17</v>
      </c>
      <c r="E210">
        <v>2013</v>
      </c>
      <c r="F210" s="1">
        <v>41292</v>
      </c>
      <c r="G210" s="1">
        <v>41325</v>
      </c>
      <c r="H210" s="2">
        <v>1357000</v>
      </c>
      <c r="I210" s="3">
        <v>10962.29</v>
      </c>
      <c r="L210" t="s">
        <v>13</v>
      </c>
      <c r="M210" s="4">
        <v>41121.21</v>
      </c>
      <c r="N210" s="3">
        <v>332.19</v>
      </c>
      <c r="O210" s="7">
        <v>8.0999999999999996E-3</v>
      </c>
      <c r="Q210">
        <f t="shared" si="4"/>
        <v>33</v>
      </c>
    </row>
    <row r="211" spans="1:17" x14ac:dyDescent="0.25">
      <c r="A211">
        <v>2013</v>
      </c>
      <c r="B211" t="s">
        <v>105</v>
      </c>
      <c r="C211" t="s">
        <v>94</v>
      </c>
      <c r="D211" t="s">
        <v>18</v>
      </c>
      <c r="E211">
        <v>2013</v>
      </c>
      <c r="F211" s="1">
        <v>41262</v>
      </c>
      <c r="G211" s="1">
        <v>41292</v>
      </c>
      <c r="H211" s="2">
        <v>1118000</v>
      </c>
      <c r="I211" s="3">
        <v>9143.5</v>
      </c>
      <c r="L211" t="s">
        <v>13</v>
      </c>
      <c r="M211" s="4">
        <v>37266.67</v>
      </c>
      <c r="N211" s="3">
        <v>304.77999999999997</v>
      </c>
      <c r="O211" s="7">
        <v>8.2000000000000007E-3</v>
      </c>
      <c r="Q211">
        <f t="shared" si="4"/>
        <v>30</v>
      </c>
    </row>
    <row r="212" spans="1:17" x14ac:dyDescent="0.25">
      <c r="A212">
        <v>2013</v>
      </c>
      <c r="B212" t="s">
        <v>106</v>
      </c>
      <c r="C212" t="s">
        <v>94</v>
      </c>
      <c r="D212" t="s">
        <v>19</v>
      </c>
      <c r="E212">
        <v>2012</v>
      </c>
      <c r="F212" s="1">
        <v>41232</v>
      </c>
      <c r="G212" s="1">
        <v>41262</v>
      </c>
      <c r="H212" s="2">
        <v>1179000</v>
      </c>
      <c r="I212" s="3">
        <v>9607.7099999999991</v>
      </c>
      <c r="L212" t="s">
        <v>13</v>
      </c>
      <c r="M212" s="4">
        <v>39300</v>
      </c>
      <c r="N212" s="3">
        <v>320.26</v>
      </c>
      <c r="O212" s="7">
        <v>8.0999999999999996E-3</v>
      </c>
      <c r="Q212">
        <f t="shared" si="4"/>
        <v>30</v>
      </c>
    </row>
    <row r="213" spans="1:17" x14ac:dyDescent="0.25">
      <c r="A213">
        <v>2013</v>
      </c>
      <c r="B213" t="s">
        <v>106</v>
      </c>
      <c r="C213" t="s">
        <v>94</v>
      </c>
      <c r="D213" t="s">
        <v>20</v>
      </c>
      <c r="E213">
        <v>2012</v>
      </c>
      <c r="F213" s="1">
        <v>41198</v>
      </c>
      <c r="G213" s="1">
        <v>41232</v>
      </c>
      <c r="H213" s="2">
        <v>1148000</v>
      </c>
      <c r="I213" s="3">
        <v>9371.7999999999993</v>
      </c>
      <c r="L213" t="s">
        <v>13</v>
      </c>
      <c r="M213" s="4">
        <v>33764.71</v>
      </c>
      <c r="N213" s="3">
        <v>275.64</v>
      </c>
      <c r="O213" s="7">
        <v>8.2000000000000007E-3</v>
      </c>
      <c r="Q213">
        <f t="shared" si="4"/>
        <v>34</v>
      </c>
    </row>
    <row r="214" spans="1:17" x14ac:dyDescent="0.25">
      <c r="A214">
        <v>2013</v>
      </c>
      <c r="B214" t="s">
        <v>106</v>
      </c>
      <c r="C214" t="s">
        <v>94</v>
      </c>
      <c r="D214" t="s">
        <v>21</v>
      </c>
      <c r="E214">
        <v>2012</v>
      </c>
      <c r="F214" s="1">
        <v>41173</v>
      </c>
      <c r="G214" s="1">
        <v>41198</v>
      </c>
      <c r="H214" s="2">
        <v>1519000</v>
      </c>
      <c r="I214" s="3">
        <v>12119.39</v>
      </c>
      <c r="L214" t="s">
        <v>13</v>
      </c>
      <c r="M214" s="4">
        <v>60760</v>
      </c>
      <c r="N214" s="3">
        <v>484.78</v>
      </c>
      <c r="O214" s="7">
        <v>8.0000000000000002E-3</v>
      </c>
      <c r="Q214">
        <f t="shared" si="4"/>
        <v>25</v>
      </c>
    </row>
    <row r="215" spans="1:17" x14ac:dyDescent="0.25">
      <c r="A215">
        <v>2013</v>
      </c>
      <c r="B215" t="s">
        <v>107</v>
      </c>
      <c r="C215" t="s">
        <v>94</v>
      </c>
      <c r="D215" t="s">
        <v>22</v>
      </c>
      <c r="E215">
        <v>2012</v>
      </c>
      <c r="F215" s="1">
        <v>41142</v>
      </c>
      <c r="G215" s="1">
        <v>41173</v>
      </c>
      <c r="H215" s="2">
        <v>1528000</v>
      </c>
      <c r="I215" s="3">
        <v>0</v>
      </c>
      <c r="O215" s="3">
        <v>0</v>
      </c>
      <c r="Q215">
        <f t="shared" si="4"/>
        <v>31</v>
      </c>
    </row>
    <row r="216" spans="1:17" x14ac:dyDescent="0.25">
      <c r="A216">
        <v>2013</v>
      </c>
      <c r="B216" t="s">
        <v>107</v>
      </c>
      <c r="C216" t="s">
        <v>94</v>
      </c>
      <c r="D216" t="s">
        <v>23</v>
      </c>
      <c r="E216">
        <v>2012</v>
      </c>
      <c r="F216" s="1">
        <v>41110</v>
      </c>
      <c r="G216" s="1">
        <v>41142</v>
      </c>
      <c r="H216" s="2">
        <v>1687000</v>
      </c>
      <c r="I216" s="3">
        <v>0</v>
      </c>
      <c r="O216" s="3">
        <v>0</v>
      </c>
      <c r="Q216">
        <f t="shared" si="4"/>
        <v>32</v>
      </c>
    </row>
    <row r="217" spans="1:17" x14ac:dyDescent="0.25">
      <c r="A217">
        <v>2013</v>
      </c>
      <c r="B217" t="s">
        <v>107</v>
      </c>
      <c r="C217" t="s">
        <v>94</v>
      </c>
      <c r="D217" t="s">
        <v>24</v>
      </c>
      <c r="E217">
        <v>2012</v>
      </c>
      <c r="F217" s="1">
        <v>41081</v>
      </c>
      <c r="G217" s="1">
        <v>41110</v>
      </c>
      <c r="H217" s="2">
        <v>1458000</v>
      </c>
      <c r="I217" s="3">
        <v>0</v>
      </c>
      <c r="O217" s="3">
        <v>0</v>
      </c>
      <c r="Q217">
        <f t="shared" si="4"/>
        <v>29</v>
      </c>
    </row>
    <row r="218" spans="1:17" x14ac:dyDescent="0.25">
      <c r="A218">
        <v>2012</v>
      </c>
      <c r="B218" t="s">
        <v>104</v>
      </c>
      <c r="C218" t="s">
        <v>94</v>
      </c>
      <c r="D218" t="s">
        <v>12</v>
      </c>
      <c r="E218">
        <v>2012</v>
      </c>
      <c r="F218" s="1">
        <v>41051</v>
      </c>
      <c r="G218" s="1">
        <v>41081</v>
      </c>
      <c r="H218" s="2">
        <v>1480000</v>
      </c>
      <c r="I218" s="3">
        <v>0</v>
      </c>
      <c r="O218" s="3">
        <v>0</v>
      </c>
      <c r="Q218">
        <f t="shared" si="4"/>
        <v>30</v>
      </c>
    </row>
    <row r="219" spans="1:17" x14ac:dyDescent="0.25">
      <c r="A219">
        <v>2012</v>
      </c>
      <c r="B219" t="s">
        <v>104</v>
      </c>
      <c r="C219" t="s">
        <v>94</v>
      </c>
      <c r="D219" t="s">
        <v>14</v>
      </c>
      <c r="E219">
        <v>2012</v>
      </c>
      <c r="F219" s="1">
        <v>41019</v>
      </c>
      <c r="G219" s="1">
        <v>41051</v>
      </c>
      <c r="H219" s="2">
        <v>1461000</v>
      </c>
      <c r="I219" s="3">
        <v>0</v>
      </c>
      <c r="O219" s="3">
        <v>0</v>
      </c>
      <c r="Q219">
        <f t="shared" si="4"/>
        <v>32</v>
      </c>
    </row>
    <row r="220" spans="1:17" x14ac:dyDescent="0.25">
      <c r="A220">
        <v>2012</v>
      </c>
      <c r="B220" t="s">
        <v>104</v>
      </c>
      <c r="C220" t="s">
        <v>94</v>
      </c>
      <c r="D220" t="s">
        <v>15</v>
      </c>
      <c r="E220">
        <v>2012</v>
      </c>
      <c r="F220" s="1">
        <v>40989</v>
      </c>
      <c r="G220" s="1">
        <v>41019</v>
      </c>
      <c r="H220" s="2">
        <v>1448000</v>
      </c>
      <c r="I220" s="3">
        <v>0</v>
      </c>
      <c r="O220" s="3">
        <v>0</v>
      </c>
      <c r="Q220">
        <f t="shared" si="4"/>
        <v>30</v>
      </c>
    </row>
    <row r="221" spans="1:17" x14ac:dyDescent="0.25">
      <c r="A221">
        <v>2012</v>
      </c>
      <c r="B221" t="s">
        <v>105</v>
      </c>
      <c r="C221" t="s">
        <v>94</v>
      </c>
      <c r="D221" t="s">
        <v>16</v>
      </c>
      <c r="E221">
        <v>2012</v>
      </c>
      <c r="F221" s="1">
        <v>40956</v>
      </c>
      <c r="G221" s="1">
        <v>40989</v>
      </c>
      <c r="H221" s="2">
        <v>1380000</v>
      </c>
      <c r="I221" s="3">
        <v>0</v>
      </c>
      <c r="O221" s="3">
        <v>0</v>
      </c>
      <c r="Q221">
        <f t="shared" si="4"/>
        <v>33</v>
      </c>
    </row>
    <row r="222" spans="1:17" x14ac:dyDescent="0.25">
      <c r="A222">
        <v>2012</v>
      </c>
      <c r="B222" t="s">
        <v>105</v>
      </c>
      <c r="C222" t="s">
        <v>94</v>
      </c>
      <c r="D222" t="s">
        <v>17</v>
      </c>
      <c r="E222">
        <v>2012</v>
      </c>
      <c r="F222" s="1">
        <v>40927</v>
      </c>
      <c r="G222" s="1">
        <v>40956</v>
      </c>
      <c r="H222" s="2">
        <v>1138000</v>
      </c>
      <c r="I222" s="3">
        <v>0</v>
      </c>
      <c r="O222" s="3">
        <v>0</v>
      </c>
      <c r="Q222">
        <f t="shared" si="4"/>
        <v>29</v>
      </c>
    </row>
    <row r="223" spans="1:17" x14ac:dyDescent="0.25">
      <c r="A223">
        <v>2012</v>
      </c>
      <c r="B223" t="s">
        <v>105</v>
      </c>
      <c r="C223" t="s">
        <v>94</v>
      </c>
      <c r="D223" t="s">
        <v>18</v>
      </c>
      <c r="E223">
        <v>2012</v>
      </c>
      <c r="F223" s="1">
        <v>40897</v>
      </c>
      <c r="G223" s="1">
        <v>40927</v>
      </c>
      <c r="H223" s="2">
        <v>1138000</v>
      </c>
      <c r="I223" s="3">
        <v>0</v>
      </c>
      <c r="O223" s="3">
        <v>0</v>
      </c>
      <c r="Q223">
        <f t="shared" si="4"/>
        <v>30</v>
      </c>
    </row>
    <row r="224" spans="1:17" x14ac:dyDescent="0.25">
      <c r="A224">
        <v>2012</v>
      </c>
      <c r="B224" t="s">
        <v>106</v>
      </c>
      <c r="C224" t="s">
        <v>94</v>
      </c>
      <c r="D224" t="s">
        <v>19</v>
      </c>
      <c r="E224">
        <v>2011</v>
      </c>
      <c r="F224" s="1">
        <v>40865</v>
      </c>
      <c r="G224" s="1">
        <v>40897</v>
      </c>
      <c r="H224" s="2">
        <v>1344000</v>
      </c>
      <c r="I224" s="3">
        <v>0</v>
      </c>
      <c r="O224" s="3">
        <v>0</v>
      </c>
      <c r="Q224">
        <f t="shared" si="4"/>
        <v>32</v>
      </c>
    </row>
    <row r="225" spans="1:17" x14ac:dyDescent="0.25">
      <c r="A225">
        <v>2012</v>
      </c>
      <c r="B225" t="s">
        <v>106</v>
      </c>
      <c r="C225" t="s">
        <v>94</v>
      </c>
      <c r="D225" t="s">
        <v>20</v>
      </c>
      <c r="E225">
        <v>2011</v>
      </c>
      <c r="F225" s="1">
        <v>40837</v>
      </c>
      <c r="G225" s="1">
        <v>40865</v>
      </c>
      <c r="H225" s="2">
        <v>1182000</v>
      </c>
      <c r="I225" s="3">
        <v>0</v>
      </c>
      <c r="O225" s="3">
        <v>0</v>
      </c>
      <c r="Q225">
        <f t="shared" si="4"/>
        <v>28</v>
      </c>
    </row>
    <row r="226" spans="1:17" x14ac:dyDescent="0.25">
      <c r="A226">
        <v>2012</v>
      </c>
      <c r="B226" t="s">
        <v>106</v>
      </c>
      <c r="C226" t="s">
        <v>94</v>
      </c>
      <c r="D226" t="s">
        <v>21</v>
      </c>
      <c r="E226">
        <v>2011</v>
      </c>
      <c r="F226" s="1">
        <v>40808</v>
      </c>
      <c r="G226" s="1">
        <v>40837</v>
      </c>
      <c r="H226" s="2">
        <v>1525000</v>
      </c>
      <c r="I226" s="3">
        <v>0</v>
      </c>
      <c r="O226" s="3">
        <v>0</v>
      </c>
      <c r="Q226">
        <f t="shared" si="4"/>
        <v>29</v>
      </c>
    </row>
    <row r="227" spans="1:17" x14ac:dyDescent="0.25">
      <c r="A227">
        <v>2012</v>
      </c>
      <c r="B227" t="s">
        <v>107</v>
      </c>
      <c r="C227" t="s">
        <v>94</v>
      </c>
      <c r="D227" t="s">
        <v>22</v>
      </c>
      <c r="E227">
        <v>2011</v>
      </c>
      <c r="F227" s="1">
        <v>40777</v>
      </c>
      <c r="G227" s="1">
        <v>40808</v>
      </c>
      <c r="H227" s="2">
        <v>1490000</v>
      </c>
      <c r="I227" s="3">
        <v>0</v>
      </c>
      <c r="O227" s="3">
        <v>0</v>
      </c>
      <c r="Q227">
        <f t="shared" si="4"/>
        <v>31</v>
      </c>
    </row>
    <row r="228" spans="1:17" x14ac:dyDescent="0.25">
      <c r="A228">
        <v>2012</v>
      </c>
      <c r="B228" t="s">
        <v>107</v>
      </c>
      <c r="C228" t="s">
        <v>94</v>
      </c>
      <c r="D228" t="s">
        <v>23</v>
      </c>
      <c r="E228">
        <v>2011</v>
      </c>
      <c r="F228" s="1">
        <v>40745</v>
      </c>
      <c r="G228" s="1">
        <v>40777</v>
      </c>
      <c r="H228" s="2">
        <v>1627000</v>
      </c>
      <c r="I228" s="3">
        <v>0</v>
      </c>
      <c r="O228" s="3">
        <v>0</v>
      </c>
      <c r="Q228">
        <f t="shared" si="4"/>
        <v>32</v>
      </c>
    </row>
    <row r="229" spans="1:17" x14ac:dyDescent="0.25">
      <c r="A229">
        <v>2012</v>
      </c>
      <c r="B229" t="s">
        <v>107</v>
      </c>
      <c r="C229" t="s">
        <v>94</v>
      </c>
      <c r="D229" t="s">
        <v>24</v>
      </c>
      <c r="E229">
        <v>2011</v>
      </c>
      <c r="F229" s="1">
        <v>40716</v>
      </c>
      <c r="G229" s="1">
        <v>40745</v>
      </c>
      <c r="H229" s="2">
        <v>1360000</v>
      </c>
      <c r="I229" s="3">
        <v>0</v>
      </c>
      <c r="O229" s="3">
        <v>0</v>
      </c>
      <c r="Q229">
        <f t="shared" si="4"/>
        <v>29</v>
      </c>
    </row>
    <row r="230" spans="1:17" x14ac:dyDescent="0.25">
      <c r="A230">
        <v>2011</v>
      </c>
      <c r="B230" t="s">
        <v>104</v>
      </c>
      <c r="C230" t="s">
        <v>94</v>
      </c>
      <c r="D230" t="s">
        <v>12</v>
      </c>
      <c r="E230">
        <v>2011</v>
      </c>
      <c r="F230" s="1">
        <v>40683</v>
      </c>
      <c r="G230" s="1">
        <v>40716</v>
      </c>
      <c r="H230" s="2">
        <v>1517000</v>
      </c>
      <c r="I230" s="3">
        <v>0</v>
      </c>
      <c r="O230" s="3">
        <v>0</v>
      </c>
      <c r="Q230">
        <f t="shared" si="4"/>
        <v>33</v>
      </c>
    </row>
    <row r="231" spans="1:17" x14ac:dyDescent="0.25">
      <c r="A231">
        <v>2011</v>
      </c>
      <c r="B231" t="s">
        <v>104</v>
      </c>
      <c r="C231" t="s">
        <v>94</v>
      </c>
      <c r="D231" t="s">
        <v>14</v>
      </c>
      <c r="E231">
        <v>2011</v>
      </c>
      <c r="F231" s="1">
        <v>40653</v>
      </c>
      <c r="G231" s="1">
        <v>40683</v>
      </c>
      <c r="H231" s="2">
        <v>1286000</v>
      </c>
      <c r="I231" s="3">
        <v>0</v>
      </c>
      <c r="O231" s="3">
        <v>0</v>
      </c>
      <c r="Q231">
        <f t="shared" si="4"/>
        <v>30</v>
      </c>
    </row>
    <row r="232" spans="1:17" x14ac:dyDescent="0.25">
      <c r="A232">
        <v>2011</v>
      </c>
      <c r="B232" t="s">
        <v>104</v>
      </c>
      <c r="C232" t="s">
        <v>94</v>
      </c>
      <c r="D232" t="s">
        <v>15</v>
      </c>
      <c r="E232">
        <v>2011</v>
      </c>
      <c r="F232" s="1">
        <v>40624</v>
      </c>
      <c r="G232" s="1">
        <v>40653</v>
      </c>
      <c r="H232" s="2">
        <v>1236000</v>
      </c>
      <c r="I232" s="3">
        <v>0</v>
      </c>
      <c r="O232" s="3">
        <v>0</v>
      </c>
      <c r="Q232">
        <f t="shared" si="4"/>
        <v>29</v>
      </c>
    </row>
    <row r="233" spans="1:17" x14ac:dyDescent="0.25">
      <c r="A233">
        <v>2011</v>
      </c>
      <c r="B233" t="s">
        <v>105</v>
      </c>
      <c r="C233" t="s">
        <v>94</v>
      </c>
      <c r="D233" t="s">
        <v>16</v>
      </c>
      <c r="E233">
        <v>2011</v>
      </c>
      <c r="F233" s="1">
        <v>40591</v>
      </c>
      <c r="G233" s="1">
        <v>40624</v>
      </c>
      <c r="H233" s="2">
        <v>1676000</v>
      </c>
      <c r="I233" s="3">
        <v>0</v>
      </c>
      <c r="O233" s="3">
        <v>0</v>
      </c>
      <c r="Q233">
        <f t="shared" si="4"/>
        <v>33</v>
      </c>
    </row>
    <row r="234" spans="1:17" x14ac:dyDescent="0.25">
      <c r="A234">
        <v>2011</v>
      </c>
      <c r="B234" t="s">
        <v>105</v>
      </c>
      <c r="C234" t="s">
        <v>94</v>
      </c>
      <c r="D234" t="s">
        <v>17</v>
      </c>
      <c r="E234">
        <v>2011</v>
      </c>
      <c r="F234" s="1">
        <v>40563</v>
      </c>
      <c r="G234" s="1">
        <v>40591</v>
      </c>
      <c r="H234" s="2">
        <v>1153000</v>
      </c>
      <c r="I234" s="3">
        <v>0</v>
      </c>
      <c r="O234" s="3">
        <v>0</v>
      </c>
      <c r="Q234">
        <f t="shared" si="4"/>
        <v>28</v>
      </c>
    </row>
    <row r="235" spans="1:17" x14ac:dyDescent="0.25">
      <c r="A235">
        <v>2011</v>
      </c>
      <c r="B235" t="s">
        <v>105</v>
      </c>
      <c r="C235" t="s">
        <v>94</v>
      </c>
      <c r="D235" t="s">
        <v>18</v>
      </c>
      <c r="E235">
        <v>2011</v>
      </c>
      <c r="F235" s="1">
        <v>40532</v>
      </c>
      <c r="G235" s="1">
        <v>40563</v>
      </c>
      <c r="H235" s="2">
        <v>1215000</v>
      </c>
      <c r="I235" s="3">
        <v>0</v>
      </c>
      <c r="O235" s="3">
        <v>0</v>
      </c>
      <c r="Q235">
        <f t="shared" si="4"/>
        <v>31</v>
      </c>
    </row>
    <row r="236" spans="1:17" x14ac:dyDescent="0.25">
      <c r="A236">
        <v>2011</v>
      </c>
      <c r="B236" t="s">
        <v>106</v>
      </c>
      <c r="C236" t="s">
        <v>94</v>
      </c>
      <c r="D236" t="s">
        <v>19</v>
      </c>
      <c r="E236">
        <v>2010</v>
      </c>
      <c r="F236" s="1">
        <v>40501</v>
      </c>
      <c r="G236" s="1">
        <v>40532</v>
      </c>
      <c r="H236" s="2">
        <v>1302000</v>
      </c>
      <c r="I236" s="3">
        <v>0</v>
      </c>
      <c r="O236" s="3">
        <v>0</v>
      </c>
      <c r="Q236">
        <f t="shared" si="4"/>
        <v>31</v>
      </c>
    </row>
    <row r="237" spans="1:17" x14ac:dyDescent="0.25">
      <c r="A237">
        <v>2011</v>
      </c>
      <c r="B237" t="s">
        <v>106</v>
      </c>
      <c r="C237" t="s">
        <v>94</v>
      </c>
      <c r="D237" t="s">
        <v>20</v>
      </c>
      <c r="E237">
        <v>2010</v>
      </c>
      <c r="F237" s="1">
        <v>40471</v>
      </c>
      <c r="G237" s="1">
        <v>40501</v>
      </c>
      <c r="H237" s="2">
        <v>1241000</v>
      </c>
      <c r="I237" s="3">
        <v>0</v>
      </c>
      <c r="O237" s="3">
        <v>0</v>
      </c>
      <c r="Q237">
        <f t="shared" si="4"/>
        <v>30</v>
      </c>
    </row>
    <row r="238" spans="1:17" x14ac:dyDescent="0.25">
      <c r="A238">
        <v>2011</v>
      </c>
      <c r="B238" t="s">
        <v>106</v>
      </c>
      <c r="C238" t="s">
        <v>94</v>
      </c>
      <c r="D238" t="s">
        <v>21</v>
      </c>
      <c r="E238">
        <v>2010</v>
      </c>
      <c r="F238" s="1">
        <v>40443</v>
      </c>
      <c r="G238" s="1">
        <v>40471</v>
      </c>
      <c r="H238" s="2">
        <v>1243000</v>
      </c>
      <c r="I238" s="3">
        <v>0</v>
      </c>
      <c r="O238" s="3">
        <v>0</v>
      </c>
      <c r="Q238">
        <f t="shared" si="4"/>
        <v>28</v>
      </c>
    </row>
    <row r="239" spans="1:17" x14ac:dyDescent="0.25">
      <c r="A239">
        <v>2011</v>
      </c>
      <c r="B239" t="s">
        <v>107</v>
      </c>
      <c r="C239" t="s">
        <v>94</v>
      </c>
      <c r="D239" t="s">
        <v>22</v>
      </c>
      <c r="E239">
        <v>2010</v>
      </c>
      <c r="F239" s="1">
        <v>40410</v>
      </c>
      <c r="G239" s="1">
        <v>40443</v>
      </c>
      <c r="H239" s="2">
        <v>1465000</v>
      </c>
      <c r="I239" s="3">
        <v>0</v>
      </c>
      <c r="O239" s="3">
        <v>0</v>
      </c>
      <c r="Q239">
        <f t="shared" si="4"/>
        <v>33</v>
      </c>
    </row>
    <row r="240" spans="1:17" x14ac:dyDescent="0.25">
      <c r="A240">
        <v>2011</v>
      </c>
      <c r="B240" t="s">
        <v>107</v>
      </c>
      <c r="C240" t="s">
        <v>94</v>
      </c>
      <c r="D240" t="s">
        <v>23</v>
      </c>
      <c r="E240">
        <v>2010</v>
      </c>
      <c r="F240" s="1">
        <v>40380</v>
      </c>
      <c r="G240" s="1">
        <v>40410</v>
      </c>
      <c r="H240" s="2">
        <v>1516000</v>
      </c>
      <c r="I240" s="3">
        <v>0</v>
      </c>
      <c r="O240" s="3">
        <v>0</v>
      </c>
      <c r="Q240">
        <f t="shared" si="4"/>
        <v>30</v>
      </c>
    </row>
    <row r="241" spans="1:17" x14ac:dyDescent="0.25">
      <c r="A241">
        <v>2011</v>
      </c>
      <c r="B241" t="s">
        <v>107</v>
      </c>
      <c r="C241" t="s">
        <v>94</v>
      </c>
      <c r="D241" t="s">
        <v>24</v>
      </c>
      <c r="E241">
        <v>2010</v>
      </c>
      <c r="F241" s="1">
        <v>40351</v>
      </c>
      <c r="G241" s="1">
        <v>40380</v>
      </c>
      <c r="H241" s="2">
        <v>1513000</v>
      </c>
      <c r="I241" s="3">
        <v>0</v>
      </c>
      <c r="O241" s="3">
        <v>0</v>
      </c>
      <c r="Q241">
        <f t="shared" si="4"/>
        <v>29</v>
      </c>
    </row>
    <row r="242" spans="1:17" x14ac:dyDescent="0.25">
      <c r="H242" s="2"/>
    </row>
    <row r="243" spans="1:17" x14ac:dyDescent="0.25">
      <c r="H243" s="2"/>
    </row>
    <row r="244" spans="1:17" x14ac:dyDescent="0.25">
      <c r="H244" s="2"/>
    </row>
    <row r="245" spans="1:17" x14ac:dyDescent="0.25">
      <c r="H245" s="2"/>
    </row>
    <row r="246" spans="1:17" x14ac:dyDescent="0.25">
      <c r="H246" s="2"/>
    </row>
    <row r="247" spans="1:17" x14ac:dyDescent="0.25">
      <c r="H247" s="2"/>
    </row>
    <row r="248" spans="1:17" x14ac:dyDescent="0.25">
      <c r="H248" s="2"/>
    </row>
    <row r="249" spans="1:17" x14ac:dyDescent="0.25">
      <c r="H249" s="2"/>
    </row>
    <row r="250" spans="1:17" x14ac:dyDescent="0.25">
      <c r="H250" s="2"/>
    </row>
    <row r="251" spans="1:17" x14ac:dyDescent="0.25">
      <c r="H251" s="2"/>
    </row>
    <row r="252" spans="1:17" x14ac:dyDescent="0.25">
      <c r="H252" s="2"/>
    </row>
    <row r="253" spans="1:17" x14ac:dyDescent="0.25">
      <c r="H253" s="2"/>
    </row>
    <row r="254" spans="1:17" x14ac:dyDescent="0.25">
      <c r="H254" s="2"/>
    </row>
    <row r="255" spans="1:17" x14ac:dyDescent="0.25">
      <c r="H255" s="2"/>
    </row>
    <row r="256" spans="1:17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9"/>
  <sheetViews>
    <sheetView workbookViewId="0">
      <selection activeCell="A6" sqref="A6:C10"/>
    </sheetView>
  </sheetViews>
  <sheetFormatPr defaultRowHeight="15" x14ac:dyDescent="0.25"/>
  <cols>
    <col min="1" max="1" width="13.140625" customWidth="1"/>
    <col min="2" max="2" width="16.28515625" customWidth="1"/>
    <col min="3" max="3" width="11.42578125" bestFit="1" customWidth="1"/>
    <col min="4" max="4" width="19.42578125" bestFit="1" customWidth="1"/>
    <col min="5" max="5" width="11" bestFit="1" customWidth="1"/>
    <col min="6" max="6" width="11.42578125" customWidth="1"/>
    <col min="7" max="7" width="19.42578125" customWidth="1"/>
    <col min="8" max="8" width="11" bestFit="1" customWidth="1"/>
    <col min="9" max="9" width="11.42578125" bestFit="1" customWidth="1"/>
    <col min="10" max="10" width="19.42578125" bestFit="1" customWidth="1"/>
    <col min="11" max="11" width="11" bestFit="1" customWidth="1"/>
    <col min="12" max="12" width="11.42578125" bestFit="1" customWidth="1"/>
    <col min="13" max="13" width="19.42578125" bestFit="1" customWidth="1"/>
  </cols>
  <sheetData>
    <row r="3" spans="1:25" x14ac:dyDescent="0.25">
      <c r="B3" s="14" t="s">
        <v>95</v>
      </c>
    </row>
    <row r="4" spans="1:25" x14ac:dyDescent="0.25">
      <c r="B4" t="s">
        <v>90</v>
      </c>
      <c r="E4" t="s">
        <v>91</v>
      </c>
      <c r="H4" t="s">
        <v>94</v>
      </c>
      <c r="K4" t="s">
        <v>93</v>
      </c>
    </row>
    <row r="5" spans="1:25" x14ac:dyDescent="0.25">
      <c r="A5" s="14" t="s">
        <v>49</v>
      </c>
      <c r="B5" t="s">
        <v>98</v>
      </c>
      <c r="C5" t="s">
        <v>97</v>
      </c>
      <c r="D5" t="s">
        <v>60</v>
      </c>
      <c r="E5" t="s">
        <v>98</v>
      </c>
      <c r="F5" t="s">
        <v>97</v>
      </c>
      <c r="G5" t="s">
        <v>60</v>
      </c>
      <c r="H5" t="s">
        <v>98</v>
      </c>
      <c r="I5" t="s">
        <v>97</v>
      </c>
      <c r="J5" t="s">
        <v>60</v>
      </c>
      <c r="K5" t="s">
        <v>98</v>
      </c>
      <c r="L5" t="s">
        <v>97</v>
      </c>
      <c r="M5" t="s">
        <v>60</v>
      </c>
    </row>
    <row r="6" spans="1:25" x14ac:dyDescent="0.25">
      <c r="A6" s="15">
        <v>2011</v>
      </c>
      <c r="B6" s="16">
        <v>4848480</v>
      </c>
      <c r="C6" s="17">
        <v>275351.77</v>
      </c>
      <c r="D6" s="8">
        <v>5.6983333333333351E-2</v>
      </c>
      <c r="E6" s="16">
        <v>113367</v>
      </c>
      <c r="F6" s="17">
        <v>123494.96</v>
      </c>
      <c r="G6" s="8">
        <v>1.116325</v>
      </c>
      <c r="H6" s="16">
        <v>16363000</v>
      </c>
      <c r="I6" s="17">
        <v>0</v>
      </c>
      <c r="J6" s="8">
        <v>0</v>
      </c>
      <c r="K6" s="16">
        <v>16363000</v>
      </c>
      <c r="L6" s="17">
        <v>186895.94000000003</v>
      </c>
      <c r="M6" s="8">
        <v>1.1441666666666668E-2</v>
      </c>
    </row>
    <row r="7" spans="1:25" x14ac:dyDescent="0.25">
      <c r="A7" s="15">
        <v>2012</v>
      </c>
      <c r="B7" s="16">
        <v>5043600</v>
      </c>
      <c r="C7" s="17">
        <v>325438.30000000005</v>
      </c>
      <c r="D7" s="8">
        <v>6.4558333333333329E-2</v>
      </c>
      <c r="E7" s="16">
        <v>158093.5</v>
      </c>
      <c r="F7" s="17">
        <v>165866.01</v>
      </c>
      <c r="G7" s="8">
        <v>1.0482291666666665</v>
      </c>
      <c r="H7" s="16">
        <v>16573000</v>
      </c>
      <c r="I7" s="17">
        <v>0</v>
      </c>
      <c r="J7" s="8">
        <v>0</v>
      </c>
      <c r="K7" s="16">
        <v>16573000</v>
      </c>
      <c r="L7" s="17">
        <v>194034.37</v>
      </c>
      <c r="M7" s="8">
        <v>1.1708333333333334E-2</v>
      </c>
    </row>
    <row r="8" spans="1:25" x14ac:dyDescent="0.25">
      <c r="A8" s="15">
        <v>2013</v>
      </c>
      <c r="B8" s="16">
        <v>4718160</v>
      </c>
      <c r="C8" s="17">
        <v>297827.12999999995</v>
      </c>
      <c r="D8" s="8">
        <v>6.3200000000000006E-2</v>
      </c>
      <c r="E8" s="16">
        <v>178908</v>
      </c>
      <c r="F8" s="17">
        <v>150622.06</v>
      </c>
      <c r="G8" s="8">
        <v>0.89190000000000003</v>
      </c>
      <c r="H8" s="16">
        <v>16194000</v>
      </c>
      <c r="I8" s="17">
        <v>93318.77</v>
      </c>
      <c r="J8" s="8">
        <v>6.0916666666666662E-3</v>
      </c>
      <c r="K8" s="16">
        <v>16194000</v>
      </c>
      <c r="L8" s="17">
        <v>104793.22</v>
      </c>
      <c r="M8" s="8">
        <v>6.1749999999999999E-3</v>
      </c>
    </row>
    <row r="9" spans="1:25" x14ac:dyDescent="0.25">
      <c r="A9" s="15">
        <v>2014</v>
      </c>
      <c r="B9" s="16">
        <v>4776480</v>
      </c>
      <c r="C9" s="17">
        <v>292337.12</v>
      </c>
      <c r="D9" s="8">
        <v>6.1375000000000006E-2</v>
      </c>
      <c r="E9" s="16">
        <v>191947</v>
      </c>
      <c r="F9" s="17">
        <v>137391.34</v>
      </c>
      <c r="G9" s="8">
        <v>0.71973333333333345</v>
      </c>
      <c r="H9" s="16">
        <v>16250000</v>
      </c>
      <c r="I9" s="17">
        <v>132953.68000000002</v>
      </c>
      <c r="J9" s="8">
        <v>8.199999999999999E-3</v>
      </c>
      <c r="K9" s="16">
        <v>16269000</v>
      </c>
      <c r="L9" s="17">
        <v>68752.460000000006</v>
      </c>
      <c r="M9" s="8">
        <v>4.2333333333333337E-3</v>
      </c>
    </row>
    <row r="10" spans="1:25" x14ac:dyDescent="0.25">
      <c r="A10" s="15">
        <v>2015</v>
      </c>
      <c r="B10" s="16">
        <v>4633200</v>
      </c>
      <c r="C10" s="17">
        <v>283923.74</v>
      </c>
      <c r="D10" s="8">
        <v>6.1450000000000005E-2</v>
      </c>
      <c r="E10" s="16">
        <v>138179</v>
      </c>
      <c r="F10" s="17">
        <v>98081.43</v>
      </c>
      <c r="G10" s="8">
        <v>0.71107500000000001</v>
      </c>
      <c r="H10" s="16">
        <v>17116000</v>
      </c>
      <c r="I10" s="17">
        <v>141916.32999999999</v>
      </c>
      <c r="J10" s="8">
        <v>8.3083333333333325E-3</v>
      </c>
      <c r="K10" s="16">
        <v>17116000</v>
      </c>
      <c r="L10" s="17">
        <v>71539.88</v>
      </c>
      <c r="M10" s="8">
        <v>4.183333333333334E-3</v>
      </c>
    </row>
    <row r="14" spans="1:25" x14ac:dyDescent="0.25">
      <c r="C14" t="s">
        <v>99</v>
      </c>
      <c r="F14" t="s">
        <v>100</v>
      </c>
      <c r="I14" t="s">
        <v>101</v>
      </c>
      <c r="L14" t="s">
        <v>102</v>
      </c>
      <c r="O14" t="s">
        <v>90</v>
      </c>
      <c r="P14" t="s">
        <v>108</v>
      </c>
      <c r="Q14" t="s">
        <v>94</v>
      </c>
      <c r="R14" t="s">
        <v>93</v>
      </c>
      <c r="S14" t="s">
        <v>29</v>
      </c>
      <c r="V14" t="s">
        <v>90</v>
      </c>
      <c r="W14" t="s">
        <v>108</v>
      </c>
      <c r="X14" t="s">
        <v>94</v>
      </c>
      <c r="Y14" t="s">
        <v>93</v>
      </c>
    </row>
    <row r="15" spans="1:25" x14ac:dyDescent="0.25">
      <c r="A15" s="15">
        <v>2011</v>
      </c>
      <c r="B15" s="16"/>
      <c r="C15" s="17">
        <v>275351.77</v>
      </c>
      <c r="D15" s="8"/>
      <c r="E15" s="16"/>
      <c r="F15" s="17">
        <v>123494.96</v>
      </c>
      <c r="G15" s="8"/>
      <c r="H15" s="16"/>
      <c r="I15" s="17">
        <v>0</v>
      </c>
      <c r="J15" s="8"/>
      <c r="K15" s="16"/>
      <c r="L15" s="17">
        <v>186895.94000000003</v>
      </c>
      <c r="M15" s="8"/>
      <c r="N15" s="15">
        <v>2011</v>
      </c>
      <c r="O15" s="5">
        <f>C15/SUM($C15,$F15,$I15,$L15)</f>
        <v>0.47008999702890009</v>
      </c>
      <c r="P15" s="5">
        <f>F15/SUM($C15,$F15,$I15,$L15)</f>
        <v>0.21083483639667228</v>
      </c>
      <c r="Q15" s="5">
        <f>I15/SUM($C15,$F15,$I15,$L15)</f>
        <v>0</v>
      </c>
      <c r="R15" s="5">
        <f>L15/SUM($C15,$F15,$I15,$L15)</f>
        <v>0.31907516657442769</v>
      </c>
      <c r="S15">
        <f>SUM(O15:R15)</f>
        <v>1</v>
      </c>
      <c r="U15" s="15">
        <v>2011</v>
      </c>
      <c r="V15" s="17">
        <v>275351.77</v>
      </c>
      <c r="W15" s="17">
        <v>123494.96</v>
      </c>
      <c r="X15" s="17">
        <v>0</v>
      </c>
      <c r="Y15" s="17">
        <v>186895.94000000003</v>
      </c>
    </row>
    <row r="16" spans="1:25" x14ac:dyDescent="0.25">
      <c r="A16" s="15">
        <v>2012</v>
      </c>
      <c r="B16" s="16"/>
      <c r="C16" s="17">
        <v>325438.30000000005</v>
      </c>
      <c r="D16" s="8"/>
      <c r="E16" s="16"/>
      <c r="F16" s="17">
        <v>165866.01</v>
      </c>
      <c r="G16" s="8"/>
      <c r="H16" s="16"/>
      <c r="I16" s="17">
        <v>0</v>
      </c>
      <c r="J16" s="8"/>
      <c r="K16" s="16"/>
      <c r="L16" s="17">
        <v>194034.37</v>
      </c>
      <c r="M16" s="8"/>
      <c r="N16" s="15">
        <v>2012</v>
      </c>
      <c r="O16" s="5">
        <f>C16/SUM($C16,$F16,$I16,$L16)</f>
        <v>0.47485762805624809</v>
      </c>
      <c r="P16" s="5">
        <f>F16/SUM($C16,$F16,$I16,$L16)</f>
        <v>0.24202049999571015</v>
      </c>
      <c r="Q16" s="5">
        <f>I16/SUM($C16,$F16,$I16,$L16)</f>
        <v>0</v>
      </c>
      <c r="R16" s="5">
        <f>L16/SUM($C16,$F16,$I16,$L16)</f>
        <v>0.28312187194804178</v>
      </c>
      <c r="S16">
        <f>SUM(O16:R16)</f>
        <v>1</v>
      </c>
      <c r="U16" s="15">
        <v>2012</v>
      </c>
      <c r="V16" s="17">
        <v>325438.30000000005</v>
      </c>
      <c r="W16" s="17">
        <v>165866.01</v>
      </c>
      <c r="X16" s="17">
        <v>0</v>
      </c>
      <c r="Y16" s="17">
        <v>194034.37</v>
      </c>
    </row>
    <row r="17" spans="1:25" x14ac:dyDescent="0.25">
      <c r="A17" s="15">
        <v>2013</v>
      </c>
      <c r="B17" s="16"/>
      <c r="C17" s="17">
        <v>297827.12999999995</v>
      </c>
      <c r="D17" s="8"/>
      <c r="E17" s="16"/>
      <c r="F17" s="17">
        <v>150622.06</v>
      </c>
      <c r="G17" s="8"/>
      <c r="H17" s="16"/>
      <c r="I17" s="17">
        <v>93318.77</v>
      </c>
      <c r="J17" s="8"/>
      <c r="K17" s="16"/>
      <c r="L17" s="17">
        <v>104793.22</v>
      </c>
      <c r="M17" s="8"/>
      <c r="N17" s="15">
        <v>2013</v>
      </c>
      <c r="O17" s="5">
        <f>C17/SUM($C17,$F17,$I17,$L17)</f>
        <v>0.46063255761813598</v>
      </c>
      <c r="P17" s="5">
        <f>F17/SUM($C17,$F17,$I17,$L17)</f>
        <v>0.23295871242996682</v>
      </c>
      <c r="Q17" s="5">
        <f>I17/SUM($C17,$F17,$I17,$L17)</f>
        <v>0.14433092008400505</v>
      </c>
      <c r="R17" s="5">
        <f>L17/SUM($C17,$F17,$I17,$L17)</f>
        <v>0.16207780986789219</v>
      </c>
      <c r="S17">
        <f>SUM(O17:R17)</f>
        <v>1</v>
      </c>
      <c r="U17" s="15">
        <v>2013</v>
      </c>
      <c r="V17" s="17">
        <v>297827.12999999995</v>
      </c>
      <c r="W17" s="17">
        <v>150622.06</v>
      </c>
      <c r="X17" s="17">
        <v>93318.77</v>
      </c>
      <c r="Y17" s="17">
        <v>104793.22</v>
      </c>
    </row>
    <row r="18" spans="1:25" x14ac:dyDescent="0.25">
      <c r="A18" s="15">
        <v>2014</v>
      </c>
      <c r="B18" s="16"/>
      <c r="C18" s="17">
        <v>292337.12</v>
      </c>
      <c r="D18" s="8"/>
      <c r="E18" s="16"/>
      <c r="F18" s="17">
        <v>137391.34</v>
      </c>
      <c r="G18" s="8"/>
      <c r="H18" s="16"/>
      <c r="I18" s="17">
        <v>132953.68000000002</v>
      </c>
      <c r="J18" s="8"/>
      <c r="K18" s="16"/>
      <c r="L18" s="17">
        <v>68752.460000000006</v>
      </c>
      <c r="M18" s="8"/>
      <c r="N18" s="15">
        <v>2014</v>
      </c>
      <c r="O18" s="5">
        <f>C18/SUM($C18,$F18,$I18,$L18)</f>
        <v>0.46297291912733324</v>
      </c>
      <c r="P18" s="5">
        <f>F18/SUM($C18,$F18,$I18,$L18)</f>
        <v>0.21758601761765986</v>
      </c>
      <c r="Q18" s="5">
        <f>I18/SUM($C18,$F18,$I18,$L18)</f>
        <v>0.21055811639083449</v>
      </c>
      <c r="R18" s="5">
        <f>L18/SUM($C18,$F18,$I18,$L18)</f>
        <v>0.10888294686417249</v>
      </c>
      <c r="S18">
        <f>SUM(O18:R18)</f>
        <v>1.0000000000000002</v>
      </c>
      <c r="U18" s="15">
        <v>2014</v>
      </c>
      <c r="V18" s="17">
        <v>292337.12</v>
      </c>
      <c r="W18" s="17">
        <v>137391.34</v>
      </c>
      <c r="X18" s="17">
        <v>132953.68000000002</v>
      </c>
      <c r="Y18" s="17">
        <v>68752.460000000006</v>
      </c>
    </row>
    <row r="19" spans="1:25" x14ac:dyDescent="0.25">
      <c r="A19" s="15">
        <v>2015</v>
      </c>
      <c r="B19" s="16"/>
      <c r="C19" s="17">
        <v>283923.74</v>
      </c>
      <c r="D19" s="8"/>
      <c r="E19" s="16"/>
      <c r="F19" s="17">
        <v>91127.43</v>
      </c>
      <c r="G19" s="8"/>
      <c r="H19" s="16"/>
      <c r="I19" s="17">
        <v>141916.32999999999</v>
      </c>
      <c r="J19" s="8"/>
      <c r="K19" s="16"/>
      <c r="L19" s="17">
        <v>71539.88</v>
      </c>
      <c r="M19" s="8"/>
      <c r="N19" s="15">
        <v>2015</v>
      </c>
      <c r="O19" s="5">
        <f>C19/SUM($C19,$F19,$I19,$L19)</f>
        <v>0.48244720397558988</v>
      </c>
      <c r="P19" s="5">
        <f>F19/SUM($C19,$F19,$I19,$L19)</f>
        <v>0.15484500806090146</v>
      </c>
      <c r="Q19" s="5">
        <f>I19/SUM($C19,$F19,$I19,$L19)</f>
        <v>0.24114621978062534</v>
      </c>
      <c r="R19" s="5">
        <f>L19/SUM($C19,$F19,$I19,$L19)</f>
        <v>0.12156156818288329</v>
      </c>
      <c r="S19">
        <f>SUM(O19:R19)</f>
        <v>1</v>
      </c>
      <c r="U19" s="15">
        <v>2015</v>
      </c>
      <c r="V19" s="17">
        <v>283923.74</v>
      </c>
      <c r="W19" s="17">
        <v>91127.43</v>
      </c>
      <c r="X19" s="17">
        <v>141916.32999999999</v>
      </c>
      <c r="Y19" s="17">
        <v>71539.88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122"/>
  <sheetViews>
    <sheetView workbookViewId="0">
      <pane ySplit="1" topLeftCell="A2" activePane="bottomLeft" state="frozen"/>
      <selection pane="bottomLeft" activeCell="G52" sqref="G52"/>
    </sheetView>
  </sheetViews>
  <sheetFormatPr defaultRowHeight="15" zeroHeight="1" x14ac:dyDescent="0.25"/>
  <cols>
    <col min="3" max="3" width="5" bestFit="1" customWidth="1"/>
    <col min="4" max="4" width="5" customWidth="1"/>
    <col min="5" max="6" width="10.7109375" bestFit="1" customWidth="1"/>
    <col min="7" max="7" width="10" bestFit="1" customWidth="1"/>
    <col min="8" max="8" width="10.85546875" bestFit="1" customWidth="1"/>
    <col min="9" max="10" width="8.42578125" bestFit="1" customWidth="1"/>
    <col min="11" max="11" width="5.42578125" bestFit="1" customWidth="1"/>
    <col min="13" max="13" width="9.85546875" bestFit="1" customWidth="1"/>
    <col min="14" max="14" width="9" bestFit="1" customWidth="1"/>
    <col min="15" max="15" width="11" bestFit="1" customWidth="1"/>
    <col min="17" max="17" width="10.85546875" bestFit="1" customWidth="1"/>
    <col min="18" max="18" width="20.42578125" bestFit="1" customWidth="1"/>
    <col min="19" max="19" width="25.7109375" bestFit="1" customWidth="1"/>
    <col min="20" max="20" width="30" bestFit="1" customWidth="1"/>
    <col min="21" max="21" width="12" bestFit="1" customWidth="1"/>
    <col min="22" max="22" width="10.28515625" customWidth="1"/>
    <col min="30" max="30" width="9.7109375" customWidth="1"/>
    <col min="32" max="32" width="8.7109375" style="5" bestFit="1" customWidth="1"/>
  </cols>
  <sheetData>
    <row r="1" spans="2:66" s="9" customFormat="1" ht="90" x14ac:dyDescent="0.25">
      <c r="B1" s="9" t="s">
        <v>0</v>
      </c>
      <c r="C1" s="9" t="s">
        <v>43</v>
      </c>
      <c r="D1" s="9" t="s">
        <v>44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26</v>
      </c>
      <c r="Q1" s="9" t="s">
        <v>27</v>
      </c>
      <c r="R1" s="9" t="s">
        <v>28</v>
      </c>
      <c r="S1" s="9" t="s">
        <v>30</v>
      </c>
      <c r="T1" s="9" t="s">
        <v>31</v>
      </c>
      <c r="U1" s="9" t="s">
        <v>32</v>
      </c>
      <c r="V1" s="9" t="s">
        <v>33</v>
      </c>
      <c r="W1" s="9" t="s">
        <v>34</v>
      </c>
      <c r="X1" s="9" t="s">
        <v>35</v>
      </c>
      <c r="Y1" s="9" t="s">
        <v>36</v>
      </c>
      <c r="Z1" s="9" t="s">
        <v>37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29</v>
      </c>
      <c r="AF1" s="10" t="s">
        <v>42</v>
      </c>
      <c r="AG1" s="9" t="s">
        <v>46</v>
      </c>
      <c r="AH1" s="9" t="s">
        <v>45</v>
      </c>
      <c r="AI1" s="9" t="s">
        <v>47</v>
      </c>
      <c r="AJ1" s="9" t="s">
        <v>48</v>
      </c>
      <c r="AK1" s="9" t="s">
        <v>75</v>
      </c>
      <c r="AL1" s="9" t="s">
        <v>76</v>
      </c>
      <c r="AM1" s="9" t="s">
        <v>77</v>
      </c>
      <c r="AN1" s="9" t="s">
        <v>78</v>
      </c>
      <c r="AO1" s="9" t="s">
        <v>79</v>
      </c>
      <c r="AP1" s="9" t="s">
        <v>80</v>
      </c>
      <c r="AQ1" s="9" t="s">
        <v>81</v>
      </c>
      <c r="AR1" s="9" t="s">
        <v>82</v>
      </c>
      <c r="AS1" s="9" t="s">
        <v>83</v>
      </c>
      <c r="AT1" s="9" t="s">
        <v>84</v>
      </c>
      <c r="AU1" s="9" t="s">
        <v>85</v>
      </c>
      <c r="AV1" s="9" t="s">
        <v>86</v>
      </c>
      <c r="AW1" s="9" t="s">
        <v>87</v>
      </c>
      <c r="AX1" s="9" t="s">
        <v>88</v>
      </c>
      <c r="AY1" s="9" t="s">
        <v>53</v>
      </c>
      <c r="AZ1" s="9" t="s">
        <v>61</v>
      </c>
      <c r="BA1" s="9" t="s">
        <v>62</v>
      </c>
      <c r="BB1" s="9" t="s">
        <v>63</v>
      </c>
      <c r="BC1" s="9" t="s">
        <v>64</v>
      </c>
      <c r="BD1" s="9" t="s">
        <v>65</v>
      </c>
      <c r="BE1" s="9" t="s">
        <v>66</v>
      </c>
      <c r="BF1" s="9" t="s">
        <v>67</v>
      </c>
      <c r="BG1" s="9" t="s">
        <v>68</v>
      </c>
      <c r="BH1" s="9" t="s">
        <v>69</v>
      </c>
      <c r="BI1" s="9" t="s">
        <v>70</v>
      </c>
      <c r="BJ1" s="9" t="s">
        <v>71</v>
      </c>
      <c r="BK1" s="9" t="s">
        <v>72</v>
      </c>
      <c r="BL1" s="9" t="s">
        <v>73</v>
      </c>
      <c r="BM1" s="9" t="s">
        <v>74</v>
      </c>
      <c r="BN1" s="9" t="s">
        <v>54</v>
      </c>
    </row>
    <row r="2" spans="2:66" x14ac:dyDescent="0.25">
      <c r="B2" t="s">
        <v>12</v>
      </c>
      <c r="C2">
        <v>2015</v>
      </c>
      <c r="D2">
        <v>2015</v>
      </c>
      <c r="E2" s="1">
        <v>42160</v>
      </c>
      <c r="F2" s="1">
        <v>42192</v>
      </c>
      <c r="G2" s="2">
        <v>447120</v>
      </c>
      <c r="H2" s="3">
        <v>26858.23</v>
      </c>
      <c r="I2">
        <v>754</v>
      </c>
      <c r="J2">
        <v>754.3</v>
      </c>
      <c r="K2" t="s">
        <v>13</v>
      </c>
      <c r="L2" s="4">
        <v>13972.5</v>
      </c>
      <c r="M2" s="3">
        <v>839.32</v>
      </c>
      <c r="N2" s="13">
        <v>6.0100000000000001E-2</v>
      </c>
      <c r="O2">
        <v>77.180000000000007</v>
      </c>
      <c r="P2">
        <f t="shared" ref="P2:P33" si="0">F2-E2</f>
        <v>32</v>
      </c>
      <c r="Q2" s="5">
        <f>P2/30</f>
        <v>1.0666666666666667</v>
      </c>
      <c r="R2" s="6">
        <f t="shared" ref="R2:R12" si="1">91.41*$Q2</f>
        <v>97.503999999999991</v>
      </c>
      <c r="S2" s="6">
        <f t="shared" ref="S2:S33" si="2">IF($J2&lt;700, $J2*3.068,700*3.068+($J2-700)*2.455)*$Q2</f>
        <v>2432.9669333333327</v>
      </c>
      <c r="T2" s="6">
        <f>$I2*7.931*$Q2</f>
        <v>6378.6389333333336</v>
      </c>
      <c r="U2" s="6">
        <f t="shared" ref="U2:U33" si="3">IF($J2&lt;700, $J2*-1.011,700*-1.011+($J2-700)*-0.809)*$Q2</f>
        <v>-801.73727999999983</v>
      </c>
      <c r="V2" s="6">
        <f t="shared" ref="V2:V33" si="4">IF($G2&lt;=24000,$G2*0.01763,24000*0.01763+IF($G2&lt;=210000,($G2-24000)*0.01007,186000*0.01007+($G2-210000)*0.00667))*$Q2</f>
        <v>4136.2457600000007</v>
      </c>
      <c r="W2">
        <f>$G2*0.02516</f>
        <v>11249.539199999999</v>
      </c>
      <c r="X2" s="6">
        <f t="shared" ref="X2:X9" si="5">$I2*0.08*$Q2</f>
        <v>64.341333333333338</v>
      </c>
      <c r="Y2" s="6">
        <f t="shared" ref="Y2:Y9" si="6">$I2*0.433*$Q2</f>
        <v>348.24746666666664</v>
      </c>
      <c r="Z2" s="6">
        <f t="shared" ref="Z2:Z9" si="7">$I2*1.239*$Q2</f>
        <v>996.48640000000012</v>
      </c>
      <c r="AA2" s="6">
        <f t="shared" ref="AA2:AA9" si="8">$I2*0.433*$Q2</f>
        <v>348.24746666666664</v>
      </c>
      <c r="AB2" s="6">
        <f t="shared" ref="AB2:AB9" si="9">$I2*1.491*$Q2</f>
        <v>1199.1616000000001</v>
      </c>
      <c r="AC2" s="6">
        <f t="shared" ref="AC2:AC9" si="10">$I2*0.544*$Q2</f>
        <v>437.52106666666668</v>
      </c>
      <c r="AD2" s="6">
        <f>$G2*0.00047</f>
        <v>210.1464</v>
      </c>
      <c r="AE2">
        <f>SUM(R2:AD2)</f>
        <v>27097.309280000005</v>
      </c>
      <c r="AF2" s="5">
        <f t="shared" ref="AF2:AF33" si="11">ABS(AE2-H2)/H2</f>
        <v>8.9015277626264041E-3</v>
      </c>
      <c r="AG2" s="11">
        <f>R2/$AE2</f>
        <v>3.5982908484557836E-3</v>
      </c>
      <c r="AH2" s="5">
        <f t="shared" ref="AH2:AH33" si="12">SUM(S2:U2,X2:AC2)/$AE2</f>
        <v>0.42084894120527955</v>
      </c>
      <c r="AI2" s="5">
        <f t="shared" ref="AI2:AI33" si="13">SUM(V2,W2,AD2)/$AE2</f>
        <v>0.57555276794626442</v>
      </c>
      <c r="AJ2" s="5">
        <f>SUM(AG2:AI2)</f>
        <v>0.99999999999999978</v>
      </c>
      <c r="AK2" s="6">
        <f t="shared" ref="AK2:AK12" si="14">91.41*$Q2</f>
        <v>97.503999999999991</v>
      </c>
      <c r="AL2" s="6">
        <f>IF(($J2-1)&lt;700, ($J2-1)*3.068,700*3.068+(($J2-1)-700)*2.455)*$Q2</f>
        <v>2430.3482666666664</v>
      </c>
      <c r="AM2" s="6">
        <f>($I2-1)*7.931*$Q2</f>
        <v>6370.1791999999996</v>
      </c>
      <c r="AN2" s="6">
        <f>IF(($J2-1)&lt;700, ($J2-1)*-1.011,700*-1.011+(($J2-1)-700)*-0.809)*$Q2</f>
        <v>-800.8743466666665</v>
      </c>
      <c r="AO2" s="6">
        <f t="shared" ref="AO2:AO33" si="15">IF($G2&lt;=24000,$G2*0.01763,24000*0.01763+IF($G2&lt;=210000,($G2-24000)*0.01007,186000*0.01007+($G2-210000)*0.00667))*$Q2</f>
        <v>4136.2457600000007</v>
      </c>
      <c r="AP2">
        <f>$G2*0.02516</f>
        <v>11249.539199999999</v>
      </c>
      <c r="AQ2" s="6">
        <f>($I2-1)*0.08*$Q2</f>
        <v>64.256</v>
      </c>
      <c r="AR2" s="6">
        <f>($I2-1)*0.433*$Q2</f>
        <v>347.78559999999999</v>
      </c>
      <c r="AS2" s="6">
        <f>($I2-1)*1.239*$Q2</f>
        <v>995.16480000000013</v>
      </c>
      <c r="AT2" s="6">
        <f>($I2-1)*0.433*$Q2</f>
        <v>347.78559999999999</v>
      </c>
      <c r="AU2" s="6">
        <f>($I2-1)*1.491*$Q2</f>
        <v>1197.5712000000001</v>
      </c>
      <c r="AV2" s="6">
        <f>($I2-1)*0.544*$Q2</f>
        <v>436.94080000000002</v>
      </c>
      <c r="AW2" s="6">
        <f>$G2*0.00047</f>
        <v>210.1464</v>
      </c>
      <c r="AX2">
        <f>SUM(AK2:AW2)</f>
        <v>27082.592479999999</v>
      </c>
      <c r="AY2" s="6">
        <f>AE2-AX2</f>
        <v>14.716800000005605</v>
      </c>
      <c r="AZ2" s="6">
        <f t="shared" ref="AZ2:AZ12" si="16">91.41*$Q2</f>
        <v>97.503999999999991</v>
      </c>
      <c r="BA2" s="6">
        <f t="shared" ref="BA2:BA33" si="17">IF($J2&lt;700, $J2*3.068,700*3.068+($J2-700)*2.455)*$Q2</f>
        <v>2432.9669333333327</v>
      </c>
      <c r="BB2" s="6">
        <f>$I2*7.931*$Q2</f>
        <v>6378.6389333333336</v>
      </c>
      <c r="BC2" s="6">
        <f t="shared" ref="BC2:BC33" si="18">IF($J2&lt;700, $J2*-1.011,700*-1.011+($J2-700)*-0.809)*$Q2</f>
        <v>-801.73727999999983</v>
      </c>
      <c r="BD2" s="6">
        <f>IF(($G2-1)&lt;=24000,($G2-1)*0.01763,24000*0.01763+IF(($G2-1)&lt;=210000,(($G2-1)-24000)*0.01007,186000*0.01007+(($G2-1)-210000)*0.00667))*$Q2</f>
        <v>4136.2386453333329</v>
      </c>
      <c r="BE2">
        <f>($G2-1)*0.02516</f>
        <v>11249.51404</v>
      </c>
      <c r="BF2" s="6">
        <f t="shared" ref="BF2:BF9" si="19">$I2*0.08*$Q2</f>
        <v>64.341333333333338</v>
      </c>
      <c r="BG2" s="6">
        <f t="shared" ref="BG2:BG9" si="20">$I2*0.433*$Q2</f>
        <v>348.24746666666664</v>
      </c>
      <c r="BH2" s="6">
        <f t="shared" ref="BH2:BH9" si="21">$I2*1.239*$Q2</f>
        <v>996.48640000000012</v>
      </c>
      <c r="BI2" s="6">
        <f t="shared" ref="BI2:BI9" si="22">$I2*0.433*$Q2</f>
        <v>348.24746666666664</v>
      </c>
      <c r="BJ2" s="6">
        <f t="shared" ref="BJ2:BJ9" si="23">$I2*1.491*$Q2</f>
        <v>1199.1616000000001</v>
      </c>
      <c r="BK2" s="6">
        <f t="shared" ref="BK2:BK9" si="24">$I2*0.544*$Q2</f>
        <v>437.52106666666668</v>
      </c>
      <c r="BL2" s="6">
        <f>($G2-1)*0.00047</f>
        <v>210.14592999999999</v>
      </c>
      <c r="BM2">
        <f>SUM(AZ2:BL2)</f>
        <v>27097.276535333334</v>
      </c>
      <c r="BN2" s="7">
        <f>AE2-BM2</f>
        <v>3.2744666670623701E-2</v>
      </c>
    </row>
    <row r="3" spans="2:66" x14ac:dyDescent="0.25">
      <c r="B3" t="s">
        <v>14</v>
      </c>
      <c r="C3">
        <v>2015</v>
      </c>
      <c r="D3">
        <v>2015</v>
      </c>
      <c r="E3" s="1">
        <v>42130</v>
      </c>
      <c r="F3" s="1">
        <v>42160</v>
      </c>
      <c r="G3" s="2">
        <v>379440</v>
      </c>
      <c r="H3" s="3">
        <v>23165.94</v>
      </c>
      <c r="I3">
        <v>696</v>
      </c>
      <c r="J3">
        <v>751</v>
      </c>
      <c r="K3" t="s">
        <v>13</v>
      </c>
      <c r="L3" s="4">
        <v>12648</v>
      </c>
      <c r="M3" s="3">
        <v>772.2</v>
      </c>
      <c r="N3" s="13">
        <v>6.1100000000000002E-2</v>
      </c>
      <c r="O3">
        <v>70.17</v>
      </c>
      <c r="P3">
        <f t="shared" si="0"/>
        <v>30</v>
      </c>
      <c r="Q3" s="5">
        <f t="shared" ref="Q3:Q66" si="25">P3/30</f>
        <v>1</v>
      </c>
      <c r="R3" s="6">
        <f t="shared" si="1"/>
        <v>91.41</v>
      </c>
      <c r="S3" s="6">
        <f t="shared" si="2"/>
        <v>2272.8049999999998</v>
      </c>
      <c r="T3" s="6">
        <f t="shared" ref="T3:T61" si="26">$I3*7.931*$Q3</f>
        <v>5519.9759999999997</v>
      </c>
      <c r="U3" s="6">
        <f t="shared" si="3"/>
        <v>-748.95899999999995</v>
      </c>
      <c r="V3" s="6">
        <f t="shared" si="4"/>
        <v>3426.3047999999999</v>
      </c>
      <c r="W3">
        <f>$G3*0.02516</f>
        <v>9546.7103999999999</v>
      </c>
      <c r="X3" s="6">
        <f t="shared" si="5"/>
        <v>55.68</v>
      </c>
      <c r="Y3" s="6">
        <f t="shared" si="6"/>
        <v>301.36799999999999</v>
      </c>
      <c r="Z3" s="6">
        <f t="shared" si="7"/>
        <v>862.34400000000005</v>
      </c>
      <c r="AA3" s="6">
        <f t="shared" si="8"/>
        <v>301.36799999999999</v>
      </c>
      <c r="AB3" s="6">
        <f t="shared" si="9"/>
        <v>1037.7360000000001</v>
      </c>
      <c r="AC3" s="6">
        <f t="shared" si="10"/>
        <v>378.62400000000002</v>
      </c>
      <c r="AD3" s="6">
        <f t="shared" ref="AD3:AD9" si="27">$G3*0.00047</f>
        <v>178.33679999999998</v>
      </c>
      <c r="AE3">
        <f t="shared" ref="AE3:AE9" si="28">SUM(R3:AD3)</f>
        <v>23223.703999999998</v>
      </c>
      <c r="AF3" s="5">
        <f t="shared" si="11"/>
        <v>2.4934882849562425E-3</v>
      </c>
      <c r="AG3" s="11">
        <f t="shared" ref="AG3:AG25" si="29">R3/$AE3</f>
        <v>3.9360646346508722E-3</v>
      </c>
      <c r="AH3" s="5">
        <f t="shared" si="12"/>
        <v>0.42977390686688055</v>
      </c>
      <c r="AI3" s="5">
        <f t="shared" si="13"/>
        <v>0.56629002849846866</v>
      </c>
      <c r="AJ3" s="5">
        <f t="shared" ref="AJ3:AJ25" si="30">SUM(AG3:AI3)</f>
        <v>1</v>
      </c>
      <c r="AK3" s="6">
        <f t="shared" si="14"/>
        <v>91.41</v>
      </c>
      <c r="AL3" s="6">
        <f t="shared" ref="AL3:AL61" si="31">IF(($J3-1)&lt;700, ($J3-1)*3.068,700*3.068+(($J3-1)-700)*2.455)*$Q3</f>
        <v>2270.35</v>
      </c>
      <c r="AM3" s="6">
        <f t="shared" ref="AM3:AM61" si="32">($I3-1)*7.931*$Q3</f>
        <v>5512.0450000000001</v>
      </c>
      <c r="AN3" s="6">
        <f t="shared" ref="AN3:AN61" si="33">IF(($J3-1)&lt;700, ($J3-1)*-1.011,700*-1.011+(($J3-1)-700)*-0.809)*$Q3</f>
        <v>-748.15</v>
      </c>
      <c r="AO3" s="6">
        <f t="shared" si="15"/>
        <v>3426.3047999999999</v>
      </c>
      <c r="AP3">
        <f>$G3*0.02516</f>
        <v>9546.7103999999999</v>
      </c>
      <c r="AQ3" s="6">
        <f t="shared" ref="AQ3:AQ9" si="34">($I3-1)*0.08*$Q3</f>
        <v>55.6</v>
      </c>
      <c r="AR3" s="6">
        <f t="shared" ref="AR3:AR9" si="35">($I3-1)*0.433*$Q3</f>
        <v>300.935</v>
      </c>
      <c r="AS3" s="6">
        <f t="shared" ref="AS3:AS9" si="36">($I3-1)*1.239*$Q3</f>
        <v>861.10500000000002</v>
      </c>
      <c r="AT3" s="6">
        <f t="shared" ref="AT3:AT9" si="37">($I3-1)*0.433*$Q3</f>
        <v>300.935</v>
      </c>
      <c r="AU3" s="6">
        <f t="shared" ref="AU3:AU9" si="38">($I3-1)*1.491*$Q3</f>
        <v>1036.2450000000001</v>
      </c>
      <c r="AV3" s="6">
        <f t="shared" ref="AV3:AV9" si="39">($I3-1)*0.544*$Q3</f>
        <v>378.08000000000004</v>
      </c>
      <c r="AW3" s="6">
        <f t="shared" ref="AW3:AW9" si="40">$G3*0.00047</f>
        <v>178.33679999999998</v>
      </c>
      <c r="AX3">
        <f t="shared" ref="AX3:AX61" si="41">SUM(AK3:AW3)</f>
        <v>23209.907000000003</v>
      </c>
      <c r="AY3" s="6">
        <f t="shared" ref="AY3:AY61" si="42">AE3-AX3</f>
        <v>13.796999999995023</v>
      </c>
      <c r="AZ3" s="6">
        <f t="shared" si="16"/>
        <v>91.41</v>
      </c>
      <c r="BA3" s="6">
        <f t="shared" si="17"/>
        <v>2272.8049999999998</v>
      </c>
      <c r="BB3" s="6">
        <f t="shared" ref="BB3:BB61" si="43">$I3*7.931*$Q3</f>
        <v>5519.9759999999997</v>
      </c>
      <c r="BC3" s="6">
        <f t="shared" si="18"/>
        <v>-748.95899999999995</v>
      </c>
      <c r="BD3" s="6">
        <f t="shared" ref="BD3:BD61" si="44">IF(($G3-1)&lt;=24000,($G3-1)*0.01763,24000*0.01763+IF(($G3-1)&lt;=210000,(($G3-1)-24000)*0.01007,186000*0.01007+(($G3-1)-210000)*0.00667))*$Q3</f>
        <v>3426.2981300000001</v>
      </c>
      <c r="BE3">
        <f t="shared" ref="BE3:BE9" si="45">($G3-1)*0.02516</f>
        <v>9546.6852399999989</v>
      </c>
      <c r="BF3" s="6">
        <f t="shared" si="19"/>
        <v>55.68</v>
      </c>
      <c r="BG3" s="6">
        <f t="shared" si="20"/>
        <v>301.36799999999999</v>
      </c>
      <c r="BH3" s="6">
        <f t="shared" si="21"/>
        <v>862.34400000000005</v>
      </c>
      <c r="BI3" s="6">
        <f t="shared" si="22"/>
        <v>301.36799999999999</v>
      </c>
      <c r="BJ3" s="6">
        <f t="shared" si="23"/>
        <v>1037.7360000000001</v>
      </c>
      <c r="BK3" s="6">
        <f t="shared" si="24"/>
        <v>378.62400000000002</v>
      </c>
      <c r="BL3" s="6">
        <f t="shared" ref="BL3:BL9" si="46">($G3-1)*0.00047</f>
        <v>178.33633</v>
      </c>
      <c r="BM3">
        <f t="shared" ref="BM3:BM61" si="47">SUM(AZ3:BL3)</f>
        <v>23223.671699999995</v>
      </c>
      <c r="BN3" s="7">
        <f t="shared" ref="BN3:BN66" si="48">AE3-BM3</f>
        <v>3.2300000002578599E-2</v>
      </c>
    </row>
    <row r="4" spans="2:66" x14ac:dyDescent="0.25">
      <c r="B4" t="s">
        <v>15</v>
      </c>
      <c r="C4">
        <v>2015</v>
      </c>
      <c r="D4">
        <v>2015</v>
      </c>
      <c r="E4" s="1">
        <v>42101</v>
      </c>
      <c r="F4" s="1">
        <v>42130</v>
      </c>
      <c r="G4" s="2">
        <v>342000</v>
      </c>
      <c r="H4" s="3">
        <v>21347.99</v>
      </c>
      <c r="I4">
        <v>675</v>
      </c>
      <c r="J4">
        <v>751</v>
      </c>
      <c r="K4" t="s">
        <v>13</v>
      </c>
      <c r="L4" s="4">
        <v>11793.1</v>
      </c>
      <c r="M4" s="3">
        <v>736.14</v>
      </c>
      <c r="N4" s="13">
        <v>6.2399999999999997E-2</v>
      </c>
      <c r="O4">
        <v>65.430000000000007</v>
      </c>
      <c r="P4">
        <f t="shared" si="0"/>
        <v>29</v>
      </c>
      <c r="Q4" s="5">
        <f t="shared" si="25"/>
        <v>0.96666666666666667</v>
      </c>
      <c r="R4" s="6">
        <f t="shared" si="1"/>
        <v>88.363</v>
      </c>
      <c r="S4" s="6">
        <f t="shared" si="2"/>
        <v>2197.0448333333334</v>
      </c>
      <c r="T4" s="6">
        <f t="shared" si="26"/>
        <v>5174.9775</v>
      </c>
      <c r="U4" s="6">
        <f t="shared" si="3"/>
        <v>-723.99369999999999</v>
      </c>
      <c r="V4" s="6">
        <f t="shared" si="4"/>
        <v>3070.694</v>
      </c>
      <c r="W4">
        <f t="shared" ref="W4:W9" si="49">$G4*0.02516</f>
        <v>8604.7199999999993</v>
      </c>
      <c r="X4" s="6">
        <f t="shared" si="5"/>
        <v>52.2</v>
      </c>
      <c r="Y4" s="6">
        <f t="shared" si="6"/>
        <v>282.53249999999997</v>
      </c>
      <c r="Z4" s="6">
        <f t="shared" si="7"/>
        <v>808.4475000000001</v>
      </c>
      <c r="AA4" s="6">
        <f t="shared" si="8"/>
        <v>282.53249999999997</v>
      </c>
      <c r="AB4" s="6">
        <f t="shared" si="9"/>
        <v>972.87750000000005</v>
      </c>
      <c r="AC4" s="6">
        <f t="shared" si="10"/>
        <v>354.96000000000004</v>
      </c>
      <c r="AD4" s="6">
        <f t="shared" si="27"/>
        <v>160.74</v>
      </c>
      <c r="AE4">
        <f t="shared" si="28"/>
        <v>21326.095633333334</v>
      </c>
      <c r="AF4" s="5">
        <f t="shared" si="11"/>
        <v>1.0255938224941709E-3</v>
      </c>
      <c r="AG4" s="11">
        <f t="shared" si="29"/>
        <v>4.1434213519086893E-3</v>
      </c>
      <c r="AH4" s="5">
        <f t="shared" si="12"/>
        <v>0.44084856388988436</v>
      </c>
      <c r="AI4" s="5">
        <f t="shared" si="13"/>
        <v>0.55500801475820694</v>
      </c>
      <c r="AJ4" s="5">
        <f t="shared" si="30"/>
        <v>1</v>
      </c>
      <c r="AK4" s="6">
        <f t="shared" si="14"/>
        <v>88.363</v>
      </c>
      <c r="AL4" s="6">
        <f t="shared" si="31"/>
        <v>2194.6716666666666</v>
      </c>
      <c r="AM4" s="6">
        <f t="shared" si="32"/>
        <v>5167.3108666666667</v>
      </c>
      <c r="AN4" s="6">
        <f t="shared" si="33"/>
        <v>-723.2116666666667</v>
      </c>
      <c r="AO4" s="6">
        <f t="shared" si="15"/>
        <v>3070.694</v>
      </c>
      <c r="AP4">
        <f t="shared" ref="AP4:AP9" si="50">$G4*0.02516</f>
        <v>8604.7199999999993</v>
      </c>
      <c r="AQ4" s="6">
        <f t="shared" si="34"/>
        <v>52.122666666666667</v>
      </c>
      <c r="AR4" s="6">
        <f t="shared" si="35"/>
        <v>282.11393333333331</v>
      </c>
      <c r="AS4" s="6">
        <f t="shared" si="36"/>
        <v>807.24980000000005</v>
      </c>
      <c r="AT4" s="6">
        <f t="shared" si="37"/>
        <v>282.11393333333331</v>
      </c>
      <c r="AU4" s="6">
        <f t="shared" si="38"/>
        <v>971.4362000000001</v>
      </c>
      <c r="AV4" s="6">
        <f t="shared" si="39"/>
        <v>354.43413333333336</v>
      </c>
      <c r="AW4" s="6">
        <f t="shared" si="40"/>
        <v>160.74</v>
      </c>
      <c r="AX4">
        <f t="shared" si="41"/>
        <v>21312.758533333337</v>
      </c>
      <c r="AY4" s="6">
        <f t="shared" si="42"/>
        <v>13.337099999997008</v>
      </c>
      <c r="AZ4" s="6">
        <f t="shared" si="16"/>
        <v>88.363</v>
      </c>
      <c r="BA4" s="6">
        <f t="shared" si="17"/>
        <v>2197.0448333333334</v>
      </c>
      <c r="BB4" s="6">
        <f t="shared" si="43"/>
        <v>5174.9775</v>
      </c>
      <c r="BC4" s="6">
        <f t="shared" si="18"/>
        <v>-723.99369999999999</v>
      </c>
      <c r="BD4" s="6">
        <f t="shared" si="44"/>
        <v>3070.6875523333333</v>
      </c>
      <c r="BE4">
        <f t="shared" si="45"/>
        <v>8604.6948400000001</v>
      </c>
      <c r="BF4" s="6">
        <f t="shared" si="19"/>
        <v>52.2</v>
      </c>
      <c r="BG4" s="6">
        <f t="shared" si="20"/>
        <v>282.53249999999997</v>
      </c>
      <c r="BH4" s="6">
        <f t="shared" si="21"/>
        <v>808.4475000000001</v>
      </c>
      <c r="BI4" s="6">
        <f t="shared" si="22"/>
        <v>282.53249999999997</v>
      </c>
      <c r="BJ4" s="6">
        <f t="shared" si="23"/>
        <v>972.87750000000005</v>
      </c>
      <c r="BK4" s="6">
        <f t="shared" si="24"/>
        <v>354.96000000000004</v>
      </c>
      <c r="BL4" s="6">
        <f t="shared" si="46"/>
        <v>160.73953</v>
      </c>
      <c r="BM4">
        <f t="shared" si="47"/>
        <v>21326.063555666664</v>
      </c>
      <c r="BN4" s="7">
        <f t="shared" si="48"/>
        <v>3.2077666670375038E-2</v>
      </c>
    </row>
    <row r="5" spans="2:66" x14ac:dyDescent="0.25">
      <c r="B5" t="s">
        <v>16</v>
      </c>
      <c r="C5">
        <v>2015</v>
      </c>
      <c r="D5">
        <v>2015</v>
      </c>
      <c r="E5" s="1">
        <v>42068</v>
      </c>
      <c r="F5" s="1">
        <v>42101</v>
      </c>
      <c r="G5" s="2">
        <v>376560</v>
      </c>
      <c r="H5" s="3">
        <v>23885.16</v>
      </c>
      <c r="I5">
        <v>675</v>
      </c>
      <c r="J5">
        <v>751</v>
      </c>
      <c r="K5" t="s">
        <v>13</v>
      </c>
      <c r="L5" s="4">
        <v>11410.91</v>
      </c>
      <c r="M5" s="3">
        <v>723.79</v>
      </c>
      <c r="N5" s="13">
        <v>6.3399999999999998E-2</v>
      </c>
      <c r="O5">
        <v>63.31</v>
      </c>
      <c r="P5">
        <f t="shared" si="0"/>
        <v>33</v>
      </c>
      <c r="Q5" s="5">
        <f t="shared" si="25"/>
        <v>1.1000000000000001</v>
      </c>
      <c r="R5" s="6">
        <f t="shared" si="1"/>
        <v>100.551</v>
      </c>
      <c r="S5" s="6">
        <f t="shared" si="2"/>
        <v>2500.0855000000001</v>
      </c>
      <c r="T5" s="6">
        <f t="shared" si="26"/>
        <v>5888.7675000000008</v>
      </c>
      <c r="U5" s="6">
        <f t="shared" si="3"/>
        <v>-823.85490000000004</v>
      </c>
      <c r="V5" s="6">
        <f t="shared" si="4"/>
        <v>3747.8047200000001</v>
      </c>
      <c r="W5">
        <f t="shared" si="49"/>
        <v>9474.2495999999992</v>
      </c>
      <c r="X5" s="6">
        <f t="shared" si="5"/>
        <v>59.400000000000006</v>
      </c>
      <c r="Y5" s="6">
        <f t="shared" si="6"/>
        <v>321.5025</v>
      </c>
      <c r="Z5" s="6">
        <f t="shared" si="7"/>
        <v>919.9575000000001</v>
      </c>
      <c r="AA5" s="6">
        <f t="shared" si="8"/>
        <v>321.5025</v>
      </c>
      <c r="AB5" s="6">
        <f t="shared" si="9"/>
        <v>1107.0675000000001</v>
      </c>
      <c r="AC5" s="6">
        <f t="shared" si="10"/>
        <v>403.92000000000007</v>
      </c>
      <c r="AD5" s="6">
        <f t="shared" si="27"/>
        <v>176.98319999999998</v>
      </c>
      <c r="AE5">
        <f t="shared" si="28"/>
        <v>24197.936619999997</v>
      </c>
      <c r="AF5" s="5">
        <f t="shared" si="11"/>
        <v>1.3095018831776589E-2</v>
      </c>
      <c r="AG5" s="11">
        <f t="shared" si="29"/>
        <v>4.1553543006180504E-3</v>
      </c>
      <c r="AH5" s="5">
        <f t="shared" si="12"/>
        <v>0.44211819660514518</v>
      </c>
      <c r="AI5" s="5">
        <f t="shared" si="13"/>
        <v>0.55372644909423696</v>
      </c>
      <c r="AJ5" s="5">
        <f t="shared" si="30"/>
        <v>1.0000000000000002</v>
      </c>
      <c r="AK5" s="6">
        <f t="shared" si="14"/>
        <v>100.551</v>
      </c>
      <c r="AL5" s="6">
        <f t="shared" si="31"/>
        <v>2497.3850000000002</v>
      </c>
      <c r="AM5" s="6">
        <f t="shared" si="32"/>
        <v>5880.0434000000005</v>
      </c>
      <c r="AN5" s="6">
        <f t="shared" si="33"/>
        <v>-822.96500000000003</v>
      </c>
      <c r="AO5" s="6">
        <f t="shared" si="15"/>
        <v>3747.8047200000001</v>
      </c>
      <c r="AP5">
        <f t="shared" si="50"/>
        <v>9474.2495999999992</v>
      </c>
      <c r="AQ5" s="6">
        <f t="shared" si="34"/>
        <v>59.312000000000005</v>
      </c>
      <c r="AR5" s="6">
        <f t="shared" si="35"/>
        <v>321.02620000000002</v>
      </c>
      <c r="AS5" s="6">
        <f t="shared" si="36"/>
        <v>918.59460000000013</v>
      </c>
      <c r="AT5" s="6">
        <f t="shared" si="37"/>
        <v>321.02620000000002</v>
      </c>
      <c r="AU5" s="6">
        <f t="shared" si="38"/>
        <v>1105.4274000000003</v>
      </c>
      <c r="AV5" s="6">
        <f t="shared" si="39"/>
        <v>403.32160000000005</v>
      </c>
      <c r="AW5" s="6">
        <f t="shared" si="40"/>
        <v>176.98319999999998</v>
      </c>
      <c r="AX5">
        <f t="shared" si="41"/>
        <v>24182.75992</v>
      </c>
      <c r="AY5" s="6">
        <f t="shared" si="42"/>
        <v>15.176699999996345</v>
      </c>
      <c r="AZ5" s="6">
        <f t="shared" si="16"/>
        <v>100.551</v>
      </c>
      <c r="BA5" s="6">
        <f t="shared" si="17"/>
        <v>2500.0855000000001</v>
      </c>
      <c r="BB5" s="6">
        <f t="shared" si="43"/>
        <v>5888.7675000000008</v>
      </c>
      <c r="BC5" s="6">
        <f t="shared" si="18"/>
        <v>-823.85490000000004</v>
      </c>
      <c r="BD5" s="6">
        <f t="shared" si="44"/>
        <v>3747.7973830000001</v>
      </c>
      <c r="BE5">
        <f t="shared" si="45"/>
        <v>9474.22444</v>
      </c>
      <c r="BF5" s="6">
        <f t="shared" si="19"/>
        <v>59.400000000000006</v>
      </c>
      <c r="BG5" s="6">
        <f t="shared" si="20"/>
        <v>321.5025</v>
      </c>
      <c r="BH5" s="6">
        <f t="shared" si="21"/>
        <v>919.9575000000001</v>
      </c>
      <c r="BI5" s="6">
        <f t="shared" si="22"/>
        <v>321.5025</v>
      </c>
      <c r="BJ5" s="6">
        <f t="shared" si="23"/>
        <v>1107.0675000000001</v>
      </c>
      <c r="BK5" s="6">
        <f t="shared" si="24"/>
        <v>403.92000000000007</v>
      </c>
      <c r="BL5" s="6">
        <f t="shared" si="46"/>
        <v>176.98273</v>
      </c>
      <c r="BM5">
        <f t="shared" si="47"/>
        <v>24197.903652999998</v>
      </c>
      <c r="BN5" s="7">
        <f t="shared" si="48"/>
        <v>3.2966999999189284E-2</v>
      </c>
    </row>
    <row r="6" spans="2:66" x14ac:dyDescent="0.25">
      <c r="B6" t="s">
        <v>17</v>
      </c>
      <c r="C6">
        <v>2015</v>
      </c>
      <c r="D6">
        <v>2015</v>
      </c>
      <c r="E6" s="1">
        <v>42039</v>
      </c>
      <c r="F6" s="1">
        <v>42068</v>
      </c>
      <c r="G6" s="2">
        <v>319680</v>
      </c>
      <c r="H6" s="3">
        <v>20627.060000000001</v>
      </c>
      <c r="I6">
        <v>675</v>
      </c>
      <c r="J6">
        <v>751</v>
      </c>
      <c r="K6" t="s">
        <v>13</v>
      </c>
      <c r="L6" s="4">
        <v>11023.45</v>
      </c>
      <c r="M6" s="3">
        <v>711.28</v>
      </c>
      <c r="N6" s="13">
        <v>6.4500000000000002E-2</v>
      </c>
      <c r="O6">
        <v>61.16</v>
      </c>
      <c r="P6">
        <f t="shared" si="0"/>
        <v>29</v>
      </c>
      <c r="Q6" s="5">
        <f t="shared" si="25"/>
        <v>0.96666666666666667</v>
      </c>
      <c r="R6" s="6">
        <f t="shared" si="1"/>
        <v>88.363</v>
      </c>
      <c r="S6" s="6">
        <f t="shared" si="2"/>
        <v>2197.0448333333334</v>
      </c>
      <c r="T6" s="6">
        <f t="shared" si="26"/>
        <v>5174.9775</v>
      </c>
      <c r="U6" s="6">
        <f t="shared" si="3"/>
        <v>-723.99369999999999</v>
      </c>
      <c r="V6" s="6">
        <f t="shared" si="4"/>
        <v>2926.7820800000004</v>
      </c>
      <c r="W6">
        <f t="shared" si="49"/>
        <v>8043.148799999999</v>
      </c>
      <c r="X6" s="6">
        <f t="shared" si="5"/>
        <v>52.2</v>
      </c>
      <c r="Y6" s="6">
        <f t="shared" si="6"/>
        <v>282.53249999999997</v>
      </c>
      <c r="Z6" s="6">
        <f t="shared" si="7"/>
        <v>808.4475000000001</v>
      </c>
      <c r="AA6" s="6">
        <f t="shared" si="8"/>
        <v>282.53249999999997</v>
      </c>
      <c r="AB6" s="6">
        <f t="shared" si="9"/>
        <v>972.87750000000005</v>
      </c>
      <c r="AC6" s="6">
        <f t="shared" si="10"/>
        <v>354.96000000000004</v>
      </c>
      <c r="AD6" s="6">
        <f t="shared" si="27"/>
        <v>150.24959999999999</v>
      </c>
      <c r="AE6">
        <f t="shared" si="28"/>
        <v>20610.122113333331</v>
      </c>
      <c r="AF6" s="5">
        <f t="shared" si="11"/>
        <v>8.2114885333490269E-4</v>
      </c>
      <c r="AG6" s="11">
        <f t="shared" si="29"/>
        <v>4.2873593622638085E-3</v>
      </c>
      <c r="AH6" s="5">
        <f t="shared" si="12"/>
        <v>0.45616316980728416</v>
      </c>
      <c r="AI6" s="5">
        <f t="shared" si="13"/>
        <v>0.53954947083045213</v>
      </c>
      <c r="AJ6" s="5">
        <f t="shared" si="30"/>
        <v>1</v>
      </c>
      <c r="AK6" s="6">
        <f t="shared" si="14"/>
        <v>88.363</v>
      </c>
      <c r="AL6" s="6">
        <f t="shared" si="31"/>
        <v>2194.6716666666666</v>
      </c>
      <c r="AM6" s="6">
        <f t="shared" si="32"/>
        <v>5167.3108666666667</v>
      </c>
      <c r="AN6" s="6">
        <f t="shared" si="33"/>
        <v>-723.2116666666667</v>
      </c>
      <c r="AO6" s="6">
        <f t="shared" si="15"/>
        <v>2926.7820800000004</v>
      </c>
      <c r="AP6">
        <f t="shared" si="50"/>
        <v>8043.148799999999</v>
      </c>
      <c r="AQ6" s="6">
        <f t="shared" si="34"/>
        <v>52.122666666666667</v>
      </c>
      <c r="AR6" s="6">
        <f t="shared" si="35"/>
        <v>282.11393333333331</v>
      </c>
      <c r="AS6" s="6">
        <f t="shared" si="36"/>
        <v>807.24980000000005</v>
      </c>
      <c r="AT6" s="6">
        <f t="shared" si="37"/>
        <v>282.11393333333331</v>
      </c>
      <c r="AU6" s="6">
        <f t="shared" si="38"/>
        <v>971.4362000000001</v>
      </c>
      <c r="AV6" s="6">
        <f t="shared" si="39"/>
        <v>354.43413333333336</v>
      </c>
      <c r="AW6" s="6">
        <f t="shared" si="40"/>
        <v>150.24959999999999</v>
      </c>
      <c r="AX6">
        <f t="shared" si="41"/>
        <v>20596.78501333333</v>
      </c>
      <c r="AY6" s="6">
        <f t="shared" si="42"/>
        <v>13.337100000000646</v>
      </c>
      <c r="AZ6" s="6">
        <f t="shared" si="16"/>
        <v>88.363</v>
      </c>
      <c r="BA6" s="6">
        <f t="shared" si="17"/>
        <v>2197.0448333333334</v>
      </c>
      <c r="BB6" s="6">
        <f t="shared" si="43"/>
        <v>5174.9775</v>
      </c>
      <c r="BC6" s="6">
        <f t="shared" si="18"/>
        <v>-723.99369999999999</v>
      </c>
      <c r="BD6" s="6">
        <f t="shared" si="44"/>
        <v>2926.7756323333333</v>
      </c>
      <c r="BE6">
        <f t="shared" si="45"/>
        <v>8043.1236399999998</v>
      </c>
      <c r="BF6" s="6">
        <f t="shared" si="19"/>
        <v>52.2</v>
      </c>
      <c r="BG6" s="6">
        <f t="shared" si="20"/>
        <v>282.53249999999997</v>
      </c>
      <c r="BH6" s="6">
        <f t="shared" si="21"/>
        <v>808.4475000000001</v>
      </c>
      <c r="BI6" s="6">
        <f t="shared" si="22"/>
        <v>282.53249999999997</v>
      </c>
      <c r="BJ6" s="6">
        <f t="shared" si="23"/>
        <v>972.87750000000005</v>
      </c>
      <c r="BK6" s="6">
        <f t="shared" si="24"/>
        <v>354.96000000000004</v>
      </c>
      <c r="BL6" s="6">
        <f t="shared" si="46"/>
        <v>150.24913000000001</v>
      </c>
      <c r="BM6">
        <f t="shared" si="47"/>
        <v>20610.090035666668</v>
      </c>
      <c r="BN6" s="7">
        <f t="shared" si="48"/>
        <v>3.207766666309908E-2</v>
      </c>
    </row>
    <row r="7" spans="2:66" x14ac:dyDescent="0.25">
      <c r="B7" t="s">
        <v>18</v>
      </c>
      <c r="C7">
        <v>2015</v>
      </c>
      <c r="D7">
        <v>2015</v>
      </c>
      <c r="E7" s="1">
        <v>42010</v>
      </c>
      <c r="F7" s="1">
        <v>42039</v>
      </c>
      <c r="G7" s="2">
        <v>330480</v>
      </c>
      <c r="H7" s="3">
        <v>20975.9</v>
      </c>
      <c r="I7">
        <v>675</v>
      </c>
      <c r="J7">
        <v>751</v>
      </c>
      <c r="K7" t="s">
        <v>13</v>
      </c>
      <c r="L7" s="4">
        <v>11395.86</v>
      </c>
      <c r="M7" s="3">
        <v>723.31</v>
      </c>
      <c r="N7" s="13">
        <v>6.3500000000000001E-2</v>
      </c>
      <c r="O7">
        <v>63.23</v>
      </c>
      <c r="P7">
        <f t="shared" si="0"/>
        <v>29</v>
      </c>
      <c r="Q7" s="5">
        <f t="shared" si="25"/>
        <v>0.96666666666666667</v>
      </c>
      <c r="R7" s="6">
        <f t="shared" si="1"/>
        <v>88.363</v>
      </c>
      <c r="S7" s="6">
        <f t="shared" si="2"/>
        <v>2197.0448333333334</v>
      </c>
      <c r="T7" s="6">
        <f t="shared" si="26"/>
        <v>5174.9775</v>
      </c>
      <c r="U7" s="6">
        <f t="shared" si="3"/>
        <v>-723.99369999999999</v>
      </c>
      <c r="V7" s="6">
        <f t="shared" si="4"/>
        <v>2996.4168800000002</v>
      </c>
      <c r="W7">
        <f t="shared" si="49"/>
        <v>8314.8768</v>
      </c>
      <c r="X7" s="6">
        <f t="shared" si="5"/>
        <v>52.2</v>
      </c>
      <c r="Y7" s="6">
        <f t="shared" si="6"/>
        <v>282.53249999999997</v>
      </c>
      <c r="Z7" s="6">
        <f t="shared" si="7"/>
        <v>808.4475000000001</v>
      </c>
      <c r="AA7" s="6">
        <f t="shared" si="8"/>
        <v>282.53249999999997</v>
      </c>
      <c r="AB7" s="6">
        <f t="shared" si="9"/>
        <v>972.87750000000005</v>
      </c>
      <c r="AC7" s="6">
        <f t="shared" si="10"/>
        <v>354.96000000000004</v>
      </c>
      <c r="AD7" s="6">
        <f t="shared" si="27"/>
        <v>155.32560000000001</v>
      </c>
      <c r="AE7">
        <f t="shared" si="28"/>
        <v>20956.560913333335</v>
      </c>
      <c r="AF7" s="5">
        <f t="shared" si="11"/>
        <v>9.2196695572856679E-4</v>
      </c>
      <c r="AG7" s="11">
        <f t="shared" si="29"/>
        <v>4.2164838193360348E-3</v>
      </c>
      <c r="AH7" s="5">
        <f t="shared" si="12"/>
        <v>0.44862220820553167</v>
      </c>
      <c r="AI7" s="5">
        <f t="shared" si="13"/>
        <v>0.54716130797513229</v>
      </c>
      <c r="AJ7" s="5">
        <f t="shared" si="30"/>
        <v>1</v>
      </c>
      <c r="AK7" s="6">
        <f t="shared" si="14"/>
        <v>88.363</v>
      </c>
      <c r="AL7" s="6">
        <f t="shared" si="31"/>
        <v>2194.6716666666666</v>
      </c>
      <c r="AM7" s="6">
        <f t="shared" si="32"/>
        <v>5167.3108666666667</v>
      </c>
      <c r="AN7" s="6">
        <f t="shared" si="33"/>
        <v>-723.2116666666667</v>
      </c>
      <c r="AO7" s="6">
        <f t="shared" si="15"/>
        <v>2996.4168800000002</v>
      </c>
      <c r="AP7">
        <f t="shared" si="50"/>
        <v>8314.8768</v>
      </c>
      <c r="AQ7" s="6">
        <f t="shared" si="34"/>
        <v>52.122666666666667</v>
      </c>
      <c r="AR7" s="6">
        <f t="shared" si="35"/>
        <v>282.11393333333331</v>
      </c>
      <c r="AS7" s="6">
        <f t="shared" si="36"/>
        <v>807.24980000000005</v>
      </c>
      <c r="AT7" s="6">
        <f t="shared" si="37"/>
        <v>282.11393333333331</v>
      </c>
      <c r="AU7" s="6">
        <f t="shared" si="38"/>
        <v>971.4362000000001</v>
      </c>
      <c r="AV7" s="6">
        <f t="shared" si="39"/>
        <v>354.43413333333336</v>
      </c>
      <c r="AW7" s="6">
        <f t="shared" si="40"/>
        <v>155.32560000000001</v>
      </c>
      <c r="AX7">
        <f t="shared" si="41"/>
        <v>20943.223813333334</v>
      </c>
      <c r="AY7" s="6">
        <f t="shared" si="42"/>
        <v>13.337100000000646</v>
      </c>
      <c r="AZ7" s="6">
        <f t="shared" si="16"/>
        <v>88.363</v>
      </c>
      <c r="BA7" s="6">
        <f t="shared" si="17"/>
        <v>2197.0448333333334</v>
      </c>
      <c r="BB7" s="6">
        <f t="shared" si="43"/>
        <v>5174.9775</v>
      </c>
      <c r="BC7" s="6">
        <f t="shared" si="18"/>
        <v>-723.99369999999999</v>
      </c>
      <c r="BD7" s="6">
        <f t="shared" si="44"/>
        <v>2996.4104323333336</v>
      </c>
      <c r="BE7">
        <f t="shared" si="45"/>
        <v>8314.851639999999</v>
      </c>
      <c r="BF7" s="6">
        <f t="shared" si="19"/>
        <v>52.2</v>
      </c>
      <c r="BG7" s="6">
        <f t="shared" si="20"/>
        <v>282.53249999999997</v>
      </c>
      <c r="BH7" s="6">
        <f t="shared" si="21"/>
        <v>808.4475000000001</v>
      </c>
      <c r="BI7" s="6">
        <f t="shared" si="22"/>
        <v>282.53249999999997</v>
      </c>
      <c r="BJ7" s="6">
        <f t="shared" si="23"/>
        <v>972.87750000000005</v>
      </c>
      <c r="BK7" s="6">
        <f t="shared" si="24"/>
        <v>354.96000000000004</v>
      </c>
      <c r="BL7" s="6">
        <f t="shared" si="46"/>
        <v>155.32513</v>
      </c>
      <c r="BM7">
        <f t="shared" si="47"/>
        <v>20956.528835666664</v>
      </c>
      <c r="BN7" s="7">
        <f t="shared" si="48"/>
        <v>3.2077666670375038E-2</v>
      </c>
    </row>
    <row r="8" spans="2:66" x14ac:dyDescent="0.25">
      <c r="B8" t="s">
        <v>19</v>
      </c>
      <c r="C8">
        <v>2014</v>
      </c>
      <c r="D8">
        <v>2015</v>
      </c>
      <c r="E8" s="1">
        <v>41977</v>
      </c>
      <c r="F8" s="1">
        <v>42010</v>
      </c>
      <c r="G8" s="2">
        <v>391680</v>
      </c>
      <c r="H8" s="3">
        <v>24415.200000000001</v>
      </c>
      <c r="I8">
        <v>675</v>
      </c>
      <c r="J8">
        <v>751</v>
      </c>
      <c r="K8" t="s">
        <v>13</v>
      </c>
      <c r="L8" s="4">
        <v>11869.09</v>
      </c>
      <c r="M8" s="3">
        <v>739.85</v>
      </c>
      <c r="N8" s="13">
        <v>6.2300000000000001E-2</v>
      </c>
      <c r="O8">
        <v>65.849999999999994</v>
      </c>
      <c r="P8">
        <f t="shared" si="0"/>
        <v>33</v>
      </c>
      <c r="Q8" s="5">
        <f t="shared" si="25"/>
        <v>1.1000000000000001</v>
      </c>
      <c r="R8" s="6">
        <f t="shared" si="1"/>
        <v>100.551</v>
      </c>
      <c r="S8" s="6">
        <f t="shared" si="2"/>
        <v>2500.0855000000001</v>
      </c>
      <c r="T8" s="6">
        <f t="shared" si="26"/>
        <v>5888.7675000000008</v>
      </c>
      <c r="U8" s="6">
        <f t="shared" si="3"/>
        <v>-823.85490000000004</v>
      </c>
      <c r="V8" s="6">
        <f t="shared" si="4"/>
        <v>3858.7401600000003</v>
      </c>
      <c r="W8">
        <f t="shared" si="49"/>
        <v>9854.6687999999995</v>
      </c>
      <c r="X8" s="6">
        <f t="shared" si="5"/>
        <v>59.400000000000006</v>
      </c>
      <c r="Y8" s="6">
        <f t="shared" si="6"/>
        <v>321.5025</v>
      </c>
      <c r="Z8" s="6">
        <f t="shared" si="7"/>
        <v>919.9575000000001</v>
      </c>
      <c r="AA8" s="6">
        <f t="shared" si="8"/>
        <v>321.5025</v>
      </c>
      <c r="AB8" s="6">
        <f t="shared" si="9"/>
        <v>1107.0675000000001</v>
      </c>
      <c r="AC8" s="6">
        <f t="shared" si="10"/>
        <v>403.92000000000007</v>
      </c>
      <c r="AD8" s="6">
        <f t="shared" si="27"/>
        <v>184.08959999999999</v>
      </c>
      <c r="AE8">
        <f t="shared" si="28"/>
        <v>24696.397660000002</v>
      </c>
      <c r="AF8" s="5">
        <f t="shared" si="11"/>
        <v>1.1517319538648122E-2</v>
      </c>
      <c r="AG8" s="11">
        <f t="shared" si="29"/>
        <v>4.0714844887219876E-3</v>
      </c>
      <c r="AH8" s="5">
        <f t="shared" si="12"/>
        <v>0.43319468075005074</v>
      </c>
      <c r="AI8" s="5">
        <f t="shared" si="13"/>
        <v>0.56273383476122718</v>
      </c>
      <c r="AJ8" s="5">
        <f t="shared" si="30"/>
        <v>0.99999999999999989</v>
      </c>
      <c r="AK8" s="6">
        <f t="shared" si="14"/>
        <v>100.551</v>
      </c>
      <c r="AL8" s="6">
        <f t="shared" si="31"/>
        <v>2497.3850000000002</v>
      </c>
      <c r="AM8" s="6">
        <f t="shared" si="32"/>
        <v>5880.0434000000005</v>
      </c>
      <c r="AN8" s="6">
        <f t="shared" si="33"/>
        <v>-822.96500000000003</v>
      </c>
      <c r="AO8" s="6">
        <f t="shared" si="15"/>
        <v>3858.7401600000003</v>
      </c>
      <c r="AP8">
        <f t="shared" si="50"/>
        <v>9854.6687999999995</v>
      </c>
      <c r="AQ8" s="6">
        <f t="shared" si="34"/>
        <v>59.312000000000005</v>
      </c>
      <c r="AR8" s="6">
        <f t="shared" si="35"/>
        <v>321.02620000000002</v>
      </c>
      <c r="AS8" s="6">
        <f t="shared" si="36"/>
        <v>918.59460000000013</v>
      </c>
      <c r="AT8" s="6">
        <f t="shared" si="37"/>
        <v>321.02620000000002</v>
      </c>
      <c r="AU8" s="6">
        <f t="shared" si="38"/>
        <v>1105.4274000000003</v>
      </c>
      <c r="AV8" s="6">
        <f t="shared" si="39"/>
        <v>403.32160000000005</v>
      </c>
      <c r="AW8" s="6">
        <f t="shared" si="40"/>
        <v>184.08959999999999</v>
      </c>
      <c r="AX8">
        <f t="shared" si="41"/>
        <v>24681.220960000002</v>
      </c>
      <c r="AY8" s="6">
        <f t="shared" si="42"/>
        <v>15.176699999999983</v>
      </c>
      <c r="AZ8" s="6">
        <f t="shared" si="16"/>
        <v>100.551</v>
      </c>
      <c r="BA8" s="6">
        <f t="shared" si="17"/>
        <v>2500.0855000000001</v>
      </c>
      <c r="BB8" s="6">
        <f t="shared" si="43"/>
        <v>5888.7675000000008</v>
      </c>
      <c r="BC8" s="6">
        <f t="shared" si="18"/>
        <v>-823.85490000000004</v>
      </c>
      <c r="BD8" s="6">
        <f t="shared" si="44"/>
        <v>3858.7328230000007</v>
      </c>
      <c r="BE8">
        <f t="shared" si="45"/>
        <v>9854.6436400000002</v>
      </c>
      <c r="BF8" s="6">
        <f t="shared" si="19"/>
        <v>59.400000000000006</v>
      </c>
      <c r="BG8" s="6">
        <f t="shared" si="20"/>
        <v>321.5025</v>
      </c>
      <c r="BH8" s="6">
        <f t="shared" si="21"/>
        <v>919.9575000000001</v>
      </c>
      <c r="BI8" s="6">
        <f t="shared" si="22"/>
        <v>321.5025</v>
      </c>
      <c r="BJ8" s="6">
        <f t="shared" si="23"/>
        <v>1107.0675000000001</v>
      </c>
      <c r="BK8" s="6">
        <f t="shared" si="24"/>
        <v>403.92000000000007</v>
      </c>
      <c r="BL8" s="6">
        <f t="shared" si="46"/>
        <v>184.08912999999998</v>
      </c>
      <c r="BM8">
        <f t="shared" si="47"/>
        <v>24696.364693000003</v>
      </c>
      <c r="BN8" s="7">
        <f t="shared" si="48"/>
        <v>3.2966999999189284E-2</v>
      </c>
    </row>
    <row r="9" spans="2:66" x14ac:dyDescent="0.25">
      <c r="B9" t="s">
        <v>20</v>
      </c>
      <c r="C9">
        <v>2014</v>
      </c>
      <c r="D9">
        <v>2015</v>
      </c>
      <c r="E9" s="1">
        <v>41944</v>
      </c>
      <c r="F9" s="1">
        <v>41977</v>
      </c>
      <c r="G9" s="2">
        <v>401040</v>
      </c>
      <c r="H9" s="3">
        <v>24728</v>
      </c>
      <c r="I9">
        <v>675</v>
      </c>
      <c r="J9">
        <v>751</v>
      </c>
      <c r="K9" t="s">
        <v>13</v>
      </c>
      <c r="L9" s="4">
        <v>12152.73</v>
      </c>
      <c r="M9" s="3">
        <v>749.33</v>
      </c>
      <c r="N9" s="13">
        <v>6.1699999999999998E-2</v>
      </c>
      <c r="O9">
        <v>67.430000000000007</v>
      </c>
      <c r="P9">
        <f t="shared" si="0"/>
        <v>33</v>
      </c>
      <c r="Q9" s="5">
        <f t="shared" si="25"/>
        <v>1.1000000000000001</v>
      </c>
      <c r="R9" s="6">
        <f t="shared" si="1"/>
        <v>100.551</v>
      </c>
      <c r="S9" s="6">
        <f t="shared" si="2"/>
        <v>2500.0855000000001</v>
      </c>
      <c r="T9" s="6">
        <f t="shared" si="26"/>
        <v>5888.7675000000008</v>
      </c>
      <c r="U9" s="6">
        <f t="shared" si="3"/>
        <v>-823.85490000000004</v>
      </c>
      <c r="V9" s="6">
        <f t="shared" si="4"/>
        <v>3927.4144800000004</v>
      </c>
      <c r="W9">
        <f t="shared" si="49"/>
        <v>10090.1664</v>
      </c>
      <c r="X9" s="6">
        <f t="shared" si="5"/>
        <v>59.400000000000006</v>
      </c>
      <c r="Y9" s="6">
        <f t="shared" si="6"/>
        <v>321.5025</v>
      </c>
      <c r="Z9" s="6">
        <f t="shared" si="7"/>
        <v>919.9575000000001</v>
      </c>
      <c r="AA9" s="6">
        <f t="shared" si="8"/>
        <v>321.5025</v>
      </c>
      <c r="AB9" s="6">
        <f t="shared" si="9"/>
        <v>1107.0675000000001</v>
      </c>
      <c r="AC9" s="6">
        <f t="shared" si="10"/>
        <v>403.92000000000007</v>
      </c>
      <c r="AD9" s="6">
        <f t="shared" si="27"/>
        <v>188.4888</v>
      </c>
      <c r="AE9">
        <f t="shared" si="28"/>
        <v>25004.968779999996</v>
      </c>
      <c r="AF9" s="5">
        <f t="shared" si="11"/>
        <v>1.120061387900338E-2</v>
      </c>
      <c r="AG9" s="11">
        <f t="shared" si="29"/>
        <v>4.0212407735707644E-3</v>
      </c>
      <c r="AH9" s="5">
        <f t="shared" si="12"/>
        <v>0.42784888851998809</v>
      </c>
      <c r="AI9" s="5">
        <f t="shared" si="13"/>
        <v>0.56812987070644139</v>
      </c>
      <c r="AJ9" s="5">
        <f t="shared" si="30"/>
        <v>1.0000000000000002</v>
      </c>
      <c r="AK9" s="6">
        <f t="shared" si="14"/>
        <v>100.551</v>
      </c>
      <c r="AL9" s="6">
        <f t="shared" si="31"/>
        <v>2497.3850000000002</v>
      </c>
      <c r="AM9" s="6">
        <f t="shared" si="32"/>
        <v>5880.0434000000005</v>
      </c>
      <c r="AN9" s="6">
        <f t="shared" si="33"/>
        <v>-822.96500000000003</v>
      </c>
      <c r="AO9" s="6">
        <f t="shared" si="15"/>
        <v>3927.4144800000004</v>
      </c>
      <c r="AP9">
        <f t="shared" si="50"/>
        <v>10090.1664</v>
      </c>
      <c r="AQ9" s="6">
        <f t="shared" si="34"/>
        <v>59.312000000000005</v>
      </c>
      <c r="AR9" s="6">
        <f t="shared" si="35"/>
        <v>321.02620000000002</v>
      </c>
      <c r="AS9" s="6">
        <f t="shared" si="36"/>
        <v>918.59460000000013</v>
      </c>
      <c r="AT9" s="6">
        <f t="shared" si="37"/>
        <v>321.02620000000002</v>
      </c>
      <c r="AU9" s="6">
        <f t="shared" si="38"/>
        <v>1105.4274000000003</v>
      </c>
      <c r="AV9" s="6">
        <f t="shared" si="39"/>
        <v>403.32160000000005</v>
      </c>
      <c r="AW9" s="6">
        <f t="shared" si="40"/>
        <v>188.4888</v>
      </c>
      <c r="AX9">
        <f t="shared" si="41"/>
        <v>24989.792080000003</v>
      </c>
      <c r="AY9" s="6">
        <f t="shared" si="42"/>
        <v>15.176699999992707</v>
      </c>
      <c r="AZ9" s="6">
        <f t="shared" si="16"/>
        <v>100.551</v>
      </c>
      <c r="BA9" s="6">
        <f t="shared" si="17"/>
        <v>2500.0855000000001</v>
      </c>
      <c r="BB9" s="6">
        <f t="shared" si="43"/>
        <v>5888.7675000000008</v>
      </c>
      <c r="BC9" s="6">
        <f t="shared" si="18"/>
        <v>-823.85490000000004</v>
      </c>
      <c r="BD9" s="6">
        <f t="shared" si="44"/>
        <v>3927.4071430000004</v>
      </c>
      <c r="BE9">
        <f t="shared" si="45"/>
        <v>10090.141239999999</v>
      </c>
      <c r="BF9" s="6">
        <f t="shared" si="19"/>
        <v>59.400000000000006</v>
      </c>
      <c r="BG9" s="6">
        <f t="shared" si="20"/>
        <v>321.5025</v>
      </c>
      <c r="BH9" s="6">
        <f t="shared" si="21"/>
        <v>919.9575000000001</v>
      </c>
      <c r="BI9" s="6">
        <f t="shared" si="22"/>
        <v>321.5025</v>
      </c>
      <c r="BJ9" s="6">
        <f t="shared" si="23"/>
        <v>1107.0675000000001</v>
      </c>
      <c r="BK9" s="6">
        <f t="shared" si="24"/>
        <v>403.92000000000007</v>
      </c>
      <c r="BL9" s="6">
        <f t="shared" si="46"/>
        <v>188.48832999999999</v>
      </c>
      <c r="BM9">
        <f t="shared" si="47"/>
        <v>25004.935812999996</v>
      </c>
      <c r="BN9" s="7">
        <f t="shared" si="48"/>
        <v>3.2966999999189284E-2</v>
      </c>
    </row>
    <row r="10" spans="2:66" x14ac:dyDescent="0.25">
      <c r="B10" t="s">
        <v>21</v>
      </c>
      <c r="C10">
        <v>2014</v>
      </c>
      <c r="D10">
        <v>2015</v>
      </c>
      <c r="E10" s="1">
        <v>41915</v>
      </c>
      <c r="F10" s="1">
        <v>41944</v>
      </c>
      <c r="G10" s="2">
        <v>375120</v>
      </c>
      <c r="H10" s="3">
        <v>22979.81</v>
      </c>
      <c r="I10">
        <v>719</v>
      </c>
      <c r="J10">
        <v>751</v>
      </c>
      <c r="K10" t="s">
        <v>13</v>
      </c>
      <c r="L10" s="4">
        <v>12935.17</v>
      </c>
      <c r="M10" s="3">
        <v>792.41</v>
      </c>
      <c r="N10" s="13">
        <v>6.13E-2</v>
      </c>
      <c r="O10">
        <v>71.77</v>
      </c>
      <c r="P10">
        <f t="shared" si="0"/>
        <v>29</v>
      </c>
      <c r="Q10" s="5">
        <f t="shared" si="25"/>
        <v>0.96666666666666667</v>
      </c>
      <c r="R10" s="6">
        <f t="shared" si="1"/>
        <v>88.363</v>
      </c>
      <c r="S10" s="6">
        <f t="shared" si="2"/>
        <v>2197.0448333333334</v>
      </c>
      <c r="T10" s="6">
        <f t="shared" si="26"/>
        <v>5512.3093666666664</v>
      </c>
      <c r="U10" s="6">
        <f t="shared" si="3"/>
        <v>-723.99369999999999</v>
      </c>
      <c r="V10" s="6">
        <f t="shared" si="4"/>
        <v>3284.2407200000002</v>
      </c>
      <c r="W10">
        <f t="shared" ref="W10:W23" si="51">$G10*0.0267</f>
        <v>10015.704</v>
      </c>
      <c r="X10" s="6">
        <f t="shared" ref="X10:X25" si="52">$I10*0.057*$Q10</f>
        <v>39.616900000000001</v>
      </c>
      <c r="Y10" s="6">
        <f t="shared" ref="Y10:Y25" si="53">$I10*0.228*$Q10</f>
        <v>158.4676</v>
      </c>
      <c r="Z10" s="6">
        <f t="shared" ref="Z10:Z25" si="54">$I10*1.222*$Q10</f>
        <v>849.33073333333323</v>
      </c>
      <c r="AA10" s="6">
        <f t="shared" ref="AA10:AA25" si="55">$I10*0.363*$Q10</f>
        <v>252.29710000000003</v>
      </c>
      <c r="AB10" s="6">
        <f t="shared" ref="AB10:AB25" si="56">$I10*1.48*$Q10</f>
        <v>1028.6493333333333</v>
      </c>
      <c r="AC10" s="6">
        <f t="shared" ref="AC10:AC25" si="57">$I10*0.423*$Q10</f>
        <v>293.9991</v>
      </c>
      <c r="AD10" s="6">
        <f t="shared" ref="AD10:AD23" si="58">$G10*0.00044</f>
        <v>165.05280000000002</v>
      </c>
      <c r="AE10">
        <f t="shared" ref="AE10:AE23" si="59">SUM(R10:AD10)</f>
        <v>23161.081786666669</v>
      </c>
      <c r="AF10" s="5">
        <f t="shared" si="11"/>
        <v>7.8883065902924359E-3</v>
      </c>
      <c r="AG10" s="11">
        <f t="shared" si="29"/>
        <v>3.8151499491214896E-3</v>
      </c>
      <c r="AH10" s="5">
        <f t="shared" si="12"/>
        <v>0.41482178402381981</v>
      </c>
      <c r="AI10" s="5">
        <f t="shared" si="13"/>
        <v>0.58136306602705856</v>
      </c>
      <c r="AJ10" s="5">
        <f t="shared" si="30"/>
        <v>0.99999999999999978</v>
      </c>
      <c r="AK10" s="6">
        <f t="shared" si="14"/>
        <v>88.363</v>
      </c>
      <c r="AL10" s="6">
        <f t="shared" si="31"/>
        <v>2194.6716666666666</v>
      </c>
      <c r="AM10" s="6">
        <f t="shared" si="32"/>
        <v>5504.6427333333331</v>
      </c>
      <c r="AN10" s="6">
        <f t="shared" si="33"/>
        <v>-723.2116666666667</v>
      </c>
      <c r="AO10" s="6">
        <f t="shared" si="15"/>
        <v>3284.2407200000002</v>
      </c>
      <c r="AP10">
        <f t="shared" ref="AP10:AP23" si="60">$G10*0.0267</f>
        <v>10015.704</v>
      </c>
      <c r="AQ10" s="6">
        <f>($I10-1)*0.057*$Q10</f>
        <v>39.561800000000005</v>
      </c>
      <c r="AR10" s="6">
        <f>($I10-1)*0.228*$Q10</f>
        <v>158.24720000000002</v>
      </c>
      <c r="AS10" s="6">
        <f>($I10-1)*1.222*$Q10</f>
        <v>848.14946666666663</v>
      </c>
      <c r="AT10" s="6">
        <f>($I10-1)*0.363*$Q10</f>
        <v>251.9462</v>
      </c>
      <c r="AU10" s="6">
        <f>($I10-1)*1.48*$Q10</f>
        <v>1027.2186666666669</v>
      </c>
      <c r="AV10" s="6">
        <f>($I10-1)*0.423*$Q10</f>
        <v>293.59019999999998</v>
      </c>
      <c r="AW10" s="6">
        <f t="shared" ref="AW10:AW23" si="61">$G10*0.00044</f>
        <v>165.05280000000002</v>
      </c>
      <c r="AX10">
        <f t="shared" si="41"/>
        <v>23148.176786666663</v>
      </c>
      <c r="AY10" s="6">
        <f t="shared" si="42"/>
        <v>12.905000000006112</v>
      </c>
      <c r="AZ10" s="6">
        <f t="shared" si="16"/>
        <v>88.363</v>
      </c>
      <c r="BA10" s="6">
        <f t="shared" si="17"/>
        <v>2197.0448333333334</v>
      </c>
      <c r="BB10" s="6">
        <f t="shared" si="43"/>
        <v>5512.3093666666664</v>
      </c>
      <c r="BC10" s="6">
        <f t="shared" si="18"/>
        <v>-723.99369999999999</v>
      </c>
      <c r="BD10" s="6">
        <f t="shared" si="44"/>
        <v>3284.2342723333331</v>
      </c>
      <c r="BE10">
        <f>($G10-1)*0.0267</f>
        <v>10015.677300000001</v>
      </c>
      <c r="BF10" s="6">
        <f t="shared" ref="BF10:BF25" si="62">$I10*0.057*$Q10</f>
        <v>39.616900000000001</v>
      </c>
      <c r="BG10" s="6">
        <f t="shared" ref="BG10:BG25" si="63">$I10*0.228*$Q10</f>
        <v>158.4676</v>
      </c>
      <c r="BH10" s="6">
        <f t="shared" ref="BH10:BH25" si="64">$I10*1.222*$Q10</f>
        <v>849.33073333333323</v>
      </c>
      <c r="BI10" s="6">
        <f t="shared" ref="BI10:BI25" si="65">$I10*0.363*$Q10</f>
        <v>252.29710000000003</v>
      </c>
      <c r="BJ10" s="6">
        <f t="shared" ref="BJ10:BJ25" si="66">$I10*1.48*$Q10</f>
        <v>1028.6493333333333</v>
      </c>
      <c r="BK10" s="6">
        <f t="shared" ref="BK10:BK25" si="67">$I10*0.423*$Q10</f>
        <v>293.9991</v>
      </c>
      <c r="BL10" s="6">
        <f>($G10-1)*0.00044</f>
        <v>165.05235999999999</v>
      </c>
      <c r="BM10">
        <f t="shared" si="47"/>
        <v>23161.048199000001</v>
      </c>
      <c r="BN10" s="7">
        <f t="shared" si="48"/>
        <v>3.3587666668609018E-2</v>
      </c>
    </row>
    <row r="11" spans="2:66" x14ac:dyDescent="0.25">
      <c r="B11" t="s">
        <v>22</v>
      </c>
      <c r="C11">
        <v>2014</v>
      </c>
      <c r="D11">
        <v>2015</v>
      </c>
      <c r="E11" s="1">
        <v>41886</v>
      </c>
      <c r="F11" s="1">
        <v>41915</v>
      </c>
      <c r="G11" s="2">
        <v>409680</v>
      </c>
      <c r="H11" s="3">
        <v>24322.25</v>
      </c>
      <c r="I11">
        <v>738</v>
      </c>
      <c r="J11">
        <v>751</v>
      </c>
      <c r="K11" t="s">
        <v>13</v>
      </c>
      <c r="L11" s="4">
        <v>14126.9</v>
      </c>
      <c r="M11" s="3">
        <v>838.7</v>
      </c>
      <c r="N11" s="13">
        <v>5.9400000000000001E-2</v>
      </c>
      <c r="O11">
        <v>78.38</v>
      </c>
      <c r="P11">
        <f t="shared" si="0"/>
        <v>29</v>
      </c>
      <c r="Q11" s="5">
        <f t="shared" si="25"/>
        <v>0.96666666666666667</v>
      </c>
      <c r="R11" s="6">
        <f t="shared" si="1"/>
        <v>88.363</v>
      </c>
      <c r="S11" s="6">
        <f t="shared" si="2"/>
        <v>2197.0448333333334</v>
      </c>
      <c r="T11" s="6">
        <f t="shared" si="26"/>
        <v>5657.9754000000003</v>
      </c>
      <c r="U11" s="6">
        <f t="shared" si="3"/>
        <v>-723.99369999999999</v>
      </c>
      <c r="V11" s="6">
        <f t="shared" si="4"/>
        <v>3507.0720799999999</v>
      </c>
      <c r="W11">
        <f t="shared" si="51"/>
        <v>10938.456</v>
      </c>
      <c r="X11" s="6">
        <f t="shared" si="52"/>
        <v>40.663800000000002</v>
      </c>
      <c r="Y11" s="6">
        <f t="shared" si="53"/>
        <v>162.65520000000001</v>
      </c>
      <c r="Z11" s="6">
        <f t="shared" si="54"/>
        <v>871.77480000000003</v>
      </c>
      <c r="AA11" s="6">
        <f t="shared" si="55"/>
        <v>258.96420000000001</v>
      </c>
      <c r="AB11" s="6">
        <f t="shared" si="56"/>
        <v>1055.8320000000001</v>
      </c>
      <c r="AC11" s="6">
        <f t="shared" si="57"/>
        <v>301.76819999999998</v>
      </c>
      <c r="AD11" s="6">
        <f t="shared" si="58"/>
        <v>180.25919999999999</v>
      </c>
      <c r="AE11">
        <f t="shared" si="59"/>
        <v>24536.835013333326</v>
      </c>
      <c r="AF11" s="5">
        <f t="shared" si="11"/>
        <v>8.8225806960016469E-3</v>
      </c>
      <c r="AG11" s="11">
        <f t="shared" si="29"/>
        <v>3.6012387071104935E-3</v>
      </c>
      <c r="AH11" s="5">
        <f t="shared" si="12"/>
        <v>0.40032403233732811</v>
      </c>
      <c r="AI11" s="5">
        <f t="shared" si="13"/>
        <v>0.59607472895556179</v>
      </c>
      <c r="AJ11" s="5">
        <f t="shared" si="30"/>
        <v>1.0000000000000004</v>
      </c>
      <c r="AK11" s="6">
        <f t="shared" si="14"/>
        <v>88.363</v>
      </c>
      <c r="AL11" s="6">
        <f t="shared" si="31"/>
        <v>2194.6716666666666</v>
      </c>
      <c r="AM11" s="6">
        <f t="shared" si="32"/>
        <v>5650.308766666667</v>
      </c>
      <c r="AN11" s="6">
        <f t="shared" si="33"/>
        <v>-723.2116666666667</v>
      </c>
      <c r="AO11" s="6">
        <f t="shared" si="15"/>
        <v>3507.0720799999999</v>
      </c>
      <c r="AP11">
        <f t="shared" si="60"/>
        <v>10938.456</v>
      </c>
      <c r="AQ11" s="6">
        <f t="shared" ref="AQ11:AQ25" si="68">($I11-1)*0.057*$Q11</f>
        <v>40.608699999999999</v>
      </c>
      <c r="AR11" s="6">
        <f t="shared" ref="AR11:AR25" si="69">($I11-1)*0.228*$Q11</f>
        <v>162.4348</v>
      </c>
      <c r="AS11" s="6">
        <f t="shared" ref="AS11:AS25" si="70">($I11-1)*1.222*$Q11</f>
        <v>870.59353333333343</v>
      </c>
      <c r="AT11" s="6">
        <f t="shared" ref="AT11:AT25" si="71">($I11-1)*0.363*$Q11</f>
        <v>258.61329999999998</v>
      </c>
      <c r="AU11" s="6">
        <f t="shared" ref="AU11:AU25" si="72">($I11-1)*1.48*$Q11</f>
        <v>1054.4013333333332</v>
      </c>
      <c r="AV11" s="6">
        <f t="shared" ref="AV11:AV25" si="73">($I11-1)*0.423*$Q11</f>
        <v>301.35929999999996</v>
      </c>
      <c r="AW11" s="6">
        <f t="shared" si="61"/>
        <v>180.25919999999999</v>
      </c>
      <c r="AX11">
        <f t="shared" si="41"/>
        <v>24523.930013333335</v>
      </c>
      <c r="AY11" s="6">
        <f t="shared" si="42"/>
        <v>12.90499999999156</v>
      </c>
      <c r="AZ11" s="6">
        <f t="shared" si="16"/>
        <v>88.363</v>
      </c>
      <c r="BA11" s="6">
        <f t="shared" si="17"/>
        <v>2197.0448333333334</v>
      </c>
      <c r="BB11" s="6">
        <f t="shared" si="43"/>
        <v>5657.9754000000003</v>
      </c>
      <c r="BC11" s="6">
        <f t="shared" si="18"/>
        <v>-723.99369999999999</v>
      </c>
      <c r="BD11" s="6">
        <f t="shared" si="44"/>
        <v>3507.0656323333333</v>
      </c>
      <c r="BE11">
        <f t="shared" ref="BE11:BE25" si="74">($G11-1)*0.0267</f>
        <v>10938.4293</v>
      </c>
      <c r="BF11" s="6">
        <f t="shared" si="62"/>
        <v>40.663800000000002</v>
      </c>
      <c r="BG11" s="6">
        <f t="shared" si="63"/>
        <v>162.65520000000001</v>
      </c>
      <c r="BH11" s="6">
        <f t="shared" si="64"/>
        <v>871.77480000000003</v>
      </c>
      <c r="BI11" s="6">
        <f t="shared" si="65"/>
        <v>258.96420000000001</v>
      </c>
      <c r="BJ11" s="6">
        <f t="shared" si="66"/>
        <v>1055.8320000000001</v>
      </c>
      <c r="BK11" s="6">
        <f t="shared" si="67"/>
        <v>301.76819999999998</v>
      </c>
      <c r="BL11" s="6">
        <f t="shared" ref="BL11:BL61" si="75">($G11-1)*0.00044</f>
        <v>180.25876</v>
      </c>
      <c r="BM11">
        <f t="shared" si="47"/>
        <v>24536.801425666661</v>
      </c>
      <c r="BN11" s="7">
        <f t="shared" si="48"/>
        <v>3.3587666664971039E-2</v>
      </c>
    </row>
    <row r="12" spans="2:66" x14ac:dyDescent="0.25">
      <c r="B12" t="s">
        <v>23</v>
      </c>
      <c r="C12">
        <v>2014</v>
      </c>
      <c r="D12">
        <v>2015</v>
      </c>
      <c r="E12" s="1">
        <v>41856</v>
      </c>
      <c r="F12" s="1">
        <v>41886</v>
      </c>
      <c r="G12" s="2">
        <v>439920</v>
      </c>
      <c r="H12" s="3">
        <v>25719.69</v>
      </c>
      <c r="I12">
        <v>741</v>
      </c>
      <c r="J12">
        <v>751</v>
      </c>
      <c r="K12" t="s">
        <v>13</v>
      </c>
      <c r="L12" s="4">
        <v>14664</v>
      </c>
      <c r="M12" s="3">
        <v>857.32</v>
      </c>
      <c r="N12" s="13">
        <v>5.8500000000000003E-2</v>
      </c>
      <c r="O12">
        <v>81.36</v>
      </c>
      <c r="P12">
        <f t="shared" si="0"/>
        <v>30</v>
      </c>
      <c r="Q12" s="5">
        <f t="shared" si="25"/>
        <v>1</v>
      </c>
      <c r="R12" s="6">
        <f t="shared" si="1"/>
        <v>91.41</v>
      </c>
      <c r="S12" s="6">
        <f t="shared" si="2"/>
        <v>2272.8049999999998</v>
      </c>
      <c r="T12" s="6">
        <f t="shared" si="26"/>
        <v>5876.8710000000001</v>
      </c>
      <c r="U12" s="6">
        <f t="shared" si="3"/>
        <v>-748.95899999999995</v>
      </c>
      <c r="V12" s="6">
        <f t="shared" si="4"/>
        <v>3829.7064</v>
      </c>
      <c r="W12">
        <f t="shared" si="51"/>
        <v>11745.864000000001</v>
      </c>
      <c r="X12" s="6">
        <f t="shared" si="52"/>
        <v>42.237000000000002</v>
      </c>
      <c r="Y12" s="6">
        <f t="shared" si="53"/>
        <v>168.94800000000001</v>
      </c>
      <c r="Z12" s="6">
        <f t="shared" si="54"/>
        <v>905.50199999999995</v>
      </c>
      <c r="AA12" s="6">
        <f t="shared" si="55"/>
        <v>268.983</v>
      </c>
      <c r="AB12" s="6">
        <f t="shared" si="56"/>
        <v>1096.68</v>
      </c>
      <c r="AC12" s="6">
        <f t="shared" si="57"/>
        <v>313.44299999999998</v>
      </c>
      <c r="AD12" s="6">
        <f t="shared" si="58"/>
        <v>193.56480000000002</v>
      </c>
      <c r="AE12">
        <f t="shared" si="59"/>
        <v>26057.055200000003</v>
      </c>
      <c r="AF12" s="5">
        <f t="shared" si="11"/>
        <v>1.3117001021396598E-2</v>
      </c>
      <c r="AG12" s="11">
        <f t="shared" si="29"/>
        <v>3.5080710118002892E-3</v>
      </c>
      <c r="AH12" s="5">
        <f t="shared" si="12"/>
        <v>0.39131474841408781</v>
      </c>
      <c r="AI12" s="5">
        <f t="shared" si="13"/>
        <v>0.60517718057411185</v>
      </c>
      <c r="AJ12" s="5">
        <f t="shared" si="30"/>
        <v>1</v>
      </c>
      <c r="AK12" s="6">
        <f t="shared" si="14"/>
        <v>91.41</v>
      </c>
      <c r="AL12" s="6">
        <f t="shared" si="31"/>
        <v>2270.35</v>
      </c>
      <c r="AM12" s="6">
        <f t="shared" si="32"/>
        <v>5868.94</v>
      </c>
      <c r="AN12" s="6">
        <f t="shared" si="33"/>
        <v>-748.15</v>
      </c>
      <c r="AO12" s="6">
        <f t="shared" si="15"/>
        <v>3829.7064</v>
      </c>
      <c r="AP12">
        <f t="shared" si="60"/>
        <v>11745.864000000001</v>
      </c>
      <c r="AQ12" s="6">
        <f t="shared" si="68"/>
        <v>42.18</v>
      </c>
      <c r="AR12" s="6">
        <f t="shared" si="69"/>
        <v>168.72</v>
      </c>
      <c r="AS12" s="6">
        <f t="shared" si="70"/>
        <v>904.28</v>
      </c>
      <c r="AT12" s="6">
        <f t="shared" si="71"/>
        <v>268.62</v>
      </c>
      <c r="AU12" s="6">
        <f t="shared" si="72"/>
        <v>1095.2</v>
      </c>
      <c r="AV12" s="6">
        <f t="shared" si="73"/>
        <v>313.02</v>
      </c>
      <c r="AW12" s="6">
        <f t="shared" si="61"/>
        <v>193.56480000000002</v>
      </c>
      <c r="AX12">
        <f t="shared" si="41"/>
        <v>26043.7052</v>
      </c>
      <c r="AY12" s="6">
        <f t="shared" si="42"/>
        <v>13.350000000002183</v>
      </c>
      <c r="AZ12" s="6">
        <f t="shared" si="16"/>
        <v>91.41</v>
      </c>
      <c r="BA12" s="6">
        <f t="shared" si="17"/>
        <v>2272.8049999999998</v>
      </c>
      <c r="BB12" s="6">
        <f t="shared" si="43"/>
        <v>5876.8710000000001</v>
      </c>
      <c r="BC12" s="6">
        <f t="shared" si="18"/>
        <v>-748.95899999999995</v>
      </c>
      <c r="BD12" s="6">
        <f t="shared" si="44"/>
        <v>3829.6997300000003</v>
      </c>
      <c r="BE12">
        <f t="shared" si="74"/>
        <v>11745.837300000001</v>
      </c>
      <c r="BF12" s="6">
        <f t="shared" si="62"/>
        <v>42.237000000000002</v>
      </c>
      <c r="BG12" s="6">
        <f t="shared" si="63"/>
        <v>168.94800000000001</v>
      </c>
      <c r="BH12" s="6">
        <f t="shared" si="64"/>
        <v>905.50199999999995</v>
      </c>
      <c r="BI12" s="6">
        <f t="shared" si="65"/>
        <v>268.983</v>
      </c>
      <c r="BJ12" s="6">
        <f t="shared" si="66"/>
        <v>1096.68</v>
      </c>
      <c r="BK12" s="6">
        <f t="shared" si="67"/>
        <v>313.44299999999998</v>
      </c>
      <c r="BL12" s="6">
        <f t="shared" si="75"/>
        <v>193.56435999999999</v>
      </c>
      <c r="BM12">
        <f t="shared" si="47"/>
        <v>26057.021390000002</v>
      </c>
      <c r="BN12" s="7">
        <f t="shared" si="48"/>
        <v>3.3810000000812579E-2</v>
      </c>
    </row>
    <row r="13" spans="2:66" x14ac:dyDescent="0.25">
      <c r="B13" t="s">
        <v>24</v>
      </c>
      <c r="C13">
        <v>2014</v>
      </c>
      <c r="D13">
        <v>2015</v>
      </c>
      <c r="E13" s="1">
        <v>41827</v>
      </c>
      <c r="F13" s="1">
        <v>41856</v>
      </c>
      <c r="G13" s="2">
        <v>420480</v>
      </c>
      <c r="H13" s="3">
        <v>24898.51</v>
      </c>
      <c r="I13">
        <v>730</v>
      </c>
      <c r="J13">
        <v>755</v>
      </c>
      <c r="K13" t="s">
        <v>13</v>
      </c>
      <c r="L13" s="4">
        <v>14499.31</v>
      </c>
      <c r="M13" s="3">
        <v>858.57</v>
      </c>
      <c r="N13" s="13">
        <v>5.9200000000000003E-2</v>
      </c>
      <c r="O13">
        <v>80.02</v>
      </c>
      <c r="P13">
        <f t="shared" si="0"/>
        <v>29</v>
      </c>
      <c r="Q13" s="5">
        <f t="shared" si="25"/>
        <v>0.96666666666666667</v>
      </c>
      <c r="R13" s="6">
        <f t="shared" ref="R13:R44" si="76">78.5*$Q13</f>
        <v>75.88333333333334</v>
      </c>
      <c r="S13" s="6">
        <f t="shared" si="2"/>
        <v>2206.5374999999999</v>
      </c>
      <c r="T13" s="6">
        <f t="shared" si="26"/>
        <v>5596.6423333333332</v>
      </c>
      <c r="U13" s="6">
        <f t="shared" si="3"/>
        <v>-727.12183333333326</v>
      </c>
      <c r="V13" s="6">
        <f t="shared" si="4"/>
        <v>3576.7068800000002</v>
      </c>
      <c r="W13">
        <f t="shared" si="51"/>
        <v>11226.816000000001</v>
      </c>
      <c r="X13" s="6">
        <f t="shared" si="52"/>
        <v>40.222999999999999</v>
      </c>
      <c r="Y13" s="6">
        <f t="shared" si="53"/>
        <v>160.892</v>
      </c>
      <c r="Z13" s="6">
        <f t="shared" si="54"/>
        <v>862.32466666666664</v>
      </c>
      <c r="AA13" s="6">
        <f t="shared" si="55"/>
        <v>256.15700000000004</v>
      </c>
      <c r="AB13" s="6">
        <f t="shared" si="56"/>
        <v>1044.3866666666668</v>
      </c>
      <c r="AC13" s="6">
        <f t="shared" si="57"/>
        <v>298.49699999999996</v>
      </c>
      <c r="AD13" s="6">
        <f t="shared" si="58"/>
        <v>185.0112</v>
      </c>
      <c r="AE13">
        <f t="shared" si="59"/>
        <v>24802.955746666667</v>
      </c>
      <c r="AF13" s="5">
        <f t="shared" si="11"/>
        <v>3.8377498626757938E-3</v>
      </c>
      <c r="AG13" s="11">
        <f t="shared" si="29"/>
        <v>3.0594471928423891E-3</v>
      </c>
      <c r="AH13" s="5">
        <f t="shared" si="12"/>
        <v>0.39263620162053142</v>
      </c>
      <c r="AI13" s="5">
        <f t="shared" si="13"/>
        <v>0.60430435118662618</v>
      </c>
      <c r="AJ13" s="5">
        <f t="shared" si="30"/>
        <v>1</v>
      </c>
      <c r="AK13" s="6">
        <f t="shared" ref="AK13:AK44" si="77">78.5*$Q13</f>
        <v>75.88333333333334</v>
      </c>
      <c r="AL13" s="6">
        <f t="shared" si="31"/>
        <v>2204.1643333333336</v>
      </c>
      <c r="AM13" s="6">
        <f t="shared" si="32"/>
        <v>5588.9757</v>
      </c>
      <c r="AN13" s="6">
        <f t="shared" si="33"/>
        <v>-726.33979999999997</v>
      </c>
      <c r="AO13" s="6">
        <f t="shared" si="15"/>
        <v>3576.7068800000002</v>
      </c>
      <c r="AP13">
        <f t="shared" si="60"/>
        <v>11226.816000000001</v>
      </c>
      <c r="AQ13" s="6">
        <f t="shared" si="68"/>
        <v>40.167900000000003</v>
      </c>
      <c r="AR13" s="6">
        <f t="shared" si="69"/>
        <v>160.67160000000001</v>
      </c>
      <c r="AS13" s="6">
        <f t="shared" si="70"/>
        <v>861.14339999999993</v>
      </c>
      <c r="AT13" s="6">
        <f t="shared" si="71"/>
        <v>255.80610000000001</v>
      </c>
      <c r="AU13" s="6">
        <f t="shared" si="72"/>
        <v>1042.9560000000001</v>
      </c>
      <c r="AV13" s="6">
        <f t="shared" si="73"/>
        <v>298.0881</v>
      </c>
      <c r="AW13" s="6">
        <f t="shared" si="61"/>
        <v>185.0112</v>
      </c>
      <c r="AX13">
        <f t="shared" si="41"/>
        <v>24790.050746666675</v>
      </c>
      <c r="AY13" s="6">
        <f t="shared" si="42"/>
        <v>12.90499999999156</v>
      </c>
      <c r="AZ13" s="6">
        <f t="shared" ref="AZ13:AZ44" si="78">78.5*$Q13</f>
        <v>75.88333333333334</v>
      </c>
      <c r="BA13" s="6">
        <f t="shared" si="17"/>
        <v>2206.5374999999999</v>
      </c>
      <c r="BB13" s="6">
        <f t="shared" si="43"/>
        <v>5596.6423333333332</v>
      </c>
      <c r="BC13" s="6">
        <f t="shared" si="18"/>
        <v>-727.12183333333326</v>
      </c>
      <c r="BD13" s="6">
        <f t="shared" si="44"/>
        <v>3576.7004323333331</v>
      </c>
      <c r="BE13">
        <f t="shared" si="74"/>
        <v>11226.7893</v>
      </c>
      <c r="BF13" s="6">
        <f t="shared" si="62"/>
        <v>40.222999999999999</v>
      </c>
      <c r="BG13" s="6">
        <f t="shared" si="63"/>
        <v>160.892</v>
      </c>
      <c r="BH13" s="6">
        <f t="shared" si="64"/>
        <v>862.32466666666664</v>
      </c>
      <c r="BI13" s="6">
        <f t="shared" si="65"/>
        <v>256.15700000000004</v>
      </c>
      <c r="BJ13" s="6">
        <f t="shared" si="66"/>
        <v>1044.3866666666668</v>
      </c>
      <c r="BK13" s="6">
        <f t="shared" si="67"/>
        <v>298.49699999999996</v>
      </c>
      <c r="BL13" s="6">
        <f t="shared" si="75"/>
        <v>185.01076</v>
      </c>
      <c r="BM13">
        <f t="shared" si="47"/>
        <v>24802.922159000002</v>
      </c>
      <c r="BN13" s="7">
        <f t="shared" si="48"/>
        <v>3.3587666664971039E-2</v>
      </c>
    </row>
    <row r="14" spans="2:66" x14ac:dyDescent="0.25">
      <c r="B14" t="s">
        <v>12</v>
      </c>
      <c r="C14">
        <v>2014</v>
      </c>
      <c r="D14">
        <v>2014</v>
      </c>
      <c r="E14" s="1">
        <v>41795</v>
      </c>
      <c r="F14" s="1">
        <v>41827</v>
      </c>
      <c r="G14" s="2">
        <v>475200</v>
      </c>
      <c r="H14" s="3">
        <v>28189.55</v>
      </c>
      <c r="I14">
        <v>751</v>
      </c>
      <c r="J14">
        <v>755</v>
      </c>
      <c r="K14" t="s">
        <v>13</v>
      </c>
      <c r="L14" s="4">
        <v>14850</v>
      </c>
      <c r="M14" s="3">
        <v>880.92</v>
      </c>
      <c r="N14" s="13">
        <v>5.9299999999999999E-2</v>
      </c>
      <c r="O14">
        <v>81.95</v>
      </c>
      <c r="P14">
        <f t="shared" si="0"/>
        <v>32</v>
      </c>
      <c r="Q14" s="5">
        <f t="shared" si="25"/>
        <v>1.0666666666666667</v>
      </c>
      <c r="R14" s="6">
        <f t="shared" si="76"/>
        <v>83.733333333333334</v>
      </c>
      <c r="S14" s="6">
        <f t="shared" si="2"/>
        <v>2434.8000000000002</v>
      </c>
      <c r="T14" s="6">
        <f t="shared" si="26"/>
        <v>6353.2597333333324</v>
      </c>
      <c r="U14" s="6">
        <f t="shared" si="3"/>
        <v>-802.3413333333333</v>
      </c>
      <c r="V14" s="6">
        <f t="shared" si="4"/>
        <v>4336.0255999999999</v>
      </c>
      <c r="W14">
        <f t="shared" si="51"/>
        <v>12687.84</v>
      </c>
      <c r="X14" s="6">
        <f t="shared" si="52"/>
        <v>45.660800000000002</v>
      </c>
      <c r="Y14" s="6">
        <f t="shared" si="53"/>
        <v>182.64320000000001</v>
      </c>
      <c r="Z14" s="6">
        <f t="shared" si="54"/>
        <v>978.90346666666665</v>
      </c>
      <c r="AA14" s="6">
        <f t="shared" si="55"/>
        <v>290.78719999999998</v>
      </c>
      <c r="AB14" s="6">
        <f t="shared" si="56"/>
        <v>1185.5786666666668</v>
      </c>
      <c r="AC14" s="6">
        <f t="shared" si="57"/>
        <v>338.85120000000001</v>
      </c>
      <c r="AD14" s="6">
        <f t="shared" si="58"/>
        <v>209.08799999999999</v>
      </c>
      <c r="AE14">
        <f t="shared" si="59"/>
        <v>28324.829866666667</v>
      </c>
      <c r="AF14" s="5">
        <f t="shared" si="11"/>
        <v>4.7989367218230746E-3</v>
      </c>
      <c r="AG14" s="11">
        <f t="shared" si="29"/>
        <v>2.956181333744663E-3</v>
      </c>
      <c r="AH14" s="5">
        <f t="shared" si="12"/>
        <v>0.38863933111520554</v>
      </c>
      <c r="AI14" s="5">
        <f t="shared" si="13"/>
        <v>0.6084044875510497</v>
      </c>
      <c r="AJ14" s="5">
        <f t="shared" si="30"/>
        <v>0.99999999999999989</v>
      </c>
      <c r="AK14" s="6">
        <f t="shared" si="77"/>
        <v>83.733333333333334</v>
      </c>
      <c r="AL14" s="6">
        <f t="shared" si="31"/>
        <v>2432.1813333333334</v>
      </c>
      <c r="AM14" s="6">
        <f t="shared" si="32"/>
        <v>6344.8</v>
      </c>
      <c r="AN14" s="6">
        <f t="shared" si="33"/>
        <v>-801.47839999999997</v>
      </c>
      <c r="AO14" s="6">
        <f t="shared" si="15"/>
        <v>4336.0255999999999</v>
      </c>
      <c r="AP14">
        <f t="shared" si="60"/>
        <v>12687.84</v>
      </c>
      <c r="AQ14" s="6">
        <f t="shared" si="68"/>
        <v>45.6</v>
      </c>
      <c r="AR14" s="6">
        <f t="shared" si="69"/>
        <v>182.4</v>
      </c>
      <c r="AS14" s="6">
        <f t="shared" si="70"/>
        <v>977.6</v>
      </c>
      <c r="AT14" s="6">
        <f t="shared" si="71"/>
        <v>290.39999999999998</v>
      </c>
      <c r="AU14" s="6">
        <f t="shared" si="72"/>
        <v>1184</v>
      </c>
      <c r="AV14" s="6">
        <f t="shared" si="73"/>
        <v>338.4</v>
      </c>
      <c r="AW14" s="6">
        <f t="shared" si="61"/>
        <v>209.08799999999999</v>
      </c>
      <c r="AX14">
        <f t="shared" si="41"/>
        <v>28310.589866666669</v>
      </c>
      <c r="AY14" s="6">
        <f t="shared" si="42"/>
        <v>14.239999999997963</v>
      </c>
      <c r="AZ14" s="6">
        <f t="shared" si="78"/>
        <v>83.733333333333334</v>
      </c>
      <c r="BA14" s="6">
        <f t="shared" si="17"/>
        <v>2434.8000000000002</v>
      </c>
      <c r="BB14" s="6">
        <f t="shared" si="43"/>
        <v>6353.2597333333324</v>
      </c>
      <c r="BC14" s="6">
        <f t="shared" si="18"/>
        <v>-802.3413333333333</v>
      </c>
      <c r="BD14" s="6">
        <f t="shared" si="44"/>
        <v>4336.018485333333</v>
      </c>
      <c r="BE14">
        <f t="shared" si="74"/>
        <v>12687.813300000002</v>
      </c>
      <c r="BF14" s="6">
        <f t="shared" si="62"/>
        <v>45.660800000000002</v>
      </c>
      <c r="BG14" s="6">
        <f t="shared" si="63"/>
        <v>182.64320000000001</v>
      </c>
      <c r="BH14" s="6">
        <f t="shared" si="64"/>
        <v>978.90346666666665</v>
      </c>
      <c r="BI14" s="6">
        <f t="shared" si="65"/>
        <v>290.78719999999998</v>
      </c>
      <c r="BJ14" s="6">
        <f t="shared" si="66"/>
        <v>1185.5786666666668</v>
      </c>
      <c r="BK14" s="6">
        <f t="shared" si="67"/>
        <v>338.85120000000001</v>
      </c>
      <c r="BL14" s="6">
        <f t="shared" si="75"/>
        <v>209.08756</v>
      </c>
      <c r="BM14">
        <f t="shared" si="47"/>
        <v>28324.795612000002</v>
      </c>
      <c r="BN14" s="7">
        <f t="shared" si="48"/>
        <v>3.4254666665219702E-2</v>
      </c>
    </row>
    <row r="15" spans="2:66" x14ac:dyDescent="0.25">
      <c r="B15" t="s">
        <v>14</v>
      </c>
      <c r="C15">
        <v>2014</v>
      </c>
      <c r="D15">
        <v>2014</v>
      </c>
      <c r="E15" s="1">
        <v>41765</v>
      </c>
      <c r="F15" s="1">
        <v>41795</v>
      </c>
      <c r="G15" s="2">
        <v>432000</v>
      </c>
      <c r="H15" s="3">
        <v>25512.66</v>
      </c>
      <c r="I15">
        <v>712</v>
      </c>
      <c r="J15">
        <v>755</v>
      </c>
      <c r="K15" t="s">
        <v>13</v>
      </c>
      <c r="L15" s="4">
        <v>14400</v>
      </c>
      <c r="M15" s="3">
        <v>850.42</v>
      </c>
      <c r="N15" s="13">
        <v>5.91E-2</v>
      </c>
      <c r="O15">
        <v>79.47</v>
      </c>
      <c r="P15">
        <f t="shared" si="0"/>
        <v>30</v>
      </c>
      <c r="Q15" s="5">
        <f t="shared" si="25"/>
        <v>1</v>
      </c>
      <c r="R15" s="6">
        <f t="shared" si="76"/>
        <v>78.5</v>
      </c>
      <c r="S15" s="6">
        <f t="shared" si="2"/>
        <v>2282.625</v>
      </c>
      <c r="T15" s="6">
        <f t="shared" si="26"/>
        <v>5646.8720000000003</v>
      </c>
      <c r="U15" s="6">
        <f t="shared" si="3"/>
        <v>-752.19499999999994</v>
      </c>
      <c r="V15" s="6">
        <f t="shared" si="4"/>
        <v>3776.88</v>
      </c>
      <c r="W15">
        <f t="shared" si="51"/>
        <v>11534.400000000001</v>
      </c>
      <c r="X15" s="6">
        <f t="shared" si="52"/>
        <v>40.584000000000003</v>
      </c>
      <c r="Y15" s="6">
        <f t="shared" si="53"/>
        <v>162.33600000000001</v>
      </c>
      <c r="Z15" s="6">
        <f t="shared" si="54"/>
        <v>870.06399999999996</v>
      </c>
      <c r="AA15" s="6">
        <f t="shared" si="55"/>
        <v>258.45600000000002</v>
      </c>
      <c r="AB15" s="6">
        <f t="shared" si="56"/>
        <v>1053.76</v>
      </c>
      <c r="AC15" s="6">
        <f t="shared" si="57"/>
        <v>301.17599999999999</v>
      </c>
      <c r="AD15" s="6">
        <f t="shared" si="58"/>
        <v>190.08</v>
      </c>
      <c r="AE15">
        <f t="shared" si="59"/>
        <v>25443.537999999997</v>
      </c>
      <c r="AF15" s="5">
        <f t="shared" si="11"/>
        <v>2.7093215681941057E-3</v>
      </c>
      <c r="AG15" s="11">
        <f t="shared" si="29"/>
        <v>3.0852627492292937E-3</v>
      </c>
      <c r="AH15" s="5">
        <f t="shared" si="12"/>
        <v>0.38766927775531851</v>
      </c>
      <c r="AI15" s="5">
        <f t="shared" si="13"/>
        <v>0.60924545949545239</v>
      </c>
      <c r="AJ15" s="5">
        <f t="shared" si="30"/>
        <v>1.0000000000000002</v>
      </c>
      <c r="AK15" s="6">
        <f t="shared" si="77"/>
        <v>78.5</v>
      </c>
      <c r="AL15" s="6">
        <f t="shared" si="31"/>
        <v>2280.17</v>
      </c>
      <c r="AM15" s="6">
        <f t="shared" si="32"/>
        <v>5638.9409999999998</v>
      </c>
      <c r="AN15" s="6">
        <f t="shared" si="33"/>
        <v>-751.38599999999997</v>
      </c>
      <c r="AO15" s="6">
        <f t="shared" si="15"/>
        <v>3776.88</v>
      </c>
      <c r="AP15">
        <f t="shared" si="60"/>
        <v>11534.400000000001</v>
      </c>
      <c r="AQ15" s="6">
        <f t="shared" si="68"/>
        <v>40.527000000000001</v>
      </c>
      <c r="AR15" s="6">
        <f t="shared" si="69"/>
        <v>162.108</v>
      </c>
      <c r="AS15" s="6">
        <f t="shared" si="70"/>
        <v>868.84199999999998</v>
      </c>
      <c r="AT15" s="6">
        <f t="shared" si="71"/>
        <v>258.09300000000002</v>
      </c>
      <c r="AU15" s="6">
        <f t="shared" si="72"/>
        <v>1052.28</v>
      </c>
      <c r="AV15" s="6">
        <f t="shared" si="73"/>
        <v>300.75299999999999</v>
      </c>
      <c r="AW15" s="6">
        <f t="shared" si="61"/>
        <v>190.08</v>
      </c>
      <c r="AX15">
        <f t="shared" si="41"/>
        <v>25430.188000000002</v>
      </c>
      <c r="AY15" s="6">
        <f t="shared" si="42"/>
        <v>13.349999999994907</v>
      </c>
      <c r="AZ15" s="6">
        <f t="shared" si="78"/>
        <v>78.5</v>
      </c>
      <c r="BA15" s="6">
        <f t="shared" si="17"/>
        <v>2282.625</v>
      </c>
      <c r="BB15" s="6">
        <f t="shared" si="43"/>
        <v>5646.8720000000003</v>
      </c>
      <c r="BC15" s="6">
        <f t="shared" si="18"/>
        <v>-752.19499999999994</v>
      </c>
      <c r="BD15" s="6">
        <f t="shared" si="44"/>
        <v>3776.8733300000004</v>
      </c>
      <c r="BE15">
        <f t="shared" si="74"/>
        <v>11534.373300000001</v>
      </c>
      <c r="BF15" s="6">
        <f t="shared" si="62"/>
        <v>40.584000000000003</v>
      </c>
      <c r="BG15" s="6">
        <f t="shared" si="63"/>
        <v>162.33600000000001</v>
      </c>
      <c r="BH15" s="6">
        <f t="shared" si="64"/>
        <v>870.06399999999996</v>
      </c>
      <c r="BI15" s="6">
        <f t="shared" si="65"/>
        <v>258.45600000000002</v>
      </c>
      <c r="BJ15" s="6">
        <f t="shared" si="66"/>
        <v>1053.76</v>
      </c>
      <c r="BK15" s="6">
        <f t="shared" si="67"/>
        <v>301.17599999999999</v>
      </c>
      <c r="BL15" s="6">
        <f t="shared" si="75"/>
        <v>190.07956000000001</v>
      </c>
      <c r="BM15">
        <f t="shared" si="47"/>
        <v>25443.504189999996</v>
      </c>
      <c r="BN15" s="7">
        <f t="shared" si="48"/>
        <v>3.3810000000812579E-2</v>
      </c>
    </row>
    <row r="16" spans="2:66" x14ac:dyDescent="0.25">
      <c r="B16" t="s">
        <v>15</v>
      </c>
      <c r="C16">
        <v>2014</v>
      </c>
      <c r="D16">
        <v>2014</v>
      </c>
      <c r="E16" s="1">
        <v>41733</v>
      </c>
      <c r="F16" s="1">
        <v>41765</v>
      </c>
      <c r="G16" s="2">
        <v>385200</v>
      </c>
      <c r="H16" s="3">
        <v>24233.37</v>
      </c>
      <c r="I16">
        <v>679</v>
      </c>
      <c r="J16">
        <v>755</v>
      </c>
      <c r="K16" t="s">
        <v>13</v>
      </c>
      <c r="L16" s="4">
        <v>12037.5</v>
      </c>
      <c r="M16" s="3">
        <v>757.29</v>
      </c>
      <c r="N16" s="13">
        <v>6.2899999999999998E-2</v>
      </c>
      <c r="O16">
        <v>66.430000000000007</v>
      </c>
      <c r="P16">
        <f t="shared" si="0"/>
        <v>32</v>
      </c>
      <c r="Q16" s="5">
        <f t="shared" si="25"/>
        <v>1.0666666666666667</v>
      </c>
      <c r="R16" s="6">
        <f t="shared" si="76"/>
        <v>83.733333333333334</v>
      </c>
      <c r="S16" s="6">
        <f t="shared" si="2"/>
        <v>2434.8000000000002</v>
      </c>
      <c r="T16" s="6">
        <f t="shared" si="26"/>
        <v>5744.1589333333341</v>
      </c>
      <c r="U16" s="6">
        <f t="shared" si="3"/>
        <v>-802.3413333333333</v>
      </c>
      <c r="V16" s="6">
        <f t="shared" si="4"/>
        <v>3695.7056000000002</v>
      </c>
      <c r="W16">
        <f t="shared" si="51"/>
        <v>10284.84</v>
      </c>
      <c r="X16" s="6">
        <f t="shared" si="52"/>
        <v>41.283200000000001</v>
      </c>
      <c r="Y16" s="6">
        <f t="shared" si="53"/>
        <v>165.1328</v>
      </c>
      <c r="Z16" s="6">
        <f t="shared" si="54"/>
        <v>885.05386666666664</v>
      </c>
      <c r="AA16" s="6">
        <f t="shared" si="55"/>
        <v>262.90879999999999</v>
      </c>
      <c r="AB16" s="6">
        <f t="shared" si="56"/>
        <v>1071.9146666666666</v>
      </c>
      <c r="AC16" s="6">
        <f t="shared" si="57"/>
        <v>306.3648</v>
      </c>
      <c r="AD16" s="6">
        <f t="shared" si="58"/>
        <v>169.488</v>
      </c>
      <c r="AE16">
        <f t="shared" si="59"/>
        <v>24343.042666666668</v>
      </c>
      <c r="AF16" s="5">
        <f t="shared" si="11"/>
        <v>4.5256877878177533E-3</v>
      </c>
      <c r="AG16" s="11">
        <f t="shared" si="29"/>
        <v>3.439723393657391E-3</v>
      </c>
      <c r="AH16" s="5">
        <f t="shared" si="12"/>
        <v>0.41528398367292563</v>
      </c>
      <c r="AI16" s="5">
        <f t="shared" si="13"/>
        <v>0.58127629293341687</v>
      </c>
      <c r="AJ16" s="5">
        <f t="shared" si="30"/>
        <v>0.99999999999999989</v>
      </c>
      <c r="AK16" s="6">
        <f t="shared" si="77"/>
        <v>83.733333333333334</v>
      </c>
      <c r="AL16" s="6">
        <f t="shared" si="31"/>
        <v>2432.1813333333334</v>
      </c>
      <c r="AM16" s="6">
        <f t="shared" si="32"/>
        <v>5735.6992</v>
      </c>
      <c r="AN16" s="6">
        <f t="shared" si="33"/>
        <v>-801.47839999999997</v>
      </c>
      <c r="AO16" s="6">
        <f t="shared" si="15"/>
        <v>3695.7056000000002</v>
      </c>
      <c r="AP16">
        <f t="shared" si="60"/>
        <v>10284.84</v>
      </c>
      <c r="AQ16" s="6">
        <f t="shared" si="68"/>
        <v>41.2224</v>
      </c>
      <c r="AR16" s="6">
        <f t="shared" si="69"/>
        <v>164.8896</v>
      </c>
      <c r="AS16" s="6">
        <f t="shared" si="70"/>
        <v>883.7503999999999</v>
      </c>
      <c r="AT16" s="6">
        <f t="shared" si="71"/>
        <v>262.52159999999998</v>
      </c>
      <c r="AU16" s="6">
        <f t="shared" si="72"/>
        <v>1070.336</v>
      </c>
      <c r="AV16" s="6">
        <f t="shared" si="73"/>
        <v>305.91359999999997</v>
      </c>
      <c r="AW16" s="6">
        <f t="shared" si="61"/>
        <v>169.488</v>
      </c>
      <c r="AX16">
        <f t="shared" si="41"/>
        <v>24328.802666666666</v>
      </c>
      <c r="AY16" s="6">
        <f t="shared" si="42"/>
        <v>14.240000000001601</v>
      </c>
      <c r="AZ16" s="6">
        <f t="shared" si="78"/>
        <v>83.733333333333334</v>
      </c>
      <c r="BA16" s="6">
        <f t="shared" si="17"/>
        <v>2434.8000000000002</v>
      </c>
      <c r="BB16" s="6">
        <f t="shared" si="43"/>
        <v>5744.1589333333341</v>
      </c>
      <c r="BC16" s="6">
        <f t="shared" si="18"/>
        <v>-802.3413333333333</v>
      </c>
      <c r="BD16" s="6">
        <f t="shared" si="44"/>
        <v>3695.6984853333333</v>
      </c>
      <c r="BE16">
        <f t="shared" si="74"/>
        <v>10284.8133</v>
      </c>
      <c r="BF16" s="6">
        <f t="shared" si="62"/>
        <v>41.283200000000001</v>
      </c>
      <c r="BG16" s="6">
        <f t="shared" si="63"/>
        <v>165.1328</v>
      </c>
      <c r="BH16" s="6">
        <f t="shared" si="64"/>
        <v>885.05386666666664</v>
      </c>
      <c r="BI16" s="6">
        <f t="shared" si="65"/>
        <v>262.90879999999999</v>
      </c>
      <c r="BJ16" s="6">
        <f t="shared" si="66"/>
        <v>1071.9146666666666</v>
      </c>
      <c r="BK16" s="6">
        <f t="shared" si="67"/>
        <v>306.3648</v>
      </c>
      <c r="BL16" s="6">
        <f t="shared" si="75"/>
        <v>169.48756</v>
      </c>
      <c r="BM16">
        <f t="shared" si="47"/>
        <v>24343.008411999999</v>
      </c>
      <c r="BN16" s="7">
        <f t="shared" si="48"/>
        <v>3.4254666668857681E-2</v>
      </c>
    </row>
    <row r="17" spans="2:66" x14ac:dyDescent="0.25">
      <c r="B17" t="s">
        <v>16</v>
      </c>
      <c r="C17">
        <v>2014</v>
      </c>
      <c r="D17">
        <v>2014</v>
      </c>
      <c r="E17" s="1">
        <v>41703</v>
      </c>
      <c r="F17" s="1">
        <v>41733</v>
      </c>
      <c r="G17" s="2">
        <v>341280</v>
      </c>
      <c r="H17" s="3">
        <v>22044.68</v>
      </c>
      <c r="I17">
        <v>679</v>
      </c>
      <c r="J17">
        <v>755</v>
      </c>
      <c r="K17" t="s">
        <v>13</v>
      </c>
      <c r="L17" s="4">
        <v>11376</v>
      </c>
      <c r="M17" s="3">
        <v>734.82</v>
      </c>
      <c r="N17" s="13">
        <v>6.4600000000000005E-2</v>
      </c>
      <c r="O17">
        <v>62.78</v>
      </c>
      <c r="P17">
        <f t="shared" si="0"/>
        <v>30</v>
      </c>
      <c r="Q17" s="5">
        <f t="shared" si="25"/>
        <v>1</v>
      </c>
      <c r="R17" s="6">
        <f t="shared" si="76"/>
        <v>78.5</v>
      </c>
      <c r="S17" s="6">
        <f t="shared" si="2"/>
        <v>2282.625</v>
      </c>
      <c r="T17" s="6">
        <f t="shared" si="26"/>
        <v>5385.1490000000003</v>
      </c>
      <c r="U17" s="6">
        <f t="shared" si="3"/>
        <v>-752.19499999999994</v>
      </c>
      <c r="V17" s="6">
        <f t="shared" si="4"/>
        <v>3171.7775999999999</v>
      </c>
      <c r="W17">
        <f t="shared" si="51"/>
        <v>9112.1760000000013</v>
      </c>
      <c r="X17" s="6">
        <f t="shared" si="52"/>
        <v>38.703000000000003</v>
      </c>
      <c r="Y17" s="6">
        <f t="shared" si="53"/>
        <v>154.81200000000001</v>
      </c>
      <c r="Z17" s="6">
        <f t="shared" si="54"/>
        <v>829.73799999999994</v>
      </c>
      <c r="AA17" s="6">
        <f t="shared" si="55"/>
        <v>246.477</v>
      </c>
      <c r="AB17" s="6">
        <f t="shared" si="56"/>
        <v>1004.92</v>
      </c>
      <c r="AC17" s="6">
        <f t="shared" si="57"/>
        <v>287.21699999999998</v>
      </c>
      <c r="AD17" s="6">
        <f t="shared" si="58"/>
        <v>150.16320000000002</v>
      </c>
      <c r="AE17">
        <f t="shared" si="59"/>
        <v>21990.062800000003</v>
      </c>
      <c r="AF17" s="5">
        <f t="shared" si="11"/>
        <v>2.4775682840484396E-3</v>
      </c>
      <c r="AG17" s="11">
        <f t="shared" si="29"/>
        <v>3.5697942617971962E-3</v>
      </c>
      <c r="AH17" s="5">
        <f t="shared" si="12"/>
        <v>0.43098767321392101</v>
      </c>
      <c r="AI17" s="5">
        <f t="shared" si="13"/>
        <v>0.56544253252428178</v>
      </c>
      <c r="AJ17" s="5">
        <f t="shared" si="30"/>
        <v>1</v>
      </c>
      <c r="AK17" s="6">
        <f t="shared" si="77"/>
        <v>78.5</v>
      </c>
      <c r="AL17" s="6">
        <f t="shared" si="31"/>
        <v>2280.17</v>
      </c>
      <c r="AM17" s="6">
        <f t="shared" si="32"/>
        <v>5377.2179999999998</v>
      </c>
      <c r="AN17" s="6">
        <f t="shared" si="33"/>
        <v>-751.38599999999997</v>
      </c>
      <c r="AO17" s="6">
        <f t="shared" si="15"/>
        <v>3171.7775999999999</v>
      </c>
      <c r="AP17">
        <f t="shared" si="60"/>
        <v>9112.1760000000013</v>
      </c>
      <c r="AQ17" s="6">
        <f t="shared" si="68"/>
        <v>38.646000000000001</v>
      </c>
      <c r="AR17" s="6">
        <f t="shared" si="69"/>
        <v>154.584</v>
      </c>
      <c r="AS17" s="6">
        <f t="shared" si="70"/>
        <v>828.51599999999996</v>
      </c>
      <c r="AT17" s="6">
        <f t="shared" si="71"/>
        <v>246.114</v>
      </c>
      <c r="AU17" s="6">
        <f t="shared" si="72"/>
        <v>1003.4399999999999</v>
      </c>
      <c r="AV17" s="6">
        <f t="shared" si="73"/>
        <v>286.79399999999998</v>
      </c>
      <c r="AW17" s="6">
        <f t="shared" si="61"/>
        <v>150.16320000000002</v>
      </c>
      <c r="AX17">
        <f t="shared" si="41"/>
        <v>21976.712800000001</v>
      </c>
      <c r="AY17" s="6">
        <f t="shared" si="42"/>
        <v>13.350000000002183</v>
      </c>
      <c r="AZ17" s="6">
        <f t="shared" si="78"/>
        <v>78.5</v>
      </c>
      <c r="BA17" s="6">
        <f t="shared" si="17"/>
        <v>2282.625</v>
      </c>
      <c r="BB17" s="6">
        <f t="shared" si="43"/>
        <v>5385.1490000000003</v>
      </c>
      <c r="BC17" s="6">
        <f t="shared" si="18"/>
        <v>-752.19499999999994</v>
      </c>
      <c r="BD17" s="6">
        <f t="shared" si="44"/>
        <v>3171.7709300000001</v>
      </c>
      <c r="BE17">
        <f t="shared" si="74"/>
        <v>9112.1493000000009</v>
      </c>
      <c r="BF17" s="6">
        <f t="shared" si="62"/>
        <v>38.703000000000003</v>
      </c>
      <c r="BG17" s="6">
        <f t="shared" si="63"/>
        <v>154.81200000000001</v>
      </c>
      <c r="BH17" s="6">
        <f t="shared" si="64"/>
        <v>829.73799999999994</v>
      </c>
      <c r="BI17" s="6">
        <f t="shared" si="65"/>
        <v>246.477</v>
      </c>
      <c r="BJ17" s="6">
        <f t="shared" si="66"/>
        <v>1004.92</v>
      </c>
      <c r="BK17" s="6">
        <f t="shared" si="67"/>
        <v>287.21699999999998</v>
      </c>
      <c r="BL17" s="6">
        <f t="shared" si="75"/>
        <v>150.16275999999999</v>
      </c>
      <c r="BM17">
        <f t="shared" si="47"/>
        <v>21990.028990000003</v>
      </c>
      <c r="BN17" s="7">
        <f t="shared" si="48"/>
        <v>3.3810000000812579E-2</v>
      </c>
    </row>
    <row r="18" spans="2:66" x14ac:dyDescent="0.25">
      <c r="B18" t="s">
        <v>17</v>
      </c>
      <c r="C18">
        <v>2014</v>
      </c>
      <c r="D18">
        <v>2014</v>
      </c>
      <c r="E18" s="1">
        <v>41674</v>
      </c>
      <c r="F18" s="1">
        <v>41703</v>
      </c>
      <c r="G18" s="2">
        <v>339840</v>
      </c>
      <c r="H18" s="3">
        <v>21647.35</v>
      </c>
      <c r="I18">
        <v>679</v>
      </c>
      <c r="J18">
        <v>755</v>
      </c>
      <c r="K18" t="s">
        <v>13</v>
      </c>
      <c r="L18" s="4">
        <v>11718.62</v>
      </c>
      <c r="M18" s="3">
        <v>746.46</v>
      </c>
      <c r="N18" s="13">
        <v>6.3700000000000007E-2</v>
      </c>
      <c r="O18">
        <v>64.67</v>
      </c>
      <c r="P18">
        <f t="shared" si="0"/>
        <v>29</v>
      </c>
      <c r="Q18" s="5">
        <f t="shared" si="25"/>
        <v>0.96666666666666667</v>
      </c>
      <c r="R18" s="6">
        <f t="shared" si="76"/>
        <v>75.88333333333334</v>
      </c>
      <c r="S18" s="6">
        <f t="shared" si="2"/>
        <v>2206.5374999999999</v>
      </c>
      <c r="T18" s="6">
        <f t="shared" si="26"/>
        <v>5205.6440333333339</v>
      </c>
      <c r="U18" s="6">
        <f t="shared" si="3"/>
        <v>-727.12183333333326</v>
      </c>
      <c r="V18" s="6">
        <f t="shared" si="4"/>
        <v>3056.7670400000002</v>
      </c>
      <c r="W18">
        <f t="shared" si="51"/>
        <v>9073.728000000001</v>
      </c>
      <c r="X18" s="6">
        <f t="shared" si="52"/>
        <v>37.4129</v>
      </c>
      <c r="Y18" s="6">
        <f t="shared" si="53"/>
        <v>149.6516</v>
      </c>
      <c r="Z18" s="6">
        <f t="shared" si="54"/>
        <v>802.08006666666665</v>
      </c>
      <c r="AA18" s="6">
        <f t="shared" si="55"/>
        <v>238.2611</v>
      </c>
      <c r="AB18" s="6">
        <f t="shared" si="56"/>
        <v>971.4226666666666</v>
      </c>
      <c r="AC18" s="6">
        <f t="shared" si="57"/>
        <v>277.6431</v>
      </c>
      <c r="AD18" s="6">
        <f t="shared" si="58"/>
        <v>149.52960000000002</v>
      </c>
      <c r="AE18">
        <f t="shared" si="59"/>
        <v>21517.439106666669</v>
      </c>
      <c r="AF18" s="5">
        <f t="shared" si="11"/>
        <v>6.0012377188584298E-3</v>
      </c>
      <c r="AG18" s="11">
        <f t="shared" si="29"/>
        <v>3.5265968667164806E-3</v>
      </c>
      <c r="AH18" s="5">
        <f t="shared" si="12"/>
        <v>0.42577237411560054</v>
      </c>
      <c r="AI18" s="5">
        <f t="shared" si="13"/>
        <v>0.57070102901768305</v>
      </c>
      <c r="AJ18" s="5">
        <f t="shared" si="30"/>
        <v>1</v>
      </c>
      <c r="AK18" s="6">
        <f t="shared" si="77"/>
        <v>75.88333333333334</v>
      </c>
      <c r="AL18" s="6">
        <f t="shared" si="31"/>
        <v>2204.1643333333336</v>
      </c>
      <c r="AM18" s="6">
        <f t="shared" si="32"/>
        <v>5197.9773999999998</v>
      </c>
      <c r="AN18" s="6">
        <f t="shared" si="33"/>
        <v>-726.33979999999997</v>
      </c>
      <c r="AO18" s="6">
        <f t="shared" si="15"/>
        <v>3056.7670400000002</v>
      </c>
      <c r="AP18">
        <f t="shared" si="60"/>
        <v>9073.728000000001</v>
      </c>
      <c r="AQ18" s="6">
        <f t="shared" si="68"/>
        <v>37.357800000000005</v>
      </c>
      <c r="AR18" s="6">
        <f t="shared" si="69"/>
        <v>149.43120000000002</v>
      </c>
      <c r="AS18" s="6">
        <f t="shared" si="70"/>
        <v>800.89879999999994</v>
      </c>
      <c r="AT18" s="6">
        <f t="shared" si="71"/>
        <v>237.9102</v>
      </c>
      <c r="AU18" s="6">
        <f t="shared" si="72"/>
        <v>969.99199999999996</v>
      </c>
      <c r="AV18" s="6">
        <f t="shared" si="73"/>
        <v>277.23419999999999</v>
      </c>
      <c r="AW18" s="6">
        <f t="shared" si="61"/>
        <v>149.52960000000002</v>
      </c>
      <c r="AX18">
        <f t="shared" si="41"/>
        <v>21504.534106666666</v>
      </c>
      <c r="AY18" s="6">
        <f t="shared" si="42"/>
        <v>12.905000000002474</v>
      </c>
      <c r="AZ18" s="6">
        <f t="shared" si="78"/>
        <v>75.88333333333334</v>
      </c>
      <c r="BA18" s="6">
        <f t="shared" si="17"/>
        <v>2206.5374999999999</v>
      </c>
      <c r="BB18" s="6">
        <f t="shared" si="43"/>
        <v>5205.6440333333339</v>
      </c>
      <c r="BC18" s="6">
        <f t="shared" si="18"/>
        <v>-727.12183333333326</v>
      </c>
      <c r="BD18" s="6">
        <f t="shared" si="44"/>
        <v>3056.7605923333335</v>
      </c>
      <c r="BE18">
        <f t="shared" si="74"/>
        <v>9073.7013000000006</v>
      </c>
      <c r="BF18" s="6">
        <f t="shared" si="62"/>
        <v>37.4129</v>
      </c>
      <c r="BG18" s="6">
        <f t="shared" si="63"/>
        <v>149.6516</v>
      </c>
      <c r="BH18" s="6">
        <f t="shared" si="64"/>
        <v>802.08006666666665</v>
      </c>
      <c r="BI18" s="6">
        <f t="shared" si="65"/>
        <v>238.2611</v>
      </c>
      <c r="BJ18" s="6">
        <f t="shared" si="66"/>
        <v>971.4226666666666</v>
      </c>
      <c r="BK18" s="6">
        <f t="shared" si="67"/>
        <v>277.6431</v>
      </c>
      <c r="BL18" s="6">
        <f t="shared" si="75"/>
        <v>149.52916000000002</v>
      </c>
      <c r="BM18">
        <f t="shared" si="47"/>
        <v>21517.405519</v>
      </c>
      <c r="BN18" s="7">
        <f t="shared" si="48"/>
        <v>3.3587666668609018E-2</v>
      </c>
    </row>
    <row r="19" spans="2:66" x14ac:dyDescent="0.25">
      <c r="B19" t="s">
        <v>18</v>
      </c>
      <c r="C19">
        <v>2014</v>
      </c>
      <c r="D19">
        <v>2014</v>
      </c>
      <c r="E19" s="1">
        <v>41645</v>
      </c>
      <c r="F19" s="1">
        <v>41674</v>
      </c>
      <c r="G19" s="2">
        <v>343440</v>
      </c>
      <c r="H19" s="3">
        <v>21769.64</v>
      </c>
      <c r="I19">
        <v>679</v>
      </c>
      <c r="J19">
        <v>755</v>
      </c>
      <c r="K19" t="s">
        <v>13</v>
      </c>
      <c r="L19" s="4">
        <v>11842.76</v>
      </c>
      <c r="M19" s="3">
        <v>750.68</v>
      </c>
      <c r="N19" s="13">
        <v>6.3399999999999998E-2</v>
      </c>
      <c r="O19">
        <v>65.36</v>
      </c>
      <c r="P19">
        <f t="shared" si="0"/>
        <v>29</v>
      </c>
      <c r="Q19" s="5">
        <f t="shared" si="25"/>
        <v>0.96666666666666667</v>
      </c>
      <c r="R19" s="6">
        <f t="shared" si="76"/>
        <v>75.88333333333334</v>
      </c>
      <c r="S19" s="6">
        <f t="shared" si="2"/>
        <v>2206.5374999999999</v>
      </c>
      <c r="T19" s="6">
        <f t="shared" si="26"/>
        <v>5205.6440333333339</v>
      </c>
      <c r="U19" s="6">
        <f t="shared" si="3"/>
        <v>-727.12183333333326</v>
      </c>
      <c r="V19" s="6">
        <f t="shared" si="4"/>
        <v>3079.9786399999998</v>
      </c>
      <c r="W19">
        <f t="shared" si="51"/>
        <v>9169.848</v>
      </c>
      <c r="X19" s="6">
        <f t="shared" si="52"/>
        <v>37.4129</v>
      </c>
      <c r="Y19" s="6">
        <f t="shared" si="53"/>
        <v>149.6516</v>
      </c>
      <c r="Z19" s="6">
        <f t="shared" si="54"/>
        <v>802.08006666666665</v>
      </c>
      <c r="AA19" s="6">
        <f t="shared" si="55"/>
        <v>238.2611</v>
      </c>
      <c r="AB19" s="6">
        <f t="shared" si="56"/>
        <v>971.4226666666666</v>
      </c>
      <c r="AC19" s="6">
        <f t="shared" si="57"/>
        <v>277.6431</v>
      </c>
      <c r="AD19" s="6">
        <f t="shared" si="58"/>
        <v>151.11360000000002</v>
      </c>
      <c r="AE19">
        <f t="shared" si="59"/>
        <v>21638.354706666669</v>
      </c>
      <c r="AF19" s="5">
        <f t="shared" si="11"/>
        <v>6.0306598241096606E-3</v>
      </c>
      <c r="AG19" s="11">
        <f t="shared" si="29"/>
        <v>3.5068901661896718E-3</v>
      </c>
      <c r="AH19" s="5">
        <f t="shared" si="12"/>
        <v>0.42339314876425016</v>
      </c>
      <c r="AI19" s="5">
        <f t="shared" si="13"/>
        <v>0.57309996106956007</v>
      </c>
      <c r="AJ19" s="5">
        <f t="shared" si="30"/>
        <v>0.99999999999999989</v>
      </c>
      <c r="AK19" s="6">
        <f t="shared" si="77"/>
        <v>75.88333333333334</v>
      </c>
      <c r="AL19" s="6">
        <f t="shared" si="31"/>
        <v>2204.1643333333336</v>
      </c>
      <c r="AM19" s="6">
        <f t="shared" si="32"/>
        <v>5197.9773999999998</v>
      </c>
      <c r="AN19" s="6">
        <f t="shared" si="33"/>
        <v>-726.33979999999997</v>
      </c>
      <c r="AO19" s="6">
        <f t="shared" si="15"/>
        <v>3079.9786399999998</v>
      </c>
      <c r="AP19">
        <f t="shared" si="60"/>
        <v>9169.848</v>
      </c>
      <c r="AQ19" s="6">
        <f t="shared" si="68"/>
        <v>37.357800000000005</v>
      </c>
      <c r="AR19" s="6">
        <f t="shared" si="69"/>
        <v>149.43120000000002</v>
      </c>
      <c r="AS19" s="6">
        <f t="shared" si="70"/>
        <v>800.89879999999994</v>
      </c>
      <c r="AT19" s="6">
        <f t="shared" si="71"/>
        <v>237.9102</v>
      </c>
      <c r="AU19" s="6">
        <f t="shared" si="72"/>
        <v>969.99199999999996</v>
      </c>
      <c r="AV19" s="6">
        <f t="shared" si="73"/>
        <v>277.23419999999999</v>
      </c>
      <c r="AW19" s="6">
        <f t="shared" si="61"/>
        <v>151.11360000000002</v>
      </c>
      <c r="AX19">
        <f t="shared" si="41"/>
        <v>21625.449706666663</v>
      </c>
      <c r="AY19" s="6">
        <f t="shared" si="42"/>
        <v>12.905000000006112</v>
      </c>
      <c r="AZ19" s="6">
        <f t="shared" si="78"/>
        <v>75.88333333333334</v>
      </c>
      <c r="BA19" s="6">
        <f t="shared" si="17"/>
        <v>2206.5374999999999</v>
      </c>
      <c r="BB19" s="6">
        <f t="shared" si="43"/>
        <v>5205.6440333333339</v>
      </c>
      <c r="BC19" s="6">
        <f t="shared" si="18"/>
        <v>-727.12183333333326</v>
      </c>
      <c r="BD19" s="6">
        <f t="shared" si="44"/>
        <v>3079.9721923333336</v>
      </c>
      <c r="BE19">
        <f t="shared" si="74"/>
        <v>9169.8212999999996</v>
      </c>
      <c r="BF19" s="6">
        <f t="shared" si="62"/>
        <v>37.4129</v>
      </c>
      <c r="BG19" s="6">
        <f t="shared" si="63"/>
        <v>149.6516</v>
      </c>
      <c r="BH19" s="6">
        <f t="shared" si="64"/>
        <v>802.08006666666665</v>
      </c>
      <c r="BI19" s="6">
        <f t="shared" si="65"/>
        <v>238.2611</v>
      </c>
      <c r="BJ19" s="6">
        <f t="shared" si="66"/>
        <v>971.4226666666666</v>
      </c>
      <c r="BK19" s="6">
        <f t="shared" si="67"/>
        <v>277.6431</v>
      </c>
      <c r="BL19" s="6">
        <f t="shared" si="75"/>
        <v>151.11315999999999</v>
      </c>
      <c r="BM19">
        <f t="shared" si="47"/>
        <v>21638.321119</v>
      </c>
      <c r="BN19" s="7">
        <f t="shared" si="48"/>
        <v>3.3587666668609018E-2</v>
      </c>
    </row>
    <row r="20" spans="2:66" x14ac:dyDescent="0.25">
      <c r="B20" t="s">
        <v>19</v>
      </c>
      <c r="C20">
        <v>2013</v>
      </c>
      <c r="D20">
        <v>2014</v>
      </c>
      <c r="E20" s="1">
        <v>41612</v>
      </c>
      <c r="F20" s="1">
        <v>41645</v>
      </c>
      <c r="G20" s="2">
        <v>406800</v>
      </c>
      <c r="H20" s="3">
        <v>25262.26</v>
      </c>
      <c r="I20">
        <v>679</v>
      </c>
      <c r="J20">
        <v>755</v>
      </c>
      <c r="K20" t="s">
        <v>13</v>
      </c>
      <c r="L20" s="4">
        <v>12327.27</v>
      </c>
      <c r="M20" s="3">
        <v>765.52</v>
      </c>
      <c r="N20" s="13">
        <v>6.2100000000000002E-2</v>
      </c>
      <c r="O20">
        <v>68.03</v>
      </c>
      <c r="P20">
        <f t="shared" si="0"/>
        <v>33</v>
      </c>
      <c r="Q20" s="5">
        <f t="shared" si="25"/>
        <v>1.1000000000000001</v>
      </c>
      <c r="R20" s="6">
        <f t="shared" si="76"/>
        <v>86.350000000000009</v>
      </c>
      <c r="S20" s="6">
        <f t="shared" si="2"/>
        <v>2510.8875000000003</v>
      </c>
      <c r="T20" s="6">
        <f t="shared" si="26"/>
        <v>5923.6639000000005</v>
      </c>
      <c r="U20" s="6">
        <f t="shared" si="3"/>
        <v>-827.41449999999998</v>
      </c>
      <c r="V20" s="6">
        <f t="shared" si="4"/>
        <v>3969.6756000000005</v>
      </c>
      <c r="W20">
        <f t="shared" si="51"/>
        <v>10861.560000000001</v>
      </c>
      <c r="X20" s="6">
        <f t="shared" si="52"/>
        <v>42.573300000000003</v>
      </c>
      <c r="Y20" s="6">
        <f t="shared" si="53"/>
        <v>170.29320000000001</v>
      </c>
      <c r="Z20" s="6">
        <f t="shared" si="54"/>
        <v>912.71180000000004</v>
      </c>
      <c r="AA20" s="6">
        <f t="shared" si="55"/>
        <v>271.12470000000002</v>
      </c>
      <c r="AB20" s="6">
        <f t="shared" si="56"/>
        <v>1105.412</v>
      </c>
      <c r="AC20" s="6">
        <f t="shared" si="57"/>
        <v>315.93869999999998</v>
      </c>
      <c r="AD20" s="6">
        <f t="shared" si="58"/>
        <v>178.99200000000002</v>
      </c>
      <c r="AE20">
        <f t="shared" si="59"/>
        <v>25521.768200000002</v>
      </c>
      <c r="AF20" s="5">
        <f t="shared" si="11"/>
        <v>1.0272564687403419E-2</v>
      </c>
      <c r="AG20" s="11">
        <f t="shared" si="29"/>
        <v>3.3833862655331223E-3</v>
      </c>
      <c r="AH20" s="5">
        <f t="shared" si="12"/>
        <v>0.40848230100295324</v>
      </c>
      <c r="AI20" s="5">
        <f t="shared" si="13"/>
        <v>0.58813431273151362</v>
      </c>
      <c r="AJ20" s="5">
        <f t="shared" si="30"/>
        <v>1</v>
      </c>
      <c r="AK20" s="6">
        <f t="shared" si="77"/>
        <v>86.350000000000009</v>
      </c>
      <c r="AL20" s="6">
        <f t="shared" si="31"/>
        <v>2508.1870000000004</v>
      </c>
      <c r="AM20" s="6">
        <f t="shared" si="32"/>
        <v>5914.9398000000001</v>
      </c>
      <c r="AN20" s="6">
        <f t="shared" si="33"/>
        <v>-826.52460000000008</v>
      </c>
      <c r="AO20" s="6">
        <f t="shared" si="15"/>
        <v>3969.6756000000005</v>
      </c>
      <c r="AP20">
        <f t="shared" si="60"/>
        <v>10861.560000000001</v>
      </c>
      <c r="AQ20" s="6">
        <f t="shared" si="68"/>
        <v>42.510600000000004</v>
      </c>
      <c r="AR20" s="6">
        <f t="shared" si="69"/>
        <v>170.04240000000001</v>
      </c>
      <c r="AS20" s="6">
        <f t="shared" si="70"/>
        <v>911.36760000000004</v>
      </c>
      <c r="AT20" s="6">
        <f t="shared" si="71"/>
        <v>270.72540000000004</v>
      </c>
      <c r="AU20" s="6">
        <f t="shared" si="72"/>
        <v>1103.7840000000001</v>
      </c>
      <c r="AV20" s="6">
        <f t="shared" si="73"/>
        <v>315.47340000000003</v>
      </c>
      <c r="AW20" s="6">
        <f t="shared" si="61"/>
        <v>178.99200000000002</v>
      </c>
      <c r="AX20">
        <f t="shared" si="41"/>
        <v>25507.083200000001</v>
      </c>
      <c r="AY20" s="6">
        <f t="shared" si="42"/>
        <v>14.68500000000131</v>
      </c>
      <c r="AZ20" s="6">
        <f t="shared" si="78"/>
        <v>86.350000000000009</v>
      </c>
      <c r="BA20" s="6">
        <f t="shared" si="17"/>
        <v>2510.8875000000003</v>
      </c>
      <c r="BB20" s="6">
        <f t="shared" si="43"/>
        <v>5923.6639000000005</v>
      </c>
      <c r="BC20" s="6">
        <f t="shared" si="18"/>
        <v>-827.41449999999998</v>
      </c>
      <c r="BD20" s="6">
        <f t="shared" si="44"/>
        <v>3969.6682630000005</v>
      </c>
      <c r="BE20">
        <f t="shared" si="74"/>
        <v>10861.533300000001</v>
      </c>
      <c r="BF20" s="6">
        <f t="shared" si="62"/>
        <v>42.573300000000003</v>
      </c>
      <c r="BG20" s="6">
        <f t="shared" si="63"/>
        <v>170.29320000000001</v>
      </c>
      <c r="BH20" s="6">
        <f t="shared" si="64"/>
        <v>912.71180000000004</v>
      </c>
      <c r="BI20" s="6">
        <f t="shared" si="65"/>
        <v>271.12470000000002</v>
      </c>
      <c r="BJ20" s="6">
        <f t="shared" si="66"/>
        <v>1105.412</v>
      </c>
      <c r="BK20" s="6">
        <f t="shared" si="67"/>
        <v>315.93869999999998</v>
      </c>
      <c r="BL20" s="6">
        <f t="shared" si="75"/>
        <v>178.99155999999999</v>
      </c>
      <c r="BM20">
        <f t="shared" si="47"/>
        <v>25521.733723000001</v>
      </c>
      <c r="BN20" s="7">
        <f t="shared" si="48"/>
        <v>3.4477000001061242E-2</v>
      </c>
    </row>
    <row r="21" spans="2:66" x14ac:dyDescent="0.25">
      <c r="B21" t="s">
        <v>20</v>
      </c>
      <c r="C21">
        <v>2013</v>
      </c>
      <c r="D21">
        <v>2014</v>
      </c>
      <c r="E21" s="1">
        <v>41579</v>
      </c>
      <c r="F21" s="1">
        <v>41612</v>
      </c>
      <c r="G21" s="2">
        <v>423360</v>
      </c>
      <c r="H21" s="3">
        <v>25810.31</v>
      </c>
      <c r="I21">
        <v>679</v>
      </c>
      <c r="J21">
        <v>755</v>
      </c>
      <c r="K21" t="s">
        <v>13</v>
      </c>
      <c r="L21" s="4">
        <v>12829.09</v>
      </c>
      <c r="M21" s="3">
        <v>782.13</v>
      </c>
      <c r="N21" s="13">
        <v>6.0999999999999999E-2</v>
      </c>
      <c r="O21">
        <v>70.8</v>
      </c>
      <c r="P21">
        <f t="shared" si="0"/>
        <v>33</v>
      </c>
      <c r="Q21" s="5">
        <f t="shared" si="25"/>
        <v>1.1000000000000001</v>
      </c>
      <c r="R21" s="6">
        <f t="shared" si="76"/>
        <v>86.350000000000009</v>
      </c>
      <c r="S21" s="6">
        <f t="shared" si="2"/>
        <v>2510.8875000000003</v>
      </c>
      <c r="T21" s="6">
        <f t="shared" si="26"/>
        <v>5923.6639000000005</v>
      </c>
      <c r="U21" s="6">
        <f t="shared" si="3"/>
        <v>-827.41449999999998</v>
      </c>
      <c r="V21" s="6">
        <f t="shared" si="4"/>
        <v>4091.17632</v>
      </c>
      <c r="W21">
        <f t="shared" si="51"/>
        <v>11303.712000000001</v>
      </c>
      <c r="X21" s="6">
        <f t="shared" si="52"/>
        <v>42.573300000000003</v>
      </c>
      <c r="Y21" s="6">
        <f t="shared" si="53"/>
        <v>170.29320000000001</v>
      </c>
      <c r="Z21" s="6">
        <f t="shared" si="54"/>
        <v>912.71180000000004</v>
      </c>
      <c r="AA21" s="6">
        <f t="shared" si="55"/>
        <v>271.12470000000002</v>
      </c>
      <c r="AB21" s="6">
        <f t="shared" si="56"/>
        <v>1105.412</v>
      </c>
      <c r="AC21" s="6">
        <f t="shared" si="57"/>
        <v>315.93869999999998</v>
      </c>
      <c r="AD21" s="6">
        <f t="shared" si="58"/>
        <v>186.2784</v>
      </c>
      <c r="AE21">
        <f t="shared" si="59"/>
        <v>26092.707320000001</v>
      </c>
      <c r="AF21" s="5">
        <f t="shared" si="11"/>
        <v>1.0941260294820171E-2</v>
      </c>
      <c r="AG21" s="11">
        <f t="shared" si="29"/>
        <v>3.3093537953347188E-3</v>
      </c>
      <c r="AH21" s="5">
        <f t="shared" si="12"/>
        <v>0.3995442279003803</v>
      </c>
      <c r="AI21" s="5">
        <f t="shared" si="13"/>
        <v>0.59714641830428505</v>
      </c>
      <c r="AJ21" s="5">
        <f t="shared" si="30"/>
        <v>1</v>
      </c>
      <c r="AK21" s="6">
        <f t="shared" si="77"/>
        <v>86.350000000000009</v>
      </c>
      <c r="AL21" s="6">
        <f t="shared" si="31"/>
        <v>2508.1870000000004</v>
      </c>
      <c r="AM21" s="6">
        <f t="shared" si="32"/>
        <v>5914.9398000000001</v>
      </c>
      <c r="AN21" s="6">
        <f t="shared" si="33"/>
        <v>-826.52460000000008</v>
      </c>
      <c r="AO21" s="6">
        <f t="shared" si="15"/>
        <v>4091.17632</v>
      </c>
      <c r="AP21">
        <f t="shared" si="60"/>
        <v>11303.712000000001</v>
      </c>
      <c r="AQ21" s="6">
        <f t="shared" si="68"/>
        <v>42.510600000000004</v>
      </c>
      <c r="AR21" s="6">
        <f t="shared" si="69"/>
        <v>170.04240000000001</v>
      </c>
      <c r="AS21" s="6">
        <f t="shared" si="70"/>
        <v>911.36760000000004</v>
      </c>
      <c r="AT21" s="6">
        <f t="shared" si="71"/>
        <v>270.72540000000004</v>
      </c>
      <c r="AU21" s="6">
        <f t="shared" si="72"/>
        <v>1103.7840000000001</v>
      </c>
      <c r="AV21" s="6">
        <f t="shared" si="73"/>
        <v>315.47340000000003</v>
      </c>
      <c r="AW21" s="6">
        <f t="shared" si="61"/>
        <v>186.2784</v>
      </c>
      <c r="AX21">
        <f t="shared" si="41"/>
        <v>26078.02232</v>
      </c>
      <c r="AY21" s="6">
        <f t="shared" si="42"/>
        <v>14.68500000000131</v>
      </c>
      <c r="AZ21" s="6">
        <f t="shared" si="78"/>
        <v>86.350000000000009</v>
      </c>
      <c r="BA21" s="6">
        <f t="shared" si="17"/>
        <v>2510.8875000000003</v>
      </c>
      <c r="BB21" s="6">
        <f t="shared" si="43"/>
        <v>5923.6639000000005</v>
      </c>
      <c r="BC21" s="6">
        <f t="shared" si="18"/>
        <v>-827.41449999999998</v>
      </c>
      <c r="BD21" s="6">
        <f t="shared" si="44"/>
        <v>4091.1689830000005</v>
      </c>
      <c r="BE21">
        <f t="shared" si="74"/>
        <v>11303.685300000001</v>
      </c>
      <c r="BF21" s="6">
        <f t="shared" si="62"/>
        <v>42.573300000000003</v>
      </c>
      <c r="BG21" s="6">
        <f t="shared" si="63"/>
        <v>170.29320000000001</v>
      </c>
      <c r="BH21" s="6">
        <f t="shared" si="64"/>
        <v>912.71180000000004</v>
      </c>
      <c r="BI21" s="6">
        <f t="shared" si="65"/>
        <v>271.12470000000002</v>
      </c>
      <c r="BJ21" s="6">
        <f t="shared" si="66"/>
        <v>1105.412</v>
      </c>
      <c r="BK21" s="6">
        <f t="shared" si="67"/>
        <v>315.93869999999998</v>
      </c>
      <c r="BL21" s="6">
        <f t="shared" si="75"/>
        <v>186.27796000000001</v>
      </c>
      <c r="BM21">
        <f t="shared" si="47"/>
        <v>26092.672843000004</v>
      </c>
      <c r="BN21" s="7">
        <f t="shared" si="48"/>
        <v>3.4476999997423263E-2</v>
      </c>
    </row>
    <row r="22" spans="2:66" x14ac:dyDescent="0.25">
      <c r="B22" t="s">
        <v>21</v>
      </c>
      <c r="C22">
        <v>2013</v>
      </c>
      <c r="D22">
        <v>2014</v>
      </c>
      <c r="E22" s="1">
        <v>41550</v>
      </c>
      <c r="F22" s="1">
        <v>41579</v>
      </c>
      <c r="G22" s="2">
        <v>397440</v>
      </c>
      <c r="H22" s="3">
        <v>23981.69</v>
      </c>
      <c r="I22">
        <v>718</v>
      </c>
      <c r="J22">
        <v>755</v>
      </c>
      <c r="K22" t="s">
        <v>13</v>
      </c>
      <c r="L22" s="4">
        <v>13704.83</v>
      </c>
      <c r="M22" s="3">
        <v>826.95</v>
      </c>
      <c r="N22" s="13">
        <v>6.0299999999999999E-2</v>
      </c>
      <c r="O22">
        <v>75.63</v>
      </c>
      <c r="P22">
        <f t="shared" si="0"/>
        <v>29</v>
      </c>
      <c r="Q22" s="5">
        <f t="shared" si="25"/>
        <v>0.96666666666666667</v>
      </c>
      <c r="R22" s="6">
        <f t="shared" si="76"/>
        <v>75.88333333333334</v>
      </c>
      <c r="S22" s="6">
        <f t="shared" si="2"/>
        <v>2206.5374999999999</v>
      </c>
      <c r="T22" s="6">
        <f t="shared" si="26"/>
        <v>5504.6427333333331</v>
      </c>
      <c r="U22" s="6">
        <f t="shared" si="3"/>
        <v>-727.12183333333326</v>
      </c>
      <c r="V22" s="6">
        <f t="shared" si="4"/>
        <v>3428.1526400000002</v>
      </c>
      <c r="W22">
        <f t="shared" si="51"/>
        <v>10611.648000000001</v>
      </c>
      <c r="X22" s="6">
        <f t="shared" si="52"/>
        <v>39.561800000000005</v>
      </c>
      <c r="Y22" s="6">
        <f t="shared" si="53"/>
        <v>158.24720000000002</v>
      </c>
      <c r="Z22" s="6">
        <f t="shared" si="54"/>
        <v>848.14946666666663</v>
      </c>
      <c r="AA22" s="6">
        <f t="shared" si="55"/>
        <v>251.9462</v>
      </c>
      <c r="AB22" s="6">
        <f t="shared" si="56"/>
        <v>1027.2186666666669</v>
      </c>
      <c r="AC22" s="6">
        <f t="shared" si="57"/>
        <v>293.59019999999998</v>
      </c>
      <c r="AD22" s="6">
        <f t="shared" si="58"/>
        <v>174.87360000000001</v>
      </c>
      <c r="AE22">
        <f t="shared" si="59"/>
        <v>23893.329506666665</v>
      </c>
      <c r="AF22" s="5">
        <f t="shared" si="11"/>
        <v>3.6844981872976254E-3</v>
      </c>
      <c r="AG22" s="11">
        <f t="shared" si="29"/>
        <v>3.1759212675722126E-3</v>
      </c>
      <c r="AH22" s="5">
        <f t="shared" si="12"/>
        <v>0.40190179148761956</v>
      </c>
      <c r="AI22" s="5">
        <f t="shared" si="13"/>
        <v>0.59492228724480845</v>
      </c>
      <c r="AJ22" s="5">
        <f t="shared" si="30"/>
        <v>1.0000000000000002</v>
      </c>
      <c r="AK22" s="6">
        <f t="shared" si="77"/>
        <v>75.88333333333334</v>
      </c>
      <c r="AL22" s="6">
        <f t="shared" si="31"/>
        <v>2204.1643333333336</v>
      </c>
      <c r="AM22" s="6">
        <f t="shared" si="32"/>
        <v>5496.9760999999999</v>
      </c>
      <c r="AN22" s="6">
        <f t="shared" si="33"/>
        <v>-726.33979999999997</v>
      </c>
      <c r="AO22" s="6">
        <f t="shared" si="15"/>
        <v>3428.1526400000002</v>
      </c>
      <c r="AP22">
        <f t="shared" si="60"/>
        <v>10611.648000000001</v>
      </c>
      <c r="AQ22" s="6">
        <f t="shared" si="68"/>
        <v>39.506700000000002</v>
      </c>
      <c r="AR22" s="6">
        <f t="shared" si="69"/>
        <v>158.02680000000001</v>
      </c>
      <c r="AS22" s="6">
        <f t="shared" si="70"/>
        <v>846.96820000000002</v>
      </c>
      <c r="AT22" s="6">
        <f t="shared" si="71"/>
        <v>251.59530000000001</v>
      </c>
      <c r="AU22" s="6">
        <f t="shared" si="72"/>
        <v>1025.788</v>
      </c>
      <c r="AV22" s="6">
        <f t="shared" si="73"/>
        <v>293.18130000000002</v>
      </c>
      <c r="AW22" s="6">
        <f t="shared" si="61"/>
        <v>174.87360000000001</v>
      </c>
      <c r="AX22">
        <f t="shared" si="41"/>
        <v>23880.42450666667</v>
      </c>
      <c r="AY22" s="6">
        <f t="shared" si="42"/>
        <v>12.904999999995198</v>
      </c>
      <c r="AZ22" s="6">
        <f t="shared" si="78"/>
        <v>75.88333333333334</v>
      </c>
      <c r="BA22" s="6">
        <f t="shared" si="17"/>
        <v>2206.5374999999999</v>
      </c>
      <c r="BB22" s="6">
        <f t="shared" si="43"/>
        <v>5504.6427333333331</v>
      </c>
      <c r="BC22" s="6">
        <f t="shared" si="18"/>
        <v>-727.12183333333326</v>
      </c>
      <c r="BD22" s="6">
        <f t="shared" si="44"/>
        <v>3428.1461923333336</v>
      </c>
      <c r="BE22">
        <f t="shared" si="74"/>
        <v>10611.621300000001</v>
      </c>
      <c r="BF22" s="6">
        <f t="shared" si="62"/>
        <v>39.561800000000005</v>
      </c>
      <c r="BG22" s="6">
        <f t="shared" si="63"/>
        <v>158.24720000000002</v>
      </c>
      <c r="BH22" s="6">
        <f t="shared" si="64"/>
        <v>848.14946666666663</v>
      </c>
      <c r="BI22" s="6">
        <f t="shared" si="65"/>
        <v>251.9462</v>
      </c>
      <c r="BJ22" s="6">
        <f t="shared" si="66"/>
        <v>1027.2186666666669</v>
      </c>
      <c r="BK22" s="6">
        <f t="shared" si="67"/>
        <v>293.59019999999998</v>
      </c>
      <c r="BL22" s="6">
        <f t="shared" si="75"/>
        <v>174.87316000000001</v>
      </c>
      <c r="BM22">
        <f t="shared" si="47"/>
        <v>23893.295918999997</v>
      </c>
      <c r="BN22" s="7">
        <f t="shared" si="48"/>
        <v>3.3587666668609018E-2</v>
      </c>
    </row>
    <row r="23" spans="2:66" x14ac:dyDescent="0.25">
      <c r="B23" t="s">
        <v>22</v>
      </c>
      <c r="C23">
        <v>2013</v>
      </c>
      <c r="D23">
        <v>2014</v>
      </c>
      <c r="E23" s="1">
        <v>41520</v>
      </c>
      <c r="F23" s="1">
        <v>41550</v>
      </c>
      <c r="G23" s="2">
        <v>390240</v>
      </c>
      <c r="H23" s="3">
        <v>23645.41</v>
      </c>
      <c r="I23">
        <v>679</v>
      </c>
      <c r="J23">
        <v>755</v>
      </c>
      <c r="K23" t="s">
        <v>13</v>
      </c>
      <c r="L23" s="4">
        <v>13008</v>
      </c>
      <c r="M23" s="3">
        <v>788.18</v>
      </c>
      <c r="N23" s="13">
        <v>6.0600000000000001E-2</v>
      </c>
      <c r="O23">
        <v>71.790000000000006</v>
      </c>
      <c r="P23">
        <f t="shared" si="0"/>
        <v>30</v>
      </c>
      <c r="Q23" s="5">
        <f t="shared" si="25"/>
        <v>1</v>
      </c>
      <c r="R23" s="6">
        <f t="shared" si="76"/>
        <v>78.5</v>
      </c>
      <c r="S23" s="6">
        <f t="shared" si="2"/>
        <v>2282.625</v>
      </c>
      <c r="T23" s="6">
        <f t="shared" si="26"/>
        <v>5385.1490000000003</v>
      </c>
      <c r="U23" s="6">
        <f t="shared" si="3"/>
        <v>-752.19499999999994</v>
      </c>
      <c r="V23" s="6">
        <f t="shared" si="4"/>
        <v>3498.3407999999999</v>
      </c>
      <c r="W23">
        <f t="shared" si="51"/>
        <v>10419.408000000001</v>
      </c>
      <c r="X23" s="6">
        <f t="shared" si="52"/>
        <v>38.703000000000003</v>
      </c>
      <c r="Y23" s="6">
        <f t="shared" si="53"/>
        <v>154.81200000000001</v>
      </c>
      <c r="Z23" s="6">
        <f t="shared" si="54"/>
        <v>829.73799999999994</v>
      </c>
      <c r="AA23" s="6">
        <f t="shared" si="55"/>
        <v>246.477</v>
      </c>
      <c r="AB23" s="6">
        <f t="shared" si="56"/>
        <v>1004.92</v>
      </c>
      <c r="AC23" s="6">
        <f t="shared" si="57"/>
        <v>287.21699999999998</v>
      </c>
      <c r="AD23" s="6">
        <f t="shared" si="58"/>
        <v>171.7056</v>
      </c>
      <c r="AE23">
        <f t="shared" si="59"/>
        <v>23645.400400000002</v>
      </c>
      <c r="AF23" s="5">
        <f t="shared" si="11"/>
        <v>4.0599845794977558E-7</v>
      </c>
      <c r="AG23" s="11">
        <f t="shared" si="29"/>
        <v>3.3198845725615198E-3</v>
      </c>
      <c r="AH23" s="5">
        <f t="shared" si="12"/>
        <v>0.40081562755012601</v>
      </c>
      <c r="AI23" s="5">
        <f t="shared" si="13"/>
        <v>0.5958644878773125</v>
      </c>
      <c r="AJ23" s="5">
        <f t="shared" si="30"/>
        <v>1</v>
      </c>
      <c r="AK23" s="6">
        <f t="shared" si="77"/>
        <v>78.5</v>
      </c>
      <c r="AL23" s="6">
        <f t="shared" si="31"/>
        <v>2280.17</v>
      </c>
      <c r="AM23" s="6">
        <f t="shared" si="32"/>
        <v>5377.2179999999998</v>
      </c>
      <c r="AN23" s="6">
        <f t="shared" si="33"/>
        <v>-751.38599999999997</v>
      </c>
      <c r="AO23" s="6">
        <f t="shared" si="15"/>
        <v>3498.3407999999999</v>
      </c>
      <c r="AP23">
        <f t="shared" si="60"/>
        <v>10419.408000000001</v>
      </c>
      <c r="AQ23" s="6">
        <f t="shared" si="68"/>
        <v>38.646000000000001</v>
      </c>
      <c r="AR23" s="6">
        <f t="shared" si="69"/>
        <v>154.584</v>
      </c>
      <c r="AS23" s="6">
        <f t="shared" si="70"/>
        <v>828.51599999999996</v>
      </c>
      <c r="AT23" s="6">
        <f t="shared" si="71"/>
        <v>246.114</v>
      </c>
      <c r="AU23" s="6">
        <f t="shared" si="72"/>
        <v>1003.4399999999999</v>
      </c>
      <c r="AV23" s="6">
        <f t="shared" si="73"/>
        <v>286.79399999999998</v>
      </c>
      <c r="AW23" s="6">
        <f t="shared" si="61"/>
        <v>171.7056</v>
      </c>
      <c r="AX23">
        <f t="shared" si="41"/>
        <v>23632.050400000004</v>
      </c>
      <c r="AY23" s="6">
        <f t="shared" si="42"/>
        <v>13.349999999998545</v>
      </c>
      <c r="AZ23" s="6">
        <f t="shared" si="78"/>
        <v>78.5</v>
      </c>
      <c r="BA23" s="6">
        <f t="shared" si="17"/>
        <v>2282.625</v>
      </c>
      <c r="BB23" s="6">
        <f t="shared" si="43"/>
        <v>5385.1490000000003</v>
      </c>
      <c r="BC23" s="6">
        <f t="shared" si="18"/>
        <v>-752.19499999999994</v>
      </c>
      <c r="BD23" s="6">
        <f t="shared" si="44"/>
        <v>3498.3341300000002</v>
      </c>
      <c r="BE23">
        <f t="shared" si="74"/>
        <v>10419.381300000001</v>
      </c>
      <c r="BF23" s="6">
        <f t="shared" si="62"/>
        <v>38.703000000000003</v>
      </c>
      <c r="BG23" s="6">
        <f t="shared" si="63"/>
        <v>154.81200000000001</v>
      </c>
      <c r="BH23" s="6">
        <f t="shared" si="64"/>
        <v>829.73799999999994</v>
      </c>
      <c r="BI23" s="6">
        <f t="shared" si="65"/>
        <v>246.477</v>
      </c>
      <c r="BJ23" s="6">
        <f t="shared" si="66"/>
        <v>1004.92</v>
      </c>
      <c r="BK23" s="6">
        <f t="shared" si="67"/>
        <v>287.21699999999998</v>
      </c>
      <c r="BL23" s="6">
        <f t="shared" si="75"/>
        <v>171.70516000000001</v>
      </c>
      <c r="BM23">
        <f t="shared" si="47"/>
        <v>23645.366590000005</v>
      </c>
      <c r="BN23" s="7">
        <f t="shared" si="48"/>
        <v>3.38099999971746E-2</v>
      </c>
    </row>
    <row r="24" spans="2:66" x14ac:dyDescent="0.25">
      <c r="B24" t="s">
        <v>23</v>
      </c>
      <c r="C24">
        <v>2013</v>
      </c>
      <c r="D24">
        <v>2014</v>
      </c>
      <c r="E24" s="1">
        <v>41491</v>
      </c>
      <c r="F24" s="1">
        <v>41520</v>
      </c>
      <c r="G24" s="2">
        <v>396720</v>
      </c>
      <c r="H24" s="3">
        <v>24375.96</v>
      </c>
      <c r="I24">
        <v>755</v>
      </c>
      <c r="J24">
        <v>755.6</v>
      </c>
      <c r="K24" t="s">
        <v>13</v>
      </c>
      <c r="L24" s="4">
        <v>13680</v>
      </c>
      <c r="M24" s="3">
        <v>840.55</v>
      </c>
      <c r="N24" s="13">
        <v>6.1400000000000003E-2</v>
      </c>
      <c r="O24">
        <v>75.44</v>
      </c>
      <c r="P24">
        <f t="shared" si="0"/>
        <v>29</v>
      </c>
      <c r="Q24" s="5">
        <f t="shared" si="25"/>
        <v>0.96666666666666667</v>
      </c>
      <c r="R24" s="6">
        <f t="shared" si="76"/>
        <v>75.88333333333334</v>
      </c>
      <c r="S24" s="6">
        <f t="shared" si="2"/>
        <v>2207.9614000000001</v>
      </c>
      <c r="T24" s="6">
        <f t="shared" si="26"/>
        <v>5788.3081666666667</v>
      </c>
      <c r="U24" s="6">
        <f t="shared" si="3"/>
        <v>-727.59105333333332</v>
      </c>
      <c r="V24" s="6">
        <f t="shared" si="4"/>
        <v>3423.5103199999999</v>
      </c>
      <c r="W24">
        <f>$G24*0.0267</f>
        <v>10592.424000000001</v>
      </c>
      <c r="X24" s="6">
        <f t="shared" si="52"/>
        <v>41.600500000000004</v>
      </c>
      <c r="Y24" s="6">
        <f t="shared" si="53"/>
        <v>166.40200000000002</v>
      </c>
      <c r="Z24" s="6">
        <f t="shared" si="54"/>
        <v>891.8563333333334</v>
      </c>
      <c r="AA24" s="6">
        <f t="shared" si="55"/>
        <v>264.92950000000002</v>
      </c>
      <c r="AB24" s="6">
        <f t="shared" si="56"/>
        <v>1080.1533333333334</v>
      </c>
      <c r="AC24" s="6">
        <f t="shared" si="57"/>
        <v>308.71950000000004</v>
      </c>
      <c r="AD24" s="6">
        <f>$G24*0.00044</f>
        <v>174.55680000000001</v>
      </c>
      <c r="AE24">
        <f t="shared" ref="AE24" si="79">SUM(R24:AD24)</f>
        <v>24288.714133333327</v>
      </c>
      <c r="AF24" s="5">
        <f t="shared" si="11"/>
        <v>3.5791766423423589E-3</v>
      </c>
      <c r="AG24" s="11">
        <f t="shared" si="29"/>
        <v>3.1242219294430507E-3</v>
      </c>
      <c r="AH24" s="5">
        <f t="shared" si="12"/>
        <v>0.41263360526136489</v>
      </c>
      <c r="AI24" s="5">
        <f t="shared" si="13"/>
        <v>0.58424217280919222</v>
      </c>
      <c r="AJ24" s="5">
        <f t="shared" si="30"/>
        <v>1.0000000000000002</v>
      </c>
      <c r="AK24" s="6">
        <f t="shared" si="77"/>
        <v>75.88333333333334</v>
      </c>
      <c r="AL24" s="6">
        <f t="shared" si="31"/>
        <v>2205.5882333333334</v>
      </c>
      <c r="AM24" s="6">
        <f t="shared" si="32"/>
        <v>5780.6415333333334</v>
      </c>
      <c r="AN24" s="6">
        <f t="shared" si="33"/>
        <v>-726.80902000000003</v>
      </c>
      <c r="AO24" s="6">
        <f t="shared" si="15"/>
        <v>3423.5103199999999</v>
      </c>
      <c r="AP24">
        <f>$G24*0.0267</f>
        <v>10592.424000000001</v>
      </c>
      <c r="AQ24" s="6">
        <f t="shared" si="68"/>
        <v>41.545400000000001</v>
      </c>
      <c r="AR24" s="6">
        <f t="shared" si="69"/>
        <v>166.1816</v>
      </c>
      <c r="AS24" s="6">
        <f t="shared" si="70"/>
        <v>890.67506666666668</v>
      </c>
      <c r="AT24" s="6">
        <f t="shared" si="71"/>
        <v>264.57859999999999</v>
      </c>
      <c r="AU24" s="6">
        <f t="shared" si="72"/>
        <v>1078.7226666666668</v>
      </c>
      <c r="AV24" s="6">
        <f t="shared" si="73"/>
        <v>308.31060000000002</v>
      </c>
      <c r="AW24" s="6">
        <f>$G24*0.00044</f>
        <v>174.55680000000001</v>
      </c>
      <c r="AX24">
        <f t="shared" si="41"/>
        <v>24275.809133333336</v>
      </c>
      <c r="AY24" s="6">
        <f t="shared" si="42"/>
        <v>12.90499999999156</v>
      </c>
      <c r="AZ24" s="6">
        <f t="shared" si="78"/>
        <v>75.88333333333334</v>
      </c>
      <c r="BA24" s="6">
        <f t="shared" si="17"/>
        <v>2207.9614000000001</v>
      </c>
      <c r="BB24" s="6">
        <f t="shared" si="43"/>
        <v>5788.3081666666667</v>
      </c>
      <c r="BC24" s="6">
        <f t="shared" si="18"/>
        <v>-727.59105333333332</v>
      </c>
      <c r="BD24" s="6">
        <f t="shared" si="44"/>
        <v>3423.5038723333332</v>
      </c>
      <c r="BE24">
        <f t="shared" si="74"/>
        <v>10592.397300000001</v>
      </c>
      <c r="BF24" s="6">
        <f t="shared" si="62"/>
        <v>41.600500000000004</v>
      </c>
      <c r="BG24" s="6">
        <f t="shared" si="63"/>
        <v>166.40200000000002</v>
      </c>
      <c r="BH24" s="6">
        <f t="shared" si="64"/>
        <v>891.8563333333334</v>
      </c>
      <c r="BI24" s="6">
        <f t="shared" si="65"/>
        <v>264.92950000000002</v>
      </c>
      <c r="BJ24" s="6">
        <f t="shared" si="66"/>
        <v>1080.1533333333334</v>
      </c>
      <c r="BK24" s="6">
        <f t="shared" si="67"/>
        <v>308.71950000000004</v>
      </c>
      <c r="BL24" s="6">
        <f t="shared" si="75"/>
        <v>174.55636000000001</v>
      </c>
      <c r="BM24">
        <f t="shared" si="47"/>
        <v>24288.680545666663</v>
      </c>
      <c r="BN24" s="7">
        <f t="shared" si="48"/>
        <v>3.3587666664971039E-2</v>
      </c>
    </row>
    <row r="25" spans="2:66" x14ac:dyDescent="0.25">
      <c r="B25" t="s">
        <v>24</v>
      </c>
      <c r="C25">
        <v>2013</v>
      </c>
      <c r="D25">
        <v>2014</v>
      </c>
      <c r="E25" s="1">
        <v>41460</v>
      </c>
      <c r="F25" s="1">
        <v>41491</v>
      </c>
      <c r="G25" s="2">
        <v>444960</v>
      </c>
      <c r="H25" s="3">
        <v>25864.240000000002</v>
      </c>
      <c r="I25">
        <v>688</v>
      </c>
      <c r="J25">
        <v>703</v>
      </c>
      <c r="K25" t="s">
        <v>13</v>
      </c>
      <c r="L25" s="4">
        <v>14353.55</v>
      </c>
      <c r="M25" s="3">
        <v>834.33</v>
      </c>
      <c r="N25" s="13">
        <v>5.8099999999999999E-2</v>
      </c>
      <c r="O25">
        <v>85.07</v>
      </c>
      <c r="P25">
        <f t="shared" si="0"/>
        <v>31</v>
      </c>
      <c r="Q25" s="5">
        <f t="shared" si="25"/>
        <v>1.0333333333333334</v>
      </c>
      <c r="R25" s="6">
        <f t="shared" si="76"/>
        <v>81.116666666666674</v>
      </c>
      <c r="S25" s="6">
        <f t="shared" si="2"/>
        <v>2226.7971666666667</v>
      </c>
      <c r="T25" s="6">
        <f t="shared" si="26"/>
        <v>5638.4122666666672</v>
      </c>
      <c r="U25" s="6">
        <f t="shared" si="3"/>
        <v>-733.79790000000003</v>
      </c>
      <c r="V25" s="6">
        <f t="shared" si="4"/>
        <v>3992.1006400000001</v>
      </c>
      <c r="W25">
        <f>$G25*0.0267</f>
        <v>11880.432000000001</v>
      </c>
      <c r="X25" s="6">
        <f t="shared" si="52"/>
        <v>40.523200000000003</v>
      </c>
      <c r="Y25" s="6">
        <f t="shared" si="53"/>
        <v>162.09280000000001</v>
      </c>
      <c r="Z25" s="6">
        <f t="shared" si="54"/>
        <v>868.76053333333346</v>
      </c>
      <c r="AA25" s="6">
        <f t="shared" si="55"/>
        <v>258.06880000000001</v>
      </c>
      <c r="AB25" s="6">
        <f t="shared" si="56"/>
        <v>1052.1813333333334</v>
      </c>
      <c r="AC25" s="6">
        <f t="shared" si="57"/>
        <v>300.72480000000002</v>
      </c>
      <c r="AD25" s="6">
        <f>$G25*0.00044</f>
        <v>195.7824</v>
      </c>
      <c r="AE25">
        <f t="shared" ref="AE25" si="80">SUM(R25:AD25)</f>
        <v>25963.194706666669</v>
      </c>
      <c r="AF25" s="5">
        <f t="shared" si="11"/>
        <v>3.8259274839186198E-3</v>
      </c>
      <c r="AG25" s="11">
        <f t="shared" si="29"/>
        <v>3.1242945093285473E-3</v>
      </c>
      <c r="AH25" s="5">
        <f t="shared" si="12"/>
        <v>0.37798749772038204</v>
      </c>
      <c r="AI25" s="5">
        <f t="shared" si="13"/>
        <v>0.61888820777028952</v>
      </c>
      <c r="AJ25" s="5">
        <f t="shared" si="30"/>
        <v>1</v>
      </c>
      <c r="AK25" s="6">
        <f t="shared" si="77"/>
        <v>81.116666666666674</v>
      </c>
      <c r="AL25" s="6">
        <f t="shared" si="31"/>
        <v>2224.2603333333332</v>
      </c>
      <c r="AM25" s="6">
        <f t="shared" si="32"/>
        <v>5630.2169000000004</v>
      </c>
      <c r="AN25" s="6">
        <f t="shared" si="33"/>
        <v>-732.96193333333338</v>
      </c>
      <c r="AO25" s="6">
        <f t="shared" si="15"/>
        <v>3992.1006400000001</v>
      </c>
      <c r="AP25">
        <f>$G25*0.0267</f>
        <v>11880.432000000001</v>
      </c>
      <c r="AQ25" s="6">
        <f t="shared" si="68"/>
        <v>40.464300000000001</v>
      </c>
      <c r="AR25" s="6">
        <f t="shared" si="69"/>
        <v>161.85720000000001</v>
      </c>
      <c r="AS25" s="6">
        <f t="shared" si="70"/>
        <v>867.4978000000001</v>
      </c>
      <c r="AT25" s="6">
        <f t="shared" si="71"/>
        <v>257.69370000000004</v>
      </c>
      <c r="AU25" s="6">
        <f t="shared" si="72"/>
        <v>1050.652</v>
      </c>
      <c r="AV25" s="6">
        <f t="shared" si="73"/>
        <v>300.28770000000003</v>
      </c>
      <c r="AW25" s="6">
        <f>$G25*0.00044</f>
        <v>195.7824</v>
      </c>
      <c r="AX25">
        <f t="shared" si="41"/>
        <v>25949.399706666667</v>
      </c>
      <c r="AY25" s="6">
        <f t="shared" si="42"/>
        <v>13.795000000001892</v>
      </c>
      <c r="AZ25" s="6">
        <f t="shared" si="78"/>
        <v>81.116666666666674</v>
      </c>
      <c r="BA25" s="6">
        <f t="shared" si="17"/>
        <v>2226.7971666666667</v>
      </c>
      <c r="BB25" s="6">
        <f t="shared" si="43"/>
        <v>5638.4122666666672</v>
      </c>
      <c r="BC25" s="6">
        <f t="shared" si="18"/>
        <v>-733.79790000000003</v>
      </c>
      <c r="BD25" s="6">
        <f t="shared" si="44"/>
        <v>3992.0937476666672</v>
      </c>
      <c r="BE25">
        <f t="shared" si="74"/>
        <v>11880.4053</v>
      </c>
      <c r="BF25" s="6">
        <f t="shared" si="62"/>
        <v>40.523200000000003</v>
      </c>
      <c r="BG25" s="6">
        <f t="shared" si="63"/>
        <v>162.09280000000001</v>
      </c>
      <c r="BH25" s="6">
        <f t="shared" si="64"/>
        <v>868.76053333333346</v>
      </c>
      <c r="BI25" s="6">
        <f t="shared" si="65"/>
        <v>258.06880000000001</v>
      </c>
      <c r="BJ25" s="6">
        <f t="shared" si="66"/>
        <v>1052.1813333333334</v>
      </c>
      <c r="BK25" s="6">
        <f t="shared" si="67"/>
        <v>300.72480000000002</v>
      </c>
      <c r="BL25" s="6">
        <f t="shared" si="75"/>
        <v>195.78196</v>
      </c>
      <c r="BM25">
        <f t="shared" si="47"/>
        <v>25963.160674333336</v>
      </c>
      <c r="BN25" s="7">
        <f t="shared" si="48"/>
        <v>3.403233333301614E-2</v>
      </c>
    </row>
    <row r="26" spans="2:66" x14ac:dyDescent="0.25">
      <c r="B26" t="s">
        <v>12</v>
      </c>
      <c r="C26">
        <v>2013</v>
      </c>
      <c r="D26">
        <v>2013</v>
      </c>
      <c r="E26" s="1">
        <v>41430</v>
      </c>
      <c r="F26" s="1">
        <v>41460</v>
      </c>
      <c r="G26" s="2">
        <v>417600</v>
      </c>
      <c r="H26" s="3">
        <v>25781.62</v>
      </c>
      <c r="I26">
        <v>703</v>
      </c>
      <c r="J26">
        <v>705</v>
      </c>
      <c r="K26" t="s">
        <v>13</v>
      </c>
      <c r="L26" s="4">
        <v>13920</v>
      </c>
      <c r="M26" s="3">
        <v>859.39</v>
      </c>
      <c r="N26" s="13">
        <v>6.1699999999999998E-2</v>
      </c>
      <c r="O26">
        <v>82.27</v>
      </c>
      <c r="P26">
        <f t="shared" si="0"/>
        <v>30</v>
      </c>
      <c r="Q26" s="5">
        <f t="shared" si="25"/>
        <v>1</v>
      </c>
      <c r="R26" s="6">
        <f t="shared" si="76"/>
        <v>78.5</v>
      </c>
      <c r="S26" s="6">
        <f t="shared" si="2"/>
        <v>2159.875</v>
      </c>
      <c r="T26" s="6">
        <f t="shared" si="26"/>
        <v>5575.4930000000004</v>
      </c>
      <c r="U26" s="6">
        <f t="shared" si="3"/>
        <v>-711.74499999999989</v>
      </c>
      <c r="V26" s="6">
        <f t="shared" si="4"/>
        <v>3680.8320000000003</v>
      </c>
      <c r="W26">
        <f>$G26*0.03014</f>
        <v>12586.464</v>
      </c>
      <c r="X26" s="6">
        <f t="shared" ref="X26:X37" si="81">$I26*0.031*$Q26</f>
        <v>21.792999999999999</v>
      </c>
      <c r="Y26" s="6"/>
      <c r="Z26" s="6">
        <f t="shared" ref="Z26:Z37" si="82">$I26*1.125*$Q26</f>
        <v>790.875</v>
      </c>
      <c r="AA26" s="6">
        <f t="shared" ref="AA26:AA37" si="83">$I26*0.375*$Q26</f>
        <v>263.625</v>
      </c>
      <c r="AB26" s="6">
        <f t="shared" ref="AB26:AB37" si="84">$I26*1.755*$Q26</f>
        <v>1233.7649999999999</v>
      </c>
      <c r="AC26" s="6">
        <f t="shared" ref="AC26:AC37" si="85">$I26*0.172*$Q26</f>
        <v>120.916</v>
      </c>
      <c r="AD26" s="6">
        <f t="shared" ref="AD26:AD61" si="86">$G26*0.00044</f>
        <v>183.744</v>
      </c>
      <c r="AE26">
        <f t="shared" ref="AE26:AE49" si="87">SUM(R26:AD26)</f>
        <v>25984.137000000002</v>
      </c>
      <c r="AF26" s="5">
        <f t="shared" si="11"/>
        <v>7.8550921160114636E-3</v>
      </c>
      <c r="AG26" s="11">
        <f t="shared" ref="AG26:AG61" si="88">R26/$AE26</f>
        <v>3.0210739729397205E-3</v>
      </c>
      <c r="AH26" s="5">
        <f t="shared" si="12"/>
        <v>0.36386034294692948</v>
      </c>
      <c r="AI26" s="5">
        <f t="shared" si="13"/>
        <v>0.63311858308013069</v>
      </c>
      <c r="AJ26" s="5">
        <f t="shared" ref="AJ26:AJ61" si="89">SUM(AG26:AI26)</f>
        <v>0.99999999999999989</v>
      </c>
      <c r="AK26" s="6">
        <f t="shared" si="77"/>
        <v>78.5</v>
      </c>
      <c r="AL26" s="6">
        <f t="shared" si="31"/>
        <v>2157.42</v>
      </c>
      <c r="AM26" s="6">
        <f t="shared" si="32"/>
        <v>5567.5619999999999</v>
      </c>
      <c r="AN26" s="6">
        <f t="shared" si="33"/>
        <v>-710.93599999999992</v>
      </c>
      <c r="AO26" s="6">
        <f t="shared" si="15"/>
        <v>3680.8320000000003</v>
      </c>
      <c r="AP26">
        <f>$G26*0.03014</f>
        <v>12586.464</v>
      </c>
      <c r="AQ26" s="6">
        <f>($I26-1)*0.031*$Q26</f>
        <v>21.762</v>
      </c>
      <c r="AR26" s="6"/>
      <c r="AS26" s="6">
        <f>($I26-1)*1.125*$Q26</f>
        <v>789.75</v>
      </c>
      <c r="AT26" s="6">
        <f>($I26-1)*0.375*$Q26</f>
        <v>263.25</v>
      </c>
      <c r="AU26" s="6">
        <f>($I26-1)*1.755*$Q26</f>
        <v>1232.01</v>
      </c>
      <c r="AV26" s="6">
        <f>($I26-1)*0.172*$Q26</f>
        <v>120.74399999999999</v>
      </c>
      <c r="AW26" s="6">
        <f t="shared" ref="AW26:AW61" si="90">$G26*0.00044</f>
        <v>183.744</v>
      </c>
      <c r="AX26">
        <f t="shared" si="41"/>
        <v>25971.101999999995</v>
      </c>
      <c r="AY26" s="6">
        <f t="shared" si="42"/>
        <v>13.03500000000713</v>
      </c>
      <c r="AZ26" s="6">
        <f t="shared" si="78"/>
        <v>78.5</v>
      </c>
      <c r="BA26" s="6">
        <f t="shared" si="17"/>
        <v>2159.875</v>
      </c>
      <c r="BB26" s="6">
        <f t="shared" si="43"/>
        <v>5575.4930000000004</v>
      </c>
      <c r="BC26" s="6">
        <f t="shared" si="18"/>
        <v>-711.74499999999989</v>
      </c>
      <c r="BD26" s="6">
        <f t="shared" si="44"/>
        <v>3680.8253300000001</v>
      </c>
      <c r="BE26">
        <f>($G26-1)*0.03014</f>
        <v>12586.433859999999</v>
      </c>
      <c r="BF26" s="6">
        <f t="shared" ref="BF26:BF37" si="91">$I26*0.031*$Q26</f>
        <v>21.792999999999999</v>
      </c>
      <c r="BG26" s="6"/>
      <c r="BH26" s="6">
        <f t="shared" ref="BH26:BH37" si="92">$I26*1.125*$Q26</f>
        <v>790.875</v>
      </c>
      <c r="BI26" s="6">
        <f t="shared" ref="BI26:BI37" si="93">$I26*0.375*$Q26</f>
        <v>263.625</v>
      </c>
      <c r="BJ26" s="6">
        <f t="shared" ref="BJ26:BJ37" si="94">$I26*1.755*$Q26</f>
        <v>1233.7649999999999</v>
      </c>
      <c r="BK26" s="6">
        <f t="shared" ref="BK26:BK37" si="95">$I26*0.172*$Q26</f>
        <v>120.916</v>
      </c>
      <c r="BL26" s="6">
        <f t="shared" si="75"/>
        <v>183.74356</v>
      </c>
      <c r="BM26">
        <f t="shared" si="47"/>
        <v>25984.099750000001</v>
      </c>
      <c r="BN26" s="7">
        <f t="shared" si="48"/>
        <v>3.7250000001222361E-2</v>
      </c>
    </row>
    <row r="27" spans="2:66" x14ac:dyDescent="0.25">
      <c r="B27" t="s">
        <v>14</v>
      </c>
      <c r="C27">
        <v>2013</v>
      </c>
      <c r="D27">
        <v>2013</v>
      </c>
      <c r="E27" s="1">
        <v>41397</v>
      </c>
      <c r="F27" s="1">
        <v>41430</v>
      </c>
      <c r="G27" s="2">
        <v>433440</v>
      </c>
      <c r="H27" s="3">
        <v>26752.6</v>
      </c>
      <c r="I27">
        <v>634</v>
      </c>
      <c r="J27">
        <v>705</v>
      </c>
      <c r="K27" t="s">
        <v>13</v>
      </c>
      <c r="L27" s="4">
        <v>13134.55</v>
      </c>
      <c r="M27" s="3">
        <v>810.68</v>
      </c>
      <c r="N27" s="13">
        <v>6.1699999999999998E-2</v>
      </c>
      <c r="O27">
        <v>77.63</v>
      </c>
      <c r="P27">
        <f t="shared" si="0"/>
        <v>33</v>
      </c>
      <c r="Q27" s="5">
        <f t="shared" si="25"/>
        <v>1.1000000000000001</v>
      </c>
      <c r="R27" s="6">
        <f t="shared" si="76"/>
        <v>86.350000000000009</v>
      </c>
      <c r="S27" s="6">
        <f t="shared" si="2"/>
        <v>2375.8625000000002</v>
      </c>
      <c r="T27" s="6">
        <f t="shared" si="26"/>
        <v>5531.0794000000005</v>
      </c>
      <c r="U27" s="6">
        <f t="shared" si="3"/>
        <v>-782.91949999999997</v>
      </c>
      <c r="V27" s="6">
        <f t="shared" si="4"/>
        <v>4165.1332800000009</v>
      </c>
      <c r="W27">
        <f t="shared" ref="W27:W37" si="96">$G27*0.03014</f>
        <v>13063.881600000001</v>
      </c>
      <c r="X27" s="6">
        <f t="shared" si="81"/>
        <v>21.619400000000002</v>
      </c>
      <c r="Y27" s="6"/>
      <c r="Z27" s="6">
        <f t="shared" si="82"/>
        <v>784.57500000000005</v>
      </c>
      <c r="AA27" s="6">
        <f t="shared" si="83"/>
        <v>261.52500000000003</v>
      </c>
      <c r="AB27" s="6">
        <f t="shared" si="84"/>
        <v>1223.9369999999999</v>
      </c>
      <c r="AC27" s="6">
        <f t="shared" si="85"/>
        <v>119.9528</v>
      </c>
      <c r="AD27" s="6">
        <f t="shared" si="86"/>
        <v>190.71360000000001</v>
      </c>
      <c r="AE27">
        <f t="shared" si="87"/>
        <v>27041.710080000001</v>
      </c>
      <c r="AF27" s="5">
        <f t="shared" si="11"/>
        <v>1.080680307708418E-2</v>
      </c>
      <c r="AG27" s="11">
        <f t="shared" si="88"/>
        <v>3.1932152125195776E-3</v>
      </c>
      <c r="AH27" s="5">
        <f t="shared" si="12"/>
        <v>0.3526267965964377</v>
      </c>
      <c r="AI27" s="5">
        <f t="shared" si="13"/>
        <v>0.64417998819104272</v>
      </c>
      <c r="AJ27" s="5">
        <f t="shared" si="89"/>
        <v>1</v>
      </c>
      <c r="AK27" s="6">
        <f t="shared" si="77"/>
        <v>86.350000000000009</v>
      </c>
      <c r="AL27" s="6">
        <f t="shared" si="31"/>
        <v>2373.1620000000003</v>
      </c>
      <c r="AM27" s="6">
        <f t="shared" si="32"/>
        <v>5522.3553000000011</v>
      </c>
      <c r="AN27" s="6">
        <f t="shared" si="33"/>
        <v>-782.02959999999996</v>
      </c>
      <c r="AO27" s="6">
        <f t="shared" si="15"/>
        <v>4165.1332800000009</v>
      </c>
      <c r="AP27">
        <f t="shared" ref="AP27:AP37" si="97">$G27*0.03014</f>
        <v>13063.881600000001</v>
      </c>
      <c r="AQ27" s="6">
        <f t="shared" ref="AQ27:AQ37" si="98">($I27-1)*0.031*$Q27</f>
        <v>21.585300000000004</v>
      </c>
      <c r="AR27" s="6"/>
      <c r="AS27" s="6">
        <f t="shared" ref="AS27:AS37" si="99">($I27-1)*1.125*$Q27</f>
        <v>783.33750000000009</v>
      </c>
      <c r="AT27" s="6">
        <f t="shared" ref="AT27:AT37" si="100">($I27-1)*0.375*$Q27</f>
        <v>261.11250000000001</v>
      </c>
      <c r="AU27" s="6">
        <f t="shared" ref="AU27:AU37" si="101">($I27-1)*1.755*$Q27</f>
        <v>1222.0065</v>
      </c>
      <c r="AV27" s="6">
        <f t="shared" ref="AV27:AV37" si="102">($I27-1)*0.172*$Q27</f>
        <v>119.7636</v>
      </c>
      <c r="AW27" s="6">
        <f t="shared" si="90"/>
        <v>190.71360000000001</v>
      </c>
      <c r="AX27">
        <f t="shared" si="41"/>
        <v>27027.371579999999</v>
      </c>
      <c r="AY27" s="6">
        <f t="shared" si="42"/>
        <v>14.338500000001659</v>
      </c>
      <c r="AZ27" s="6">
        <f t="shared" si="78"/>
        <v>86.350000000000009</v>
      </c>
      <c r="BA27" s="6">
        <f t="shared" si="17"/>
        <v>2375.8625000000002</v>
      </c>
      <c r="BB27" s="6">
        <f t="shared" si="43"/>
        <v>5531.0794000000005</v>
      </c>
      <c r="BC27" s="6">
        <f t="shared" si="18"/>
        <v>-782.91949999999997</v>
      </c>
      <c r="BD27" s="6">
        <f t="shared" si="44"/>
        <v>4165.125943</v>
      </c>
      <c r="BE27">
        <f t="shared" ref="BE27:BE37" si="103">($G27-1)*0.03014</f>
        <v>13063.85146</v>
      </c>
      <c r="BF27" s="6">
        <f t="shared" si="91"/>
        <v>21.619400000000002</v>
      </c>
      <c r="BG27" s="6"/>
      <c r="BH27" s="6">
        <f t="shared" si="92"/>
        <v>784.57500000000005</v>
      </c>
      <c r="BI27" s="6">
        <f t="shared" si="93"/>
        <v>261.52500000000003</v>
      </c>
      <c r="BJ27" s="6">
        <f t="shared" si="94"/>
        <v>1223.9369999999999</v>
      </c>
      <c r="BK27" s="6">
        <f t="shared" si="95"/>
        <v>119.9528</v>
      </c>
      <c r="BL27" s="6">
        <f t="shared" si="75"/>
        <v>190.71316000000002</v>
      </c>
      <c r="BM27">
        <f t="shared" si="47"/>
        <v>27041.672162999996</v>
      </c>
      <c r="BN27" s="7">
        <f t="shared" si="48"/>
        <v>3.7917000005109003E-2</v>
      </c>
    </row>
    <row r="28" spans="2:66" x14ac:dyDescent="0.25">
      <c r="B28" t="s">
        <v>15</v>
      </c>
      <c r="C28">
        <v>2013</v>
      </c>
      <c r="D28">
        <v>2013</v>
      </c>
      <c r="E28" s="1">
        <v>41369</v>
      </c>
      <c r="F28" s="1">
        <v>41397</v>
      </c>
      <c r="G28" s="2">
        <v>345600</v>
      </c>
      <c r="H28" s="3">
        <v>21873.439999999999</v>
      </c>
      <c r="I28">
        <v>634</v>
      </c>
      <c r="J28">
        <v>705</v>
      </c>
      <c r="K28" t="s">
        <v>13</v>
      </c>
      <c r="L28" s="4">
        <v>12342.86</v>
      </c>
      <c r="M28" s="3">
        <v>781.19</v>
      </c>
      <c r="N28" s="13">
        <v>6.3299999999999995E-2</v>
      </c>
      <c r="O28">
        <v>72.95</v>
      </c>
      <c r="P28">
        <f t="shared" si="0"/>
        <v>28</v>
      </c>
      <c r="Q28" s="5">
        <f t="shared" si="25"/>
        <v>0.93333333333333335</v>
      </c>
      <c r="R28" s="6">
        <f t="shared" si="76"/>
        <v>73.266666666666666</v>
      </c>
      <c r="S28" s="6">
        <f t="shared" si="2"/>
        <v>2015.8833333333334</v>
      </c>
      <c r="T28" s="6">
        <f t="shared" si="26"/>
        <v>4693.0370666666668</v>
      </c>
      <c r="U28" s="6">
        <f t="shared" si="3"/>
        <v>-664.29533333333325</v>
      </c>
      <c r="V28" s="6">
        <f t="shared" si="4"/>
        <v>2987.2192</v>
      </c>
      <c r="W28">
        <f t="shared" si="96"/>
        <v>10416.384</v>
      </c>
      <c r="X28" s="6">
        <f t="shared" si="81"/>
        <v>18.343733333333333</v>
      </c>
      <c r="Y28" s="6"/>
      <c r="Z28" s="6">
        <f t="shared" si="82"/>
        <v>665.7</v>
      </c>
      <c r="AA28" s="6">
        <f t="shared" si="83"/>
        <v>221.9</v>
      </c>
      <c r="AB28" s="6">
        <f t="shared" si="84"/>
        <v>1038.492</v>
      </c>
      <c r="AC28" s="6">
        <f t="shared" si="85"/>
        <v>101.77813333333333</v>
      </c>
      <c r="AD28" s="6">
        <f t="shared" si="86"/>
        <v>152.06399999999999</v>
      </c>
      <c r="AE28">
        <f t="shared" si="87"/>
        <v>21719.772800000002</v>
      </c>
      <c r="AF28" s="5">
        <f t="shared" si="11"/>
        <v>7.0252872890590708E-3</v>
      </c>
      <c r="AG28" s="11">
        <f t="shared" si="88"/>
        <v>3.3732703993416845E-3</v>
      </c>
      <c r="AH28" s="5">
        <f t="shared" si="12"/>
        <v>0.37251029317089962</v>
      </c>
      <c r="AI28" s="5">
        <f t="shared" si="13"/>
        <v>0.62411643642975856</v>
      </c>
      <c r="AJ28" s="5">
        <f t="shared" si="89"/>
        <v>0.99999999999999989</v>
      </c>
      <c r="AK28" s="6">
        <f t="shared" si="77"/>
        <v>73.266666666666666</v>
      </c>
      <c r="AL28" s="6">
        <f t="shared" si="31"/>
        <v>2013.5920000000001</v>
      </c>
      <c r="AM28" s="6">
        <f t="shared" si="32"/>
        <v>4685.6348000000007</v>
      </c>
      <c r="AN28" s="6">
        <f t="shared" si="33"/>
        <v>-663.54026666666664</v>
      </c>
      <c r="AO28" s="6">
        <f t="shared" si="15"/>
        <v>2987.2192</v>
      </c>
      <c r="AP28">
        <f t="shared" si="97"/>
        <v>10416.384</v>
      </c>
      <c r="AQ28" s="6">
        <f t="shared" si="98"/>
        <v>18.314800000000002</v>
      </c>
      <c r="AR28" s="6"/>
      <c r="AS28" s="6">
        <f t="shared" si="99"/>
        <v>664.65</v>
      </c>
      <c r="AT28" s="6">
        <f t="shared" si="100"/>
        <v>221.55</v>
      </c>
      <c r="AU28" s="6">
        <f t="shared" si="101"/>
        <v>1036.854</v>
      </c>
      <c r="AV28" s="6">
        <f t="shared" si="102"/>
        <v>101.6176</v>
      </c>
      <c r="AW28" s="6">
        <f t="shared" si="90"/>
        <v>152.06399999999999</v>
      </c>
      <c r="AX28">
        <f t="shared" si="41"/>
        <v>21707.606800000001</v>
      </c>
      <c r="AY28" s="6">
        <f t="shared" si="42"/>
        <v>12.166000000001077</v>
      </c>
      <c r="AZ28" s="6">
        <f t="shared" si="78"/>
        <v>73.266666666666666</v>
      </c>
      <c r="BA28" s="6">
        <f t="shared" si="17"/>
        <v>2015.8833333333334</v>
      </c>
      <c r="BB28" s="6">
        <f t="shared" si="43"/>
        <v>4693.0370666666668</v>
      </c>
      <c r="BC28" s="6">
        <f t="shared" si="18"/>
        <v>-664.29533333333325</v>
      </c>
      <c r="BD28" s="6">
        <f t="shared" si="44"/>
        <v>2987.2129746666665</v>
      </c>
      <c r="BE28">
        <f t="shared" si="103"/>
        <v>10416.353859999999</v>
      </c>
      <c r="BF28" s="6">
        <f t="shared" si="91"/>
        <v>18.343733333333333</v>
      </c>
      <c r="BG28" s="6"/>
      <c r="BH28" s="6">
        <f t="shared" si="92"/>
        <v>665.7</v>
      </c>
      <c r="BI28" s="6">
        <f t="shared" si="93"/>
        <v>221.9</v>
      </c>
      <c r="BJ28" s="6">
        <f t="shared" si="94"/>
        <v>1038.492</v>
      </c>
      <c r="BK28" s="6">
        <f t="shared" si="95"/>
        <v>101.77813333333333</v>
      </c>
      <c r="BL28" s="6">
        <f t="shared" si="75"/>
        <v>152.06356</v>
      </c>
      <c r="BM28">
        <f t="shared" si="47"/>
        <v>21719.735994666669</v>
      </c>
      <c r="BN28" s="7">
        <f t="shared" si="48"/>
        <v>3.6805333333177259E-2</v>
      </c>
    </row>
    <row r="29" spans="2:66" x14ac:dyDescent="0.25">
      <c r="B29" t="s">
        <v>16</v>
      </c>
      <c r="C29">
        <v>2013</v>
      </c>
      <c r="D29">
        <v>2013</v>
      </c>
      <c r="E29" s="1">
        <v>41339</v>
      </c>
      <c r="F29" s="1">
        <v>41369</v>
      </c>
      <c r="G29" s="2">
        <v>357840</v>
      </c>
      <c r="H29" s="3">
        <v>22972.23</v>
      </c>
      <c r="I29">
        <v>634</v>
      </c>
      <c r="J29">
        <v>705</v>
      </c>
      <c r="K29" t="s">
        <v>13</v>
      </c>
      <c r="L29" s="4">
        <v>11928</v>
      </c>
      <c r="M29" s="3">
        <v>765.74</v>
      </c>
      <c r="N29" s="13">
        <v>6.4199999999999993E-2</v>
      </c>
      <c r="O29">
        <v>70.5</v>
      </c>
      <c r="P29">
        <f t="shared" si="0"/>
        <v>30</v>
      </c>
      <c r="Q29" s="5">
        <f t="shared" si="25"/>
        <v>1</v>
      </c>
      <c r="R29" s="6">
        <f t="shared" si="76"/>
        <v>78.5</v>
      </c>
      <c r="S29" s="6">
        <f t="shared" si="2"/>
        <v>2159.875</v>
      </c>
      <c r="T29" s="6">
        <f t="shared" si="26"/>
        <v>5028.2539999999999</v>
      </c>
      <c r="U29" s="6">
        <f t="shared" si="3"/>
        <v>-711.74499999999989</v>
      </c>
      <c r="V29" s="6">
        <f t="shared" si="4"/>
        <v>3282.2328000000002</v>
      </c>
      <c r="W29">
        <f t="shared" si="96"/>
        <v>10785.2976</v>
      </c>
      <c r="X29" s="6">
        <f t="shared" si="81"/>
        <v>19.654</v>
      </c>
      <c r="Y29" s="6"/>
      <c r="Z29" s="6">
        <f t="shared" si="82"/>
        <v>713.25</v>
      </c>
      <c r="AA29" s="6">
        <f t="shared" si="83"/>
        <v>237.75</v>
      </c>
      <c r="AB29" s="6">
        <f t="shared" si="84"/>
        <v>1112.6699999999998</v>
      </c>
      <c r="AC29" s="6">
        <f t="shared" si="85"/>
        <v>109.04799999999999</v>
      </c>
      <c r="AD29" s="6">
        <f t="shared" si="86"/>
        <v>157.4496</v>
      </c>
      <c r="AE29">
        <f t="shared" si="87"/>
        <v>22972.235999999997</v>
      </c>
      <c r="AF29" s="5">
        <f t="shared" si="11"/>
        <v>2.6118491751059353E-7</v>
      </c>
      <c r="AG29" s="11">
        <f t="shared" si="88"/>
        <v>3.4171684462931695E-3</v>
      </c>
      <c r="AH29" s="5">
        <f t="shared" si="12"/>
        <v>0.37735795505496295</v>
      </c>
      <c r="AI29" s="5">
        <f t="shared" si="13"/>
        <v>0.61922487649874403</v>
      </c>
      <c r="AJ29" s="5">
        <f t="shared" si="89"/>
        <v>1.0000000000000002</v>
      </c>
      <c r="AK29" s="6">
        <f t="shared" si="77"/>
        <v>78.5</v>
      </c>
      <c r="AL29" s="6">
        <f t="shared" si="31"/>
        <v>2157.42</v>
      </c>
      <c r="AM29" s="6">
        <f t="shared" si="32"/>
        <v>5020.3230000000003</v>
      </c>
      <c r="AN29" s="6">
        <f t="shared" si="33"/>
        <v>-710.93599999999992</v>
      </c>
      <c r="AO29" s="6">
        <f t="shared" si="15"/>
        <v>3282.2328000000002</v>
      </c>
      <c r="AP29">
        <f t="shared" si="97"/>
        <v>10785.2976</v>
      </c>
      <c r="AQ29" s="6">
        <f t="shared" si="98"/>
        <v>19.623000000000001</v>
      </c>
      <c r="AR29" s="6"/>
      <c r="AS29" s="6">
        <f t="shared" si="99"/>
        <v>712.125</v>
      </c>
      <c r="AT29" s="6">
        <f t="shared" si="100"/>
        <v>237.375</v>
      </c>
      <c r="AU29" s="6">
        <f t="shared" si="101"/>
        <v>1110.915</v>
      </c>
      <c r="AV29" s="6">
        <f t="shared" si="102"/>
        <v>108.87599999999999</v>
      </c>
      <c r="AW29" s="6">
        <f t="shared" si="90"/>
        <v>157.4496</v>
      </c>
      <c r="AX29">
        <f t="shared" si="41"/>
        <v>22959.201000000001</v>
      </c>
      <c r="AY29" s="6">
        <f t="shared" si="42"/>
        <v>13.034999999996217</v>
      </c>
      <c r="AZ29" s="6">
        <f t="shared" si="78"/>
        <v>78.5</v>
      </c>
      <c r="BA29" s="6">
        <f t="shared" si="17"/>
        <v>2159.875</v>
      </c>
      <c r="BB29" s="6">
        <f t="shared" si="43"/>
        <v>5028.2539999999999</v>
      </c>
      <c r="BC29" s="6">
        <f t="shared" si="18"/>
        <v>-711.74499999999989</v>
      </c>
      <c r="BD29" s="6">
        <f t="shared" si="44"/>
        <v>3282.22613</v>
      </c>
      <c r="BE29">
        <f t="shared" si="103"/>
        <v>10785.267460000001</v>
      </c>
      <c r="BF29" s="6">
        <f t="shared" si="91"/>
        <v>19.654</v>
      </c>
      <c r="BG29" s="6"/>
      <c r="BH29" s="6">
        <f t="shared" si="92"/>
        <v>713.25</v>
      </c>
      <c r="BI29" s="6">
        <f t="shared" si="93"/>
        <v>237.75</v>
      </c>
      <c r="BJ29" s="6">
        <f t="shared" si="94"/>
        <v>1112.6699999999998</v>
      </c>
      <c r="BK29" s="6">
        <f t="shared" si="95"/>
        <v>109.04799999999999</v>
      </c>
      <c r="BL29" s="6">
        <f t="shared" si="75"/>
        <v>157.44916000000001</v>
      </c>
      <c r="BM29">
        <f t="shared" si="47"/>
        <v>22972.19875</v>
      </c>
      <c r="BN29" s="7">
        <f t="shared" si="48"/>
        <v>3.7249999997584382E-2</v>
      </c>
    </row>
    <row r="30" spans="2:66" x14ac:dyDescent="0.25">
      <c r="B30" t="s">
        <v>17</v>
      </c>
      <c r="C30">
        <v>2013</v>
      </c>
      <c r="D30">
        <v>2013</v>
      </c>
      <c r="E30" s="1">
        <v>41310</v>
      </c>
      <c r="F30" s="1">
        <v>41339</v>
      </c>
      <c r="G30" s="2">
        <v>358560</v>
      </c>
      <c r="H30" s="3">
        <v>22677.66</v>
      </c>
      <c r="I30">
        <v>634</v>
      </c>
      <c r="J30">
        <v>705</v>
      </c>
      <c r="K30" t="s">
        <v>13</v>
      </c>
      <c r="L30" s="4">
        <v>12364.14</v>
      </c>
      <c r="M30" s="3">
        <v>781.99</v>
      </c>
      <c r="N30" s="13">
        <v>6.3200000000000006E-2</v>
      </c>
      <c r="O30">
        <v>73.069999999999993</v>
      </c>
      <c r="P30">
        <f t="shared" si="0"/>
        <v>29</v>
      </c>
      <c r="Q30" s="5">
        <f t="shared" si="25"/>
        <v>0.96666666666666667</v>
      </c>
      <c r="R30" s="6">
        <f t="shared" si="76"/>
        <v>75.88333333333334</v>
      </c>
      <c r="S30" s="6">
        <f t="shared" si="2"/>
        <v>2087.8791666666666</v>
      </c>
      <c r="T30" s="6">
        <f t="shared" si="26"/>
        <v>4860.6455333333333</v>
      </c>
      <c r="U30" s="6">
        <f t="shared" si="3"/>
        <v>-688.02016666666657</v>
      </c>
      <c r="V30" s="6">
        <f t="shared" si="4"/>
        <v>3177.4673600000001</v>
      </c>
      <c r="W30">
        <f t="shared" si="96"/>
        <v>10806.9984</v>
      </c>
      <c r="X30" s="6">
        <f t="shared" si="81"/>
        <v>18.998866666666668</v>
      </c>
      <c r="Y30" s="6"/>
      <c r="Z30" s="6">
        <f t="shared" si="82"/>
        <v>689.47500000000002</v>
      </c>
      <c r="AA30" s="6">
        <f t="shared" si="83"/>
        <v>229.82499999999999</v>
      </c>
      <c r="AB30" s="6">
        <f t="shared" si="84"/>
        <v>1075.5809999999999</v>
      </c>
      <c r="AC30" s="6">
        <f t="shared" si="85"/>
        <v>105.41306666666665</v>
      </c>
      <c r="AD30" s="6">
        <f t="shared" si="86"/>
        <v>157.7664</v>
      </c>
      <c r="AE30">
        <f t="shared" si="87"/>
        <v>22597.912959999998</v>
      </c>
      <c r="AF30" s="5">
        <f t="shared" si="11"/>
        <v>3.5165462397796781E-3</v>
      </c>
      <c r="AG30" s="11">
        <f t="shared" si="88"/>
        <v>3.3579797155450829E-3</v>
      </c>
      <c r="AH30" s="5">
        <f t="shared" si="12"/>
        <v>0.37082174276445518</v>
      </c>
      <c r="AI30" s="5">
        <f t="shared" si="13"/>
        <v>0.62582027751999991</v>
      </c>
      <c r="AJ30" s="5">
        <f t="shared" si="89"/>
        <v>1.0000000000000002</v>
      </c>
      <c r="AK30" s="6">
        <f t="shared" si="77"/>
        <v>75.88333333333334</v>
      </c>
      <c r="AL30" s="6">
        <f t="shared" si="31"/>
        <v>2085.5060000000003</v>
      </c>
      <c r="AM30" s="6">
        <f t="shared" si="32"/>
        <v>4852.9789000000001</v>
      </c>
      <c r="AN30" s="6">
        <f t="shared" si="33"/>
        <v>-687.23813333333328</v>
      </c>
      <c r="AO30" s="6">
        <f t="shared" si="15"/>
        <v>3177.4673600000001</v>
      </c>
      <c r="AP30">
        <f t="shared" si="97"/>
        <v>10806.9984</v>
      </c>
      <c r="AQ30" s="6">
        <f t="shared" si="98"/>
        <v>18.968900000000001</v>
      </c>
      <c r="AR30" s="6"/>
      <c r="AS30" s="6">
        <f t="shared" si="99"/>
        <v>688.38750000000005</v>
      </c>
      <c r="AT30" s="6">
        <f t="shared" si="100"/>
        <v>229.46250000000001</v>
      </c>
      <c r="AU30" s="6">
        <f t="shared" si="101"/>
        <v>1073.8844999999999</v>
      </c>
      <c r="AV30" s="6">
        <f t="shared" si="102"/>
        <v>105.24679999999999</v>
      </c>
      <c r="AW30" s="6">
        <f t="shared" si="90"/>
        <v>157.7664</v>
      </c>
      <c r="AX30">
        <f t="shared" si="41"/>
        <v>22585.312460000005</v>
      </c>
      <c r="AY30" s="6">
        <f t="shared" si="42"/>
        <v>12.60049999999319</v>
      </c>
      <c r="AZ30" s="6">
        <f t="shared" si="78"/>
        <v>75.88333333333334</v>
      </c>
      <c r="BA30" s="6">
        <f t="shared" si="17"/>
        <v>2087.8791666666666</v>
      </c>
      <c r="BB30" s="6">
        <f t="shared" si="43"/>
        <v>4860.6455333333333</v>
      </c>
      <c r="BC30" s="6">
        <f t="shared" si="18"/>
        <v>-688.02016666666657</v>
      </c>
      <c r="BD30" s="6">
        <f t="shared" si="44"/>
        <v>3177.4609123333335</v>
      </c>
      <c r="BE30">
        <f t="shared" si="103"/>
        <v>10806.96826</v>
      </c>
      <c r="BF30" s="6">
        <f t="shared" si="91"/>
        <v>18.998866666666668</v>
      </c>
      <c r="BG30" s="6"/>
      <c r="BH30" s="6">
        <f t="shared" si="92"/>
        <v>689.47500000000002</v>
      </c>
      <c r="BI30" s="6">
        <f t="shared" si="93"/>
        <v>229.82499999999999</v>
      </c>
      <c r="BJ30" s="6">
        <f t="shared" si="94"/>
        <v>1075.5809999999999</v>
      </c>
      <c r="BK30" s="6">
        <f t="shared" si="95"/>
        <v>105.41306666666665</v>
      </c>
      <c r="BL30" s="6">
        <f t="shared" si="75"/>
        <v>157.76596000000001</v>
      </c>
      <c r="BM30">
        <f t="shared" si="47"/>
        <v>22597.875932333332</v>
      </c>
      <c r="BN30" s="7">
        <f t="shared" si="48"/>
        <v>3.7027666665380821E-2</v>
      </c>
    </row>
    <row r="31" spans="2:66" x14ac:dyDescent="0.25">
      <c r="B31" t="s">
        <v>18</v>
      </c>
      <c r="C31">
        <v>2013</v>
      </c>
      <c r="D31">
        <v>2013</v>
      </c>
      <c r="E31" s="1">
        <v>41281</v>
      </c>
      <c r="F31" s="1">
        <v>41310</v>
      </c>
      <c r="G31" s="2">
        <v>358560</v>
      </c>
      <c r="H31" s="3">
        <v>22677.66</v>
      </c>
      <c r="I31">
        <v>634</v>
      </c>
      <c r="J31">
        <v>705</v>
      </c>
      <c r="K31" t="s">
        <v>13</v>
      </c>
      <c r="L31" s="4">
        <v>12364.14</v>
      </c>
      <c r="M31" s="3">
        <v>781.99</v>
      </c>
      <c r="N31" s="13">
        <v>6.3200000000000006E-2</v>
      </c>
      <c r="O31">
        <v>73.069999999999993</v>
      </c>
      <c r="P31">
        <f t="shared" si="0"/>
        <v>29</v>
      </c>
      <c r="Q31" s="5">
        <f t="shared" si="25"/>
        <v>0.96666666666666667</v>
      </c>
      <c r="R31" s="6">
        <f t="shared" si="76"/>
        <v>75.88333333333334</v>
      </c>
      <c r="S31" s="6">
        <f t="shared" si="2"/>
        <v>2087.8791666666666</v>
      </c>
      <c r="T31" s="6">
        <f t="shared" si="26"/>
        <v>4860.6455333333333</v>
      </c>
      <c r="U31" s="6">
        <f t="shared" si="3"/>
        <v>-688.02016666666657</v>
      </c>
      <c r="V31" s="6">
        <f t="shared" si="4"/>
        <v>3177.4673600000001</v>
      </c>
      <c r="W31">
        <f t="shared" si="96"/>
        <v>10806.9984</v>
      </c>
      <c r="X31" s="6">
        <f t="shared" si="81"/>
        <v>18.998866666666668</v>
      </c>
      <c r="Y31" s="6"/>
      <c r="Z31" s="6">
        <f t="shared" si="82"/>
        <v>689.47500000000002</v>
      </c>
      <c r="AA31" s="6">
        <f t="shared" si="83"/>
        <v>229.82499999999999</v>
      </c>
      <c r="AB31" s="6">
        <f t="shared" si="84"/>
        <v>1075.5809999999999</v>
      </c>
      <c r="AC31" s="6">
        <f t="shared" si="85"/>
        <v>105.41306666666665</v>
      </c>
      <c r="AD31" s="6">
        <f t="shared" si="86"/>
        <v>157.7664</v>
      </c>
      <c r="AE31">
        <f t="shared" si="87"/>
        <v>22597.912959999998</v>
      </c>
      <c r="AF31" s="5">
        <f t="shared" si="11"/>
        <v>3.5165462397796781E-3</v>
      </c>
      <c r="AG31" s="11">
        <f t="shared" si="88"/>
        <v>3.3579797155450829E-3</v>
      </c>
      <c r="AH31" s="5">
        <f t="shared" si="12"/>
        <v>0.37082174276445518</v>
      </c>
      <c r="AI31" s="5">
        <f t="shared" si="13"/>
        <v>0.62582027751999991</v>
      </c>
      <c r="AJ31" s="5">
        <f t="shared" si="89"/>
        <v>1.0000000000000002</v>
      </c>
      <c r="AK31" s="6">
        <f t="shared" si="77"/>
        <v>75.88333333333334</v>
      </c>
      <c r="AL31" s="6">
        <f t="shared" si="31"/>
        <v>2085.5060000000003</v>
      </c>
      <c r="AM31" s="6">
        <f t="shared" si="32"/>
        <v>4852.9789000000001</v>
      </c>
      <c r="AN31" s="6">
        <f t="shared" si="33"/>
        <v>-687.23813333333328</v>
      </c>
      <c r="AO31" s="6">
        <f t="shared" si="15"/>
        <v>3177.4673600000001</v>
      </c>
      <c r="AP31">
        <f t="shared" si="97"/>
        <v>10806.9984</v>
      </c>
      <c r="AQ31" s="6">
        <f t="shared" si="98"/>
        <v>18.968900000000001</v>
      </c>
      <c r="AR31" s="6"/>
      <c r="AS31" s="6">
        <f t="shared" si="99"/>
        <v>688.38750000000005</v>
      </c>
      <c r="AT31" s="6">
        <f t="shared" si="100"/>
        <v>229.46250000000001</v>
      </c>
      <c r="AU31" s="6">
        <f t="shared" si="101"/>
        <v>1073.8844999999999</v>
      </c>
      <c r="AV31" s="6">
        <f t="shared" si="102"/>
        <v>105.24679999999999</v>
      </c>
      <c r="AW31" s="6">
        <f t="shared" si="90"/>
        <v>157.7664</v>
      </c>
      <c r="AX31">
        <f t="shared" si="41"/>
        <v>22585.312460000005</v>
      </c>
      <c r="AY31" s="6">
        <f t="shared" si="42"/>
        <v>12.60049999999319</v>
      </c>
      <c r="AZ31" s="6">
        <f t="shared" si="78"/>
        <v>75.88333333333334</v>
      </c>
      <c r="BA31" s="6">
        <f t="shared" si="17"/>
        <v>2087.8791666666666</v>
      </c>
      <c r="BB31" s="6">
        <f t="shared" si="43"/>
        <v>4860.6455333333333</v>
      </c>
      <c r="BC31" s="6">
        <f t="shared" si="18"/>
        <v>-688.02016666666657</v>
      </c>
      <c r="BD31" s="6">
        <f t="shared" si="44"/>
        <v>3177.4609123333335</v>
      </c>
      <c r="BE31">
        <f t="shared" si="103"/>
        <v>10806.96826</v>
      </c>
      <c r="BF31" s="6">
        <f t="shared" si="91"/>
        <v>18.998866666666668</v>
      </c>
      <c r="BG31" s="6"/>
      <c r="BH31" s="6">
        <f t="shared" si="92"/>
        <v>689.47500000000002</v>
      </c>
      <c r="BI31" s="6">
        <f t="shared" si="93"/>
        <v>229.82499999999999</v>
      </c>
      <c r="BJ31" s="6">
        <f t="shared" si="94"/>
        <v>1075.5809999999999</v>
      </c>
      <c r="BK31" s="6">
        <f t="shared" si="95"/>
        <v>105.41306666666665</v>
      </c>
      <c r="BL31" s="6">
        <f t="shared" si="75"/>
        <v>157.76596000000001</v>
      </c>
      <c r="BM31">
        <f t="shared" si="47"/>
        <v>22597.875932333332</v>
      </c>
      <c r="BN31" s="7">
        <f t="shared" si="48"/>
        <v>3.7027666665380821E-2</v>
      </c>
    </row>
    <row r="32" spans="2:66" x14ac:dyDescent="0.25">
      <c r="B32" t="s">
        <v>19</v>
      </c>
      <c r="C32">
        <v>2012</v>
      </c>
      <c r="D32">
        <v>2013</v>
      </c>
      <c r="E32" s="1">
        <v>41248</v>
      </c>
      <c r="F32" s="1">
        <v>41281</v>
      </c>
      <c r="G32" s="2">
        <v>410400</v>
      </c>
      <c r="H32" s="3">
        <v>25871.74</v>
      </c>
      <c r="I32">
        <v>634</v>
      </c>
      <c r="J32">
        <v>705</v>
      </c>
      <c r="K32" t="s">
        <v>13</v>
      </c>
      <c r="L32" s="4">
        <v>12436.36</v>
      </c>
      <c r="M32" s="3">
        <v>783.99</v>
      </c>
      <c r="N32" s="13">
        <v>6.3E-2</v>
      </c>
      <c r="O32">
        <v>73.5</v>
      </c>
      <c r="P32">
        <f t="shared" si="0"/>
        <v>33</v>
      </c>
      <c r="Q32" s="5">
        <f t="shared" si="25"/>
        <v>1.1000000000000001</v>
      </c>
      <c r="R32" s="6">
        <f t="shared" si="76"/>
        <v>86.350000000000009</v>
      </c>
      <c r="S32" s="6">
        <f t="shared" si="2"/>
        <v>2375.8625000000002</v>
      </c>
      <c r="T32" s="6">
        <f t="shared" si="26"/>
        <v>5531.0794000000005</v>
      </c>
      <c r="U32" s="6">
        <f t="shared" si="3"/>
        <v>-782.91949999999997</v>
      </c>
      <c r="V32" s="6">
        <f t="shared" si="4"/>
        <v>3996.0888000000004</v>
      </c>
      <c r="W32">
        <f t="shared" si="96"/>
        <v>12369.456</v>
      </c>
      <c r="X32" s="6">
        <f t="shared" si="81"/>
        <v>21.619400000000002</v>
      </c>
      <c r="Y32" s="6"/>
      <c r="Z32" s="6">
        <f t="shared" si="82"/>
        <v>784.57500000000005</v>
      </c>
      <c r="AA32" s="6">
        <f t="shared" si="83"/>
        <v>261.52500000000003</v>
      </c>
      <c r="AB32" s="6">
        <f t="shared" si="84"/>
        <v>1223.9369999999999</v>
      </c>
      <c r="AC32" s="6">
        <f t="shared" si="85"/>
        <v>119.9528</v>
      </c>
      <c r="AD32" s="6">
        <f t="shared" si="86"/>
        <v>180.57599999999999</v>
      </c>
      <c r="AE32">
        <f t="shared" si="87"/>
        <v>26168.102400000003</v>
      </c>
      <c r="AF32" s="5">
        <f t="shared" si="11"/>
        <v>1.1455062550876045E-2</v>
      </c>
      <c r="AG32" s="11">
        <f t="shared" si="88"/>
        <v>3.2998189429280129E-3</v>
      </c>
      <c r="AH32" s="5">
        <f t="shared" si="12"/>
        <v>0.36439904790345046</v>
      </c>
      <c r="AI32" s="5">
        <f t="shared" si="13"/>
        <v>0.63230113315362135</v>
      </c>
      <c r="AJ32" s="5">
        <f t="shared" si="89"/>
        <v>0.99999999999999978</v>
      </c>
      <c r="AK32" s="6">
        <f t="shared" si="77"/>
        <v>86.350000000000009</v>
      </c>
      <c r="AL32" s="6">
        <f t="shared" si="31"/>
        <v>2373.1620000000003</v>
      </c>
      <c r="AM32" s="6">
        <f t="shared" si="32"/>
        <v>5522.3553000000011</v>
      </c>
      <c r="AN32" s="6">
        <f t="shared" si="33"/>
        <v>-782.02959999999996</v>
      </c>
      <c r="AO32" s="6">
        <f t="shared" si="15"/>
        <v>3996.0888000000004</v>
      </c>
      <c r="AP32">
        <f t="shared" si="97"/>
        <v>12369.456</v>
      </c>
      <c r="AQ32" s="6">
        <f t="shared" si="98"/>
        <v>21.585300000000004</v>
      </c>
      <c r="AR32" s="6"/>
      <c r="AS32" s="6">
        <f t="shared" si="99"/>
        <v>783.33750000000009</v>
      </c>
      <c r="AT32" s="6">
        <f t="shared" si="100"/>
        <v>261.11250000000001</v>
      </c>
      <c r="AU32" s="6">
        <f t="shared" si="101"/>
        <v>1222.0065</v>
      </c>
      <c r="AV32" s="6">
        <f t="shared" si="102"/>
        <v>119.7636</v>
      </c>
      <c r="AW32" s="6">
        <f t="shared" si="90"/>
        <v>180.57599999999999</v>
      </c>
      <c r="AX32">
        <f t="shared" si="41"/>
        <v>26153.763899999998</v>
      </c>
      <c r="AY32" s="6">
        <f t="shared" si="42"/>
        <v>14.338500000005297</v>
      </c>
      <c r="AZ32" s="6">
        <f t="shared" si="78"/>
        <v>86.350000000000009</v>
      </c>
      <c r="BA32" s="6">
        <f t="shared" si="17"/>
        <v>2375.8625000000002</v>
      </c>
      <c r="BB32" s="6">
        <f t="shared" si="43"/>
        <v>5531.0794000000005</v>
      </c>
      <c r="BC32" s="6">
        <f t="shared" si="18"/>
        <v>-782.91949999999997</v>
      </c>
      <c r="BD32" s="6">
        <f t="shared" si="44"/>
        <v>3996.0814630000004</v>
      </c>
      <c r="BE32">
        <f t="shared" si="103"/>
        <v>12369.425859999999</v>
      </c>
      <c r="BF32" s="6">
        <f t="shared" si="91"/>
        <v>21.619400000000002</v>
      </c>
      <c r="BG32" s="6"/>
      <c r="BH32" s="6">
        <f t="shared" si="92"/>
        <v>784.57500000000005</v>
      </c>
      <c r="BI32" s="6">
        <f t="shared" si="93"/>
        <v>261.52500000000003</v>
      </c>
      <c r="BJ32" s="6">
        <f t="shared" si="94"/>
        <v>1223.9369999999999</v>
      </c>
      <c r="BK32" s="6">
        <f t="shared" si="95"/>
        <v>119.9528</v>
      </c>
      <c r="BL32" s="6">
        <f t="shared" si="75"/>
        <v>180.57556</v>
      </c>
      <c r="BM32">
        <f t="shared" si="47"/>
        <v>26168.064482999998</v>
      </c>
      <c r="BN32" s="7">
        <f t="shared" si="48"/>
        <v>3.7917000005109003E-2</v>
      </c>
    </row>
    <row r="33" spans="2:66" x14ac:dyDescent="0.25">
      <c r="B33" t="s">
        <v>20</v>
      </c>
      <c r="C33">
        <v>2012</v>
      </c>
      <c r="D33">
        <v>2013</v>
      </c>
      <c r="E33" s="1">
        <v>41214</v>
      </c>
      <c r="F33" s="1">
        <v>41248</v>
      </c>
      <c r="G33" s="2">
        <v>404640</v>
      </c>
      <c r="H33" s="3">
        <v>26779.57</v>
      </c>
      <c r="I33">
        <v>634</v>
      </c>
      <c r="J33">
        <v>705</v>
      </c>
      <c r="K33" t="s">
        <v>13</v>
      </c>
      <c r="L33" s="4">
        <v>11901.18</v>
      </c>
      <c r="M33" s="3">
        <v>787.63</v>
      </c>
      <c r="N33" s="13">
        <v>6.6199999999999995E-2</v>
      </c>
      <c r="O33">
        <v>70.34</v>
      </c>
      <c r="P33">
        <f t="shared" si="0"/>
        <v>34</v>
      </c>
      <c r="Q33" s="5">
        <f t="shared" si="25"/>
        <v>1.1333333333333333</v>
      </c>
      <c r="R33" s="6">
        <f t="shared" si="76"/>
        <v>88.966666666666669</v>
      </c>
      <c r="S33" s="6">
        <f t="shared" si="2"/>
        <v>2447.8583333333331</v>
      </c>
      <c r="T33" s="6">
        <f t="shared" si="26"/>
        <v>5698.6878666666662</v>
      </c>
      <c r="U33" s="6">
        <f t="shared" si="3"/>
        <v>-806.64433333333318</v>
      </c>
      <c r="V33" s="6">
        <f t="shared" si="4"/>
        <v>4073.6406399999996</v>
      </c>
      <c r="W33">
        <f t="shared" si="96"/>
        <v>12195.8496</v>
      </c>
      <c r="X33" s="6">
        <f t="shared" si="81"/>
        <v>22.274533333333334</v>
      </c>
      <c r="Y33" s="6"/>
      <c r="Z33" s="6">
        <f t="shared" si="82"/>
        <v>808.35</v>
      </c>
      <c r="AA33" s="6">
        <f t="shared" si="83"/>
        <v>269.45</v>
      </c>
      <c r="AB33" s="6">
        <f t="shared" si="84"/>
        <v>1261.0259999999998</v>
      </c>
      <c r="AC33" s="6">
        <f t="shared" si="85"/>
        <v>123.58773333333332</v>
      </c>
      <c r="AD33" s="6">
        <f t="shared" si="86"/>
        <v>178.04160000000002</v>
      </c>
      <c r="AE33">
        <f t="shared" si="87"/>
        <v>26361.088639999998</v>
      </c>
      <c r="AF33" s="5">
        <f t="shared" si="11"/>
        <v>1.56268887065775E-2</v>
      </c>
      <c r="AG33" s="11">
        <f t="shared" si="88"/>
        <v>3.3749238463418284E-3</v>
      </c>
      <c r="AH33" s="5">
        <f t="shared" si="12"/>
        <v>0.37269288334418854</v>
      </c>
      <c r="AI33" s="5">
        <f t="shared" si="13"/>
        <v>0.62393219280946965</v>
      </c>
      <c r="AJ33" s="5">
        <f t="shared" si="89"/>
        <v>1</v>
      </c>
      <c r="AK33" s="6">
        <f t="shared" si="77"/>
        <v>88.966666666666669</v>
      </c>
      <c r="AL33" s="6">
        <f t="shared" si="31"/>
        <v>2445.076</v>
      </c>
      <c r="AM33" s="6">
        <f t="shared" si="32"/>
        <v>5689.6994000000004</v>
      </c>
      <c r="AN33" s="6">
        <f t="shared" si="33"/>
        <v>-805.7274666666666</v>
      </c>
      <c r="AO33" s="6">
        <f t="shared" si="15"/>
        <v>4073.6406399999996</v>
      </c>
      <c r="AP33">
        <f t="shared" si="97"/>
        <v>12195.8496</v>
      </c>
      <c r="AQ33" s="6">
        <f t="shared" si="98"/>
        <v>22.2394</v>
      </c>
      <c r="AR33" s="6"/>
      <c r="AS33" s="6">
        <f t="shared" si="99"/>
        <v>807.07499999999993</v>
      </c>
      <c r="AT33" s="6">
        <f t="shared" si="100"/>
        <v>269.02499999999998</v>
      </c>
      <c r="AU33" s="6">
        <f t="shared" si="101"/>
        <v>1259.037</v>
      </c>
      <c r="AV33" s="6">
        <f t="shared" si="102"/>
        <v>123.39279999999998</v>
      </c>
      <c r="AW33" s="6">
        <f t="shared" si="90"/>
        <v>178.04160000000002</v>
      </c>
      <c r="AX33">
        <f t="shared" si="41"/>
        <v>26346.315640000004</v>
      </c>
      <c r="AY33" s="6">
        <f t="shared" si="42"/>
        <v>14.772999999993772</v>
      </c>
      <c r="AZ33" s="6">
        <f t="shared" si="78"/>
        <v>88.966666666666669</v>
      </c>
      <c r="BA33" s="6">
        <f t="shared" si="17"/>
        <v>2447.8583333333331</v>
      </c>
      <c r="BB33" s="6">
        <f t="shared" si="43"/>
        <v>5698.6878666666662</v>
      </c>
      <c r="BC33" s="6">
        <f t="shared" si="18"/>
        <v>-806.64433333333318</v>
      </c>
      <c r="BD33" s="6">
        <f t="shared" si="44"/>
        <v>4073.6330806666665</v>
      </c>
      <c r="BE33">
        <f t="shared" si="103"/>
        <v>12195.819460000001</v>
      </c>
      <c r="BF33" s="6">
        <f t="shared" si="91"/>
        <v>22.274533333333334</v>
      </c>
      <c r="BG33" s="6"/>
      <c r="BH33" s="6">
        <f t="shared" si="92"/>
        <v>808.35</v>
      </c>
      <c r="BI33" s="6">
        <f t="shared" si="93"/>
        <v>269.45</v>
      </c>
      <c r="BJ33" s="6">
        <f t="shared" si="94"/>
        <v>1261.0259999999998</v>
      </c>
      <c r="BK33" s="6">
        <f t="shared" si="95"/>
        <v>123.58773333333332</v>
      </c>
      <c r="BL33" s="6">
        <f t="shared" si="75"/>
        <v>178.04116000000002</v>
      </c>
      <c r="BM33">
        <f t="shared" si="47"/>
        <v>26361.050500666664</v>
      </c>
      <c r="BN33" s="7">
        <f t="shared" si="48"/>
        <v>3.8139333333674585E-2</v>
      </c>
    </row>
    <row r="34" spans="2:66" x14ac:dyDescent="0.25">
      <c r="B34" t="s">
        <v>21</v>
      </c>
      <c r="C34">
        <v>2012</v>
      </c>
      <c r="D34">
        <v>2013</v>
      </c>
      <c r="E34" s="1">
        <v>41185</v>
      </c>
      <c r="F34" s="1">
        <v>41214</v>
      </c>
      <c r="G34" s="2">
        <v>356400</v>
      </c>
      <c r="H34" s="3">
        <v>23260.27</v>
      </c>
      <c r="I34">
        <v>634</v>
      </c>
      <c r="J34">
        <v>705</v>
      </c>
      <c r="K34" t="s">
        <v>13</v>
      </c>
      <c r="L34" s="4">
        <v>12289.66</v>
      </c>
      <c r="M34" s="3">
        <v>802.08</v>
      </c>
      <c r="N34" s="13">
        <v>6.5299999999999997E-2</v>
      </c>
      <c r="O34">
        <v>72.63</v>
      </c>
      <c r="P34">
        <f t="shared" ref="P34:P65" si="104">F34-E34</f>
        <v>29</v>
      </c>
      <c r="Q34" s="5">
        <f t="shared" si="25"/>
        <v>0.96666666666666667</v>
      </c>
      <c r="R34" s="6">
        <f t="shared" si="76"/>
        <v>75.88333333333334</v>
      </c>
      <c r="S34" s="6">
        <f t="shared" ref="S34:S61" si="105">IF($J34&lt;700, $J34*3.068,700*3.068+($J34-700)*2.455)*$Q34</f>
        <v>2087.8791666666666</v>
      </c>
      <c r="T34" s="6">
        <f t="shared" si="26"/>
        <v>4860.6455333333333</v>
      </c>
      <c r="U34" s="6">
        <f t="shared" ref="U34:U61" si="106">IF($J34&lt;700, $J34*-1.011,700*-1.011+($J34-700)*-0.809)*$Q34</f>
        <v>-688.02016666666657</v>
      </c>
      <c r="V34" s="6">
        <f t="shared" ref="V34:V61" si="107">IF($G34&lt;=24000,$G34*0.01763,24000*0.01763+IF($G34&lt;=210000,($G34-24000)*0.01007,186000*0.01007+($G34-210000)*0.00667))*$Q34</f>
        <v>3163.5404000000003</v>
      </c>
      <c r="W34">
        <f t="shared" si="96"/>
        <v>10741.896000000001</v>
      </c>
      <c r="X34" s="6">
        <f t="shared" si="81"/>
        <v>18.998866666666668</v>
      </c>
      <c r="Y34" s="6"/>
      <c r="Z34" s="6">
        <f t="shared" si="82"/>
        <v>689.47500000000002</v>
      </c>
      <c r="AA34" s="6">
        <f t="shared" si="83"/>
        <v>229.82499999999999</v>
      </c>
      <c r="AB34" s="6">
        <f t="shared" si="84"/>
        <v>1075.5809999999999</v>
      </c>
      <c r="AC34" s="6">
        <f t="shared" si="85"/>
        <v>105.41306666666665</v>
      </c>
      <c r="AD34" s="6">
        <f t="shared" si="86"/>
        <v>156.816</v>
      </c>
      <c r="AE34">
        <f t="shared" si="87"/>
        <v>22517.933199999999</v>
      </c>
      <c r="AF34" s="5">
        <f t="shared" ref="AF34:AF65" si="108">ABS(AE34-H34)/H34</f>
        <v>3.1914367288083972E-2</v>
      </c>
      <c r="AG34" s="11">
        <f t="shared" si="88"/>
        <v>3.3699066721333618E-3</v>
      </c>
      <c r="AH34" s="5">
        <f t="shared" ref="AH34:AH61" si="109">SUM(S34:U34,X34:AC34)/$AE34</f>
        <v>0.37213883673243453</v>
      </c>
      <c r="AI34" s="5">
        <f t="shared" ref="AI34:AI61" si="110">SUM(V34,W34,AD34)/$AE34</f>
        <v>0.62449125659543214</v>
      </c>
      <c r="AJ34" s="5">
        <f t="shared" si="89"/>
        <v>1</v>
      </c>
      <c r="AK34" s="6">
        <f t="shared" si="77"/>
        <v>75.88333333333334</v>
      </c>
      <c r="AL34" s="6">
        <f t="shared" si="31"/>
        <v>2085.5060000000003</v>
      </c>
      <c r="AM34" s="6">
        <f t="shared" si="32"/>
        <v>4852.9789000000001</v>
      </c>
      <c r="AN34" s="6">
        <f t="shared" si="33"/>
        <v>-687.23813333333328</v>
      </c>
      <c r="AO34" s="6">
        <f t="shared" ref="AO34:AO61" si="111">IF($G34&lt;=24000,$G34*0.01763,24000*0.01763+IF($G34&lt;=210000,($G34-24000)*0.01007,186000*0.01007+($G34-210000)*0.00667))*$Q34</f>
        <v>3163.5404000000003</v>
      </c>
      <c r="AP34">
        <f t="shared" si="97"/>
        <v>10741.896000000001</v>
      </c>
      <c r="AQ34" s="6">
        <f t="shared" si="98"/>
        <v>18.968900000000001</v>
      </c>
      <c r="AR34" s="6"/>
      <c r="AS34" s="6">
        <f t="shared" si="99"/>
        <v>688.38750000000005</v>
      </c>
      <c r="AT34" s="6">
        <f t="shared" si="100"/>
        <v>229.46250000000001</v>
      </c>
      <c r="AU34" s="6">
        <f t="shared" si="101"/>
        <v>1073.8844999999999</v>
      </c>
      <c r="AV34" s="6">
        <f t="shared" si="102"/>
        <v>105.24679999999999</v>
      </c>
      <c r="AW34" s="6">
        <f t="shared" si="90"/>
        <v>156.816</v>
      </c>
      <c r="AX34">
        <f t="shared" si="41"/>
        <v>22505.332700000003</v>
      </c>
      <c r="AY34" s="6">
        <f t="shared" si="42"/>
        <v>12.600499999996828</v>
      </c>
      <c r="AZ34" s="6">
        <f t="shared" si="78"/>
        <v>75.88333333333334</v>
      </c>
      <c r="BA34" s="6">
        <f t="shared" ref="BA34:BA61" si="112">IF($J34&lt;700, $J34*3.068,700*3.068+($J34-700)*2.455)*$Q34</f>
        <v>2087.8791666666666</v>
      </c>
      <c r="BB34" s="6">
        <f t="shared" si="43"/>
        <v>4860.6455333333333</v>
      </c>
      <c r="BC34" s="6">
        <f t="shared" ref="BC34:BC61" si="113">IF($J34&lt;700, $J34*-1.011,700*-1.011+($J34-700)*-0.809)*$Q34</f>
        <v>-688.02016666666657</v>
      </c>
      <c r="BD34" s="6">
        <f t="shared" si="44"/>
        <v>3163.5339523333332</v>
      </c>
      <c r="BE34">
        <f t="shared" si="103"/>
        <v>10741.86586</v>
      </c>
      <c r="BF34" s="6">
        <f t="shared" si="91"/>
        <v>18.998866666666668</v>
      </c>
      <c r="BG34" s="6"/>
      <c r="BH34" s="6">
        <f t="shared" si="92"/>
        <v>689.47500000000002</v>
      </c>
      <c r="BI34" s="6">
        <f t="shared" si="93"/>
        <v>229.82499999999999</v>
      </c>
      <c r="BJ34" s="6">
        <f t="shared" si="94"/>
        <v>1075.5809999999999</v>
      </c>
      <c r="BK34" s="6">
        <f t="shared" si="95"/>
        <v>105.41306666666665</v>
      </c>
      <c r="BL34" s="6">
        <f t="shared" si="75"/>
        <v>156.81556</v>
      </c>
      <c r="BM34">
        <f t="shared" si="47"/>
        <v>22517.89617233333</v>
      </c>
      <c r="BN34" s="7">
        <f t="shared" si="48"/>
        <v>3.7027666669018799E-2</v>
      </c>
    </row>
    <row r="35" spans="2:66" x14ac:dyDescent="0.25">
      <c r="B35" t="s">
        <v>22</v>
      </c>
      <c r="C35">
        <v>2012</v>
      </c>
      <c r="D35">
        <v>2013</v>
      </c>
      <c r="E35" s="1">
        <v>41156</v>
      </c>
      <c r="F35" s="1">
        <v>41185</v>
      </c>
      <c r="G35" s="2">
        <v>393120</v>
      </c>
      <c r="H35" s="3">
        <v>25231.02</v>
      </c>
      <c r="I35">
        <v>689</v>
      </c>
      <c r="J35">
        <v>705</v>
      </c>
      <c r="K35" t="s">
        <v>13</v>
      </c>
      <c r="L35" s="4">
        <v>13555.86</v>
      </c>
      <c r="M35" s="3">
        <v>870.03</v>
      </c>
      <c r="N35" s="13">
        <v>6.4199999999999993E-2</v>
      </c>
      <c r="O35">
        <v>80.12</v>
      </c>
      <c r="P35">
        <f t="shared" si="104"/>
        <v>29</v>
      </c>
      <c r="Q35" s="5">
        <f t="shared" si="25"/>
        <v>0.96666666666666667</v>
      </c>
      <c r="R35" s="6">
        <f t="shared" si="76"/>
        <v>75.88333333333334</v>
      </c>
      <c r="S35" s="6">
        <f t="shared" si="105"/>
        <v>2087.8791666666666</v>
      </c>
      <c r="T35" s="6">
        <f t="shared" si="26"/>
        <v>5282.3103666666666</v>
      </c>
      <c r="U35" s="6">
        <f t="shared" si="106"/>
        <v>-688.02016666666657</v>
      </c>
      <c r="V35" s="6">
        <f t="shared" si="107"/>
        <v>3400.2987200000002</v>
      </c>
      <c r="W35">
        <f t="shared" si="96"/>
        <v>11848.6368</v>
      </c>
      <c r="X35" s="6">
        <f t="shared" si="81"/>
        <v>20.647033333333333</v>
      </c>
      <c r="Y35" s="6"/>
      <c r="Z35" s="6">
        <f t="shared" si="82"/>
        <v>749.28750000000002</v>
      </c>
      <c r="AA35" s="6">
        <f t="shared" si="83"/>
        <v>249.76249999999999</v>
      </c>
      <c r="AB35" s="6">
        <f t="shared" si="84"/>
        <v>1168.8885</v>
      </c>
      <c r="AC35" s="6">
        <f t="shared" si="85"/>
        <v>114.55773333333333</v>
      </c>
      <c r="AD35" s="6">
        <f t="shared" si="86"/>
        <v>172.97280000000001</v>
      </c>
      <c r="AE35">
        <f t="shared" si="87"/>
        <v>24483.104286666668</v>
      </c>
      <c r="AF35" s="5">
        <f t="shared" si="108"/>
        <v>2.9642706213753228E-2</v>
      </c>
      <c r="AG35" s="11">
        <f t="shared" si="88"/>
        <v>3.0994163340087102E-3</v>
      </c>
      <c r="AH35" s="5">
        <f t="shared" si="109"/>
        <v>0.36700054568761009</v>
      </c>
      <c r="AI35" s="5">
        <f t="shared" si="110"/>
        <v>0.62990003797838112</v>
      </c>
      <c r="AJ35" s="5">
        <f t="shared" si="89"/>
        <v>1</v>
      </c>
      <c r="AK35" s="6">
        <f t="shared" si="77"/>
        <v>75.88333333333334</v>
      </c>
      <c r="AL35" s="6">
        <f t="shared" si="31"/>
        <v>2085.5060000000003</v>
      </c>
      <c r="AM35" s="6">
        <f t="shared" si="32"/>
        <v>5274.6437333333333</v>
      </c>
      <c r="AN35" s="6">
        <f t="shared" si="33"/>
        <v>-687.23813333333328</v>
      </c>
      <c r="AO35" s="6">
        <f t="shared" si="111"/>
        <v>3400.2987200000002</v>
      </c>
      <c r="AP35">
        <f t="shared" si="97"/>
        <v>11848.6368</v>
      </c>
      <c r="AQ35" s="6">
        <f t="shared" si="98"/>
        <v>20.617066666666666</v>
      </c>
      <c r="AR35" s="6"/>
      <c r="AS35" s="6">
        <f t="shared" si="99"/>
        <v>748.2</v>
      </c>
      <c r="AT35" s="6">
        <f t="shared" si="100"/>
        <v>249.4</v>
      </c>
      <c r="AU35" s="6">
        <f t="shared" si="101"/>
        <v>1167.1919999999998</v>
      </c>
      <c r="AV35" s="6">
        <f t="shared" si="102"/>
        <v>114.39146666666666</v>
      </c>
      <c r="AW35" s="6">
        <f t="shared" si="90"/>
        <v>172.97280000000001</v>
      </c>
      <c r="AX35">
        <f t="shared" si="41"/>
        <v>24470.503786666668</v>
      </c>
      <c r="AY35" s="6">
        <f t="shared" si="42"/>
        <v>12.600500000000466</v>
      </c>
      <c r="AZ35" s="6">
        <f t="shared" si="78"/>
        <v>75.88333333333334</v>
      </c>
      <c r="BA35" s="6">
        <f t="shared" si="112"/>
        <v>2087.8791666666666</v>
      </c>
      <c r="BB35" s="6">
        <f t="shared" si="43"/>
        <v>5282.3103666666666</v>
      </c>
      <c r="BC35" s="6">
        <f t="shared" si="113"/>
        <v>-688.02016666666657</v>
      </c>
      <c r="BD35" s="6">
        <f t="shared" si="44"/>
        <v>3400.2922723333336</v>
      </c>
      <c r="BE35">
        <f t="shared" si="103"/>
        <v>11848.606659999999</v>
      </c>
      <c r="BF35" s="6">
        <f t="shared" si="91"/>
        <v>20.647033333333333</v>
      </c>
      <c r="BG35" s="6"/>
      <c r="BH35" s="6">
        <f t="shared" si="92"/>
        <v>749.28750000000002</v>
      </c>
      <c r="BI35" s="6">
        <f t="shared" si="93"/>
        <v>249.76249999999999</v>
      </c>
      <c r="BJ35" s="6">
        <f t="shared" si="94"/>
        <v>1168.8885</v>
      </c>
      <c r="BK35" s="6">
        <f t="shared" si="95"/>
        <v>114.55773333333333</v>
      </c>
      <c r="BL35" s="6">
        <f t="shared" si="75"/>
        <v>172.97236000000001</v>
      </c>
      <c r="BM35">
        <f t="shared" si="47"/>
        <v>24483.067259000003</v>
      </c>
      <c r="BN35" s="7">
        <f t="shared" si="48"/>
        <v>3.7027666665380821E-2</v>
      </c>
    </row>
    <row r="36" spans="2:66" x14ac:dyDescent="0.25">
      <c r="B36" t="s">
        <v>23</v>
      </c>
      <c r="C36">
        <v>2012</v>
      </c>
      <c r="D36">
        <v>2013</v>
      </c>
      <c r="E36" s="1">
        <v>41124</v>
      </c>
      <c r="F36" s="1">
        <v>41156</v>
      </c>
      <c r="G36" s="2">
        <v>462240</v>
      </c>
      <c r="H36" s="3">
        <v>28187.19</v>
      </c>
      <c r="I36">
        <v>689</v>
      </c>
      <c r="J36">
        <v>732</v>
      </c>
      <c r="K36" t="s">
        <v>13</v>
      </c>
      <c r="L36" s="4">
        <v>14445</v>
      </c>
      <c r="M36" s="3">
        <v>880.85</v>
      </c>
      <c r="N36" s="13">
        <v>6.0999999999999999E-2</v>
      </c>
      <c r="O36">
        <v>82.22</v>
      </c>
      <c r="P36">
        <f t="shared" si="104"/>
        <v>32</v>
      </c>
      <c r="Q36" s="5">
        <f t="shared" si="25"/>
        <v>1.0666666666666667</v>
      </c>
      <c r="R36" s="6">
        <f t="shared" si="76"/>
        <v>83.733333333333334</v>
      </c>
      <c r="S36" s="6">
        <f t="shared" si="105"/>
        <v>2374.5706666666665</v>
      </c>
      <c r="T36" s="6">
        <f t="shared" si="26"/>
        <v>5828.7562666666663</v>
      </c>
      <c r="U36" s="6">
        <f t="shared" si="106"/>
        <v>-782.49386666666658</v>
      </c>
      <c r="V36" s="6">
        <f t="shared" si="107"/>
        <v>4243.81952</v>
      </c>
      <c r="W36">
        <f t="shared" si="96"/>
        <v>13931.9136</v>
      </c>
      <c r="X36" s="6">
        <f t="shared" si="81"/>
        <v>22.782933333333332</v>
      </c>
      <c r="Y36" s="6"/>
      <c r="Z36" s="6">
        <f t="shared" si="82"/>
        <v>826.8</v>
      </c>
      <c r="AA36" s="6">
        <f t="shared" si="83"/>
        <v>275.60000000000002</v>
      </c>
      <c r="AB36" s="6">
        <f t="shared" si="84"/>
        <v>1289.808</v>
      </c>
      <c r="AC36" s="6">
        <f t="shared" si="85"/>
        <v>126.40853333333332</v>
      </c>
      <c r="AD36" s="6">
        <f t="shared" si="86"/>
        <v>203.38560000000001</v>
      </c>
      <c r="AE36">
        <f t="shared" si="87"/>
        <v>28425.084586666668</v>
      </c>
      <c r="AF36" s="5">
        <f t="shared" si="108"/>
        <v>8.4398120801211143E-3</v>
      </c>
      <c r="AG36" s="11">
        <f t="shared" si="88"/>
        <v>2.9457549397270771E-3</v>
      </c>
      <c r="AH36" s="5">
        <f t="shared" si="109"/>
        <v>0.35047327662153416</v>
      </c>
      <c r="AI36" s="5">
        <f t="shared" si="110"/>
        <v>0.6465809684387388</v>
      </c>
      <c r="AJ36" s="5">
        <f t="shared" si="89"/>
        <v>1</v>
      </c>
      <c r="AK36" s="6">
        <f t="shared" si="77"/>
        <v>83.733333333333334</v>
      </c>
      <c r="AL36" s="6">
        <f t="shared" si="31"/>
        <v>2371.9519999999998</v>
      </c>
      <c r="AM36" s="6">
        <f t="shared" si="32"/>
        <v>5820.2965333333332</v>
      </c>
      <c r="AN36" s="6">
        <f t="shared" si="33"/>
        <v>-781.63093333333325</v>
      </c>
      <c r="AO36" s="6">
        <f t="shared" si="111"/>
        <v>4243.81952</v>
      </c>
      <c r="AP36">
        <f t="shared" si="97"/>
        <v>13931.9136</v>
      </c>
      <c r="AQ36" s="6">
        <f t="shared" si="98"/>
        <v>22.749866666666666</v>
      </c>
      <c r="AR36" s="6"/>
      <c r="AS36" s="6">
        <f t="shared" si="99"/>
        <v>825.6</v>
      </c>
      <c r="AT36" s="6">
        <f t="shared" si="100"/>
        <v>275.2</v>
      </c>
      <c r="AU36" s="6">
        <f t="shared" si="101"/>
        <v>1287.9359999999997</v>
      </c>
      <c r="AV36" s="6">
        <f t="shared" si="102"/>
        <v>126.22506666666665</v>
      </c>
      <c r="AW36" s="6">
        <f t="shared" si="90"/>
        <v>203.38560000000001</v>
      </c>
      <c r="AX36">
        <f t="shared" si="41"/>
        <v>28411.180586666662</v>
      </c>
      <c r="AY36" s="6">
        <f t="shared" si="42"/>
        <v>13.904000000005908</v>
      </c>
      <c r="AZ36" s="6">
        <f t="shared" si="78"/>
        <v>83.733333333333334</v>
      </c>
      <c r="BA36" s="6">
        <f t="shared" si="112"/>
        <v>2374.5706666666665</v>
      </c>
      <c r="BB36" s="6">
        <f t="shared" si="43"/>
        <v>5828.7562666666663</v>
      </c>
      <c r="BC36" s="6">
        <f t="shared" si="113"/>
        <v>-782.49386666666658</v>
      </c>
      <c r="BD36" s="6">
        <f t="shared" si="44"/>
        <v>4243.8124053333331</v>
      </c>
      <c r="BE36">
        <f t="shared" si="103"/>
        <v>13931.883460000001</v>
      </c>
      <c r="BF36" s="6">
        <f t="shared" si="91"/>
        <v>22.782933333333332</v>
      </c>
      <c r="BG36" s="6"/>
      <c r="BH36" s="6">
        <f t="shared" si="92"/>
        <v>826.8</v>
      </c>
      <c r="BI36" s="6">
        <f t="shared" si="93"/>
        <v>275.60000000000002</v>
      </c>
      <c r="BJ36" s="6">
        <f t="shared" si="94"/>
        <v>1289.808</v>
      </c>
      <c r="BK36" s="6">
        <f t="shared" si="95"/>
        <v>126.40853333333332</v>
      </c>
      <c r="BL36" s="6">
        <f t="shared" si="75"/>
        <v>203.38516000000001</v>
      </c>
      <c r="BM36">
        <f t="shared" si="47"/>
        <v>28425.046891999998</v>
      </c>
      <c r="BN36" s="7">
        <f t="shared" si="48"/>
        <v>3.7694666669267463E-2</v>
      </c>
    </row>
    <row r="37" spans="2:66" x14ac:dyDescent="0.25">
      <c r="B37" t="s">
        <v>24</v>
      </c>
      <c r="C37">
        <v>2012</v>
      </c>
      <c r="D37">
        <v>2013</v>
      </c>
      <c r="E37" s="1">
        <v>41095</v>
      </c>
      <c r="F37" s="1">
        <v>41124</v>
      </c>
      <c r="G37" s="2">
        <v>419760</v>
      </c>
      <c r="H37" s="3">
        <v>25762.13</v>
      </c>
      <c r="I37">
        <v>705</v>
      </c>
      <c r="J37">
        <v>738</v>
      </c>
      <c r="K37" t="s">
        <v>13</v>
      </c>
      <c r="L37" s="4">
        <v>14474.48</v>
      </c>
      <c r="M37" s="3">
        <v>888.35</v>
      </c>
      <c r="N37" s="13">
        <v>6.1400000000000003E-2</v>
      </c>
      <c r="O37">
        <v>81.72</v>
      </c>
      <c r="P37">
        <f t="shared" si="104"/>
        <v>29</v>
      </c>
      <c r="Q37" s="5">
        <f t="shared" si="25"/>
        <v>0.96666666666666667</v>
      </c>
      <c r="R37" s="6">
        <f t="shared" si="76"/>
        <v>75.88333333333334</v>
      </c>
      <c r="S37" s="6">
        <f t="shared" si="105"/>
        <v>2166.1936666666666</v>
      </c>
      <c r="T37" s="6">
        <f t="shared" si="26"/>
        <v>5404.9765000000007</v>
      </c>
      <c r="U37" s="6">
        <f t="shared" si="106"/>
        <v>-713.82726666666656</v>
      </c>
      <c r="V37" s="6">
        <f t="shared" si="107"/>
        <v>3572.0645599999998</v>
      </c>
      <c r="W37">
        <f t="shared" si="96"/>
        <v>12651.5664</v>
      </c>
      <c r="X37" s="6">
        <f t="shared" si="81"/>
        <v>21.1265</v>
      </c>
      <c r="Y37" s="6"/>
      <c r="Z37" s="6">
        <f t="shared" si="82"/>
        <v>766.6875</v>
      </c>
      <c r="AA37" s="6">
        <f t="shared" si="83"/>
        <v>255.5625</v>
      </c>
      <c r="AB37" s="6">
        <f t="shared" si="84"/>
        <v>1196.0324999999998</v>
      </c>
      <c r="AC37" s="6">
        <f t="shared" si="85"/>
        <v>117.21799999999999</v>
      </c>
      <c r="AD37" s="6">
        <f t="shared" si="86"/>
        <v>184.6944</v>
      </c>
      <c r="AE37">
        <f t="shared" si="87"/>
        <v>25698.178593333334</v>
      </c>
      <c r="AF37" s="5">
        <f t="shared" si="108"/>
        <v>2.4823804035872432E-3</v>
      </c>
      <c r="AG37" s="11">
        <f t="shared" si="88"/>
        <v>2.9528681598087704E-3</v>
      </c>
      <c r="AH37" s="5">
        <f t="shared" si="109"/>
        <v>0.35854564036652409</v>
      </c>
      <c r="AI37" s="5">
        <f t="shared" si="110"/>
        <v>0.63850149147366708</v>
      </c>
      <c r="AJ37" s="5">
        <f t="shared" si="89"/>
        <v>1</v>
      </c>
      <c r="AK37" s="6">
        <f t="shared" si="77"/>
        <v>75.88333333333334</v>
      </c>
      <c r="AL37" s="6">
        <f t="shared" si="31"/>
        <v>2163.8204999999998</v>
      </c>
      <c r="AM37" s="6">
        <f t="shared" si="32"/>
        <v>5397.3098666666665</v>
      </c>
      <c r="AN37" s="6">
        <f t="shared" si="33"/>
        <v>-713.04523333333327</v>
      </c>
      <c r="AO37" s="6">
        <f t="shared" si="111"/>
        <v>3572.0645599999998</v>
      </c>
      <c r="AP37">
        <f t="shared" si="97"/>
        <v>12651.5664</v>
      </c>
      <c r="AQ37" s="6">
        <f t="shared" si="98"/>
        <v>21.096533333333333</v>
      </c>
      <c r="AR37" s="6"/>
      <c r="AS37" s="6">
        <f t="shared" si="99"/>
        <v>765.6</v>
      </c>
      <c r="AT37" s="6">
        <f t="shared" si="100"/>
        <v>255.2</v>
      </c>
      <c r="AU37" s="6">
        <f t="shared" si="101"/>
        <v>1194.336</v>
      </c>
      <c r="AV37" s="6">
        <f t="shared" si="102"/>
        <v>117.05173333333333</v>
      </c>
      <c r="AW37" s="6">
        <f t="shared" si="90"/>
        <v>184.6944</v>
      </c>
      <c r="AX37">
        <f t="shared" si="41"/>
        <v>25685.578093333334</v>
      </c>
      <c r="AY37" s="6">
        <f t="shared" si="42"/>
        <v>12.600500000000466</v>
      </c>
      <c r="AZ37" s="6">
        <f t="shared" si="78"/>
        <v>75.88333333333334</v>
      </c>
      <c r="BA37" s="6">
        <f t="shared" si="112"/>
        <v>2166.1936666666666</v>
      </c>
      <c r="BB37" s="6">
        <f t="shared" si="43"/>
        <v>5404.9765000000007</v>
      </c>
      <c r="BC37" s="6">
        <f t="shared" si="113"/>
        <v>-713.82726666666656</v>
      </c>
      <c r="BD37" s="6">
        <f t="shared" si="44"/>
        <v>3572.0581123333336</v>
      </c>
      <c r="BE37">
        <f t="shared" si="103"/>
        <v>12651.536260000001</v>
      </c>
      <c r="BF37" s="6">
        <f t="shared" si="91"/>
        <v>21.1265</v>
      </c>
      <c r="BG37" s="6"/>
      <c r="BH37" s="6">
        <f t="shared" si="92"/>
        <v>766.6875</v>
      </c>
      <c r="BI37" s="6">
        <f t="shared" si="93"/>
        <v>255.5625</v>
      </c>
      <c r="BJ37" s="6">
        <f t="shared" si="94"/>
        <v>1196.0324999999998</v>
      </c>
      <c r="BK37" s="6">
        <f t="shared" si="95"/>
        <v>117.21799999999999</v>
      </c>
      <c r="BL37" s="6">
        <f t="shared" si="75"/>
        <v>184.69396</v>
      </c>
      <c r="BM37">
        <f t="shared" si="47"/>
        <v>25698.141565666669</v>
      </c>
      <c r="BN37" s="7">
        <f t="shared" si="48"/>
        <v>3.7027666665380821E-2</v>
      </c>
    </row>
    <row r="38" spans="2:66" x14ac:dyDescent="0.25">
      <c r="B38" t="s">
        <v>12</v>
      </c>
      <c r="C38">
        <v>2012</v>
      </c>
      <c r="D38">
        <v>2012</v>
      </c>
      <c r="E38" s="1">
        <v>41065</v>
      </c>
      <c r="F38" s="1">
        <v>41095</v>
      </c>
      <c r="G38" s="2">
        <v>416160</v>
      </c>
      <c r="H38" s="3">
        <v>26650.86</v>
      </c>
      <c r="I38">
        <v>692</v>
      </c>
      <c r="J38">
        <v>762</v>
      </c>
      <c r="K38" t="s">
        <v>13</v>
      </c>
      <c r="L38" s="4">
        <v>13872</v>
      </c>
      <c r="M38" s="3">
        <v>888.36</v>
      </c>
      <c r="N38" s="13">
        <v>6.4000000000000001E-2</v>
      </c>
      <c r="O38">
        <v>75.849999999999994</v>
      </c>
      <c r="P38">
        <f t="shared" si="104"/>
        <v>30</v>
      </c>
      <c r="Q38" s="5">
        <f t="shared" si="25"/>
        <v>1</v>
      </c>
      <c r="R38" s="6">
        <f t="shared" si="76"/>
        <v>78.5</v>
      </c>
      <c r="S38" s="6">
        <f t="shared" si="105"/>
        <v>2299.81</v>
      </c>
      <c r="T38" s="6">
        <f t="shared" si="26"/>
        <v>5488.2520000000004</v>
      </c>
      <c r="U38" s="6">
        <f t="shared" si="106"/>
        <v>-757.85799999999995</v>
      </c>
      <c r="V38" s="6">
        <f t="shared" si="107"/>
        <v>3671.2272000000003</v>
      </c>
      <c r="W38">
        <f>$G38*0.03391</f>
        <v>14111.985600000002</v>
      </c>
      <c r="X38" s="6"/>
      <c r="Y38" s="6"/>
      <c r="Z38" s="6">
        <f t="shared" ref="Z38:Z53" si="114">$I38*0.821*$Q38</f>
        <v>568.13199999999995</v>
      </c>
      <c r="AA38" s="6">
        <f t="shared" ref="AA38:AA53" si="115">$I38*0.388*$Q38</f>
        <v>268.49599999999998</v>
      </c>
      <c r="AB38" s="6">
        <f t="shared" ref="AB38:AB53" si="116">$I38*1.035*$Q38</f>
        <v>716.21999999999991</v>
      </c>
      <c r="AC38" s="6"/>
      <c r="AD38" s="6">
        <f t="shared" si="86"/>
        <v>183.1104</v>
      </c>
      <c r="AE38">
        <f t="shared" si="87"/>
        <v>26627.875200000002</v>
      </c>
      <c r="AF38" s="5">
        <f t="shared" si="108"/>
        <v>8.624412120283682E-4</v>
      </c>
      <c r="AG38" s="11">
        <f t="shared" si="88"/>
        <v>2.9480384525761931E-3</v>
      </c>
      <c r="AH38" s="5">
        <f t="shared" si="109"/>
        <v>0.32233334186574525</v>
      </c>
      <c r="AI38" s="5">
        <f t="shared" si="110"/>
        <v>0.67471861968167857</v>
      </c>
      <c r="AJ38" s="5">
        <f t="shared" si="89"/>
        <v>1</v>
      </c>
      <c r="AK38" s="6">
        <f t="shared" si="77"/>
        <v>78.5</v>
      </c>
      <c r="AL38" s="6">
        <f t="shared" si="31"/>
        <v>2297.355</v>
      </c>
      <c r="AM38" s="6">
        <f t="shared" si="32"/>
        <v>5480.3209999999999</v>
      </c>
      <c r="AN38" s="6">
        <f t="shared" si="33"/>
        <v>-757.04899999999998</v>
      </c>
      <c r="AO38" s="6">
        <f t="shared" si="111"/>
        <v>3671.2272000000003</v>
      </c>
      <c r="AP38">
        <f>$G38*0.03391</f>
        <v>14111.985600000002</v>
      </c>
      <c r="AQ38" s="6"/>
      <c r="AR38" s="6"/>
      <c r="AS38" s="6">
        <f>($I38-1)*0.821*$Q38</f>
        <v>567.31099999999992</v>
      </c>
      <c r="AT38" s="6">
        <f>($I38-1)*0.388*$Q38</f>
        <v>268.108</v>
      </c>
      <c r="AU38" s="6">
        <f>($I38-1)*1.035*$Q38</f>
        <v>715.18499999999995</v>
      </c>
      <c r="AV38" s="6"/>
      <c r="AW38" s="6">
        <f t="shared" si="90"/>
        <v>183.1104</v>
      </c>
      <c r="AX38">
        <f t="shared" si="41"/>
        <v>26616.054200000006</v>
      </c>
      <c r="AY38" s="6">
        <f t="shared" si="42"/>
        <v>11.820999999996275</v>
      </c>
      <c r="AZ38" s="6">
        <f t="shared" si="78"/>
        <v>78.5</v>
      </c>
      <c r="BA38" s="6">
        <f t="shared" si="112"/>
        <v>2299.81</v>
      </c>
      <c r="BB38" s="6">
        <f t="shared" si="43"/>
        <v>5488.2520000000004</v>
      </c>
      <c r="BC38" s="6">
        <f t="shared" si="113"/>
        <v>-757.85799999999995</v>
      </c>
      <c r="BD38" s="6">
        <f t="shared" si="44"/>
        <v>3671.2205300000001</v>
      </c>
      <c r="BE38">
        <f>($G38-1)*0.03391</f>
        <v>14111.951690000002</v>
      </c>
      <c r="BF38" s="6"/>
      <c r="BG38" s="6"/>
      <c r="BH38" s="6">
        <f t="shared" ref="BH38:BH53" si="117">$I38*0.821*$Q38</f>
        <v>568.13199999999995</v>
      </c>
      <c r="BI38" s="6">
        <f t="shared" ref="BI38:BI53" si="118">$I38*0.388*$Q38</f>
        <v>268.49599999999998</v>
      </c>
      <c r="BJ38" s="6">
        <f t="shared" ref="BJ38:BJ53" si="119">$I38*1.035*$Q38</f>
        <v>716.21999999999991</v>
      </c>
      <c r="BK38" s="6"/>
      <c r="BL38" s="6">
        <f t="shared" si="75"/>
        <v>183.10996</v>
      </c>
      <c r="BM38">
        <f t="shared" si="47"/>
        <v>26627.834180000005</v>
      </c>
      <c r="BN38" s="7">
        <f t="shared" si="48"/>
        <v>4.101999999693362E-2</v>
      </c>
    </row>
    <row r="39" spans="2:66" x14ac:dyDescent="0.25">
      <c r="B39" t="s">
        <v>14</v>
      </c>
      <c r="C39">
        <v>2012</v>
      </c>
      <c r="D39">
        <v>2012</v>
      </c>
      <c r="E39" s="1">
        <v>41033</v>
      </c>
      <c r="F39" s="1">
        <v>41065</v>
      </c>
      <c r="G39" s="2">
        <v>431280</v>
      </c>
      <c r="H39" s="3">
        <v>27999</v>
      </c>
      <c r="I39">
        <v>685</v>
      </c>
      <c r="J39">
        <v>762</v>
      </c>
      <c r="K39" t="s">
        <v>13</v>
      </c>
      <c r="L39" s="4">
        <v>13477.5</v>
      </c>
      <c r="M39" s="3">
        <v>874.97</v>
      </c>
      <c r="N39" s="13">
        <v>6.4899999999999999E-2</v>
      </c>
      <c r="O39">
        <v>73.7</v>
      </c>
      <c r="P39">
        <f t="shared" si="104"/>
        <v>32</v>
      </c>
      <c r="Q39" s="5">
        <f t="shared" si="25"/>
        <v>1.0666666666666667</v>
      </c>
      <c r="R39" s="6">
        <f t="shared" si="76"/>
        <v>83.733333333333334</v>
      </c>
      <c r="S39" s="6">
        <f t="shared" si="105"/>
        <v>2453.1306666666665</v>
      </c>
      <c r="T39" s="6">
        <f t="shared" si="26"/>
        <v>5794.9173333333329</v>
      </c>
      <c r="U39" s="6">
        <f t="shared" si="106"/>
        <v>-808.38186666666661</v>
      </c>
      <c r="V39" s="6">
        <f t="shared" si="107"/>
        <v>4023.5494400000002</v>
      </c>
      <c r="W39">
        <f t="shared" ref="W39:W49" si="120">$G39*0.03391</f>
        <v>14624.704800000001</v>
      </c>
      <c r="X39" s="6"/>
      <c r="Y39" s="6"/>
      <c r="Z39" s="6">
        <f t="shared" si="114"/>
        <v>599.87733333333335</v>
      </c>
      <c r="AA39" s="6">
        <f t="shared" si="115"/>
        <v>283.49866666666668</v>
      </c>
      <c r="AB39" s="6">
        <f t="shared" si="116"/>
        <v>756.2399999999999</v>
      </c>
      <c r="AC39" s="6"/>
      <c r="AD39" s="6">
        <f t="shared" si="86"/>
        <v>189.76320000000001</v>
      </c>
      <c r="AE39">
        <f t="shared" si="87"/>
        <v>28001.032906666671</v>
      </c>
      <c r="AF39" s="5">
        <f t="shared" si="108"/>
        <v>7.2606402609768091E-5</v>
      </c>
      <c r="AG39" s="11">
        <f t="shared" si="88"/>
        <v>2.9903658773029599E-3</v>
      </c>
      <c r="AH39" s="5">
        <f t="shared" si="109"/>
        <v>0.32424811483192384</v>
      </c>
      <c r="AI39" s="5">
        <f t="shared" si="110"/>
        <v>0.6727615192907731</v>
      </c>
      <c r="AJ39" s="5">
        <f t="shared" si="89"/>
        <v>0.99999999999999989</v>
      </c>
      <c r="AK39" s="6">
        <f t="shared" si="77"/>
        <v>83.733333333333334</v>
      </c>
      <c r="AL39" s="6">
        <f t="shared" si="31"/>
        <v>2450.5120000000002</v>
      </c>
      <c r="AM39" s="6">
        <f t="shared" si="32"/>
        <v>5786.4575999999997</v>
      </c>
      <c r="AN39" s="6">
        <f t="shared" si="33"/>
        <v>-807.51893333333328</v>
      </c>
      <c r="AO39" s="6">
        <f t="shared" si="111"/>
        <v>4023.5494400000002</v>
      </c>
      <c r="AP39">
        <f t="shared" ref="AP39:AP49" si="121">$G39*0.03391</f>
        <v>14624.704800000001</v>
      </c>
      <c r="AQ39" s="6"/>
      <c r="AR39" s="6"/>
      <c r="AS39" s="6">
        <f t="shared" ref="AS39:AS53" si="122">($I39-1)*0.821*$Q39</f>
        <v>599.00159999999994</v>
      </c>
      <c r="AT39" s="6">
        <f t="shared" ref="AT39:AT53" si="123">($I39-1)*0.388*$Q39</f>
        <v>283.08479999999997</v>
      </c>
      <c r="AU39" s="6">
        <f t="shared" ref="AU39:AU53" si="124">($I39-1)*1.035*$Q39</f>
        <v>755.13599999999997</v>
      </c>
      <c r="AV39" s="6"/>
      <c r="AW39" s="6">
        <f t="shared" si="90"/>
        <v>189.76320000000001</v>
      </c>
      <c r="AX39">
        <f t="shared" si="41"/>
        <v>27988.423840000003</v>
      </c>
      <c r="AY39" s="6">
        <f t="shared" si="42"/>
        <v>12.609066666667786</v>
      </c>
      <c r="AZ39" s="6">
        <f t="shared" si="78"/>
        <v>83.733333333333334</v>
      </c>
      <c r="BA39" s="6">
        <f t="shared" si="112"/>
        <v>2453.1306666666665</v>
      </c>
      <c r="BB39" s="6">
        <f t="shared" si="43"/>
        <v>5794.9173333333329</v>
      </c>
      <c r="BC39" s="6">
        <f t="shared" si="113"/>
        <v>-808.38186666666661</v>
      </c>
      <c r="BD39" s="6">
        <f t="shared" si="44"/>
        <v>4023.5423253333333</v>
      </c>
      <c r="BE39">
        <f t="shared" ref="BE39:BE49" si="125">($G39-1)*0.03391</f>
        <v>14624.670890000001</v>
      </c>
      <c r="BF39" s="6"/>
      <c r="BG39" s="6"/>
      <c r="BH39" s="6">
        <f t="shared" si="117"/>
        <v>599.87733333333335</v>
      </c>
      <c r="BI39" s="6">
        <f t="shared" si="118"/>
        <v>283.49866666666668</v>
      </c>
      <c r="BJ39" s="6">
        <f t="shared" si="119"/>
        <v>756.2399999999999</v>
      </c>
      <c r="BK39" s="6"/>
      <c r="BL39" s="6">
        <f t="shared" si="75"/>
        <v>189.76276000000001</v>
      </c>
      <c r="BM39">
        <f t="shared" si="47"/>
        <v>28000.991442000002</v>
      </c>
      <c r="BN39" s="7">
        <f t="shared" si="48"/>
        <v>4.1464666668616701E-2</v>
      </c>
    </row>
    <row r="40" spans="2:66" x14ac:dyDescent="0.25">
      <c r="B40" t="s">
        <v>15</v>
      </c>
      <c r="C40">
        <v>2012</v>
      </c>
      <c r="D40">
        <v>2012</v>
      </c>
      <c r="E40" s="1">
        <v>41003</v>
      </c>
      <c r="F40" s="1">
        <v>41033</v>
      </c>
      <c r="G40" s="2">
        <v>402480</v>
      </c>
      <c r="H40" s="3">
        <v>26173.52</v>
      </c>
      <c r="I40">
        <v>685</v>
      </c>
      <c r="J40">
        <v>762</v>
      </c>
      <c r="K40" t="s">
        <v>13</v>
      </c>
      <c r="L40" s="4">
        <v>13416</v>
      </c>
      <c r="M40" s="3">
        <v>872.45</v>
      </c>
      <c r="N40" s="13">
        <v>6.5000000000000002E-2</v>
      </c>
      <c r="O40">
        <v>73.36</v>
      </c>
      <c r="P40">
        <f t="shared" si="104"/>
        <v>30</v>
      </c>
      <c r="Q40" s="5">
        <f t="shared" si="25"/>
        <v>1</v>
      </c>
      <c r="R40" s="6">
        <f t="shared" si="76"/>
        <v>78.5</v>
      </c>
      <c r="S40" s="6">
        <f t="shared" si="105"/>
        <v>2299.81</v>
      </c>
      <c r="T40" s="6">
        <f t="shared" si="26"/>
        <v>5432.7349999999997</v>
      </c>
      <c r="U40" s="6">
        <f t="shared" si="106"/>
        <v>-757.85799999999995</v>
      </c>
      <c r="V40" s="6">
        <f t="shared" si="107"/>
        <v>3579.9816000000001</v>
      </c>
      <c r="W40">
        <f t="shared" si="120"/>
        <v>13648.096800000001</v>
      </c>
      <c r="X40" s="6"/>
      <c r="Y40" s="6"/>
      <c r="Z40" s="6">
        <f t="shared" si="114"/>
        <v>562.38499999999999</v>
      </c>
      <c r="AA40" s="6">
        <f t="shared" si="115"/>
        <v>265.78000000000003</v>
      </c>
      <c r="AB40" s="6">
        <f t="shared" si="116"/>
        <v>708.97499999999991</v>
      </c>
      <c r="AC40" s="6"/>
      <c r="AD40" s="6">
        <f t="shared" si="86"/>
        <v>177.09120000000001</v>
      </c>
      <c r="AE40">
        <f t="shared" si="87"/>
        <v>25995.496599999999</v>
      </c>
      <c r="AF40" s="5">
        <f t="shared" si="108"/>
        <v>6.8016606096544087E-3</v>
      </c>
      <c r="AG40" s="11">
        <f t="shared" si="88"/>
        <v>3.0197538138201988E-3</v>
      </c>
      <c r="AH40" s="5">
        <f t="shared" si="109"/>
        <v>0.32743467574302848</v>
      </c>
      <c r="AI40" s="5">
        <f t="shared" si="110"/>
        <v>0.66954557044315133</v>
      </c>
      <c r="AJ40" s="5">
        <f t="shared" si="89"/>
        <v>1</v>
      </c>
      <c r="AK40" s="6">
        <f t="shared" si="77"/>
        <v>78.5</v>
      </c>
      <c r="AL40" s="6">
        <f t="shared" si="31"/>
        <v>2297.355</v>
      </c>
      <c r="AM40" s="6">
        <f t="shared" si="32"/>
        <v>5424.8040000000001</v>
      </c>
      <c r="AN40" s="6">
        <f t="shared" si="33"/>
        <v>-757.04899999999998</v>
      </c>
      <c r="AO40" s="6">
        <f t="shared" si="111"/>
        <v>3579.9816000000001</v>
      </c>
      <c r="AP40">
        <f t="shared" si="121"/>
        <v>13648.096800000001</v>
      </c>
      <c r="AQ40" s="6"/>
      <c r="AR40" s="6"/>
      <c r="AS40" s="6">
        <f t="shared" si="122"/>
        <v>561.56399999999996</v>
      </c>
      <c r="AT40" s="6">
        <f t="shared" si="123"/>
        <v>265.392</v>
      </c>
      <c r="AU40" s="6">
        <f t="shared" si="124"/>
        <v>707.93999999999994</v>
      </c>
      <c r="AV40" s="6"/>
      <c r="AW40" s="6">
        <f t="shared" si="90"/>
        <v>177.09120000000001</v>
      </c>
      <c r="AX40">
        <f t="shared" si="41"/>
        <v>25983.675599999995</v>
      </c>
      <c r="AY40" s="6">
        <f t="shared" si="42"/>
        <v>11.821000000003551</v>
      </c>
      <c r="AZ40" s="6">
        <f t="shared" si="78"/>
        <v>78.5</v>
      </c>
      <c r="BA40" s="6">
        <f t="shared" si="112"/>
        <v>2299.81</v>
      </c>
      <c r="BB40" s="6">
        <f t="shared" si="43"/>
        <v>5432.7349999999997</v>
      </c>
      <c r="BC40" s="6">
        <f t="shared" si="113"/>
        <v>-757.85799999999995</v>
      </c>
      <c r="BD40" s="6">
        <f t="shared" si="44"/>
        <v>3579.9749300000003</v>
      </c>
      <c r="BE40">
        <f t="shared" si="125"/>
        <v>13648.062890000001</v>
      </c>
      <c r="BF40" s="6"/>
      <c r="BG40" s="6"/>
      <c r="BH40" s="6">
        <f t="shared" si="117"/>
        <v>562.38499999999999</v>
      </c>
      <c r="BI40" s="6">
        <f t="shared" si="118"/>
        <v>265.78000000000003</v>
      </c>
      <c r="BJ40" s="6">
        <f t="shared" si="119"/>
        <v>708.97499999999991</v>
      </c>
      <c r="BK40" s="6"/>
      <c r="BL40" s="6">
        <f t="shared" si="75"/>
        <v>177.09076000000002</v>
      </c>
      <c r="BM40">
        <f t="shared" si="47"/>
        <v>25995.455579999998</v>
      </c>
      <c r="BN40" s="7">
        <f t="shared" si="48"/>
        <v>4.1020000000571599E-2</v>
      </c>
    </row>
    <row r="41" spans="2:66" x14ac:dyDescent="0.25">
      <c r="B41" t="s">
        <v>16</v>
      </c>
      <c r="C41">
        <v>2012</v>
      </c>
      <c r="D41">
        <v>2012</v>
      </c>
      <c r="E41" s="1">
        <v>40974</v>
      </c>
      <c r="F41" s="1">
        <v>41003</v>
      </c>
      <c r="G41" s="2">
        <v>399600</v>
      </c>
      <c r="H41" s="3">
        <v>25864.16</v>
      </c>
      <c r="I41">
        <v>698</v>
      </c>
      <c r="J41">
        <v>762</v>
      </c>
      <c r="K41" t="s">
        <v>13</v>
      </c>
      <c r="L41" s="4">
        <v>13779.31</v>
      </c>
      <c r="M41" s="3">
        <v>891.87</v>
      </c>
      <c r="N41" s="13">
        <v>6.4699999999999994E-2</v>
      </c>
      <c r="O41">
        <v>75.349999999999994</v>
      </c>
      <c r="P41">
        <f t="shared" si="104"/>
        <v>29</v>
      </c>
      <c r="Q41" s="5">
        <f t="shared" si="25"/>
        <v>0.96666666666666667</v>
      </c>
      <c r="R41" s="6">
        <f t="shared" si="76"/>
        <v>75.88333333333334</v>
      </c>
      <c r="S41" s="6">
        <f t="shared" si="105"/>
        <v>2223.1496666666667</v>
      </c>
      <c r="T41" s="6">
        <f t="shared" si="26"/>
        <v>5351.3100666666669</v>
      </c>
      <c r="U41" s="6">
        <f t="shared" si="106"/>
        <v>-732.59606666666662</v>
      </c>
      <c r="V41" s="6">
        <f t="shared" si="107"/>
        <v>3442.0796</v>
      </c>
      <c r="W41">
        <f t="shared" si="120"/>
        <v>13550.436000000002</v>
      </c>
      <c r="X41" s="6"/>
      <c r="Y41" s="6"/>
      <c r="Z41" s="6">
        <f t="shared" si="114"/>
        <v>553.95606666666663</v>
      </c>
      <c r="AA41" s="6">
        <f t="shared" si="115"/>
        <v>261.79653333333334</v>
      </c>
      <c r="AB41" s="6">
        <f t="shared" si="116"/>
        <v>698.34899999999993</v>
      </c>
      <c r="AC41" s="6"/>
      <c r="AD41" s="6">
        <f t="shared" si="86"/>
        <v>175.82400000000001</v>
      </c>
      <c r="AE41">
        <f t="shared" si="87"/>
        <v>25600.188200000001</v>
      </c>
      <c r="AF41" s="5">
        <f t="shared" si="108"/>
        <v>1.0206084404055626E-2</v>
      </c>
      <c r="AG41" s="11">
        <f t="shared" si="88"/>
        <v>2.9641709170455761E-3</v>
      </c>
      <c r="AH41" s="5">
        <f t="shared" si="109"/>
        <v>0.32640249366083435</v>
      </c>
      <c r="AI41" s="5">
        <f t="shared" si="110"/>
        <v>0.67063333542212011</v>
      </c>
      <c r="AJ41" s="5">
        <f t="shared" si="89"/>
        <v>1</v>
      </c>
      <c r="AK41" s="6">
        <f t="shared" si="77"/>
        <v>75.88333333333334</v>
      </c>
      <c r="AL41" s="6">
        <f t="shared" si="31"/>
        <v>2220.7764999999999</v>
      </c>
      <c r="AM41" s="6">
        <f t="shared" si="32"/>
        <v>5343.6434333333336</v>
      </c>
      <c r="AN41" s="6">
        <f t="shared" si="33"/>
        <v>-731.81403333333333</v>
      </c>
      <c r="AO41" s="6">
        <f t="shared" si="111"/>
        <v>3442.0796</v>
      </c>
      <c r="AP41">
        <f t="shared" si="121"/>
        <v>13550.436000000002</v>
      </c>
      <c r="AQ41" s="6"/>
      <c r="AR41" s="6"/>
      <c r="AS41" s="6">
        <f t="shared" si="122"/>
        <v>553.1624333333333</v>
      </c>
      <c r="AT41" s="6">
        <f t="shared" si="123"/>
        <v>261.42146666666673</v>
      </c>
      <c r="AU41" s="6">
        <f t="shared" si="124"/>
        <v>697.34849999999994</v>
      </c>
      <c r="AV41" s="6"/>
      <c r="AW41" s="6">
        <f t="shared" si="90"/>
        <v>175.82400000000001</v>
      </c>
      <c r="AX41">
        <f t="shared" si="41"/>
        <v>25588.761233333338</v>
      </c>
      <c r="AY41" s="6">
        <f t="shared" si="42"/>
        <v>11.426966666662338</v>
      </c>
      <c r="AZ41" s="6">
        <f t="shared" si="78"/>
        <v>75.88333333333334</v>
      </c>
      <c r="BA41" s="6">
        <f t="shared" si="112"/>
        <v>2223.1496666666667</v>
      </c>
      <c r="BB41" s="6">
        <f t="shared" si="43"/>
        <v>5351.3100666666669</v>
      </c>
      <c r="BC41" s="6">
        <f t="shared" si="113"/>
        <v>-732.59606666666662</v>
      </c>
      <c r="BD41" s="6">
        <f t="shared" si="44"/>
        <v>3442.0731523333334</v>
      </c>
      <c r="BE41">
        <f t="shared" si="125"/>
        <v>13550.402090000001</v>
      </c>
      <c r="BF41" s="6"/>
      <c r="BG41" s="6"/>
      <c r="BH41" s="6">
        <f t="shared" si="117"/>
        <v>553.95606666666663</v>
      </c>
      <c r="BI41" s="6">
        <f t="shared" si="118"/>
        <v>261.79653333333334</v>
      </c>
      <c r="BJ41" s="6">
        <f t="shared" si="119"/>
        <v>698.34899999999993</v>
      </c>
      <c r="BK41" s="6"/>
      <c r="BL41" s="6">
        <f t="shared" si="75"/>
        <v>175.82356000000001</v>
      </c>
      <c r="BM41">
        <f t="shared" si="47"/>
        <v>25600.147402333336</v>
      </c>
      <c r="BN41" s="7">
        <f t="shared" si="48"/>
        <v>4.0797666664730059E-2</v>
      </c>
    </row>
    <row r="42" spans="2:66" x14ac:dyDescent="0.25">
      <c r="B42" t="s">
        <v>17</v>
      </c>
      <c r="C42">
        <v>2012</v>
      </c>
      <c r="D42">
        <v>2012</v>
      </c>
      <c r="E42" s="1">
        <v>40945</v>
      </c>
      <c r="F42" s="1">
        <v>40974</v>
      </c>
      <c r="G42" s="2">
        <v>380160</v>
      </c>
      <c r="H42" s="3">
        <v>24936.44</v>
      </c>
      <c r="I42">
        <v>685</v>
      </c>
      <c r="J42">
        <v>762</v>
      </c>
      <c r="K42" t="s">
        <v>13</v>
      </c>
      <c r="L42" s="4">
        <v>13108.97</v>
      </c>
      <c r="M42" s="3">
        <v>859.88</v>
      </c>
      <c r="N42" s="13">
        <v>6.5600000000000006E-2</v>
      </c>
      <c r="O42">
        <v>71.680000000000007</v>
      </c>
      <c r="P42">
        <f t="shared" si="104"/>
        <v>29</v>
      </c>
      <c r="Q42" s="5">
        <f t="shared" si="25"/>
        <v>0.96666666666666667</v>
      </c>
      <c r="R42" s="6">
        <f t="shared" si="76"/>
        <v>75.88333333333334</v>
      </c>
      <c r="S42" s="6">
        <f t="shared" si="105"/>
        <v>2223.1496666666667</v>
      </c>
      <c r="T42" s="6">
        <f t="shared" si="26"/>
        <v>5251.6438333333326</v>
      </c>
      <c r="U42" s="6">
        <f t="shared" si="106"/>
        <v>-732.59606666666662</v>
      </c>
      <c r="V42" s="6">
        <f t="shared" si="107"/>
        <v>3316.7369600000002</v>
      </c>
      <c r="W42">
        <f t="shared" si="120"/>
        <v>12891.225600000002</v>
      </c>
      <c r="X42" s="6"/>
      <c r="Y42" s="6"/>
      <c r="Z42" s="6">
        <f t="shared" si="114"/>
        <v>543.63883333333331</v>
      </c>
      <c r="AA42" s="6">
        <f t="shared" si="115"/>
        <v>256.9206666666667</v>
      </c>
      <c r="AB42" s="6">
        <f t="shared" si="116"/>
        <v>685.34249999999997</v>
      </c>
      <c r="AC42" s="6"/>
      <c r="AD42" s="6">
        <f t="shared" si="86"/>
        <v>167.2704</v>
      </c>
      <c r="AE42">
        <f t="shared" si="87"/>
        <v>24679.215726666665</v>
      </c>
      <c r="AF42" s="5">
        <f t="shared" si="108"/>
        <v>1.0315196288376901E-2</v>
      </c>
      <c r="AG42" s="11">
        <f t="shared" si="88"/>
        <v>3.0747870667275305E-3</v>
      </c>
      <c r="AH42" s="5">
        <f t="shared" si="109"/>
        <v>0.33340198183212982</v>
      </c>
      <c r="AI42" s="5">
        <f t="shared" si="110"/>
        <v>0.66352323110114275</v>
      </c>
      <c r="AJ42" s="5">
        <f t="shared" si="89"/>
        <v>1</v>
      </c>
      <c r="AK42" s="6">
        <f t="shared" si="77"/>
        <v>75.88333333333334</v>
      </c>
      <c r="AL42" s="6">
        <f t="shared" si="31"/>
        <v>2220.7764999999999</v>
      </c>
      <c r="AM42" s="6">
        <f t="shared" si="32"/>
        <v>5243.9772000000003</v>
      </c>
      <c r="AN42" s="6">
        <f t="shared" si="33"/>
        <v>-731.81403333333333</v>
      </c>
      <c r="AO42" s="6">
        <f t="shared" si="111"/>
        <v>3316.7369600000002</v>
      </c>
      <c r="AP42">
        <f t="shared" si="121"/>
        <v>12891.225600000002</v>
      </c>
      <c r="AQ42" s="6"/>
      <c r="AR42" s="6"/>
      <c r="AS42" s="6">
        <f t="shared" si="122"/>
        <v>542.84519999999998</v>
      </c>
      <c r="AT42" s="6">
        <f t="shared" si="123"/>
        <v>256.54559999999998</v>
      </c>
      <c r="AU42" s="6">
        <f t="shared" si="124"/>
        <v>684.34199999999998</v>
      </c>
      <c r="AV42" s="6"/>
      <c r="AW42" s="6">
        <f t="shared" si="90"/>
        <v>167.2704</v>
      </c>
      <c r="AX42">
        <f t="shared" si="41"/>
        <v>24667.788760000007</v>
      </c>
      <c r="AY42" s="6">
        <f t="shared" si="42"/>
        <v>11.4269666666587</v>
      </c>
      <c r="AZ42" s="6">
        <f t="shared" si="78"/>
        <v>75.88333333333334</v>
      </c>
      <c r="BA42" s="6">
        <f t="shared" si="112"/>
        <v>2223.1496666666667</v>
      </c>
      <c r="BB42" s="6">
        <f t="shared" si="43"/>
        <v>5251.6438333333326</v>
      </c>
      <c r="BC42" s="6">
        <f t="shared" si="113"/>
        <v>-732.59606666666662</v>
      </c>
      <c r="BD42" s="6">
        <f t="shared" si="44"/>
        <v>3316.7305123333335</v>
      </c>
      <c r="BE42">
        <f t="shared" si="125"/>
        <v>12891.191690000001</v>
      </c>
      <c r="BF42" s="6"/>
      <c r="BG42" s="6"/>
      <c r="BH42" s="6">
        <f t="shared" si="117"/>
        <v>543.63883333333331</v>
      </c>
      <c r="BI42" s="6">
        <f t="shared" si="118"/>
        <v>256.9206666666667</v>
      </c>
      <c r="BJ42" s="6">
        <f t="shared" si="119"/>
        <v>685.34249999999997</v>
      </c>
      <c r="BK42" s="6"/>
      <c r="BL42" s="6">
        <f t="shared" si="75"/>
        <v>167.26996</v>
      </c>
      <c r="BM42">
        <f t="shared" si="47"/>
        <v>24679.174929000001</v>
      </c>
      <c r="BN42" s="7">
        <f t="shared" si="48"/>
        <v>4.0797666664730059E-2</v>
      </c>
    </row>
    <row r="43" spans="2:66" x14ac:dyDescent="0.25">
      <c r="B43" t="s">
        <v>18</v>
      </c>
      <c r="C43">
        <v>2012</v>
      </c>
      <c r="D43">
        <v>2012</v>
      </c>
      <c r="E43" s="1">
        <v>40913</v>
      </c>
      <c r="F43" s="1">
        <v>40945</v>
      </c>
      <c r="G43" s="2">
        <v>400320</v>
      </c>
      <c r="H43" s="3">
        <v>26909.97</v>
      </c>
      <c r="I43">
        <v>701</v>
      </c>
      <c r="J43">
        <v>762</v>
      </c>
      <c r="K43" t="s">
        <v>13</v>
      </c>
      <c r="L43" s="4">
        <v>12510</v>
      </c>
      <c r="M43" s="3">
        <v>840.94</v>
      </c>
      <c r="N43" s="13">
        <v>6.7199999999999996E-2</v>
      </c>
      <c r="O43">
        <v>68.41</v>
      </c>
      <c r="P43">
        <f t="shared" si="104"/>
        <v>32</v>
      </c>
      <c r="Q43" s="5">
        <f t="shared" si="25"/>
        <v>1.0666666666666667</v>
      </c>
      <c r="R43" s="6">
        <f t="shared" si="76"/>
        <v>83.733333333333334</v>
      </c>
      <c r="S43" s="6">
        <f t="shared" si="105"/>
        <v>2453.1306666666665</v>
      </c>
      <c r="T43" s="6">
        <f t="shared" si="26"/>
        <v>5930.2730666666666</v>
      </c>
      <c r="U43" s="6">
        <f t="shared" si="106"/>
        <v>-808.38186666666661</v>
      </c>
      <c r="V43" s="6">
        <f t="shared" si="107"/>
        <v>3803.27936</v>
      </c>
      <c r="W43">
        <f t="shared" si="120"/>
        <v>13574.851200000001</v>
      </c>
      <c r="X43" s="6"/>
      <c r="Y43" s="6"/>
      <c r="Z43" s="6">
        <f t="shared" si="114"/>
        <v>613.88906666666662</v>
      </c>
      <c r="AA43" s="6">
        <f t="shared" si="115"/>
        <v>290.12053333333336</v>
      </c>
      <c r="AB43" s="6">
        <f t="shared" si="116"/>
        <v>773.904</v>
      </c>
      <c r="AC43" s="6"/>
      <c r="AD43" s="6">
        <f t="shared" si="86"/>
        <v>176.14080000000001</v>
      </c>
      <c r="AE43">
        <f t="shared" si="87"/>
        <v>26890.940160000002</v>
      </c>
      <c r="AF43" s="5">
        <f t="shared" si="108"/>
        <v>7.0716689762193117E-4</v>
      </c>
      <c r="AG43" s="11">
        <f t="shared" si="88"/>
        <v>3.113812043577629E-3</v>
      </c>
      <c r="AH43" s="5">
        <f t="shared" si="109"/>
        <v>0.34409118504641623</v>
      </c>
      <c r="AI43" s="5">
        <f t="shared" si="110"/>
        <v>0.65279500291000614</v>
      </c>
      <c r="AJ43" s="5">
        <f t="shared" si="89"/>
        <v>1</v>
      </c>
      <c r="AK43" s="6">
        <f t="shared" si="77"/>
        <v>83.733333333333334</v>
      </c>
      <c r="AL43" s="6">
        <f t="shared" si="31"/>
        <v>2450.5120000000002</v>
      </c>
      <c r="AM43" s="6">
        <f t="shared" si="32"/>
        <v>5921.8133333333335</v>
      </c>
      <c r="AN43" s="6">
        <f t="shared" si="33"/>
        <v>-807.51893333333328</v>
      </c>
      <c r="AO43" s="6">
        <f t="shared" si="111"/>
        <v>3803.27936</v>
      </c>
      <c r="AP43">
        <f t="shared" si="121"/>
        <v>13574.851200000001</v>
      </c>
      <c r="AQ43" s="6"/>
      <c r="AR43" s="6"/>
      <c r="AS43" s="6">
        <f t="shared" si="122"/>
        <v>613.01333333333321</v>
      </c>
      <c r="AT43" s="6">
        <f t="shared" si="123"/>
        <v>289.70666666666671</v>
      </c>
      <c r="AU43" s="6">
        <f t="shared" si="124"/>
        <v>772.8</v>
      </c>
      <c r="AV43" s="6"/>
      <c r="AW43" s="6">
        <f t="shared" si="90"/>
        <v>176.14080000000001</v>
      </c>
      <c r="AX43">
        <f t="shared" si="41"/>
        <v>26878.331093333334</v>
      </c>
      <c r="AY43" s="6">
        <f t="shared" si="42"/>
        <v>12.609066666667786</v>
      </c>
      <c r="AZ43" s="6">
        <f t="shared" si="78"/>
        <v>83.733333333333334</v>
      </c>
      <c r="BA43" s="6">
        <f t="shared" si="112"/>
        <v>2453.1306666666665</v>
      </c>
      <c r="BB43" s="6">
        <f t="shared" si="43"/>
        <v>5930.2730666666666</v>
      </c>
      <c r="BC43" s="6">
        <f t="shared" si="113"/>
        <v>-808.38186666666661</v>
      </c>
      <c r="BD43" s="6">
        <f t="shared" si="44"/>
        <v>3803.2722453333331</v>
      </c>
      <c r="BE43">
        <f t="shared" si="125"/>
        <v>13574.817290000001</v>
      </c>
      <c r="BF43" s="6"/>
      <c r="BG43" s="6"/>
      <c r="BH43" s="6">
        <f t="shared" si="117"/>
        <v>613.88906666666662</v>
      </c>
      <c r="BI43" s="6">
        <f t="shared" si="118"/>
        <v>290.12053333333336</v>
      </c>
      <c r="BJ43" s="6">
        <f t="shared" si="119"/>
        <v>773.904</v>
      </c>
      <c r="BK43" s="6"/>
      <c r="BL43" s="6">
        <f t="shared" si="75"/>
        <v>176.14036000000002</v>
      </c>
      <c r="BM43">
        <f t="shared" si="47"/>
        <v>26890.898695333333</v>
      </c>
      <c r="BN43" s="7">
        <f t="shared" si="48"/>
        <v>4.1464666668616701E-2</v>
      </c>
    </row>
    <row r="44" spans="2:66" x14ac:dyDescent="0.25">
      <c r="B44" t="s">
        <v>19</v>
      </c>
      <c r="C44">
        <v>2011</v>
      </c>
      <c r="D44">
        <v>2012</v>
      </c>
      <c r="E44" s="1">
        <v>40883</v>
      </c>
      <c r="F44" s="1">
        <v>40913</v>
      </c>
      <c r="G44" s="2">
        <v>390240</v>
      </c>
      <c r="H44" s="3">
        <v>25523.22</v>
      </c>
      <c r="I44">
        <v>685</v>
      </c>
      <c r="J44">
        <v>762</v>
      </c>
      <c r="K44" t="s">
        <v>13</v>
      </c>
      <c r="L44" s="4">
        <v>13008</v>
      </c>
      <c r="M44" s="3">
        <v>850.77</v>
      </c>
      <c r="N44" s="13">
        <v>6.54E-2</v>
      </c>
      <c r="O44">
        <v>71.13</v>
      </c>
      <c r="P44">
        <f t="shared" si="104"/>
        <v>30</v>
      </c>
      <c r="Q44" s="5">
        <f t="shared" si="25"/>
        <v>1</v>
      </c>
      <c r="R44" s="6">
        <f t="shared" si="76"/>
        <v>78.5</v>
      </c>
      <c r="S44" s="6">
        <f t="shared" si="105"/>
        <v>2299.81</v>
      </c>
      <c r="T44" s="6">
        <f t="shared" si="26"/>
        <v>5432.7349999999997</v>
      </c>
      <c r="U44" s="6">
        <f t="shared" si="106"/>
        <v>-757.85799999999995</v>
      </c>
      <c r="V44" s="6">
        <f t="shared" si="107"/>
        <v>3498.3407999999999</v>
      </c>
      <c r="W44">
        <f t="shared" si="120"/>
        <v>13233.038400000001</v>
      </c>
      <c r="X44" s="6"/>
      <c r="Y44" s="6"/>
      <c r="Z44" s="6">
        <f t="shared" si="114"/>
        <v>562.38499999999999</v>
      </c>
      <c r="AA44" s="6">
        <f t="shared" si="115"/>
        <v>265.78000000000003</v>
      </c>
      <c r="AB44" s="6">
        <f t="shared" si="116"/>
        <v>708.97499999999991</v>
      </c>
      <c r="AC44" s="6"/>
      <c r="AD44" s="6">
        <f t="shared" si="86"/>
        <v>171.7056</v>
      </c>
      <c r="AE44">
        <f t="shared" si="87"/>
        <v>25493.411799999998</v>
      </c>
      <c r="AF44" s="5">
        <f t="shared" si="108"/>
        <v>1.1678855567598104E-3</v>
      </c>
      <c r="AG44" s="11">
        <f t="shared" si="88"/>
        <v>3.0792269240321928E-3</v>
      </c>
      <c r="AH44" s="5">
        <f t="shared" si="109"/>
        <v>0.33388339963190017</v>
      </c>
      <c r="AI44" s="5">
        <f t="shared" si="110"/>
        <v>0.66303737344406788</v>
      </c>
      <c r="AJ44" s="5">
        <f t="shared" si="89"/>
        <v>1.0000000000000002</v>
      </c>
      <c r="AK44" s="6">
        <f t="shared" si="77"/>
        <v>78.5</v>
      </c>
      <c r="AL44" s="6">
        <f t="shared" si="31"/>
        <v>2297.355</v>
      </c>
      <c r="AM44" s="6">
        <f t="shared" si="32"/>
        <v>5424.8040000000001</v>
      </c>
      <c r="AN44" s="6">
        <f t="shared" si="33"/>
        <v>-757.04899999999998</v>
      </c>
      <c r="AO44" s="6">
        <f t="shared" si="111"/>
        <v>3498.3407999999999</v>
      </c>
      <c r="AP44">
        <f t="shared" si="121"/>
        <v>13233.038400000001</v>
      </c>
      <c r="AQ44" s="6"/>
      <c r="AR44" s="6"/>
      <c r="AS44" s="6">
        <f t="shared" si="122"/>
        <v>561.56399999999996</v>
      </c>
      <c r="AT44" s="6">
        <f t="shared" si="123"/>
        <v>265.392</v>
      </c>
      <c r="AU44" s="6">
        <f t="shared" si="124"/>
        <v>707.93999999999994</v>
      </c>
      <c r="AV44" s="6"/>
      <c r="AW44" s="6">
        <f t="shared" si="90"/>
        <v>171.7056</v>
      </c>
      <c r="AX44">
        <f t="shared" si="41"/>
        <v>25481.590799999998</v>
      </c>
      <c r="AY44" s="6">
        <f t="shared" si="42"/>
        <v>11.820999999999913</v>
      </c>
      <c r="AZ44" s="6">
        <f t="shared" si="78"/>
        <v>78.5</v>
      </c>
      <c r="BA44" s="6">
        <f t="shared" si="112"/>
        <v>2299.81</v>
      </c>
      <c r="BB44" s="6">
        <f t="shared" si="43"/>
        <v>5432.7349999999997</v>
      </c>
      <c r="BC44" s="6">
        <f t="shared" si="113"/>
        <v>-757.85799999999995</v>
      </c>
      <c r="BD44" s="6">
        <f t="shared" si="44"/>
        <v>3498.3341300000002</v>
      </c>
      <c r="BE44">
        <f t="shared" si="125"/>
        <v>13233.004490000001</v>
      </c>
      <c r="BF44" s="6"/>
      <c r="BG44" s="6"/>
      <c r="BH44" s="6">
        <f t="shared" si="117"/>
        <v>562.38499999999999</v>
      </c>
      <c r="BI44" s="6">
        <f t="shared" si="118"/>
        <v>265.78000000000003</v>
      </c>
      <c r="BJ44" s="6">
        <f t="shared" si="119"/>
        <v>708.97499999999991</v>
      </c>
      <c r="BK44" s="6"/>
      <c r="BL44" s="6">
        <f t="shared" si="75"/>
        <v>171.70516000000001</v>
      </c>
      <c r="BM44">
        <f t="shared" si="47"/>
        <v>25493.370779999997</v>
      </c>
      <c r="BN44" s="7">
        <f t="shared" si="48"/>
        <v>4.1020000000571599E-2</v>
      </c>
    </row>
    <row r="45" spans="2:66" x14ac:dyDescent="0.25">
      <c r="B45" t="s">
        <v>20</v>
      </c>
      <c r="C45">
        <v>2011</v>
      </c>
      <c r="D45">
        <v>2012</v>
      </c>
      <c r="E45" s="1">
        <v>40849</v>
      </c>
      <c r="F45" s="1">
        <v>40883</v>
      </c>
      <c r="G45" s="2">
        <v>457200</v>
      </c>
      <c r="H45" s="3">
        <v>29504.880000000001</v>
      </c>
      <c r="I45">
        <v>685</v>
      </c>
      <c r="J45">
        <v>762</v>
      </c>
      <c r="K45" t="s">
        <v>13</v>
      </c>
      <c r="L45" s="4">
        <v>13447.06</v>
      </c>
      <c r="M45" s="3">
        <v>867.79</v>
      </c>
      <c r="N45" s="13">
        <v>6.4500000000000002E-2</v>
      </c>
      <c r="O45">
        <v>73.53</v>
      </c>
      <c r="P45">
        <f t="shared" si="104"/>
        <v>34</v>
      </c>
      <c r="Q45" s="5">
        <f t="shared" si="25"/>
        <v>1.1333333333333333</v>
      </c>
      <c r="R45" s="6">
        <f t="shared" ref="R45:R61" si="126">78.5*$Q45</f>
        <v>88.966666666666669</v>
      </c>
      <c r="S45" s="6">
        <f t="shared" si="105"/>
        <v>2606.4513333333334</v>
      </c>
      <c r="T45" s="6">
        <f t="shared" si="26"/>
        <v>6157.0996666666661</v>
      </c>
      <c r="U45" s="6">
        <f t="shared" si="106"/>
        <v>-858.90573333333327</v>
      </c>
      <c r="V45" s="6">
        <f t="shared" si="107"/>
        <v>4470.9592000000002</v>
      </c>
      <c r="W45">
        <f t="shared" si="120"/>
        <v>15503.652000000002</v>
      </c>
      <c r="X45" s="6"/>
      <c r="Y45" s="6"/>
      <c r="Z45" s="6">
        <f t="shared" si="114"/>
        <v>637.3696666666666</v>
      </c>
      <c r="AA45" s="6">
        <f t="shared" si="115"/>
        <v>301.21733333333339</v>
      </c>
      <c r="AB45" s="6">
        <f t="shared" si="116"/>
        <v>803.50499999999988</v>
      </c>
      <c r="AC45" s="6"/>
      <c r="AD45" s="6">
        <f t="shared" si="86"/>
        <v>201.16800000000001</v>
      </c>
      <c r="AE45">
        <f t="shared" si="87"/>
        <v>29911.483133333339</v>
      </c>
      <c r="AF45" s="5">
        <f t="shared" si="108"/>
        <v>1.3780877378024841E-2</v>
      </c>
      <c r="AG45" s="11">
        <f t="shared" si="88"/>
        <v>2.9743315057327354E-3</v>
      </c>
      <c r="AH45" s="5">
        <f t="shared" si="109"/>
        <v>0.32250949321587963</v>
      </c>
      <c r="AI45" s="5">
        <f t="shared" si="110"/>
        <v>0.67451617527838759</v>
      </c>
      <c r="AJ45" s="5">
        <f t="shared" si="89"/>
        <v>1</v>
      </c>
      <c r="AK45" s="6">
        <f t="shared" ref="AK45:AK61" si="127">78.5*$Q45</f>
        <v>88.966666666666669</v>
      </c>
      <c r="AL45" s="6">
        <f t="shared" si="31"/>
        <v>2603.6689999999999</v>
      </c>
      <c r="AM45" s="6">
        <f t="shared" si="32"/>
        <v>6148.1112000000003</v>
      </c>
      <c r="AN45" s="6">
        <f t="shared" si="33"/>
        <v>-857.98886666666658</v>
      </c>
      <c r="AO45" s="6">
        <f t="shared" si="111"/>
        <v>4470.9592000000002</v>
      </c>
      <c r="AP45">
        <f t="shared" si="121"/>
        <v>15503.652000000002</v>
      </c>
      <c r="AQ45" s="6"/>
      <c r="AR45" s="6"/>
      <c r="AS45" s="6">
        <f t="shared" si="122"/>
        <v>636.43919999999991</v>
      </c>
      <c r="AT45" s="6">
        <f t="shared" si="123"/>
        <v>300.77760000000001</v>
      </c>
      <c r="AU45" s="6">
        <f t="shared" si="124"/>
        <v>802.33199999999988</v>
      </c>
      <c r="AV45" s="6"/>
      <c r="AW45" s="6">
        <f t="shared" si="90"/>
        <v>201.16800000000001</v>
      </c>
      <c r="AX45">
        <f t="shared" si="41"/>
        <v>29898.086000000003</v>
      </c>
      <c r="AY45" s="6">
        <f t="shared" si="42"/>
        <v>13.39713333333566</v>
      </c>
      <c r="AZ45" s="6">
        <f t="shared" ref="AZ45:AZ61" si="128">78.5*$Q45</f>
        <v>88.966666666666669</v>
      </c>
      <c r="BA45" s="6">
        <f t="shared" si="112"/>
        <v>2606.4513333333334</v>
      </c>
      <c r="BB45" s="6">
        <f t="shared" si="43"/>
        <v>6157.0996666666661</v>
      </c>
      <c r="BC45" s="6">
        <f t="shared" si="113"/>
        <v>-858.90573333333327</v>
      </c>
      <c r="BD45" s="6">
        <f t="shared" si="44"/>
        <v>4470.9516406666671</v>
      </c>
      <c r="BE45">
        <f t="shared" si="125"/>
        <v>15503.618090000002</v>
      </c>
      <c r="BF45" s="6"/>
      <c r="BG45" s="6"/>
      <c r="BH45" s="6">
        <f t="shared" si="117"/>
        <v>637.3696666666666</v>
      </c>
      <c r="BI45" s="6">
        <f t="shared" si="118"/>
        <v>301.21733333333339</v>
      </c>
      <c r="BJ45" s="6">
        <f t="shared" si="119"/>
        <v>803.50499999999988</v>
      </c>
      <c r="BK45" s="6"/>
      <c r="BL45" s="6">
        <f t="shared" si="75"/>
        <v>201.16756000000001</v>
      </c>
      <c r="BM45">
        <f t="shared" si="47"/>
        <v>29911.441224000006</v>
      </c>
      <c r="BN45" s="7">
        <f t="shared" si="48"/>
        <v>4.1909333333023824E-2</v>
      </c>
    </row>
    <row r="46" spans="2:66" x14ac:dyDescent="0.25">
      <c r="B46" t="s">
        <v>21</v>
      </c>
      <c r="C46">
        <v>2011</v>
      </c>
      <c r="D46">
        <v>2012</v>
      </c>
      <c r="E46" s="1">
        <v>40820</v>
      </c>
      <c r="F46" s="1">
        <v>40849</v>
      </c>
      <c r="G46" s="2">
        <v>406080</v>
      </c>
      <c r="H46" s="3">
        <v>25826.97</v>
      </c>
      <c r="I46">
        <v>685</v>
      </c>
      <c r="J46">
        <v>762</v>
      </c>
      <c r="K46" t="s">
        <v>13</v>
      </c>
      <c r="L46" s="4">
        <v>14002.76</v>
      </c>
      <c r="M46" s="3">
        <v>890.58</v>
      </c>
      <c r="N46" s="13">
        <v>6.3600000000000004E-2</v>
      </c>
      <c r="O46">
        <v>76.569999999999993</v>
      </c>
      <c r="P46">
        <f t="shared" si="104"/>
        <v>29</v>
      </c>
      <c r="Q46" s="5">
        <f t="shared" si="25"/>
        <v>0.96666666666666667</v>
      </c>
      <c r="R46" s="6">
        <f t="shared" si="126"/>
        <v>75.88333333333334</v>
      </c>
      <c r="S46" s="6">
        <f t="shared" si="105"/>
        <v>2223.1496666666667</v>
      </c>
      <c r="T46" s="6">
        <f t="shared" si="26"/>
        <v>5251.6438333333326</v>
      </c>
      <c r="U46" s="6">
        <f t="shared" si="106"/>
        <v>-732.59606666666662</v>
      </c>
      <c r="V46" s="6">
        <f t="shared" si="107"/>
        <v>3483.8604799999998</v>
      </c>
      <c r="W46">
        <f t="shared" si="120"/>
        <v>13770.1728</v>
      </c>
      <c r="X46" s="6"/>
      <c r="Y46" s="6"/>
      <c r="Z46" s="6">
        <f t="shared" si="114"/>
        <v>543.63883333333331</v>
      </c>
      <c r="AA46" s="6">
        <f t="shared" si="115"/>
        <v>256.9206666666667</v>
      </c>
      <c r="AB46" s="6">
        <f t="shared" si="116"/>
        <v>685.34249999999997</v>
      </c>
      <c r="AC46" s="6"/>
      <c r="AD46" s="6">
        <f t="shared" si="86"/>
        <v>178.67520000000002</v>
      </c>
      <c r="AE46">
        <f t="shared" si="87"/>
        <v>25736.691246666665</v>
      </c>
      <c r="AF46" s="5">
        <f t="shared" si="108"/>
        <v>3.4955224454644028E-3</v>
      </c>
      <c r="AG46" s="11">
        <f t="shared" si="88"/>
        <v>2.9484494570824644E-3</v>
      </c>
      <c r="AH46" s="5">
        <f t="shared" si="109"/>
        <v>0.31970307894178163</v>
      </c>
      <c r="AI46" s="5">
        <f t="shared" si="110"/>
        <v>0.67734847160113598</v>
      </c>
      <c r="AJ46" s="5">
        <f t="shared" si="89"/>
        <v>1</v>
      </c>
      <c r="AK46" s="6">
        <f t="shared" si="127"/>
        <v>75.88333333333334</v>
      </c>
      <c r="AL46" s="6">
        <f t="shared" si="31"/>
        <v>2220.7764999999999</v>
      </c>
      <c r="AM46" s="6">
        <f t="shared" si="32"/>
        <v>5243.9772000000003</v>
      </c>
      <c r="AN46" s="6">
        <f t="shared" si="33"/>
        <v>-731.81403333333333</v>
      </c>
      <c r="AO46" s="6">
        <f t="shared" si="111"/>
        <v>3483.8604799999998</v>
      </c>
      <c r="AP46">
        <f t="shared" si="121"/>
        <v>13770.1728</v>
      </c>
      <c r="AQ46" s="6"/>
      <c r="AR46" s="6"/>
      <c r="AS46" s="6">
        <f t="shared" si="122"/>
        <v>542.84519999999998</v>
      </c>
      <c r="AT46" s="6">
        <f t="shared" si="123"/>
        <v>256.54559999999998</v>
      </c>
      <c r="AU46" s="6">
        <f t="shared" si="124"/>
        <v>684.34199999999998</v>
      </c>
      <c r="AV46" s="6"/>
      <c r="AW46" s="6">
        <f t="shared" si="90"/>
        <v>178.67520000000002</v>
      </c>
      <c r="AX46">
        <f t="shared" si="41"/>
        <v>25725.264280000003</v>
      </c>
      <c r="AY46" s="6">
        <f t="shared" si="42"/>
        <v>11.426966666662338</v>
      </c>
      <c r="AZ46" s="6">
        <f t="shared" si="128"/>
        <v>75.88333333333334</v>
      </c>
      <c r="BA46" s="6">
        <f t="shared" si="112"/>
        <v>2223.1496666666667</v>
      </c>
      <c r="BB46" s="6">
        <f t="shared" si="43"/>
        <v>5251.6438333333326</v>
      </c>
      <c r="BC46" s="6">
        <f t="shared" si="113"/>
        <v>-732.59606666666662</v>
      </c>
      <c r="BD46" s="6">
        <f t="shared" si="44"/>
        <v>3483.8540323333332</v>
      </c>
      <c r="BE46">
        <f t="shared" si="125"/>
        <v>13770.13889</v>
      </c>
      <c r="BF46" s="6"/>
      <c r="BG46" s="6"/>
      <c r="BH46" s="6">
        <f t="shared" si="117"/>
        <v>543.63883333333331</v>
      </c>
      <c r="BI46" s="6">
        <f t="shared" si="118"/>
        <v>256.9206666666667</v>
      </c>
      <c r="BJ46" s="6">
        <f t="shared" si="119"/>
        <v>685.34249999999997</v>
      </c>
      <c r="BK46" s="6"/>
      <c r="BL46" s="6">
        <f t="shared" si="75"/>
        <v>178.67476000000002</v>
      </c>
      <c r="BM46">
        <f t="shared" si="47"/>
        <v>25736.650448999997</v>
      </c>
      <c r="BN46" s="7">
        <f t="shared" si="48"/>
        <v>4.0797666668368038E-2</v>
      </c>
    </row>
    <row r="47" spans="2:66" x14ac:dyDescent="0.25">
      <c r="B47" t="s">
        <v>22</v>
      </c>
      <c r="C47">
        <v>2011</v>
      </c>
      <c r="D47">
        <v>2012</v>
      </c>
      <c r="E47" s="1">
        <v>40788</v>
      </c>
      <c r="F47" s="1">
        <v>40820</v>
      </c>
      <c r="G47" s="2">
        <v>469440</v>
      </c>
      <c r="H47" s="3">
        <v>29884.68</v>
      </c>
      <c r="I47">
        <v>732</v>
      </c>
      <c r="J47">
        <v>762</v>
      </c>
      <c r="K47" t="s">
        <v>13</v>
      </c>
      <c r="L47" s="4">
        <v>14670</v>
      </c>
      <c r="M47" s="3">
        <v>933.9</v>
      </c>
      <c r="N47" s="13">
        <v>6.3700000000000007E-2</v>
      </c>
      <c r="O47">
        <v>80.22</v>
      </c>
      <c r="P47">
        <f t="shared" si="104"/>
        <v>32</v>
      </c>
      <c r="Q47" s="5">
        <f t="shared" si="25"/>
        <v>1.0666666666666667</v>
      </c>
      <c r="R47" s="6">
        <f t="shared" si="126"/>
        <v>83.733333333333334</v>
      </c>
      <c r="S47" s="6">
        <f t="shared" si="105"/>
        <v>2453.1306666666665</v>
      </c>
      <c r="T47" s="6">
        <f t="shared" si="26"/>
        <v>6192.5248000000001</v>
      </c>
      <c r="U47" s="6">
        <f t="shared" si="106"/>
        <v>-808.38186666666661</v>
      </c>
      <c r="V47" s="6">
        <f t="shared" si="107"/>
        <v>4295.0451199999998</v>
      </c>
      <c r="W47">
        <f t="shared" si="120"/>
        <v>15918.710400000002</v>
      </c>
      <c r="X47" s="6"/>
      <c r="Y47" s="6"/>
      <c r="Z47" s="6">
        <f t="shared" si="114"/>
        <v>641.03679999999997</v>
      </c>
      <c r="AA47" s="6">
        <f t="shared" si="115"/>
        <v>302.9504</v>
      </c>
      <c r="AB47" s="6">
        <f t="shared" si="116"/>
        <v>808.12799999999993</v>
      </c>
      <c r="AC47" s="6"/>
      <c r="AD47" s="6">
        <f t="shared" si="86"/>
        <v>206.55360000000002</v>
      </c>
      <c r="AE47">
        <f t="shared" si="87"/>
        <v>30093.43125333334</v>
      </c>
      <c r="AF47" s="5">
        <f t="shared" si="108"/>
        <v>6.9852263210895774E-3</v>
      </c>
      <c r="AG47" s="11">
        <f t="shared" si="88"/>
        <v>2.7824455319982329E-3</v>
      </c>
      <c r="AH47" s="5">
        <f t="shared" si="109"/>
        <v>0.3186538856029526</v>
      </c>
      <c r="AI47" s="5">
        <f t="shared" si="110"/>
        <v>0.67856366886504904</v>
      </c>
      <c r="AJ47" s="5">
        <f t="shared" si="89"/>
        <v>0.99999999999999989</v>
      </c>
      <c r="AK47" s="6">
        <f t="shared" si="127"/>
        <v>83.733333333333334</v>
      </c>
      <c r="AL47" s="6">
        <f t="shared" si="31"/>
        <v>2450.5120000000002</v>
      </c>
      <c r="AM47" s="6">
        <f t="shared" si="32"/>
        <v>6184.0650666666661</v>
      </c>
      <c r="AN47" s="6">
        <f t="shared" si="33"/>
        <v>-807.51893333333328</v>
      </c>
      <c r="AO47" s="6">
        <f t="shared" si="111"/>
        <v>4295.0451199999998</v>
      </c>
      <c r="AP47">
        <f t="shared" si="121"/>
        <v>15918.710400000002</v>
      </c>
      <c r="AQ47" s="6"/>
      <c r="AR47" s="6"/>
      <c r="AS47" s="6">
        <f t="shared" si="122"/>
        <v>640.16106666666656</v>
      </c>
      <c r="AT47" s="6">
        <f t="shared" si="123"/>
        <v>302.5365333333333</v>
      </c>
      <c r="AU47" s="6">
        <f t="shared" si="124"/>
        <v>807.02399999999989</v>
      </c>
      <c r="AV47" s="6"/>
      <c r="AW47" s="6">
        <f t="shared" si="90"/>
        <v>206.55360000000002</v>
      </c>
      <c r="AX47">
        <f t="shared" si="41"/>
        <v>30080.822186666668</v>
      </c>
      <c r="AY47" s="6">
        <f t="shared" si="42"/>
        <v>12.609066666671424</v>
      </c>
      <c r="AZ47" s="6">
        <f t="shared" si="128"/>
        <v>83.733333333333334</v>
      </c>
      <c r="BA47" s="6">
        <f t="shared" si="112"/>
        <v>2453.1306666666665</v>
      </c>
      <c r="BB47" s="6">
        <f t="shared" si="43"/>
        <v>6192.5248000000001</v>
      </c>
      <c r="BC47" s="6">
        <f t="shared" si="113"/>
        <v>-808.38186666666661</v>
      </c>
      <c r="BD47" s="6">
        <f t="shared" si="44"/>
        <v>4295.0380053333338</v>
      </c>
      <c r="BE47">
        <f t="shared" si="125"/>
        <v>15918.676490000002</v>
      </c>
      <c r="BF47" s="6"/>
      <c r="BG47" s="6"/>
      <c r="BH47" s="6">
        <f t="shared" si="117"/>
        <v>641.03679999999997</v>
      </c>
      <c r="BI47" s="6">
        <f t="shared" si="118"/>
        <v>302.9504</v>
      </c>
      <c r="BJ47" s="6">
        <f t="shared" si="119"/>
        <v>808.12799999999993</v>
      </c>
      <c r="BK47" s="6"/>
      <c r="BL47" s="6">
        <f t="shared" si="75"/>
        <v>206.55316000000002</v>
      </c>
      <c r="BM47">
        <f t="shared" si="47"/>
        <v>30093.389788666675</v>
      </c>
      <c r="BN47" s="7">
        <f t="shared" si="48"/>
        <v>4.1464666664978722E-2</v>
      </c>
    </row>
    <row r="48" spans="2:66" x14ac:dyDescent="0.25">
      <c r="B48" t="s">
        <v>23</v>
      </c>
      <c r="C48">
        <v>2011</v>
      </c>
      <c r="D48">
        <v>2012</v>
      </c>
      <c r="E48" s="1">
        <v>40759</v>
      </c>
      <c r="F48" s="1">
        <v>40788</v>
      </c>
      <c r="G48" s="2">
        <v>448560</v>
      </c>
      <c r="H48" s="3">
        <v>28090.82</v>
      </c>
      <c r="I48">
        <v>738</v>
      </c>
      <c r="J48">
        <v>762</v>
      </c>
      <c r="K48" t="s">
        <v>13</v>
      </c>
      <c r="L48" s="4">
        <v>15467.59</v>
      </c>
      <c r="M48" s="3">
        <v>968.65</v>
      </c>
      <c r="N48" s="13">
        <v>6.2600000000000003E-2</v>
      </c>
      <c r="O48">
        <v>84.58</v>
      </c>
      <c r="P48">
        <f t="shared" si="104"/>
        <v>29</v>
      </c>
      <c r="Q48" s="5">
        <f t="shared" si="25"/>
        <v>0.96666666666666667</v>
      </c>
      <c r="R48" s="6">
        <f t="shared" si="126"/>
        <v>75.88333333333334</v>
      </c>
      <c r="S48" s="6">
        <f t="shared" si="105"/>
        <v>2223.1496666666667</v>
      </c>
      <c r="T48" s="6">
        <f t="shared" si="26"/>
        <v>5657.9754000000003</v>
      </c>
      <c r="U48" s="6">
        <f t="shared" si="106"/>
        <v>-732.59606666666662</v>
      </c>
      <c r="V48" s="6">
        <f t="shared" si="107"/>
        <v>3757.7573600000001</v>
      </c>
      <c r="W48">
        <f t="shared" si="120"/>
        <v>15210.669600000001</v>
      </c>
      <c r="X48" s="6"/>
      <c r="Y48" s="6"/>
      <c r="Z48" s="6">
        <f t="shared" si="114"/>
        <v>585.70139999999992</v>
      </c>
      <c r="AA48" s="6">
        <f t="shared" si="115"/>
        <v>276.79919999999998</v>
      </c>
      <c r="AB48" s="6">
        <f t="shared" si="116"/>
        <v>738.36899999999991</v>
      </c>
      <c r="AC48" s="6"/>
      <c r="AD48" s="6">
        <f t="shared" si="86"/>
        <v>197.3664</v>
      </c>
      <c r="AE48">
        <f t="shared" si="87"/>
        <v>27991.075293333335</v>
      </c>
      <c r="AF48" s="5">
        <f t="shared" si="108"/>
        <v>3.5507936993887886E-3</v>
      </c>
      <c r="AG48" s="11">
        <f t="shared" si="88"/>
        <v>2.710983145095771E-3</v>
      </c>
      <c r="AH48" s="5">
        <f t="shared" si="109"/>
        <v>0.3125781524400334</v>
      </c>
      <c r="AI48" s="5">
        <f t="shared" si="110"/>
        <v>0.68471086441487072</v>
      </c>
      <c r="AJ48" s="5">
        <f t="shared" si="89"/>
        <v>0.99999999999999989</v>
      </c>
      <c r="AK48" s="6">
        <f t="shared" si="127"/>
        <v>75.88333333333334</v>
      </c>
      <c r="AL48" s="6">
        <f t="shared" si="31"/>
        <v>2220.7764999999999</v>
      </c>
      <c r="AM48" s="6">
        <f t="shared" si="32"/>
        <v>5650.308766666667</v>
      </c>
      <c r="AN48" s="6">
        <f t="shared" si="33"/>
        <v>-731.81403333333333</v>
      </c>
      <c r="AO48" s="6">
        <f t="shared" si="111"/>
        <v>3757.7573600000001</v>
      </c>
      <c r="AP48">
        <f t="shared" si="121"/>
        <v>15210.669600000001</v>
      </c>
      <c r="AQ48" s="6"/>
      <c r="AR48" s="6"/>
      <c r="AS48" s="6">
        <f t="shared" si="122"/>
        <v>584.9077666666667</v>
      </c>
      <c r="AT48" s="6">
        <f t="shared" si="123"/>
        <v>276.42413333333337</v>
      </c>
      <c r="AU48" s="6">
        <f t="shared" si="124"/>
        <v>737.36849999999993</v>
      </c>
      <c r="AV48" s="6"/>
      <c r="AW48" s="6">
        <f t="shared" si="90"/>
        <v>197.3664</v>
      </c>
      <c r="AX48">
        <f t="shared" si="41"/>
        <v>27979.648326666669</v>
      </c>
      <c r="AY48" s="6">
        <f t="shared" si="42"/>
        <v>11.426966666665976</v>
      </c>
      <c r="AZ48" s="6">
        <f t="shared" si="128"/>
        <v>75.88333333333334</v>
      </c>
      <c r="BA48" s="6">
        <f t="shared" si="112"/>
        <v>2223.1496666666667</v>
      </c>
      <c r="BB48" s="6">
        <f t="shared" si="43"/>
        <v>5657.9754000000003</v>
      </c>
      <c r="BC48" s="6">
        <f t="shared" si="113"/>
        <v>-732.59606666666662</v>
      </c>
      <c r="BD48" s="6">
        <f t="shared" si="44"/>
        <v>3757.750912333333</v>
      </c>
      <c r="BE48">
        <f t="shared" si="125"/>
        <v>15210.635690000001</v>
      </c>
      <c r="BF48" s="6"/>
      <c r="BG48" s="6"/>
      <c r="BH48" s="6">
        <f t="shared" si="117"/>
        <v>585.70139999999992</v>
      </c>
      <c r="BI48" s="6">
        <f t="shared" si="118"/>
        <v>276.79919999999998</v>
      </c>
      <c r="BJ48" s="6">
        <f t="shared" si="119"/>
        <v>738.36899999999991</v>
      </c>
      <c r="BK48" s="6"/>
      <c r="BL48" s="6">
        <f t="shared" si="75"/>
        <v>197.36596</v>
      </c>
      <c r="BM48">
        <f t="shared" si="47"/>
        <v>27991.034495666663</v>
      </c>
      <c r="BN48" s="7">
        <f t="shared" si="48"/>
        <v>4.0797666672006017E-2</v>
      </c>
    </row>
    <row r="49" spans="2:66" x14ac:dyDescent="0.25">
      <c r="B49" t="s">
        <v>24</v>
      </c>
      <c r="C49">
        <v>2011</v>
      </c>
      <c r="D49">
        <v>2012</v>
      </c>
      <c r="E49" s="1">
        <v>40730</v>
      </c>
      <c r="F49" s="1">
        <v>40759</v>
      </c>
      <c r="G49" s="2">
        <v>442080</v>
      </c>
      <c r="H49" s="3">
        <v>28073.78</v>
      </c>
      <c r="I49">
        <v>762</v>
      </c>
      <c r="J49">
        <v>770</v>
      </c>
      <c r="K49" t="s">
        <v>13</v>
      </c>
      <c r="L49" s="4">
        <v>15244.14</v>
      </c>
      <c r="M49" s="3">
        <v>968.06</v>
      </c>
      <c r="N49" s="13">
        <v>6.3500000000000001E-2</v>
      </c>
      <c r="O49">
        <v>82.49</v>
      </c>
      <c r="P49">
        <f t="shared" si="104"/>
        <v>29</v>
      </c>
      <c r="Q49" s="5">
        <f t="shared" si="25"/>
        <v>0.96666666666666667</v>
      </c>
      <c r="R49" s="6">
        <f t="shared" si="126"/>
        <v>75.88333333333334</v>
      </c>
      <c r="S49" s="6">
        <f t="shared" si="105"/>
        <v>2242.1349999999998</v>
      </c>
      <c r="T49" s="6">
        <f t="shared" si="26"/>
        <v>5841.9746000000005</v>
      </c>
      <c r="U49" s="6">
        <f t="shared" si="106"/>
        <v>-738.85233333333326</v>
      </c>
      <c r="V49" s="6">
        <f t="shared" si="107"/>
        <v>3715.9764800000003</v>
      </c>
      <c r="W49">
        <f t="shared" si="120"/>
        <v>14990.9328</v>
      </c>
      <c r="X49" s="6"/>
      <c r="Y49" s="6"/>
      <c r="Z49" s="6">
        <f t="shared" si="114"/>
        <v>604.74860000000001</v>
      </c>
      <c r="AA49" s="6">
        <f t="shared" si="115"/>
        <v>285.80079999999998</v>
      </c>
      <c r="AB49" s="6">
        <f t="shared" si="116"/>
        <v>762.38099999999997</v>
      </c>
      <c r="AC49" s="6"/>
      <c r="AD49" s="6">
        <f t="shared" si="86"/>
        <v>194.51519999999999</v>
      </c>
      <c r="AE49">
        <f t="shared" si="87"/>
        <v>27975.495480000001</v>
      </c>
      <c r="AF49" s="5">
        <f t="shared" si="108"/>
        <v>3.5009364609966107E-3</v>
      </c>
      <c r="AG49" s="11">
        <f t="shared" si="88"/>
        <v>2.7124929167950998E-3</v>
      </c>
      <c r="AH49" s="5">
        <f t="shared" si="109"/>
        <v>0.32164533683056923</v>
      </c>
      <c r="AI49" s="5">
        <f t="shared" si="110"/>
        <v>0.67564217025263573</v>
      </c>
      <c r="AJ49" s="5">
        <f t="shared" si="89"/>
        <v>1</v>
      </c>
      <c r="AK49" s="6">
        <f t="shared" si="127"/>
        <v>75.88333333333334</v>
      </c>
      <c r="AL49" s="6">
        <f t="shared" si="31"/>
        <v>2239.7618333333335</v>
      </c>
      <c r="AM49" s="6">
        <f t="shared" si="32"/>
        <v>5834.3079666666663</v>
      </c>
      <c r="AN49" s="6">
        <f t="shared" si="33"/>
        <v>-738.07029999999997</v>
      </c>
      <c r="AO49" s="6">
        <f t="shared" si="111"/>
        <v>3715.9764800000003</v>
      </c>
      <c r="AP49">
        <f t="shared" si="121"/>
        <v>14990.9328</v>
      </c>
      <c r="AQ49" s="6"/>
      <c r="AR49" s="6"/>
      <c r="AS49" s="6">
        <f t="shared" si="122"/>
        <v>603.95496666666668</v>
      </c>
      <c r="AT49" s="6">
        <f t="shared" si="123"/>
        <v>285.42573333333337</v>
      </c>
      <c r="AU49" s="6">
        <f t="shared" si="124"/>
        <v>761.38049999999998</v>
      </c>
      <c r="AV49" s="6"/>
      <c r="AW49" s="6">
        <f t="shared" si="90"/>
        <v>194.51519999999999</v>
      </c>
      <c r="AX49">
        <f t="shared" si="41"/>
        <v>27964.068513333335</v>
      </c>
      <c r="AY49" s="6">
        <f t="shared" si="42"/>
        <v>11.426966666665976</v>
      </c>
      <c r="AZ49" s="6">
        <f t="shared" si="128"/>
        <v>75.88333333333334</v>
      </c>
      <c r="BA49" s="6">
        <f t="shared" si="112"/>
        <v>2242.1349999999998</v>
      </c>
      <c r="BB49" s="6">
        <f t="shared" si="43"/>
        <v>5841.9746000000005</v>
      </c>
      <c r="BC49" s="6">
        <f t="shared" si="113"/>
        <v>-738.85233333333326</v>
      </c>
      <c r="BD49" s="6">
        <f t="shared" si="44"/>
        <v>3715.9700323333332</v>
      </c>
      <c r="BE49">
        <f t="shared" si="125"/>
        <v>14990.89889</v>
      </c>
      <c r="BF49" s="6"/>
      <c r="BG49" s="6"/>
      <c r="BH49" s="6">
        <f t="shared" si="117"/>
        <v>604.74860000000001</v>
      </c>
      <c r="BI49" s="6">
        <f t="shared" si="118"/>
        <v>285.80079999999998</v>
      </c>
      <c r="BJ49" s="6">
        <f t="shared" si="119"/>
        <v>762.38099999999997</v>
      </c>
      <c r="BK49" s="6"/>
      <c r="BL49" s="6">
        <f t="shared" si="75"/>
        <v>194.51476</v>
      </c>
      <c r="BM49">
        <f t="shared" si="47"/>
        <v>27975.454682333333</v>
      </c>
      <c r="BN49" s="7">
        <f t="shared" si="48"/>
        <v>4.0797666668368038E-2</v>
      </c>
    </row>
    <row r="50" spans="2:66" x14ac:dyDescent="0.25">
      <c r="B50" t="s">
        <v>12</v>
      </c>
      <c r="C50">
        <v>2011</v>
      </c>
      <c r="D50">
        <v>2011</v>
      </c>
      <c r="E50" s="1">
        <v>40700</v>
      </c>
      <c r="F50" s="1">
        <v>40730</v>
      </c>
      <c r="G50" s="2">
        <v>414000</v>
      </c>
      <c r="H50" s="3">
        <v>24664.54</v>
      </c>
      <c r="I50">
        <v>727</v>
      </c>
      <c r="J50">
        <v>787</v>
      </c>
      <c r="K50" t="s">
        <v>13</v>
      </c>
      <c r="L50" s="4">
        <v>13800</v>
      </c>
      <c r="M50" s="3">
        <v>822.15</v>
      </c>
      <c r="N50" s="13">
        <v>5.96E-2</v>
      </c>
      <c r="O50">
        <v>73.06</v>
      </c>
      <c r="P50">
        <f t="shared" si="104"/>
        <v>30</v>
      </c>
      <c r="Q50" s="5">
        <f t="shared" si="25"/>
        <v>1</v>
      </c>
      <c r="R50" s="6">
        <f t="shared" si="126"/>
        <v>78.5</v>
      </c>
      <c r="S50" s="6">
        <f t="shared" si="105"/>
        <v>2361.1849999999999</v>
      </c>
      <c r="T50" s="6">
        <f t="shared" si="26"/>
        <v>5765.8370000000004</v>
      </c>
      <c r="U50" s="6">
        <f t="shared" si="106"/>
        <v>-778.08299999999997</v>
      </c>
      <c r="V50" s="6">
        <f t="shared" si="107"/>
        <v>3656.8199999999997</v>
      </c>
      <c r="W50">
        <f t="shared" ref="W50:W61" si="129">$G50*0.02705</f>
        <v>11198.7</v>
      </c>
      <c r="X50" s="6"/>
      <c r="Y50" s="6"/>
      <c r="Z50" s="6">
        <f t="shared" si="114"/>
        <v>596.86699999999996</v>
      </c>
      <c r="AA50" s="6">
        <f t="shared" si="115"/>
        <v>282.07600000000002</v>
      </c>
      <c r="AB50" s="6">
        <f t="shared" si="116"/>
        <v>752.44499999999994</v>
      </c>
      <c r="AC50" s="6"/>
      <c r="AD50" s="6">
        <f t="shared" si="86"/>
        <v>182.16</v>
      </c>
      <c r="AE50">
        <f t="shared" ref="AE50:AE61" si="130">SUM(R50:AD50)</f>
        <v>24096.507000000001</v>
      </c>
      <c r="AF50" s="5">
        <f t="shared" si="108"/>
        <v>2.3030350454539165E-2</v>
      </c>
      <c r="AG50" s="11">
        <f t="shared" si="88"/>
        <v>3.2577335793938927E-3</v>
      </c>
      <c r="AH50" s="5">
        <f t="shared" si="109"/>
        <v>0.3726816919979315</v>
      </c>
      <c r="AI50" s="5">
        <f t="shared" si="110"/>
        <v>0.6240605744226746</v>
      </c>
      <c r="AJ50" s="5">
        <f t="shared" si="89"/>
        <v>1</v>
      </c>
      <c r="AK50" s="6">
        <f t="shared" si="127"/>
        <v>78.5</v>
      </c>
      <c r="AL50" s="6">
        <f t="shared" si="31"/>
        <v>2358.73</v>
      </c>
      <c r="AM50" s="6">
        <f t="shared" si="32"/>
        <v>5757.9059999999999</v>
      </c>
      <c r="AN50" s="6">
        <f t="shared" si="33"/>
        <v>-777.27399999999989</v>
      </c>
      <c r="AO50" s="6">
        <f t="shared" si="111"/>
        <v>3656.8199999999997</v>
      </c>
      <c r="AP50">
        <f t="shared" ref="AP50:AP61" si="131">$G50*0.02705</f>
        <v>11198.7</v>
      </c>
      <c r="AQ50" s="6"/>
      <c r="AR50" s="6"/>
      <c r="AS50" s="6">
        <f t="shared" si="122"/>
        <v>596.04599999999994</v>
      </c>
      <c r="AT50" s="6">
        <f t="shared" si="123"/>
        <v>281.68799999999999</v>
      </c>
      <c r="AU50" s="6">
        <f t="shared" si="124"/>
        <v>751.41</v>
      </c>
      <c r="AV50" s="6"/>
      <c r="AW50" s="6">
        <f t="shared" si="90"/>
        <v>182.16</v>
      </c>
      <c r="AX50">
        <f t="shared" si="41"/>
        <v>24084.685999999998</v>
      </c>
      <c r="AY50" s="6">
        <f t="shared" si="42"/>
        <v>11.821000000003551</v>
      </c>
      <c r="AZ50" s="6">
        <f t="shared" si="128"/>
        <v>78.5</v>
      </c>
      <c r="BA50" s="6">
        <f t="shared" si="112"/>
        <v>2361.1849999999999</v>
      </c>
      <c r="BB50" s="6">
        <f t="shared" si="43"/>
        <v>5765.8370000000004</v>
      </c>
      <c r="BC50" s="6">
        <f t="shared" si="113"/>
        <v>-778.08299999999997</v>
      </c>
      <c r="BD50" s="6">
        <f t="shared" si="44"/>
        <v>3656.81333</v>
      </c>
      <c r="BE50">
        <f>($G50-1)*0.02705</f>
        <v>11198.67295</v>
      </c>
      <c r="BF50" s="6"/>
      <c r="BG50" s="6"/>
      <c r="BH50" s="6">
        <f t="shared" si="117"/>
        <v>596.86699999999996</v>
      </c>
      <c r="BI50" s="6">
        <f t="shared" si="118"/>
        <v>282.07600000000002</v>
      </c>
      <c r="BJ50" s="6">
        <f t="shared" si="119"/>
        <v>752.44499999999994</v>
      </c>
      <c r="BK50" s="6"/>
      <c r="BL50" s="6">
        <f t="shared" si="75"/>
        <v>182.15956</v>
      </c>
      <c r="BM50">
        <f t="shared" si="47"/>
        <v>24096.472840000002</v>
      </c>
      <c r="BN50" s="7">
        <f t="shared" si="48"/>
        <v>3.4159999999246793E-2</v>
      </c>
    </row>
    <row r="51" spans="2:66" x14ac:dyDescent="0.25">
      <c r="B51" t="s">
        <v>14</v>
      </c>
      <c r="C51">
        <v>2011</v>
      </c>
      <c r="D51">
        <v>2011</v>
      </c>
      <c r="E51" s="1">
        <v>40668</v>
      </c>
      <c r="F51" s="1">
        <v>40700</v>
      </c>
      <c r="G51" s="2">
        <v>442800</v>
      </c>
      <c r="H51" s="3">
        <v>25704.04</v>
      </c>
      <c r="I51">
        <v>723</v>
      </c>
      <c r="J51">
        <v>789</v>
      </c>
      <c r="K51" t="s">
        <v>13</v>
      </c>
      <c r="L51" s="4">
        <v>13837.5</v>
      </c>
      <c r="M51" s="3">
        <v>803.25</v>
      </c>
      <c r="N51" s="13">
        <v>5.8000000000000003E-2</v>
      </c>
      <c r="O51">
        <v>73.08</v>
      </c>
      <c r="P51">
        <f t="shared" si="104"/>
        <v>32</v>
      </c>
      <c r="Q51" s="5">
        <f t="shared" si="25"/>
        <v>1.0666666666666667</v>
      </c>
      <c r="R51" s="6">
        <f t="shared" si="126"/>
        <v>83.733333333333334</v>
      </c>
      <c r="S51" s="6">
        <f t="shared" si="105"/>
        <v>2523.8346666666666</v>
      </c>
      <c r="T51" s="6">
        <f t="shared" si="26"/>
        <v>6116.3872000000001</v>
      </c>
      <c r="U51" s="6">
        <f t="shared" si="106"/>
        <v>-831.68106666666654</v>
      </c>
      <c r="V51" s="6">
        <f t="shared" si="107"/>
        <v>4105.5104000000001</v>
      </c>
      <c r="W51">
        <f t="shared" si="129"/>
        <v>11977.74</v>
      </c>
      <c r="X51" s="6"/>
      <c r="Y51" s="6"/>
      <c r="Z51" s="6">
        <f t="shared" si="114"/>
        <v>633.15519999999992</v>
      </c>
      <c r="AA51" s="6">
        <f t="shared" si="115"/>
        <v>299.22559999999999</v>
      </c>
      <c r="AB51" s="6">
        <f t="shared" si="116"/>
        <v>798.19199999999989</v>
      </c>
      <c r="AC51" s="6"/>
      <c r="AD51" s="6">
        <f t="shared" si="86"/>
        <v>194.83199999999999</v>
      </c>
      <c r="AE51">
        <f t="shared" si="130"/>
        <v>25900.929333333337</v>
      </c>
      <c r="AF51" s="5">
        <f t="shared" si="108"/>
        <v>7.6598594358449588E-3</v>
      </c>
      <c r="AG51" s="11">
        <f t="shared" si="88"/>
        <v>3.2328312338033476E-3</v>
      </c>
      <c r="AH51" s="5">
        <f t="shared" si="109"/>
        <v>0.36829232948501145</v>
      </c>
      <c r="AI51" s="5">
        <f t="shared" si="110"/>
        <v>0.62847483928118508</v>
      </c>
      <c r="AJ51" s="5">
        <f t="shared" si="89"/>
        <v>0.99999999999999989</v>
      </c>
      <c r="AK51" s="6">
        <f t="shared" si="127"/>
        <v>83.733333333333334</v>
      </c>
      <c r="AL51" s="6">
        <f t="shared" si="31"/>
        <v>2521.2159999999999</v>
      </c>
      <c r="AM51" s="6">
        <f t="shared" si="32"/>
        <v>6107.9274666666661</v>
      </c>
      <c r="AN51" s="6">
        <f t="shared" si="33"/>
        <v>-830.81813333333321</v>
      </c>
      <c r="AO51" s="6">
        <f t="shared" si="111"/>
        <v>4105.5104000000001</v>
      </c>
      <c r="AP51">
        <f t="shared" si="131"/>
        <v>11977.74</v>
      </c>
      <c r="AQ51" s="6"/>
      <c r="AR51" s="6"/>
      <c r="AS51" s="6">
        <f t="shared" si="122"/>
        <v>632.27946666666662</v>
      </c>
      <c r="AT51" s="6">
        <f t="shared" si="123"/>
        <v>298.81173333333334</v>
      </c>
      <c r="AU51" s="6">
        <f t="shared" si="124"/>
        <v>797.08799999999997</v>
      </c>
      <c r="AV51" s="6"/>
      <c r="AW51" s="6">
        <f t="shared" si="90"/>
        <v>194.83199999999999</v>
      </c>
      <c r="AX51">
        <f t="shared" si="41"/>
        <v>25888.320266666662</v>
      </c>
      <c r="AY51" s="6">
        <f t="shared" si="42"/>
        <v>12.609066666675062</v>
      </c>
      <c r="AZ51" s="6">
        <f t="shared" si="128"/>
        <v>83.733333333333334</v>
      </c>
      <c r="BA51" s="6">
        <f t="shared" si="112"/>
        <v>2523.8346666666666</v>
      </c>
      <c r="BB51" s="6">
        <f t="shared" si="43"/>
        <v>6116.3872000000001</v>
      </c>
      <c r="BC51" s="6">
        <f t="shared" si="113"/>
        <v>-831.68106666666654</v>
      </c>
      <c r="BD51" s="6">
        <f t="shared" si="44"/>
        <v>4105.5032853333332</v>
      </c>
      <c r="BE51">
        <f t="shared" ref="BE51:BE61" si="132">($G51-1)*0.02705</f>
        <v>11977.712950000001</v>
      </c>
      <c r="BF51" s="6"/>
      <c r="BG51" s="6"/>
      <c r="BH51" s="6">
        <f t="shared" si="117"/>
        <v>633.15519999999992</v>
      </c>
      <c r="BI51" s="6">
        <f t="shared" si="118"/>
        <v>299.22559999999999</v>
      </c>
      <c r="BJ51" s="6">
        <f t="shared" si="119"/>
        <v>798.19199999999989</v>
      </c>
      <c r="BK51" s="6"/>
      <c r="BL51" s="6">
        <f t="shared" si="75"/>
        <v>194.83156</v>
      </c>
      <c r="BM51">
        <f t="shared" si="47"/>
        <v>25900.89472866667</v>
      </c>
      <c r="BN51" s="7">
        <f t="shared" si="48"/>
        <v>3.4604666667291895E-2</v>
      </c>
    </row>
    <row r="52" spans="2:66" x14ac:dyDescent="0.25">
      <c r="B52" t="s">
        <v>15</v>
      </c>
      <c r="C52">
        <v>2011</v>
      </c>
      <c r="D52">
        <v>2011</v>
      </c>
      <c r="E52" s="1">
        <v>40638</v>
      </c>
      <c r="F52" s="1">
        <v>40668</v>
      </c>
      <c r="G52" s="2">
        <v>406800</v>
      </c>
      <c r="H52" s="3">
        <v>23680.880000000001</v>
      </c>
      <c r="I52">
        <v>710</v>
      </c>
      <c r="J52">
        <v>789</v>
      </c>
      <c r="K52" t="s">
        <v>13</v>
      </c>
      <c r="L52" s="4">
        <v>13560</v>
      </c>
      <c r="M52" s="3">
        <v>789.36</v>
      </c>
      <c r="N52" s="13">
        <v>5.8200000000000002E-2</v>
      </c>
      <c r="O52">
        <v>71.61</v>
      </c>
      <c r="P52">
        <f t="shared" si="104"/>
        <v>30</v>
      </c>
      <c r="Q52" s="5">
        <f t="shared" si="25"/>
        <v>1</v>
      </c>
      <c r="R52" s="6">
        <f t="shared" si="126"/>
        <v>78.5</v>
      </c>
      <c r="S52" s="6">
        <f t="shared" si="105"/>
        <v>2366.0949999999998</v>
      </c>
      <c r="T52" s="6">
        <f t="shared" si="26"/>
        <v>5631.01</v>
      </c>
      <c r="U52" s="6">
        <f t="shared" si="106"/>
        <v>-779.70099999999991</v>
      </c>
      <c r="V52" s="6">
        <f t="shared" si="107"/>
        <v>3608.7960000000003</v>
      </c>
      <c r="W52">
        <f t="shared" si="129"/>
        <v>11003.94</v>
      </c>
      <c r="X52" s="6"/>
      <c r="Y52" s="6"/>
      <c r="Z52" s="6">
        <f t="shared" si="114"/>
        <v>582.91</v>
      </c>
      <c r="AA52" s="6">
        <f t="shared" si="115"/>
        <v>275.48</v>
      </c>
      <c r="AB52" s="6">
        <f t="shared" si="116"/>
        <v>734.84999999999991</v>
      </c>
      <c r="AC52" s="6"/>
      <c r="AD52" s="6">
        <f t="shared" si="86"/>
        <v>178.99200000000002</v>
      </c>
      <c r="AE52">
        <f t="shared" si="130"/>
        <v>23680.871999999996</v>
      </c>
      <c r="AF52" s="5">
        <f t="shared" si="108"/>
        <v>3.3782528374231838E-7</v>
      </c>
      <c r="AG52" s="11">
        <f t="shared" si="88"/>
        <v>3.3149117143997067E-3</v>
      </c>
      <c r="AH52" s="5">
        <f t="shared" si="109"/>
        <v>0.37205741410198079</v>
      </c>
      <c r="AI52" s="5">
        <f t="shared" si="110"/>
        <v>0.62462767418361975</v>
      </c>
      <c r="AJ52" s="5">
        <f t="shared" si="89"/>
        <v>1.0000000000000002</v>
      </c>
      <c r="AK52" s="6">
        <f t="shared" si="127"/>
        <v>78.5</v>
      </c>
      <c r="AL52" s="6">
        <f t="shared" si="31"/>
        <v>2363.64</v>
      </c>
      <c r="AM52" s="6">
        <f t="shared" si="32"/>
        <v>5623.0789999999997</v>
      </c>
      <c r="AN52" s="6">
        <f t="shared" si="33"/>
        <v>-778.89199999999994</v>
      </c>
      <c r="AO52" s="6">
        <f t="shared" si="111"/>
        <v>3608.7960000000003</v>
      </c>
      <c r="AP52">
        <f t="shared" si="131"/>
        <v>11003.94</v>
      </c>
      <c r="AQ52" s="6"/>
      <c r="AR52" s="6"/>
      <c r="AS52" s="6">
        <f t="shared" si="122"/>
        <v>582.08899999999994</v>
      </c>
      <c r="AT52" s="6">
        <f t="shared" si="123"/>
        <v>275.09199999999998</v>
      </c>
      <c r="AU52" s="6">
        <f t="shared" si="124"/>
        <v>733.81499999999994</v>
      </c>
      <c r="AV52" s="6"/>
      <c r="AW52" s="6">
        <f t="shared" si="90"/>
        <v>178.99200000000002</v>
      </c>
      <c r="AX52">
        <f t="shared" si="41"/>
        <v>23669.050999999999</v>
      </c>
      <c r="AY52" s="6">
        <f t="shared" si="42"/>
        <v>11.820999999996275</v>
      </c>
      <c r="AZ52" s="6">
        <f t="shared" si="128"/>
        <v>78.5</v>
      </c>
      <c r="BA52" s="6">
        <f t="shared" si="112"/>
        <v>2366.0949999999998</v>
      </c>
      <c r="BB52" s="6">
        <f t="shared" si="43"/>
        <v>5631.01</v>
      </c>
      <c r="BC52" s="6">
        <f t="shared" si="113"/>
        <v>-779.70099999999991</v>
      </c>
      <c r="BD52" s="6">
        <f t="shared" si="44"/>
        <v>3608.7893300000001</v>
      </c>
      <c r="BE52">
        <f t="shared" si="132"/>
        <v>11003.91295</v>
      </c>
      <c r="BF52" s="6"/>
      <c r="BG52" s="6"/>
      <c r="BH52" s="6">
        <f t="shared" si="117"/>
        <v>582.91</v>
      </c>
      <c r="BI52" s="6">
        <f t="shared" si="118"/>
        <v>275.48</v>
      </c>
      <c r="BJ52" s="6">
        <f t="shared" si="119"/>
        <v>734.84999999999991</v>
      </c>
      <c r="BK52" s="6"/>
      <c r="BL52" s="6">
        <f t="shared" si="75"/>
        <v>178.99155999999999</v>
      </c>
      <c r="BM52">
        <f t="shared" si="47"/>
        <v>23680.837839999997</v>
      </c>
      <c r="BN52" s="7">
        <f t="shared" si="48"/>
        <v>3.4159999999246793E-2</v>
      </c>
    </row>
    <row r="53" spans="2:66" x14ac:dyDescent="0.25">
      <c r="B53" t="s">
        <v>16</v>
      </c>
      <c r="C53">
        <v>2011</v>
      </c>
      <c r="D53">
        <v>2011</v>
      </c>
      <c r="E53" s="1">
        <v>40606</v>
      </c>
      <c r="F53" s="1">
        <v>40638</v>
      </c>
      <c r="G53" s="2">
        <v>414000</v>
      </c>
      <c r="H53" s="3">
        <v>23404.15</v>
      </c>
      <c r="I53">
        <v>710</v>
      </c>
      <c r="J53">
        <v>789</v>
      </c>
      <c r="K53" t="s">
        <v>13</v>
      </c>
      <c r="L53" s="4">
        <v>12937.5</v>
      </c>
      <c r="M53" s="3">
        <v>731.38</v>
      </c>
      <c r="N53" s="13">
        <v>5.6500000000000002E-2</v>
      </c>
      <c r="O53">
        <v>68.319999999999993</v>
      </c>
      <c r="P53">
        <f t="shared" si="104"/>
        <v>32</v>
      </c>
      <c r="Q53" s="5">
        <f t="shared" si="25"/>
        <v>1.0666666666666667</v>
      </c>
      <c r="R53" s="6">
        <f t="shared" si="126"/>
        <v>83.733333333333334</v>
      </c>
      <c r="S53" s="6">
        <f t="shared" si="105"/>
        <v>2523.8346666666666</v>
      </c>
      <c r="T53" s="6">
        <f t="shared" si="26"/>
        <v>6006.4106666666667</v>
      </c>
      <c r="U53" s="6">
        <f t="shared" si="106"/>
        <v>-831.68106666666654</v>
      </c>
      <c r="V53" s="6">
        <f t="shared" si="107"/>
        <v>3900.6079999999997</v>
      </c>
      <c r="W53">
        <f t="shared" si="129"/>
        <v>11198.7</v>
      </c>
      <c r="X53" s="6"/>
      <c r="Y53" s="6"/>
      <c r="Z53" s="6">
        <f t="shared" si="114"/>
        <v>621.77066666666667</v>
      </c>
      <c r="AA53" s="6">
        <f t="shared" si="115"/>
        <v>293.84533333333337</v>
      </c>
      <c r="AB53" s="6">
        <f t="shared" si="116"/>
        <v>783.83999999999992</v>
      </c>
      <c r="AC53" s="6"/>
      <c r="AD53" s="6">
        <f t="shared" si="86"/>
        <v>182.16</v>
      </c>
      <c r="AE53">
        <f t="shared" si="130"/>
        <v>24763.221600000004</v>
      </c>
      <c r="AF53" s="5">
        <f t="shared" si="108"/>
        <v>5.8069684222670032E-2</v>
      </c>
      <c r="AG53" s="11">
        <f t="shared" si="88"/>
        <v>3.3813586408859386E-3</v>
      </c>
      <c r="AH53" s="5">
        <f t="shared" si="109"/>
        <v>0.37951525122509361</v>
      </c>
      <c r="AI53" s="5">
        <f t="shared" si="110"/>
        <v>0.61710339013402027</v>
      </c>
      <c r="AJ53" s="5">
        <f t="shared" si="89"/>
        <v>0.99999999999999978</v>
      </c>
      <c r="AK53" s="6">
        <f t="shared" si="127"/>
        <v>83.733333333333334</v>
      </c>
      <c r="AL53" s="6">
        <f t="shared" si="31"/>
        <v>2521.2159999999999</v>
      </c>
      <c r="AM53" s="6">
        <f t="shared" si="32"/>
        <v>5997.9509333333326</v>
      </c>
      <c r="AN53" s="6">
        <f t="shared" si="33"/>
        <v>-830.81813333333321</v>
      </c>
      <c r="AO53" s="6">
        <f t="shared" si="111"/>
        <v>3900.6079999999997</v>
      </c>
      <c r="AP53">
        <f t="shared" si="131"/>
        <v>11198.7</v>
      </c>
      <c r="AQ53" s="6"/>
      <c r="AR53" s="6"/>
      <c r="AS53" s="6">
        <f t="shared" si="122"/>
        <v>620.89493333333326</v>
      </c>
      <c r="AT53" s="6">
        <f t="shared" si="123"/>
        <v>293.43146666666667</v>
      </c>
      <c r="AU53" s="6">
        <f t="shared" si="124"/>
        <v>782.73599999999988</v>
      </c>
      <c r="AV53" s="6"/>
      <c r="AW53" s="6">
        <f t="shared" si="90"/>
        <v>182.16</v>
      </c>
      <c r="AX53">
        <f t="shared" si="41"/>
        <v>24750.612533333333</v>
      </c>
      <c r="AY53" s="6">
        <f t="shared" si="42"/>
        <v>12.609066666671424</v>
      </c>
      <c r="AZ53" s="6">
        <f t="shared" si="128"/>
        <v>83.733333333333334</v>
      </c>
      <c r="BA53" s="6">
        <f t="shared" si="112"/>
        <v>2523.8346666666666</v>
      </c>
      <c r="BB53" s="6">
        <f t="shared" si="43"/>
        <v>6006.4106666666667</v>
      </c>
      <c r="BC53" s="6">
        <f t="shared" si="113"/>
        <v>-831.68106666666654</v>
      </c>
      <c r="BD53" s="6">
        <f t="shared" si="44"/>
        <v>3900.6008853333333</v>
      </c>
      <c r="BE53">
        <f t="shared" si="132"/>
        <v>11198.67295</v>
      </c>
      <c r="BF53" s="6"/>
      <c r="BG53" s="6"/>
      <c r="BH53" s="6">
        <f t="shared" si="117"/>
        <v>621.77066666666667</v>
      </c>
      <c r="BI53" s="6">
        <f t="shared" si="118"/>
        <v>293.84533333333337</v>
      </c>
      <c r="BJ53" s="6">
        <f t="shared" si="119"/>
        <v>783.83999999999992</v>
      </c>
      <c r="BK53" s="6"/>
      <c r="BL53" s="6">
        <f t="shared" si="75"/>
        <v>182.15956</v>
      </c>
      <c r="BM53">
        <f t="shared" si="47"/>
        <v>24763.186995333333</v>
      </c>
      <c r="BN53" s="7">
        <f t="shared" si="48"/>
        <v>3.4604666670929873E-2</v>
      </c>
    </row>
    <row r="54" spans="2:66" x14ac:dyDescent="0.25">
      <c r="B54" t="s">
        <v>17</v>
      </c>
      <c r="C54">
        <v>2011</v>
      </c>
      <c r="D54">
        <v>2011</v>
      </c>
      <c r="E54" s="1">
        <v>40578</v>
      </c>
      <c r="F54" s="1">
        <v>40606</v>
      </c>
      <c r="G54" s="2">
        <v>329040</v>
      </c>
      <c r="H54" s="3">
        <v>19153.75</v>
      </c>
      <c r="I54">
        <v>710</v>
      </c>
      <c r="J54">
        <v>789</v>
      </c>
      <c r="K54" t="s">
        <v>13</v>
      </c>
      <c r="L54" s="4">
        <v>11751.43</v>
      </c>
      <c r="M54" s="3">
        <v>684.06</v>
      </c>
      <c r="N54" s="13">
        <v>5.8200000000000002E-2</v>
      </c>
      <c r="O54">
        <v>62.06</v>
      </c>
      <c r="P54">
        <f t="shared" si="104"/>
        <v>28</v>
      </c>
      <c r="Q54" s="5">
        <f t="shared" si="25"/>
        <v>0.93333333333333335</v>
      </c>
      <c r="R54" s="6">
        <f t="shared" si="126"/>
        <v>73.266666666666666</v>
      </c>
      <c r="S54" s="6">
        <f t="shared" si="105"/>
        <v>2208.355333333333</v>
      </c>
      <c r="T54" s="6">
        <f t="shared" si="26"/>
        <v>5255.6093333333338</v>
      </c>
      <c r="U54" s="6">
        <f t="shared" si="106"/>
        <v>-727.72093333333328</v>
      </c>
      <c r="V54" s="6">
        <f t="shared" si="107"/>
        <v>2884.1276800000001</v>
      </c>
      <c r="W54">
        <f t="shared" si="129"/>
        <v>8900.5320000000011</v>
      </c>
      <c r="X54" s="6"/>
      <c r="Y54" s="6"/>
      <c r="Z54" s="6"/>
      <c r="AA54" s="6"/>
      <c r="AB54" s="6"/>
      <c r="AC54" s="6"/>
      <c r="AD54" s="6">
        <f t="shared" si="86"/>
        <v>144.77760000000001</v>
      </c>
      <c r="AE54">
        <f t="shared" si="130"/>
        <v>18738.947680000005</v>
      </c>
      <c r="AF54" s="5">
        <f t="shared" si="108"/>
        <v>2.1656454741238413E-2</v>
      </c>
      <c r="AG54" s="11">
        <f t="shared" si="88"/>
        <v>3.9098602503097784E-3</v>
      </c>
      <c r="AH54" s="5">
        <f t="shared" si="109"/>
        <v>0.35947822942709301</v>
      </c>
      <c r="AI54" s="5">
        <f t="shared" si="110"/>
        <v>0.63661191032259701</v>
      </c>
      <c r="AJ54" s="5">
        <f t="shared" si="89"/>
        <v>0.99999999999999978</v>
      </c>
      <c r="AK54" s="6">
        <f t="shared" si="127"/>
        <v>73.266666666666666</v>
      </c>
      <c r="AL54" s="6">
        <f t="shared" si="31"/>
        <v>2206.0639999999999</v>
      </c>
      <c r="AM54" s="6">
        <f t="shared" si="32"/>
        <v>5248.2070666666668</v>
      </c>
      <c r="AN54" s="6">
        <f t="shared" si="33"/>
        <v>-726.96586666666667</v>
      </c>
      <c r="AO54" s="6">
        <f t="shared" si="111"/>
        <v>2884.1276800000001</v>
      </c>
      <c r="AP54">
        <f t="shared" si="131"/>
        <v>8900.5320000000011</v>
      </c>
      <c r="AQ54" s="6"/>
      <c r="AR54" s="6"/>
      <c r="AS54" s="6"/>
      <c r="AT54" s="6"/>
      <c r="AU54" s="6"/>
      <c r="AV54" s="6"/>
      <c r="AW54" s="6">
        <f t="shared" si="90"/>
        <v>144.77760000000001</v>
      </c>
      <c r="AX54">
        <f t="shared" si="41"/>
        <v>18730.009146666671</v>
      </c>
      <c r="AY54" s="6">
        <f t="shared" si="42"/>
        <v>8.9385333333339076</v>
      </c>
      <c r="AZ54" s="6">
        <f t="shared" si="128"/>
        <v>73.266666666666666</v>
      </c>
      <c r="BA54" s="6">
        <f t="shared" si="112"/>
        <v>2208.355333333333</v>
      </c>
      <c r="BB54" s="6">
        <f t="shared" si="43"/>
        <v>5255.6093333333338</v>
      </c>
      <c r="BC54" s="6">
        <f t="shared" si="113"/>
        <v>-727.72093333333328</v>
      </c>
      <c r="BD54" s="6">
        <f t="shared" si="44"/>
        <v>2884.1214546666665</v>
      </c>
      <c r="BE54">
        <f t="shared" si="132"/>
        <v>8900.5049500000005</v>
      </c>
      <c r="BF54" s="6"/>
      <c r="BG54" s="6"/>
      <c r="BH54" s="6"/>
      <c r="BI54" s="6"/>
      <c r="BJ54" s="6"/>
      <c r="BK54" s="6"/>
      <c r="BL54" s="6">
        <f t="shared" si="75"/>
        <v>144.77716000000001</v>
      </c>
      <c r="BM54">
        <f t="shared" si="47"/>
        <v>18738.91396466667</v>
      </c>
      <c r="BN54" s="7">
        <f t="shared" si="48"/>
        <v>3.371533333483967E-2</v>
      </c>
    </row>
    <row r="55" spans="2:66" x14ac:dyDescent="0.25">
      <c r="B55" t="s">
        <v>18</v>
      </c>
      <c r="C55">
        <v>2011</v>
      </c>
      <c r="D55">
        <v>2011</v>
      </c>
      <c r="E55" s="1">
        <v>40549</v>
      </c>
      <c r="F55" s="1">
        <v>40578</v>
      </c>
      <c r="G55" s="2">
        <v>327600</v>
      </c>
      <c r="H55" s="3">
        <v>19387.21</v>
      </c>
      <c r="I55">
        <v>710</v>
      </c>
      <c r="J55">
        <v>789</v>
      </c>
      <c r="K55" t="s">
        <v>13</v>
      </c>
      <c r="L55" s="4">
        <v>11296.55</v>
      </c>
      <c r="M55" s="3">
        <v>668.52</v>
      </c>
      <c r="N55" s="13">
        <v>5.9200000000000003E-2</v>
      </c>
      <c r="O55">
        <v>59.66</v>
      </c>
      <c r="P55">
        <f t="shared" si="104"/>
        <v>29</v>
      </c>
      <c r="Q55" s="5">
        <f t="shared" si="25"/>
        <v>0.96666666666666667</v>
      </c>
      <c r="R55" s="6">
        <f t="shared" si="126"/>
        <v>75.88333333333334</v>
      </c>
      <c r="S55" s="6">
        <f t="shared" si="105"/>
        <v>2287.2251666666666</v>
      </c>
      <c r="T55" s="6">
        <f t="shared" si="26"/>
        <v>5443.309666666667</v>
      </c>
      <c r="U55" s="6">
        <f t="shared" si="106"/>
        <v>-753.71096666666654</v>
      </c>
      <c r="V55" s="6">
        <f t="shared" si="107"/>
        <v>2977.8476000000001</v>
      </c>
      <c r="W55">
        <f t="shared" si="129"/>
        <v>8861.58</v>
      </c>
      <c r="X55" s="6"/>
      <c r="Y55" s="6"/>
      <c r="Z55" s="6"/>
      <c r="AA55" s="6"/>
      <c r="AB55" s="6"/>
      <c r="AC55" s="6"/>
      <c r="AD55" s="6">
        <f t="shared" si="86"/>
        <v>144.14400000000001</v>
      </c>
      <c r="AE55">
        <f t="shared" si="130"/>
        <v>19036.2788</v>
      </c>
      <c r="AF55" s="5">
        <f t="shared" si="108"/>
        <v>1.8101170823444895E-2</v>
      </c>
      <c r="AG55" s="11">
        <f t="shared" si="88"/>
        <v>3.9862482647256324E-3</v>
      </c>
      <c r="AH55" s="5">
        <f t="shared" si="109"/>
        <v>0.36650145440539916</v>
      </c>
      <c r="AI55" s="5">
        <f t="shared" si="110"/>
        <v>0.62951229732987513</v>
      </c>
      <c r="AJ55" s="5">
        <f t="shared" si="89"/>
        <v>1</v>
      </c>
      <c r="AK55" s="6">
        <f t="shared" si="127"/>
        <v>75.88333333333334</v>
      </c>
      <c r="AL55" s="6">
        <f t="shared" si="31"/>
        <v>2284.8519999999999</v>
      </c>
      <c r="AM55" s="6">
        <f t="shared" si="32"/>
        <v>5435.6430333333328</v>
      </c>
      <c r="AN55" s="6">
        <f t="shared" si="33"/>
        <v>-752.92893333333325</v>
      </c>
      <c r="AO55" s="6">
        <f t="shared" si="111"/>
        <v>2977.8476000000001</v>
      </c>
      <c r="AP55">
        <f t="shared" si="131"/>
        <v>8861.58</v>
      </c>
      <c r="AQ55" s="6"/>
      <c r="AR55" s="6"/>
      <c r="AS55" s="6"/>
      <c r="AT55" s="6"/>
      <c r="AU55" s="6"/>
      <c r="AV55" s="6"/>
      <c r="AW55" s="6">
        <f t="shared" si="90"/>
        <v>144.14400000000001</v>
      </c>
      <c r="AX55">
        <f t="shared" si="41"/>
        <v>19027.021033333331</v>
      </c>
      <c r="AY55" s="6">
        <f t="shared" si="42"/>
        <v>9.2577666666693403</v>
      </c>
      <c r="AZ55" s="6">
        <f t="shared" si="128"/>
        <v>75.88333333333334</v>
      </c>
      <c r="BA55" s="6">
        <f t="shared" si="112"/>
        <v>2287.2251666666666</v>
      </c>
      <c r="BB55" s="6">
        <f t="shared" si="43"/>
        <v>5443.309666666667</v>
      </c>
      <c r="BC55" s="6">
        <f t="shared" si="113"/>
        <v>-753.71096666666654</v>
      </c>
      <c r="BD55" s="6">
        <f t="shared" si="44"/>
        <v>2977.8411523333334</v>
      </c>
      <c r="BE55">
        <f t="shared" si="132"/>
        <v>8861.5529500000011</v>
      </c>
      <c r="BF55" s="6"/>
      <c r="BG55" s="6"/>
      <c r="BH55" s="6"/>
      <c r="BI55" s="6"/>
      <c r="BJ55" s="6"/>
      <c r="BK55" s="6"/>
      <c r="BL55" s="6">
        <f t="shared" si="75"/>
        <v>144.14356000000001</v>
      </c>
      <c r="BM55">
        <f t="shared" si="47"/>
        <v>19036.244862333337</v>
      </c>
      <c r="BN55" s="7">
        <f t="shared" si="48"/>
        <v>3.3937666663405253E-2</v>
      </c>
    </row>
    <row r="56" spans="2:66" x14ac:dyDescent="0.25">
      <c r="B56" t="s">
        <v>19</v>
      </c>
      <c r="C56">
        <v>2010</v>
      </c>
      <c r="D56">
        <v>2011</v>
      </c>
      <c r="E56" s="1">
        <v>40519</v>
      </c>
      <c r="F56" s="1">
        <v>40549</v>
      </c>
      <c r="G56" s="2">
        <v>350640</v>
      </c>
      <c r="H56" s="3">
        <v>20487.73</v>
      </c>
      <c r="I56">
        <v>710</v>
      </c>
      <c r="J56">
        <v>789</v>
      </c>
      <c r="K56" t="s">
        <v>13</v>
      </c>
      <c r="L56" s="4">
        <v>11688</v>
      </c>
      <c r="M56" s="3">
        <v>682.92</v>
      </c>
      <c r="N56" s="13">
        <v>5.8400000000000001E-2</v>
      </c>
      <c r="O56">
        <v>61.72</v>
      </c>
      <c r="P56">
        <f t="shared" si="104"/>
        <v>30</v>
      </c>
      <c r="Q56" s="5">
        <f t="shared" si="25"/>
        <v>1</v>
      </c>
      <c r="R56" s="6">
        <f t="shared" si="126"/>
        <v>78.5</v>
      </c>
      <c r="S56" s="6">
        <f t="shared" si="105"/>
        <v>2366.0949999999998</v>
      </c>
      <c r="T56" s="6">
        <f t="shared" si="26"/>
        <v>5631.01</v>
      </c>
      <c r="U56" s="6">
        <f t="shared" si="106"/>
        <v>-779.70099999999991</v>
      </c>
      <c r="V56" s="6">
        <f t="shared" si="107"/>
        <v>3234.2088000000003</v>
      </c>
      <c r="W56">
        <f t="shared" si="129"/>
        <v>9484.8119999999999</v>
      </c>
      <c r="X56" s="6"/>
      <c r="Y56" s="6"/>
      <c r="Z56" s="6"/>
      <c r="AA56" s="6"/>
      <c r="AB56" s="6"/>
      <c r="AC56" s="6"/>
      <c r="AD56" s="6">
        <f t="shared" si="86"/>
        <v>154.2816</v>
      </c>
      <c r="AE56">
        <f t="shared" si="130"/>
        <v>20169.206399999999</v>
      </c>
      <c r="AF56" s="5">
        <f t="shared" si="108"/>
        <v>1.5547042058832308E-2</v>
      </c>
      <c r="AG56" s="11">
        <f t="shared" si="88"/>
        <v>3.8920718268815975E-3</v>
      </c>
      <c r="AH56" s="5">
        <f t="shared" si="109"/>
        <v>0.35784273594423627</v>
      </c>
      <c r="AI56" s="5">
        <f t="shared" si="110"/>
        <v>0.63826519222888223</v>
      </c>
      <c r="AJ56" s="5">
        <f t="shared" si="89"/>
        <v>1</v>
      </c>
      <c r="AK56" s="6">
        <f t="shared" si="127"/>
        <v>78.5</v>
      </c>
      <c r="AL56" s="6">
        <f t="shared" si="31"/>
        <v>2363.64</v>
      </c>
      <c r="AM56" s="6">
        <f t="shared" si="32"/>
        <v>5623.0789999999997</v>
      </c>
      <c r="AN56" s="6">
        <f t="shared" si="33"/>
        <v>-778.89199999999994</v>
      </c>
      <c r="AO56" s="6">
        <f t="shared" si="111"/>
        <v>3234.2088000000003</v>
      </c>
      <c r="AP56">
        <f t="shared" si="131"/>
        <v>9484.8119999999999</v>
      </c>
      <c r="AQ56" s="6"/>
      <c r="AR56" s="6"/>
      <c r="AS56" s="6"/>
      <c r="AT56" s="6"/>
      <c r="AU56" s="6"/>
      <c r="AV56" s="6"/>
      <c r="AW56" s="6">
        <f t="shared" si="90"/>
        <v>154.2816</v>
      </c>
      <c r="AX56">
        <f t="shared" si="41"/>
        <v>20159.629399999998</v>
      </c>
      <c r="AY56" s="6">
        <f t="shared" si="42"/>
        <v>9.577000000001135</v>
      </c>
      <c r="AZ56" s="6">
        <f t="shared" si="128"/>
        <v>78.5</v>
      </c>
      <c r="BA56" s="6">
        <f t="shared" si="112"/>
        <v>2366.0949999999998</v>
      </c>
      <c r="BB56" s="6">
        <f t="shared" si="43"/>
        <v>5631.01</v>
      </c>
      <c r="BC56" s="6">
        <f t="shared" si="113"/>
        <v>-779.70099999999991</v>
      </c>
      <c r="BD56" s="6">
        <f t="shared" si="44"/>
        <v>3234.2021300000001</v>
      </c>
      <c r="BE56">
        <f t="shared" si="132"/>
        <v>9484.7849500000011</v>
      </c>
      <c r="BF56" s="6"/>
      <c r="BG56" s="6"/>
      <c r="BH56" s="6"/>
      <c r="BI56" s="6"/>
      <c r="BJ56" s="6"/>
      <c r="BK56" s="6"/>
      <c r="BL56" s="6">
        <f t="shared" si="75"/>
        <v>154.28116</v>
      </c>
      <c r="BM56">
        <f t="shared" si="47"/>
        <v>20169.17224</v>
      </c>
      <c r="BN56" s="7">
        <f t="shared" si="48"/>
        <v>3.4159999999246793E-2</v>
      </c>
    </row>
    <row r="57" spans="2:66" x14ac:dyDescent="0.25">
      <c r="B57" t="s">
        <v>20</v>
      </c>
      <c r="C57">
        <v>2010</v>
      </c>
      <c r="D57">
        <v>2011</v>
      </c>
      <c r="E57" s="1">
        <v>40485</v>
      </c>
      <c r="F57" s="1">
        <v>40519</v>
      </c>
      <c r="G57" s="2">
        <v>399600</v>
      </c>
      <c r="H57" s="3">
        <v>23303.85</v>
      </c>
      <c r="I57">
        <v>710</v>
      </c>
      <c r="J57">
        <v>789</v>
      </c>
      <c r="K57" t="s">
        <v>13</v>
      </c>
      <c r="L57" s="4">
        <v>11752.94</v>
      </c>
      <c r="M57" s="3">
        <v>685.41</v>
      </c>
      <c r="N57" s="13">
        <v>5.8299999999999998E-2</v>
      </c>
      <c r="O57">
        <v>62.07</v>
      </c>
      <c r="P57">
        <f t="shared" si="104"/>
        <v>34</v>
      </c>
      <c r="Q57" s="5">
        <f t="shared" si="25"/>
        <v>1.1333333333333333</v>
      </c>
      <c r="R57" s="6">
        <f t="shared" si="126"/>
        <v>88.966666666666669</v>
      </c>
      <c r="S57" s="6">
        <f t="shared" si="105"/>
        <v>2681.574333333333</v>
      </c>
      <c r="T57" s="6">
        <f t="shared" si="26"/>
        <v>6381.8113333333331</v>
      </c>
      <c r="U57" s="6">
        <f t="shared" si="106"/>
        <v>-883.66113333333317</v>
      </c>
      <c r="V57" s="6">
        <f t="shared" si="107"/>
        <v>4035.5416</v>
      </c>
      <c r="W57">
        <f t="shared" si="129"/>
        <v>10809.18</v>
      </c>
      <c r="X57" s="6"/>
      <c r="Y57" s="6"/>
      <c r="Z57" s="6"/>
      <c r="AA57" s="6"/>
      <c r="AB57" s="6"/>
      <c r="AC57" s="6"/>
      <c r="AD57" s="6">
        <f t="shared" si="86"/>
        <v>175.82400000000001</v>
      </c>
      <c r="AE57">
        <f t="shared" si="130"/>
        <v>23289.236799999999</v>
      </c>
      <c r="AF57" s="5">
        <f t="shared" si="108"/>
        <v>6.2707235070598975E-4</v>
      </c>
      <c r="AG57" s="11">
        <f t="shared" si="88"/>
        <v>3.8200765199255765E-3</v>
      </c>
      <c r="AH57" s="5">
        <f t="shared" si="109"/>
        <v>0.35122338286900551</v>
      </c>
      <c r="AI57" s="5">
        <f t="shared" si="110"/>
        <v>0.644956540611069</v>
      </c>
      <c r="AJ57" s="5">
        <f t="shared" si="89"/>
        <v>1</v>
      </c>
      <c r="AK57" s="6">
        <f t="shared" si="127"/>
        <v>88.966666666666669</v>
      </c>
      <c r="AL57" s="6">
        <f t="shared" si="31"/>
        <v>2678.7919999999999</v>
      </c>
      <c r="AM57" s="6">
        <f t="shared" si="32"/>
        <v>6372.8228666666664</v>
      </c>
      <c r="AN57" s="6">
        <f t="shared" si="33"/>
        <v>-882.74426666666659</v>
      </c>
      <c r="AO57" s="6">
        <f t="shared" si="111"/>
        <v>4035.5416</v>
      </c>
      <c r="AP57">
        <f t="shared" si="131"/>
        <v>10809.18</v>
      </c>
      <c r="AQ57" s="6"/>
      <c r="AR57" s="6"/>
      <c r="AS57" s="6"/>
      <c r="AT57" s="6"/>
      <c r="AU57" s="6"/>
      <c r="AV57" s="6"/>
      <c r="AW57" s="6">
        <f t="shared" si="90"/>
        <v>175.82400000000001</v>
      </c>
      <c r="AX57">
        <f t="shared" si="41"/>
        <v>23278.382866666667</v>
      </c>
      <c r="AY57" s="6">
        <f t="shared" si="42"/>
        <v>10.853933333331952</v>
      </c>
      <c r="AZ57" s="6">
        <f t="shared" si="128"/>
        <v>88.966666666666669</v>
      </c>
      <c r="BA57" s="6">
        <f t="shared" si="112"/>
        <v>2681.574333333333</v>
      </c>
      <c r="BB57" s="6">
        <f t="shared" si="43"/>
        <v>6381.8113333333331</v>
      </c>
      <c r="BC57" s="6">
        <f t="shared" si="113"/>
        <v>-883.66113333333317</v>
      </c>
      <c r="BD57" s="6">
        <f t="shared" si="44"/>
        <v>4035.5340406666669</v>
      </c>
      <c r="BE57">
        <f t="shared" si="132"/>
        <v>10809.15295</v>
      </c>
      <c r="BF57" s="6"/>
      <c r="BG57" s="6"/>
      <c r="BH57" s="6"/>
      <c r="BI57" s="6"/>
      <c r="BJ57" s="6"/>
      <c r="BK57" s="6"/>
      <c r="BL57" s="6">
        <f t="shared" si="75"/>
        <v>175.82356000000001</v>
      </c>
      <c r="BM57">
        <f t="shared" si="47"/>
        <v>23289.201750666667</v>
      </c>
      <c r="BN57" s="7">
        <f t="shared" si="48"/>
        <v>3.5049333331699017E-2</v>
      </c>
    </row>
    <row r="58" spans="2:66" x14ac:dyDescent="0.25">
      <c r="B58" t="s">
        <v>21</v>
      </c>
      <c r="C58">
        <v>2010</v>
      </c>
      <c r="D58">
        <v>2011</v>
      </c>
      <c r="E58" s="1">
        <v>40456</v>
      </c>
      <c r="F58" s="1">
        <v>40485</v>
      </c>
      <c r="G58" s="2">
        <v>380880</v>
      </c>
      <c r="H58" s="3">
        <v>21416.39</v>
      </c>
      <c r="I58">
        <v>730</v>
      </c>
      <c r="J58">
        <v>789</v>
      </c>
      <c r="K58" t="s">
        <v>13</v>
      </c>
      <c r="L58" s="4">
        <v>13133.79</v>
      </c>
      <c r="M58" s="3">
        <v>738.5</v>
      </c>
      <c r="N58" s="13">
        <v>5.62E-2</v>
      </c>
      <c r="O58">
        <v>69.36</v>
      </c>
      <c r="P58">
        <f t="shared" si="104"/>
        <v>29</v>
      </c>
      <c r="Q58" s="5">
        <f t="shared" si="25"/>
        <v>0.96666666666666667</v>
      </c>
      <c r="R58" s="6">
        <f t="shared" si="126"/>
        <v>75.88333333333334</v>
      </c>
      <c r="S58" s="6">
        <f t="shared" si="105"/>
        <v>2287.2251666666666</v>
      </c>
      <c r="T58" s="6">
        <f t="shared" si="26"/>
        <v>5596.6423333333332</v>
      </c>
      <c r="U58" s="6">
        <f t="shared" si="106"/>
        <v>-753.71096666666654</v>
      </c>
      <c r="V58" s="6">
        <f t="shared" si="107"/>
        <v>3321.3792800000001</v>
      </c>
      <c r="W58">
        <f t="shared" si="129"/>
        <v>10302.804</v>
      </c>
      <c r="X58" s="6"/>
      <c r="Y58" s="6"/>
      <c r="Z58" s="6"/>
      <c r="AA58" s="6"/>
      <c r="AB58" s="6"/>
      <c r="AC58" s="6"/>
      <c r="AD58" s="6">
        <f t="shared" si="86"/>
        <v>167.5872</v>
      </c>
      <c r="AE58">
        <f t="shared" si="130"/>
        <v>20997.810346666669</v>
      </c>
      <c r="AF58" s="5">
        <f t="shared" si="108"/>
        <v>1.9544827738630578E-2</v>
      </c>
      <c r="AG58" s="11">
        <f t="shared" si="88"/>
        <v>3.613868878731899E-3</v>
      </c>
      <c r="AH58" s="5">
        <f t="shared" si="109"/>
        <v>0.33956666983923023</v>
      </c>
      <c r="AI58" s="5">
        <f t="shared" si="110"/>
        <v>0.65681946128203783</v>
      </c>
      <c r="AJ58" s="5">
        <f t="shared" si="89"/>
        <v>1</v>
      </c>
      <c r="AK58" s="6">
        <f t="shared" si="127"/>
        <v>75.88333333333334</v>
      </c>
      <c r="AL58" s="6">
        <f t="shared" si="31"/>
        <v>2284.8519999999999</v>
      </c>
      <c r="AM58" s="6">
        <f t="shared" si="32"/>
        <v>5588.9757</v>
      </c>
      <c r="AN58" s="6">
        <f t="shared" si="33"/>
        <v>-752.92893333333325</v>
      </c>
      <c r="AO58" s="6">
        <f t="shared" si="111"/>
        <v>3321.3792800000001</v>
      </c>
      <c r="AP58">
        <f t="shared" si="131"/>
        <v>10302.804</v>
      </c>
      <c r="AQ58" s="6"/>
      <c r="AR58" s="6"/>
      <c r="AS58" s="6"/>
      <c r="AT58" s="6"/>
      <c r="AU58" s="6"/>
      <c r="AV58" s="6"/>
      <c r="AW58" s="6">
        <f t="shared" si="90"/>
        <v>167.5872</v>
      </c>
      <c r="AX58">
        <f t="shared" si="41"/>
        <v>20988.552580000003</v>
      </c>
      <c r="AY58" s="6">
        <f t="shared" si="42"/>
        <v>9.2577666666657024</v>
      </c>
      <c r="AZ58" s="6">
        <f t="shared" si="128"/>
        <v>75.88333333333334</v>
      </c>
      <c r="BA58" s="6">
        <f t="shared" si="112"/>
        <v>2287.2251666666666</v>
      </c>
      <c r="BB58" s="6">
        <f t="shared" si="43"/>
        <v>5596.6423333333332</v>
      </c>
      <c r="BC58" s="6">
        <f t="shared" si="113"/>
        <v>-753.71096666666654</v>
      </c>
      <c r="BD58" s="6">
        <f t="shared" si="44"/>
        <v>3321.3728323333335</v>
      </c>
      <c r="BE58">
        <f t="shared" si="132"/>
        <v>10302.776950000001</v>
      </c>
      <c r="BF58" s="6"/>
      <c r="BG58" s="6"/>
      <c r="BH58" s="6"/>
      <c r="BI58" s="6"/>
      <c r="BJ58" s="6"/>
      <c r="BK58" s="6"/>
      <c r="BL58" s="6">
        <f t="shared" si="75"/>
        <v>167.58676</v>
      </c>
      <c r="BM58">
        <f t="shared" si="47"/>
        <v>20997.776408999998</v>
      </c>
      <c r="BN58" s="7">
        <f t="shared" si="48"/>
        <v>3.393766667068121E-2</v>
      </c>
    </row>
    <row r="59" spans="2:66" x14ac:dyDescent="0.25">
      <c r="B59" t="s">
        <v>22</v>
      </c>
      <c r="C59">
        <v>2010</v>
      </c>
      <c r="D59">
        <v>2011</v>
      </c>
      <c r="E59" s="1">
        <v>40429</v>
      </c>
      <c r="F59" s="1">
        <v>40456</v>
      </c>
      <c r="G59" s="2">
        <v>380880</v>
      </c>
      <c r="H59" s="3">
        <v>21042.02</v>
      </c>
      <c r="I59">
        <v>756</v>
      </c>
      <c r="J59">
        <v>789</v>
      </c>
      <c r="K59" t="s">
        <v>13</v>
      </c>
      <c r="L59" s="4">
        <v>14106.67</v>
      </c>
      <c r="M59" s="3">
        <v>779.33</v>
      </c>
      <c r="N59" s="13">
        <v>5.5199999999999999E-2</v>
      </c>
      <c r="O59">
        <v>74.5</v>
      </c>
      <c r="P59">
        <f t="shared" si="104"/>
        <v>27</v>
      </c>
      <c r="Q59" s="5">
        <f t="shared" si="25"/>
        <v>0.9</v>
      </c>
      <c r="R59" s="6">
        <f t="shared" si="126"/>
        <v>70.650000000000006</v>
      </c>
      <c r="S59" s="6">
        <f t="shared" si="105"/>
        <v>2129.4854999999998</v>
      </c>
      <c r="T59" s="6">
        <f t="shared" si="26"/>
        <v>5396.2524000000003</v>
      </c>
      <c r="U59" s="6">
        <f t="shared" si="106"/>
        <v>-701.73089999999991</v>
      </c>
      <c r="V59" s="6">
        <f t="shared" si="107"/>
        <v>3092.31864</v>
      </c>
      <c r="W59">
        <f t="shared" si="129"/>
        <v>10302.804</v>
      </c>
      <c r="X59" s="6"/>
      <c r="Y59" s="6"/>
      <c r="Z59" s="6"/>
      <c r="AA59" s="6"/>
      <c r="AB59" s="6"/>
      <c r="AC59" s="6"/>
      <c r="AD59" s="6">
        <f t="shared" si="86"/>
        <v>167.5872</v>
      </c>
      <c r="AE59">
        <f t="shared" si="130"/>
        <v>20457.366840000002</v>
      </c>
      <c r="AF59" s="5">
        <f t="shared" si="108"/>
        <v>2.7785030144444212E-2</v>
      </c>
      <c r="AG59" s="11">
        <f t="shared" si="88"/>
        <v>3.4535236402887907E-3</v>
      </c>
      <c r="AH59" s="5">
        <f t="shared" si="109"/>
        <v>0.33357210893129779</v>
      </c>
      <c r="AI59" s="5">
        <f t="shared" si="110"/>
        <v>0.66297436742841331</v>
      </c>
      <c r="AJ59" s="5">
        <f t="shared" si="89"/>
        <v>0.99999999999999989</v>
      </c>
      <c r="AK59" s="6">
        <f t="shared" si="127"/>
        <v>70.650000000000006</v>
      </c>
      <c r="AL59" s="6">
        <f t="shared" si="31"/>
        <v>2127.2759999999998</v>
      </c>
      <c r="AM59" s="6">
        <f t="shared" si="32"/>
        <v>5389.1144999999997</v>
      </c>
      <c r="AN59" s="6">
        <f t="shared" si="33"/>
        <v>-701.00279999999998</v>
      </c>
      <c r="AO59" s="6">
        <f t="shared" si="111"/>
        <v>3092.31864</v>
      </c>
      <c r="AP59">
        <f t="shared" si="131"/>
        <v>10302.804</v>
      </c>
      <c r="AQ59" s="6"/>
      <c r="AR59" s="6"/>
      <c r="AS59" s="6"/>
      <c r="AT59" s="6"/>
      <c r="AU59" s="6"/>
      <c r="AV59" s="6"/>
      <c r="AW59" s="6">
        <f t="shared" si="90"/>
        <v>167.5872</v>
      </c>
      <c r="AX59">
        <f t="shared" si="41"/>
        <v>20448.74754</v>
      </c>
      <c r="AY59" s="6">
        <f t="shared" si="42"/>
        <v>8.6193000000021129</v>
      </c>
      <c r="AZ59" s="6">
        <f t="shared" si="128"/>
        <v>70.650000000000006</v>
      </c>
      <c r="BA59" s="6">
        <f t="shared" si="112"/>
        <v>2129.4854999999998</v>
      </c>
      <c r="BB59" s="6">
        <f t="shared" si="43"/>
        <v>5396.2524000000003</v>
      </c>
      <c r="BC59" s="6">
        <f t="shared" si="113"/>
        <v>-701.73089999999991</v>
      </c>
      <c r="BD59" s="6">
        <f t="shared" si="44"/>
        <v>3092.3126370000004</v>
      </c>
      <c r="BE59">
        <f t="shared" si="132"/>
        <v>10302.776950000001</v>
      </c>
      <c r="BF59" s="6"/>
      <c r="BG59" s="6"/>
      <c r="BH59" s="6"/>
      <c r="BI59" s="6"/>
      <c r="BJ59" s="6"/>
      <c r="BK59" s="6"/>
      <c r="BL59" s="6">
        <f t="shared" si="75"/>
        <v>167.58676</v>
      </c>
      <c r="BM59">
        <f t="shared" si="47"/>
        <v>20457.333347</v>
      </c>
      <c r="BN59" s="7">
        <f t="shared" si="48"/>
        <v>3.3493000002636109E-2</v>
      </c>
    </row>
    <row r="60" spans="2:66" x14ac:dyDescent="0.25">
      <c r="B60" t="s">
        <v>23</v>
      </c>
      <c r="C60">
        <v>2010</v>
      </c>
      <c r="D60">
        <v>2011</v>
      </c>
      <c r="E60" s="1">
        <v>40399</v>
      </c>
      <c r="F60" s="1">
        <v>40429</v>
      </c>
      <c r="G60" s="2">
        <v>478800</v>
      </c>
      <c r="H60" s="3">
        <v>25406.55</v>
      </c>
      <c r="I60">
        <v>770</v>
      </c>
      <c r="J60">
        <v>789</v>
      </c>
      <c r="K60" t="s">
        <v>13</v>
      </c>
      <c r="L60" s="4">
        <v>15960</v>
      </c>
      <c r="M60" s="3">
        <v>846.88</v>
      </c>
      <c r="N60" s="13">
        <v>5.3100000000000001E-2</v>
      </c>
      <c r="O60">
        <v>84.28</v>
      </c>
      <c r="P60">
        <f t="shared" si="104"/>
        <v>30</v>
      </c>
      <c r="Q60" s="5">
        <f t="shared" si="25"/>
        <v>1</v>
      </c>
      <c r="R60" s="6">
        <f t="shared" si="126"/>
        <v>78.5</v>
      </c>
      <c r="S60" s="6">
        <f t="shared" si="105"/>
        <v>2366.0949999999998</v>
      </c>
      <c r="T60" s="6">
        <f t="shared" si="26"/>
        <v>6106.87</v>
      </c>
      <c r="U60" s="6">
        <f t="shared" si="106"/>
        <v>-779.70099999999991</v>
      </c>
      <c r="V60" s="6">
        <f t="shared" si="107"/>
        <v>4089.0360000000001</v>
      </c>
      <c r="W60">
        <f t="shared" si="129"/>
        <v>12951.54</v>
      </c>
      <c r="X60" s="6"/>
      <c r="Y60" s="6"/>
      <c r="Z60" s="6"/>
      <c r="AA60" s="6"/>
      <c r="AB60" s="6"/>
      <c r="AC60" s="6"/>
      <c r="AD60" s="6">
        <f t="shared" si="86"/>
        <v>210.672</v>
      </c>
      <c r="AE60">
        <f t="shared" si="130"/>
        <v>25023.011999999999</v>
      </c>
      <c r="AF60" s="5">
        <f t="shared" si="108"/>
        <v>1.5096028386380696E-2</v>
      </c>
      <c r="AG60" s="11">
        <f t="shared" si="88"/>
        <v>3.1371123508233145E-3</v>
      </c>
      <c r="AH60" s="5">
        <f t="shared" si="109"/>
        <v>0.30744756066935508</v>
      </c>
      <c r="AI60" s="5">
        <f t="shared" si="110"/>
        <v>0.68941532697982166</v>
      </c>
      <c r="AJ60" s="5">
        <f t="shared" si="89"/>
        <v>1</v>
      </c>
      <c r="AK60" s="6">
        <f t="shared" si="127"/>
        <v>78.5</v>
      </c>
      <c r="AL60" s="6">
        <f t="shared" si="31"/>
        <v>2363.64</v>
      </c>
      <c r="AM60" s="6">
        <f t="shared" si="32"/>
        <v>6098.9390000000003</v>
      </c>
      <c r="AN60" s="6">
        <f t="shared" si="33"/>
        <v>-778.89199999999994</v>
      </c>
      <c r="AO60" s="6">
        <f t="shared" si="111"/>
        <v>4089.0360000000001</v>
      </c>
      <c r="AP60">
        <f t="shared" si="131"/>
        <v>12951.54</v>
      </c>
      <c r="AQ60" s="6"/>
      <c r="AR60" s="6"/>
      <c r="AS60" s="6"/>
      <c r="AT60" s="6"/>
      <c r="AU60" s="6"/>
      <c r="AV60" s="6"/>
      <c r="AW60" s="6">
        <f t="shared" si="90"/>
        <v>210.672</v>
      </c>
      <c r="AX60">
        <f t="shared" si="41"/>
        <v>25013.434999999998</v>
      </c>
      <c r="AY60" s="6">
        <f t="shared" si="42"/>
        <v>9.577000000001135</v>
      </c>
      <c r="AZ60" s="6">
        <f t="shared" si="128"/>
        <v>78.5</v>
      </c>
      <c r="BA60" s="6">
        <f t="shared" si="112"/>
        <v>2366.0949999999998</v>
      </c>
      <c r="BB60" s="6">
        <f t="shared" si="43"/>
        <v>6106.87</v>
      </c>
      <c r="BC60" s="6">
        <f t="shared" si="113"/>
        <v>-779.70099999999991</v>
      </c>
      <c r="BD60" s="6">
        <f t="shared" si="44"/>
        <v>4089.0293300000003</v>
      </c>
      <c r="BE60">
        <f t="shared" si="132"/>
        <v>12951.51295</v>
      </c>
      <c r="BF60" s="6"/>
      <c r="BG60" s="6"/>
      <c r="BH60" s="6"/>
      <c r="BI60" s="6"/>
      <c r="BJ60" s="6"/>
      <c r="BK60" s="6"/>
      <c r="BL60" s="6">
        <f t="shared" si="75"/>
        <v>210.67156</v>
      </c>
      <c r="BM60">
        <f t="shared" si="47"/>
        <v>25022.97784</v>
      </c>
      <c r="BN60" s="7">
        <f t="shared" si="48"/>
        <v>3.4159999999246793E-2</v>
      </c>
    </row>
    <row r="61" spans="2:66" x14ac:dyDescent="0.25">
      <c r="B61" t="s">
        <v>24</v>
      </c>
      <c r="C61">
        <v>2010</v>
      </c>
      <c r="D61">
        <v>2011</v>
      </c>
      <c r="E61" s="1">
        <v>40367</v>
      </c>
      <c r="F61" s="1">
        <v>40399</v>
      </c>
      <c r="G61" s="2">
        <v>523440</v>
      </c>
      <c r="H61" s="3">
        <v>27700.66</v>
      </c>
      <c r="I61">
        <v>787</v>
      </c>
      <c r="J61">
        <v>794</v>
      </c>
      <c r="K61" t="s">
        <v>13</v>
      </c>
      <c r="L61" s="4">
        <v>16357.5</v>
      </c>
      <c r="M61" s="3">
        <v>865.65</v>
      </c>
      <c r="N61" s="13">
        <v>5.2900000000000003E-2</v>
      </c>
      <c r="O61">
        <v>85.84</v>
      </c>
      <c r="P61">
        <f t="shared" si="104"/>
        <v>32</v>
      </c>
      <c r="Q61" s="5">
        <f t="shared" si="25"/>
        <v>1.0666666666666667</v>
      </c>
      <c r="R61" s="6">
        <f t="shared" si="126"/>
        <v>83.733333333333334</v>
      </c>
      <c r="S61" s="6">
        <f t="shared" si="105"/>
        <v>2536.9279999999999</v>
      </c>
      <c r="T61" s="6">
        <f t="shared" si="26"/>
        <v>6657.8101333333334</v>
      </c>
      <c r="U61" s="6">
        <f t="shared" si="106"/>
        <v>-835.99573333333331</v>
      </c>
      <c r="V61" s="6">
        <f t="shared" si="107"/>
        <v>4679.2371200000007</v>
      </c>
      <c r="W61">
        <f t="shared" si="129"/>
        <v>14159.052000000001</v>
      </c>
      <c r="X61" s="6"/>
      <c r="Y61" s="6"/>
      <c r="Z61" s="6"/>
      <c r="AA61" s="6"/>
      <c r="AB61" s="6"/>
      <c r="AC61" s="6"/>
      <c r="AD61" s="6">
        <f t="shared" si="86"/>
        <v>230.31360000000001</v>
      </c>
      <c r="AE61">
        <f t="shared" si="130"/>
        <v>27511.078453333335</v>
      </c>
      <c r="AF61" s="5">
        <f t="shared" si="108"/>
        <v>6.8439360891280028E-3</v>
      </c>
      <c r="AG61" s="11">
        <f t="shared" si="88"/>
        <v>3.043622352913901E-3</v>
      </c>
      <c r="AH61" s="5">
        <f t="shared" si="109"/>
        <v>0.30383186955679758</v>
      </c>
      <c r="AI61" s="5">
        <f t="shared" si="110"/>
        <v>0.69312450809028847</v>
      </c>
      <c r="AJ61" s="5">
        <f t="shared" si="89"/>
        <v>1</v>
      </c>
      <c r="AK61" s="6">
        <f t="shared" si="127"/>
        <v>83.733333333333334</v>
      </c>
      <c r="AL61" s="6">
        <f t="shared" si="31"/>
        <v>2534.3093333333331</v>
      </c>
      <c r="AM61" s="6">
        <f t="shared" si="32"/>
        <v>6649.3503999999994</v>
      </c>
      <c r="AN61" s="6">
        <f t="shared" si="33"/>
        <v>-835.13279999999986</v>
      </c>
      <c r="AO61" s="6">
        <f t="shared" si="111"/>
        <v>4679.2371200000007</v>
      </c>
      <c r="AP61">
        <f t="shared" si="131"/>
        <v>14159.052000000001</v>
      </c>
      <c r="AQ61" s="6"/>
      <c r="AR61" s="6"/>
      <c r="AS61" s="6"/>
      <c r="AT61" s="6"/>
      <c r="AU61" s="6"/>
      <c r="AV61" s="6"/>
      <c r="AW61" s="6">
        <f t="shared" si="90"/>
        <v>230.31360000000001</v>
      </c>
      <c r="AX61">
        <f t="shared" si="41"/>
        <v>27500.862986666667</v>
      </c>
      <c r="AY61" s="6">
        <f t="shared" si="42"/>
        <v>10.215466666668362</v>
      </c>
      <c r="AZ61" s="6">
        <f t="shared" si="128"/>
        <v>83.733333333333334</v>
      </c>
      <c r="BA61" s="6">
        <f t="shared" si="112"/>
        <v>2536.9279999999999</v>
      </c>
      <c r="BB61" s="6">
        <f t="shared" si="43"/>
        <v>6657.8101333333334</v>
      </c>
      <c r="BC61" s="6">
        <f t="shared" si="113"/>
        <v>-835.99573333333331</v>
      </c>
      <c r="BD61" s="6">
        <f t="shared" si="44"/>
        <v>4679.2300053333329</v>
      </c>
      <c r="BE61">
        <f t="shared" si="132"/>
        <v>14159.024950000001</v>
      </c>
      <c r="BF61" s="6"/>
      <c r="BG61" s="6"/>
      <c r="BH61" s="6"/>
      <c r="BI61" s="6"/>
      <c r="BJ61" s="6"/>
      <c r="BK61" s="6"/>
      <c r="BL61" s="6">
        <f t="shared" si="75"/>
        <v>230.31316000000001</v>
      </c>
      <c r="BM61">
        <f t="shared" si="47"/>
        <v>27511.043848666668</v>
      </c>
      <c r="BN61" s="7">
        <f t="shared" si="48"/>
        <v>3.4604666667291895E-2</v>
      </c>
    </row>
    <row r="62" spans="2:66" hidden="1" x14ac:dyDescent="0.25">
      <c r="B62" t="s">
        <v>12</v>
      </c>
      <c r="C62">
        <v>2010</v>
      </c>
      <c r="E62" s="1">
        <v>40336</v>
      </c>
      <c r="F62" s="1">
        <v>40367</v>
      </c>
      <c r="G62" s="2">
        <v>473760</v>
      </c>
      <c r="H62" s="3">
        <v>23036.01</v>
      </c>
      <c r="I62">
        <v>789</v>
      </c>
      <c r="J62">
        <v>794</v>
      </c>
      <c r="K62" t="s">
        <v>13</v>
      </c>
      <c r="L62" s="4">
        <v>15282.58</v>
      </c>
      <c r="M62" s="3">
        <v>743.1</v>
      </c>
      <c r="N62" s="3">
        <v>4.8599999999999997E-2</v>
      </c>
      <c r="O62">
        <v>80.2</v>
      </c>
      <c r="P62">
        <f t="shared" si="104"/>
        <v>31</v>
      </c>
      <c r="Q62" s="5">
        <f t="shared" si="25"/>
        <v>1.0333333333333334</v>
      </c>
      <c r="AA62" s="6"/>
      <c r="BN62" s="7">
        <f t="shared" si="48"/>
        <v>0</v>
      </c>
    </row>
    <row r="63" spans="2:66" hidden="1" x14ac:dyDescent="0.25">
      <c r="B63" t="s">
        <v>14</v>
      </c>
      <c r="C63">
        <v>2010</v>
      </c>
      <c r="E63" s="1">
        <v>40308</v>
      </c>
      <c r="F63" s="1">
        <v>40336</v>
      </c>
      <c r="G63" s="2">
        <v>385920</v>
      </c>
      <c r="H63" s="3">
        <v>18677.29</v>
      </c>
      <c r="I63">
        <v>768</v>
      </c>
      <c r="J63">
        <v>794</v>
      </c>
      <c r="K63" t="s">
        <v>13</v>
      </c>
      <c r="L63" s="4">
        <v>13782.86</v>
      </c>
      <c r="M63" s="3">
        <v>667.05</v>
      </c>
      <c r="N63" s="3">
        <v>4.8399999999999999E-2</v>
      </c>
      <c r="O63">
        <v>72.33</v>
      </c>
      <c r="P63">
        <f t="shared" si="104"/>
        <v>28</v>
      </c>
      <c r="Q63" s="5">
        <f t="shared" si="25"/>
        <v>0.93333333333333335</v>
      </c>
      <c r="AA63" s="6"/>
      <c r="BN63" s="7">
        <f t="shared" si="48"/>
        <v>0</v>
      </c>
    </row>
    <row r="64" spans="2:66" hidden="1" x14ac:dyDescent="0.25">
      <c r="B64" t="s">
        <v>15</v>
      </c>
      <c r="C64">
        <v>2010</v>
      </c>
      <c r="E64" s="1">
        <v>40275</v>
      </c>
      <c r="F64" s="1">
        <v>40308</v>
      </c>
      <c r="G64" s="2">
        <v>421200</v>
      </c>
      <c r="H64" s="3">
        <v>20601.96</v>
      </c>
      <c r="I64">
        <v>714</v>
      </c>
      <c r="J64">
        <v>794</v>
      </c>
      <c r="K64" t="s">
        <v>13</v>
      </c>
      <c r="L64" s="4">
        <v>12763.64</v>
      </c>
      <c r="M64" s="3">
        <v>624.29999999999995</v>
      </c>
      <c r="N64" s="3">
        <v>4.8899999999999999E-2</v>
      </c>
      <c r="O64">
        <v>66.98</v>
      </c>
      <c r="P64">
        <f t="shared" si="104"/>
        <v>33</v>
      </c>
      <c r="Q64" s="5">
        <f t="shared" si="25"/>
        <v>1.1000000000000001</v>
      </c>
      <c r="AA64" s="6"/>
      <c r="BN64" s="7">
        <f t="shared" si="48"/>
        <v>0</v>
      </c>
    </row>
    <row r="65" spans="2:66" hidden="1" x14ac:dyDescent="0.25">
      <c r="B65" t="s">
        <v>16</v>
      </c>
      <c r="C65">
        <v>2010</v>
      </c>
      <c r="E65" s="1">
        <v>40245</v>
      </c>
      <c r="F65" s="1">
        <v>40275</v>
      </c>
      <c r="G65" s="2">
        <v>378000</v>
      </c>
      <c r="H65" s="3">
        <v>18598.18</v>
      </c>
      <c r="I65">
        <v>714</v>
      </c>
      <c r="J65">
        <v>794</v>
      </c>
      <c r="K65" t="s">
        <v>13</v>
      </c>
      <c r="L65" s="4">
        <v>12600</v>
      </c>
      <c r="M65" s="3">
        <v>619.94000000000005</v>
      </c>
      <c r="N65" s="3">
        <v>4.9200000000000001E-2</v>
      </c>
      <c r="O65">
        <v>66.12</v>
      </c>
      <c r="P65">
        <f t="shared" si="104"/>
        <v>30</v>
      </c>
      <c r="Q65" s="5">
        <f t="shared" si="25"/>
        <v>1</v>
      </c>
      <c r="AA65" s="6"/>
      <c r="BN65" s="7">
        <f t="shared" si="48"/>
        <v>0</v>
      </c>
    </row>
    <row r="66" spans="2:66" hidden="1" x14ac:dyDescent="0.25">
      <c r="B66" t="s">
        <v>17</v>
      </c>
      <c r="C66">
        <v>2010</v>
      </c>
      <c r="E66" s="1">
        <v>40214</v>
      </c>
      <c r="F66" s="1">
        <v>40245</v>
      </c>
      <c r="G66" s="2">
        <v>409680</v>
      </c>
      <c r="H66" s="3">
        <v>20473.91</v>
      </c>
      <c r="I66">
        <v>714</v>
      </c>
      <c r="J66">
        <v>794</v>
      </c>
      <c r="K66" t="s">
        <v>13</v>
      </c>
      <c r="L66" s="4">
        <v>13215.48</v>
      </c>
      <c r="M66" s="3">
        <v>660.45</v>
      </c>
      <c r="N66" s="3">
        <v>0.05</v>
      </c>
      <c r="O66">
        <v>69.349999999999994</v>
      </c>
      <c r="P66">
        <f t="shared" ref="P66:P97" si="133">F66-E66</f>
        <v>31</v>
      </c>
      <c r="Q66" s="5">
        <f t="shared" si="25"/>
        <v>1.0333333333333334</v>
      </c>
      <c r="AA66" s="6"/>
      <c r="BN66" s="7">
        <f t="shared" si="48"/>
        <v>0</v>
      </c>
    </row>
    <row r="67" spans="2:66" hidden="1" x14ac:dyDescent="0.25">
      <c r="B67" t="s">
        <v>18</v>
      </c>
      <c r="C67">
        <v>2010</v>
      </c>
      <c r="E67" s="1">
        <v>40186</v>
      </c>
      <c r="F67" s="1">
        <v>40214</v>
      </c>
      <c r="G67" s="2">
        <v>381600</v>
      </c>
      <c r="H67" s="3">
        <v>17378.97</v>
      </c>
      <c r="I67">
        <v>714</v>
      </c>
      <c r="J67">
        <v>794</v>
      </c>
      <c r="K67" t="s">
        <v>13</v>
      </c>
      <c r="L67" s="4">
        <v>13628.57</v>
      </c>
      <c r="M67" s="3">
        <v>620.67999999999995</v>
      </c>
      <c r="N67" s="3">
        <v>4.5499999999999999E-2</v>
      </c>
      <c r="O67">
        <v>71.52</v>
      </c>
      <c r="P67">
        <f t="shared" si="133"/>
        <v>28</v>
      </c>
      <c r="Q67" s="5">
        <f t="shared" ref="Q67:Q122" si="134">P67/30</f>
        <v>0.93333333333333335</v>
      </c>
      <c r="AA67" s="6"/>
      <c r="BN67" s="7">
        <f t="shared" ref="BN67:BN122" si="135">AE67-BM67</f>
        <v>0</v>
      </c>
    </row>
    <row r="68" spans="2:66" hidden="1" x14ac:dyDescent="0.25">
      <c r="B68" t="s">
        <v>19</v>
      </c>
      <c r="C68">
        <v>2009</v>
      </c>
      <c r="E68" s="1">
        <v>40155</v>
      </c>
      <c r="F68" s="1">
        <v>40186</v>
      </c>
      <c r="G68" s="2">
        <v>407520</v>
      </c>
      <c r="H68" s="3">
        <v>20319.25</v>
      </c>
      <c r="I68">
        <v>714</v>
      </c>
      <c r="J68">
        <v>794</v>
      </c>
      <c r="K68" t="s">
        <v>13</v>
      </c>
      <c r="L68" s="4">
        <v>13145.81</v>
      </c>
      <c r="M68" s="3">
        <v>655.46</v>
      </c>
      <c r="N68" s="3">
        <v>4.99E-2</v>
      </c>
      <c r="O68">
        <v>68.989999999999995</v>
      </c>
      <c r="P68">
        <f t="shared" si="133"/>
        <v>31</v>
      </c>
      <c r="Q68" s="5">
        <f t="shared" si="134"/>
        <v>1.0333333333333334</v>
      </c>
      <c r="AA68" s="6"/>
      <c r="BN68" s="7">
        <f t="shared" si="135"/>
        <v>0</v>
      </c>
    </row>
    <row r="69" spans="2:66" hidden="1" x14ac:dyDescent="0.25">
      <c r="B69" t="s">
        <v>19</v>
      </c>
      <c r="C69">
        <v>2009</v>
      </c>
      <c r="E69" s="1">
        <v>40148</v>
      </c>
      <c r="F69" s="1">
        <v>40149</v>
      </c>
      <c r="G69">
        <v>0</v>
      </c>
      <c r="H69" s="3">
        <v>0.01</v>
      </c>
      <c r="K69" t="s">
        <v>25</v>
      </c>
      <c r="L69">
        <v>0</v>
      </c>
      <c r="M69" s="3">
        <v>0.01</v>
      </c>
      <c r="N69" s="3">
        <v>0</v>
      </c>
      <c r="P69">
        <f t="shared" si="133"/>
        <v>1</v>
      </c>
      <c r="Q69" s="5">
        <f t="shared" si="134"/>
        <v>3.3333333333333333E-2</v>
      </c>
      <c r="AA69" s="6"/>
      <c r="BN69" s="7">
        <f t="shared" si="135"/>
        <v>0</v>
      </c>
    </row>
    <row r="70" spans="2:66" hidden="1" x14ac:dyDescent="0.25">
      <c r="B70" t="s">
        <v>20</v>
      </c>
      <c r="C70">
        <v>2009</v>
      </c>
      <c r="E70" s="1">
        <v>40122</v>
      </c>
      <c r="F70" s="1">
        <v>40155</v>
      </c>
      <c r="G70" s="2">
        <v>457200</v>
      </c>
      <c r="H70" s="3">
        <v>22544.7</v>
      </c>
      <c r="K70" t="s">
        <v>13</v>
      </c>
      <c r="L70" s="4">
        <v>13854.55</v>
      </c>
      <c r="M70" s="3">
        <v>683.17</v>
      </c>
      <c r="N70" s="3">
        <v>4.9299999999999997E-2</v>
      </c>
      <c r="P70">
        <f t="shared" si="133"/>
        <v>33</v>
      </c>
      <c r="Q70" s="5">
        <f t="shared" si="134"/>
        <v>1.1000000000000001</v>
      </c>
      <c r="AA70" s="6"/>
      <c r="BN70" s="7">
        <f t="shared" si="135"/>
        <v>0</v>
      </c>
    </row>
    <row r="71" spans="2:66" hidden="1" x14ac:dyDescent="0.25">
      <c r="B71" t="s">
        <v>21</v>
      </c>
      <c r="C71">
        <v>2009</v>
      </c>
      <c r="E71" s="1">
        <v>40091</v>
      </c>
      <c r="F71" s="1">
        <v>40122</v>
      </c>
      <c r="G71" s="2">
        <v>434160</v>
      </c>
      <c r="H71" s="3">
        <v>22634.67</v>
      </c>
      <c r="K71" t="s">
        <v>13</v>
      </c>
      <c r="L71" s="4">
        <v>14005.16</v>
      </c>
      <c r="M71" s="3">
        <v>730.15</v>
      </c>
      <c r="N71" s="3">
        <v>5.21E-2</v>
      </c>
      <c r="P71">
        <f t="shared" si="133"/>
        <v>31</v>
      </c>
      <c r="Q71" s="5">
        <f t="shared" si="134"/>
        <v>1.0333333333333334</v>
      </c>
      <c r="AA71" s="6"/>
      <c r="BN71" s="7">
        <f t="shared" si="135"/>
        <v>0</v>
      </c>
    </row>
    <row r="72" spans="2:66" hidden="1" x14ac:dyDescent="0.25">
      <c r="B72" t="s">
        <v>22</v>
      </c>
      <c r="C72">
        <v>2009</v>
      </c>
      <c r="E72" s="1">
        <v>40060</v>
      </c>
      <c r="F72" s="1">
        <v>40091</v>
      </c>
      <c r="G72" s="2">
        <v>457920</v>
      </c>
      <c r="H72" s="3">
        <v>23659.64</v>
      </c>
      <c r="K72" t="s">
        <v>13</v>
      </c>
      <c r="L72" s="4">
        <v>14771.61</v>
      </c>
      <c r="M72" s="3">
        <v>763.21</v>
      </c>
      <c r="N72" s="3">
        <v>5.1700000000000003E-2</v>
      </c>
      <c r="P72">
        <f t="shared" si="133"/>
        <v>31</v>
      </c>
      <c r="Q72" s="5">
        <f t="shared" si="134"/>
        <v>1.0333333333333334</v>
      </c>
      <c r="AA72" s="6"/>
      <c r="BN72" s="7">
        <f t="shared" si="135"/>
        <v>0</v>
      </c>
    </row>
    <row r="73" spans="2:66" hidden="1" x14ac:dyDescent="0.25">
      <c r="B73" t="s">
        <v>23</v>
      </c>
      <c r="C73">
        <v>2009</v>
      </c>
      <c r="E73" s="1">
        <v>40030</v>
      </c>
      <c r="F73" s="1">
        <v>40060</v>
      </c>
      <c r="G73" s="2">
        <v>498240</v>
      </c>
      <c r="H73" s="3">
        <v>25375.69</v>
      </c>
      <c r="K73" t="s">
        <v>13</v>
      </c>
      <c r="L73" s="4">
        <v>16608</v>
      </c>
      <c r="M73" s="3">
        <v>845.86</v>
      </c>
      <c r="N73" s="3">
        <v>5.0900000000000001E-2</v>
      </c>
      <c r="P73">
        <f t="shared" si="133"/>
        <v>30</v>
      </c>
      <c r="Q73" s="5">
        <f t="shared" si="134"/>
        <v>1</v>
      </c>
      <c r="AA73" s="6"/>
      <c r="BN73" s="7">
        <f t="shared" si="135"/>
        <v>0</v>
      </c>
    </row>
    <row r="74" spans="2:66" hidden="1" x14ac:dyDescent="0.25">
      <c r="B74" t="s">
        <v>24</v>
      </c>
      <c r="C74">
        <v>2009</v>
      </c>
      <c r="E74" s="1">
        <v>40002</v>
      </c>
      <c r="F74" s="1">
        <v>40030</v>
      </c>
      <c r="G74" s="2">
        <v>458640</v>
      </c>
      <c r="H74" s="3">
        <v>23364.13</v>
      </c>
      <c r="K74" t="s">
        <v>13</v>
      </c>
      <c r="L74" s="4">
        <v>16380</v>
      </c>
      <c r="M74" s="3">
        <v>834.43</v>
      </c>
      <c r="N74" s="3">
        <v>5.0900000000000001E-2</v>
      </c>
      <c r="P74">
        <f t="shared" si="133"/>
        <v>28</v>
      </c>
      <c r="Q74" s="5">
        <f t="shared" si="134"/>
        <v>0.93333333333333335</v>
      </c>
      <c r="AA74" s="6"/>
      <c r="BN74" s="7">
        <f t="shared" si="135"/>
        <v>0</v>
      </c>
    </row>
    <row r="75" spans="2:66" hidden="1" x14ac:dyDescent="0.25">
      <c r="B75" t="s">
        <v>12</v>
      </c>
      <c r="C75">
        <v>2009</v>
      </c>
      <c r="E75" s="1">
        <v>39972</v>
      </c>
      <c r="F75" s="1">
        <v>40002</v>
      </c>
      <c r="G75" s="2">
        <v>455760</v>
      </c>
      <c r="H75" s="3">
        <v>29401.66</v>
      </c>
      <c r="K75" t="s">
        <v>13</v>
      </c>
      <c r="L75" s="4">
        <v>15192</v>
      </c>
      <c r="M75" s="3">
        <v>980.06</v>
      </c>
      <c r="N75" s="3">
        <v>6.4500000000000002E-2</v>
      </c>
      <c r="P75">
        <f t="shared" si="133"/>
        <v>30</v>
      </c>
      <c r="Q75" s="5">
        <f t="shared" si="134"/>
        <v>1</v>
      </c>
      <c r="AA75" s="6"/>
      <c r="BN75" s="7">
        <f t="shared" si="135"/>
        <v>0</v>
      </c>
    </row>
    <row r="76" spans="2:66" hidden="1" x14ac:dyDescent="0.25">
      <c r="B76" t="s">
        <v>14</v>
      </c>
      <c r="C76">
        <v>2009</v>
      </c>
      <c r="E76" s="1">
        <v>39939</v>
      </c>
      <c r="F76" s="1">
        <v>39972</v>
      </c>
      <c r="G76" s="2">
        <v>457920</v>
      </c>
      <c r="H76" s="3">
        <v>32729.55</v>
      </c>
      <c r="K76" t="s">
        <v>13</v>
      </c>
      <c r="L76" s="4">
        <v>13876.36</v>
      </c>
      <c r="M76" s="3">
        <v>991.8</v>
      </c>
      <c r="N76" s="3">
        <v>7.1499999999999994E-2</v>
      </c>
      <c r="P76">
        <f t="shared" si="133"/>
        <v>33</v>
      </c>
      <c r="Q76" s="5">
        <f t="shared" si="134"/>
        <v>1.1000000000000001</v>
      </c>
      <c r="AA76" s="6"/>
      <c r="BN76" s="7">
        <f t="shared" si="135"/>
        <v>0</v>
      </c>
    </row>
    <row r="77" spans="2:66" hidden="1" x14ac:dyDescent="0.25">
      <c r="B77" t="s">
        <v>15</v>
      </c>
      <c r="C77">
        <v>2009</v>
      </c>
      <c r="E77" s="1">
        <v>39909</v>
      </c>
      <c r="F77" s="1">
        <v>39939</v>
      </c>
      <c r="G77" s="2">
        <v>405360</v>
      </c>
      <c r="H77" s="3">
        <v>29211.1</v>
      </c>
      <c r="K77" t="s">
        <v>13</v>
      </c>
      <c r="L77" s="4">
        <v>13512</v>
      </c>
      <c r="M77" s="3">
        <v>973.7</v>
      </c>
      <c r="N77" s="3">
        <v>7.2099999999999997E-2</v>
      </c>
      <c r="P77">
        <f t="shared" si="133"/>
        <v>30</v>
      </c>
      <c r="Q77" s="5">
        <f t="shared" si="134"/>
        <v>1</v>
      </c>
      <c r="AA77" s="6"/>
      <c r="BN77" s="7">
        <f t="shared" si="135"/>
        <v>0</v>
      </c>
    </row>
    <row r="78" spans="2:66" hidden="1" x14ac:dyDescent="0.25">
      <c r="B78" t="s">
        <v>16</v>
      </c>
      <c r="C78">
        <v>2009</v>
      </c>
      <c r="E78" s="1">
        <v>39881</v>
      </c>
      <c r="F78" s="1">
        <v>39909</v>
      </c>
      <c r="G78" s="2">
        <v>357840</v>
      </c>
      <c r="H78" s="3">
        <v>26245.439999999999</v>
      </c>
      <c r="K78" t="s">
        <v>13</v>
      </c>
      <c r="L78" s="4">
        <v>12780</v>
      </c>
      <c r="M78" s="3">
        <v>937.34</v>
      </c>
      <c r="N78" s="3">
        <v>7.3300000000000004E-2</v>
      </c>
      <c r="P78">
        <f t="shared" si="133"/>
        <v>28</v>
      </c>
      <c r="Q78" s="5">
        <f t="shared" si="134"/>
        <v>0.93333333333333335</v>
      </c>
      <c r="AA78" s="6"/>
      <c r="BN78" s="7">
        <f t="shared" si="135"/>
        <v>0</v>
      </c>
    </row>
    <row r="79" spans="2:66" hidden="1" x14ac:dyDescent="0.25">
      <c r="B79" t="s">
        <v>17</v>
      </c>
      <c r="C79">
        <v>2009</v>
      </c>
      <c r="E79" s="1">
        <v>39850</v>
      </c>
      <c r="F79" s="1">
        <v>39881</v>
      </c>
      <c r="G79" s="2">
        <v>393120</v>
      </c>
      <c r="H79" s="3">
        <v>28905.42</v>
      </c>
      <c r="K79" t="s">
        <v>13</v>
      </c>
      <c r="L79" s="4">
        <v>12681.29</v>
      </c>
      <c r="M79" s="3">
        <v>932.43</v>
      </c>
      <c r="N79" s="3">
        <v>7.3499999999999996E-2</v>
      </c>
      <c r="P79">
        <f t="shared" si="133"/>
        <v>31</v>
      </c>
      <c r="Q79" s="5">
        <f t="shared" si="134"/>
        <v>1.0333333333333334</v>
      </c>
      <c r="AA79" s="6"/>
      <c r="BN79" s="7">
        <f t="shared" si="135"/>
        <v>0</v>
      </c>
    </row>
    <row r="80" spans="2:66" hidden="1" x14ac:dyDescent="0.25">
      <c r="B80" t="s">
        <v>18</v>
      </c>
      <c r="C80">
        <v>2009</v>
      </c>
      <c r="E80" s="1">
        <v>39821</v>
      </c>
      <c r="F80" s="1">
        <v>39850</v>
      </c>
      <c r="G80" s="2">
        <v>365040</v>
      </c>
      <c r="H80" s="3">
        <v>26905.58</v>
      </c>
      <c r="K80" t="s">
        <v>13</v>
      </c>
      <c r="L80" s="4">
        <v>12587.59</v>
      </c>
      <c r="M80" s="3">
        <v>927.78</v>
      </c>
      <c r="N80" s="3">
        <v>7.3700000000000002E-2</v>
      </c>
      <c r="P80">
        <f t="shared" si="133"/>
        <v>29</v>
      </c>
      <c r="Q80" s="5">
        <f t="shared" si="134"/>
        <v>0.96666666666666667</v>
      </c>
      <c r="AA80" s="6"/>
      <c r="BN80" s="7">
        <f t="shared" si="135"/>
        <v>0</v>
      </c>
    </row>
    <row r="81" spans="2:66" hidden="1" x14ac:dyDescent="0.25">
      <c r="B81" t="s">
        <v>19</v>
      </c>
      <c r="C81">
        <v>2008</v>
      </c>
      <c r="E81" s="1">
        <v>39781</v>
      </c>
      <c r="F81" s="1">
        <v>39811</v>
      </c>
      <c r="G81" s="2">
        <v>386640</v>
      </c>
      <c r="H81" s="3">
        <v>22704.82</v>
      </c>
      <c r="K81" t="s">
        <v>13</v>
      </c>
      <c r="L81" s="4">
        <v>12888</v>
      </c>
      <c r="M81" s="3">
        <v>756.83</v>
      </c>
      <c r="N81" s="3">
        <v>5.8700000000000002E-2</v>
      </c>
      <c r="P81">
        <f t="shared" si="133"/>
        <v>30</v>
      </c>
      <c r="Q81" s="5">
        <f t="shared" si="134"/>
        <v>1</v>
      </c>
      <c r="AA81" s="6"/>
      <c r="BN81" s="7">
        <f t="shared" si="135"/>
        <v>0</v>
      </c>
    </row>
    <row r="82" spans="2:66" hidden="1" x14ac:dyDescent="0.25">
      <c r="B82" t="s">
        <v>20</v>
      </c>
      <c r="C82">
        <v>2008</v>
      </c>
      <c r="E82" s="1">
        <v>39753</v>
      </c>
      <c r="F82" s="1">
        <v>39781</v>
      </c>
      <c r="G82" s="2">
        <v>455760</v>
      </c>
      <c r="H82" s="3">
        <v>34043.279999999999</v>
      </c>
      <c r="K82" t="s">
        <v>13</v>
      </c>
      <c r="L82" s="4">
        <v>16277.14</v>
      </c>
      <c r="M82" s="3">
        <v>1215.83</v>
      </c>
      <c r="N82" s="3">
        <v>7.4700000000000003E-2</v>
      </c>
      <c r="P82">
        <f t="shared" si="133"/>
        <v>28</v>
      </c>
      <c r="Q82" s="5">
        <f t="shared" si="134"/>
        <v>0.93333333333333335</v>
      </c>
      <c r="AA82" s="6"/>
      <c r="BN82" s="7">
        <f t="shared" si="135"/>
        <v>0</v>
      </c>
    </row>
    <row r="83" spans="2:66" hidden="1" x14ac:dyDescent="0.25">
      <c r="B83" t="s">
        <v>21</v>
      </c>
      <c r="C83">
        <v>2008</v>
      </c>
      <c r="E83" s="1">
        <v>39722</v>
      </c>
      <c r="F83" s="1">
        <v>39750</v>
      </c>
      <c r="G83" s="2">
        <v>380880</v>
      </c>
      <c r="H83" s="3">
        <v>27329.13</v>
      </c>
      <c r="K83" t="s">
        <v>13</v>
      </c>
      <c r="L83" s="4">
        <v>13602.86</v>
      </c>
      <c r="M83" s="3">
        <v>976.04</v>
      </c>
      <c r="N83" s="3">
        <v>7.1800000000000003E-2</v>
      </c>
      <c r="P83">
        <f t="shared" si="133"/>
        <v>28</v>
      </c>
      <c r="Q83" s="5">
        <f t="shared" si="134"/>
        <v>0.93333333333333335</v>
      </c>
      <c r="AA83" s="6"/>
      <c r="BN83" s="7">
        <f t="shared" si="135"/>
        <v>0</v>
      </c>
    </row>
    <row r="84" spans="2:66" hidden="1" x14ac:dyDescent="0.25">
      <c r="B84" t="s">
        <v>22</v>
      </c>
      <c r="C84">
        <v>2008</v>
      </c>
      <c r="E84" s="1">
        <v>39692</v>
      </c>
      <c r="F84" s="1">
        <v>39720</v>
      </c>
      <c r="G84" s="2">
        <v>455760</v>
      </c>
      <c r="H84" s="3">
        <v>31944.45</v>
      </c>
      <c r="K84" t="s">
        <v>13</v>
      </c>
      <c r="L84" s="4">
        <v>16277.14</v>
      </c>
      <c r="M84" s="3">
        <v>1140.8699999999999</v>
      </c>
      <c r="N84" s="3">
        <v>7.0099999999999996E-2</v>
      </c>
      <c r="P84">
        <f t="shared" si="133"/>
        <v>28</v>
      </c>
      <c r="Q84" s="5">
        <f t="shared" si="134"/>
        <v>0.93333333333333335</v>
      </c>
      <c r="AA84" s="6"/>
      <c r="BN84" s="7">
        <f t="shared" si="135"/>
        <v>0</v>
      </c>
    </row>
    <row r="85" spans="2:66" hidden="1" x14ac:dyDescent="0.25">
      <c r="B85" t="s">
        <v>23</v>
      </c>
      <c r="C85">
        <v>2008</v>
      </c>
      <c r="E85" s="1">
        <v>39661</v>
      </c>
      <c r="F85" s="1">
        <v>39689</v>
      </c>
      <c r="G85" s="2">
        <v>466560</v>
      </c>
      <c r="H85" s="3">
        <v>32176.87</v>
      </c>
      <c r="K85" t="s">
        <v>13</v>
      </c>
      <c r="L85" s="4">
        <v>16662.86</v>
      </c>
      <c r="M85" s="3">
        <v>1149.17</v>
      </c>
      <c r="N85" s="3">
        <v>6.9000000000000006E-2</v>
      </c>
      <c r="P85">
        <f t="shared" si="133"/>
        <v>28</v>
      </c>
      <c r="Q85" s="5">
        <f t="shared" si="134"/>
        <v>0.93333333333333335</v>
      </c>
      <c r="AA85" s="6"/>
      <c r="BN85" s="7">
        <f t="shared" si="135"/>
        <v>0</v>
      </c>
    </row>
    <row r="86" spans="2:66" hidden="1" x14ac:dyDescent="0.25">
      <c r="B86" t="s">
        <v>24</v>
      </c>
      <c r="C86">
        <v>2008</v>
      </c>
      <c r="E86" s="1">
        <v>39630</v>
      </c>
      <c r="F86" s="1">
        <v>39658</v>
      </c>
      <c r="G86" s="2">
        <v>487440</v>
      </c>
      <c r="H86" s="3">
        <v>33259.730000000003</v>
      </c>
      <c r="K86" t="s">
        <v>13</v>
      </c>
      <c r="L86" s="4">
        <v>17408.57</v>
      </c>
      <c r="M86" s="3">
        <v>1187.8499999999999</v>
      </c>
      <c r="N86" s="3">
        <v>6.8199999999999997E-2</v>
      </c>
      <c r="P86">
        <f t="shared" si="133"/>
        <v>28</v>
      </c>
      <c r="Q86" s="5">
        <f t="shared" si="134"/>
        <v>0.93333333333333335</v>
      </c>
      <c r="AA86" s="6"/>
      <c r="BN86" s="7">
        <f t="shared" si="135"/>
        <v>0</v>
      </c>
    </row>
    <row r="87" spans="2:66" hidden="1" x14ac:dyDescent="0.25">
      <c r="B87" t="s">
        <v>12</v>
      </c>
      <c r="C87">
        <v>2008</v>
      </c>
      <c r="E87" s="1">
        <v>39600</v>
      </c>
      <c r="F87" s="1">
        <v>39628</v>
      </c>
      <c r="G87" s="2">
        <v>485280</v>
      </c>
      <c r="H87" s="3">
        <v>28730.94</v>
      </c>
      <c r="K87" t="s">
        <v>13</v>
      </c>
      <c r="L87" s="4">
        <v>17331.43</v>
      </c>
      <c r="M87" s="3">
        <v>1026.1099999999999</v>
      </c>
      <c r="N87" s="3">
        <v>5.9200000000000003E-2</v>
      </c>
      <c r="P87">
        <f t="shared" si="133"/>
        <v>28</v>
      </c>
      <c r="Q87" s="5">
        <f t="shared" si="134"/>
        <v>0.93333333333333335</v>
      </c>
      <c r="AA87" s="6"/>
      <c r="BN87" s="7">
        <f t="shared" si="135"/>
        <v>0</v>
      </c>
    </row>
    <row r="88" spans="2:66" hidden="1" x14ac:dyDescent="0.25">
      <c r="B88" t="s">
        <v>14</v>
      </c>
      <c r="C88">
        <v>2008</v>
      </c>
      <c r="E88" s="1">
        <v>39569</v>
      </c>
      <c r="F88" s="1">
        <v>39597</v>
      </c>
      <c r="G88" s="2">
        <v>490320</v>
      </c>
      <c r="H88" s="3">
        <v>27842.9</v>
      </c>
      <c r="K88" t="s">
        <v>13</v>
      </c>
      <c r="L88" s="4">
        <v>17511.43</v>
      </c>
      <c r="M88" s="3">
        <v>994.39</v>
      </c>
      <c r="N88" s="3">
        <v>5.6800000000000003E-2</v>
      </c>
      <c r="P88">
        <f t="shared" si="133"/>
        <v>28</v>
      </c>
      <c r="Q88" s="5">
        <f t="shared" si="134"/>
        <v>0.93333333333333335</v>
      </c>
      <c r="AA88" s="6"/>
      <c r="BN88" s="7">
        <f t="shared" si="135"/>
        <v>0</v>
      </c>
    </row>
    <row r="89" spans="2:66" hidden="1" x14ac:dyDescent="0.25">
      <c r="B89" t="s">
        <v>15</v>
      </c>
      <c r="C89">
        <v>2008</v>
      </c>
      <c r="E89" s="1">
        <v>39539</v>
      </c>
      <c r="F89" s="1">
        <v>39567</v>
      </c>
      <c r="G89" s="2">
        <v>406080</v>
      </c>
      <c r="H89" s="3">
        <v>22928.18</v>
      </c>
      <c r="K89" t="s">
        <v>13</v>
      </c>
      <c r="L89" s="4">
        <v>14502.86</v>
      </c>
      <c r="M89" s="3">
        <v>818.86</v>
      </c>
      <c r="N89" s="3">
        <v>5.6500000000000002E-2</v>
      </c>
      <c r="P89">
        <f t="shared" si="133"/>
        <v>28</v>
      </c>
      <c r="Q89" s="5">
        <f t="shared" si="134"/>
        <v>0.93333333333333335</v>
      </c>
      <c r="AA89" s="6"/>
      <c r="BN89" s="7">
        <f t="shared" si="135"/>
        <v>0</v>
      </c>
    </row>
    <row r="90" spans="2:66" hidden="1" x14ac:dyDescent="0.25">
      <c r="B90" t="s">
        <v>16</v>
      </c>
      <c r="C90">
        <v>2008</v>
      </c>
      <c r="E90" s="1">
        <v>39508</v>
      </c>
      <c r="F90" s="1">
        <v>39536</v>
      </c>
      <c r="G90" s="2">
        <v>446400</v>
      </c>
      <c r="H90" s="3">
        <v>26205.17</v>
      </c>
      <c r="K90" t="s">
        <v>13</v>
      </c>
      <c r="L90" s="4">
        <v>15942.86</v>
      </c>
      <c r="M90" s="3">
        <v>935.9</v>
      </c>
      <c r="N90" s="3">
        <v>5.8700000000000002E-2</v>
      </c>
      <c r="P90">
        <f t="shared" si="133"/>
        <v>28</v>
      </c>
      <c r="Q90" s="5">
        <f t="shared" si="134"/>
        <v>0.93333333333333335</v>
      </c>
      <c r="AA90" s="6"/>
      <c r="BN90" s="7">
        <f t="shared" si="135"/>
        <v>0</v>
      </c>
    </row>
    <row r="91" spans="2:66" hidden="1" x14ac:dyDescent="0.25">
      <c r="B91" t="s">
        <v>17</v>
      </c>
      <c r="C91">
        <v>2008</v>
      </c>
      <c r="E91" s="1">
        <v>39479</v>
      </c>
      <c r="F91" s="1">
        <v>39506</v>
      </c>
      <c r="G91" s="2">
        <v>407520</v>
      </c>
      <c r="H91" s="3">
        <v>23576.49</v>
      </c>
      <c r="K91" t="s">
        <v>13</v>
      </c>
      <c r="L91" s="4">
        <v>15093.33</v>
      </c>
      <c r="M91" s="3">
        <v>873.2</v>
      </c>
      <c r="N91" s="3">
        <v>5.79E-2</v>
      </c>
      <c r="P91">
        <f t="shared" si="133"/>
        <v>27</v>
      </c>
      <c r="Q91" s="5">
        <f t="shared" si="134"/>
        <v>0.9</v>
      </c>
      <c r="AA91" s="6"/>
      <c r="BN91" s="7">
        <f t="shared" si="135"/>
        <v>0</v>
      </c>
    </row>
    <row r="92" spans="2:66" hidden="1" x14ac:dyDescent="0.25">
      <c r="B92" t="s">
        <v>18</v>
      </c>
      <c r="C92">
        <v>2008</v>
      </c>
      <c r="E92" s="1">
        <v>39448</v>
      </c>
      <c r="F92" s="1">
        <v>39476</v>
      </c>
      <c r="G92" s="2">
        <v>385200</v>
      </c>
      <c r="H92" s="3">
        <v>22178.71</v>
      </c>
      <c r="K92" t="s">
        <v>13</v>
      </c>
      <c r="L92" s="4">
        <v>13757.14</v>
      </c>
      <c r="M92" s="3">
        <v>792.1</v>
      </c>
      <c r="N92" s="3">
        <v>5.7599999999999998E-2</v>
      </c>
      <c r="P92">
        <f t="shared" si="133"/>
        <v>28</v>
      </c>
      <c r="Q92" s="5">
        <f t="shared" si="134"/>
        <v>0.93333333333333335</v>
      </c>
      <c r="AA92" s="6"/>
      <c r="BN92" s="7">
        <f t="shared" si="135"/>
        <v>0</v>
      </c>
    </row>
    <row r="93" spans="2:66" hidden="1" x14ac:dyDescent="0.25">
      <c r="B93" t="s">
        <v>19</v>
      </c>
      <c r="C93">
        <v>2007</v>
      </c>
      <c r="E93" s="1">
        <v>39417</v>
      </c>
      <c r="F93" s="1">
        <v>39445</v>
      </c>
      <c r="G93" s="2">
        <v>461520</v>
      </c>
      <c r="H93" s="3">
        <v>26715.32</v>
      </c>
      <c r="K93" t="s">
        <v>13</v>
      </c>
      <c r="L93" s="4">
        <v>16482.86</v>
      </c>
      <c r="M93" s="3">
        <v>954.12</v>
      </c>
      <c r="N93" s="3">
        <v>5.79E-2</v>
      </c>
      <c r="P93">
        <f t="shared" si="133"/>
        <v>28</v>
      </c>
      <c r="Q93" s="5">
        <f t="shared" si="134"/>
        <v>0.93333333333333335</v>
      </c>
      <c r="AA93" s="6"/>
      <c r="BN93" s="7">
        <f t="shared" si="135"/>
        <v>0</v>
      </c>
    </row>
    <row r="94" spans="2:66" hidden="1" x14ac:dyDescent="0.25">
      <c r="B94" t="s">
        <v>20</v>
      </c>
      <c r="C94">
        <v>2007</v>
      </c>
      <c r="E94" s="1">
        <v>39387</v>
      </c>
      <c r="F94" s="1">
        <v>39415</v>
      </c>
      <c r="G94" s="2">
        <v>435600</v>
      </c>
      <c r="H94" s="3">
        <v>23460.720000000001</v>
      </c>
      <c r="K94" t="s">
        <v>13</v>
      </c>
      <c r="L94" s="4">
        <v>15557.14</v>
      </c>
      <c r="M94" s="3">
        <v>837.88</v>
      </c>
      <c r="N94" s="3">
        <v>5.3900000000000003E-2</v>
      </c>
      <c r="P94">
        <f t="shared" si="133"/>
        <v>28</v>
      </c>
      <c r="Q94" s="5">
        <f t="shared" si="134"/>
        <v>0.93333333333333335</v>
      </c>
      <c r="AA94" s="6"/>
      <c r="BN94" s="7">
        <f t="shared" si="135"/>
        <v>0</v>
      </c>
    </row>
    <row r="95" spans="2:66" hidden="1" x14ac:dyDescent="0.25">
      <c r="B95" t="s">
        <v>21</v>
      </c>
      <c r="C95">
        <v>2007</v>
      </c>
      <c r="E95" s="1">
        <v>39356</v>
      </c>
      <c r="F95" s="1">
        <v>39384</v>
      </c>
      <c r="G95" s="2">
        <v>488880</v>
      </c>
      <c r="H95" s="3">
        <v>28381.78</v>
      </c>
      <c r="K95" t="s">
        <v>13</v>
      </c>
      <c r="L95" s="4">
        <v>17460</v>
      </c>
      <c r="M95" s="3">
        <v>1013.64</v>
      </c>
      <c r="N95" s="3">
        <v>5.8099999999999999E-2</v>
      </c>
      <c r="P95">
        <f t="shared" si="133"/>
        <v>28</v>
      </c>
      <c r="Q95" s="5">
        <f t="shared" si="134"/>
        <v>0.93333333333333335</v>
      </c>
      <c r="AA95" s="6"/>
      <c r="BN95" s="7">
        <f t="shared" si="135"/>
        <v>0</v>
      </c>
    </row>
    <row r="96" spans="2:66" hidden="1" x14ac:dyDescent="0.25">
      <c r="B96" t="s">
        <v>22</v>
      </c>
      <c r="C96">
        <v>2007</v>
      </c>
      <c r="E96" s="1">
        <v>39326</v>
      </c>
      <c r="F96" s="1">
        <v>39354</v>
      </c>
      <c r="G96" s="2">
        <v>439920</v>
      </c>
      <c r="H96" s="3">
        <v>24619.72</v>
      </c>
      <c r="K96" t="s">
        <v>13</v>
      </c>
      <c r="L96" s="4">
        <v>15711.43</v>
      </c>
      <c r="M96" s="3">
        <v>879.28</v>
      </c>
      <c r="N96" s="3">
        <v>5.6000000000000001E-2</v>
      </c>
      <c r="P96">
        <f t="shared" si="133"/>
        <v>28</v>
      </c>
      <c r="Q96" s="5">
        <f t="shared" si="134"/>
        <v>0.93333333333333335</v>
      </c>
      <c r="AA96" s="6"/>
      <c r="BN96" s="7">
        <f t="shared" si="135"/>
        <v>0</v>
      </c>
    </row>
    <row r="97" spans="2:66" hidden="1" x14ac:dyDescent="0.25">
      <c r="B97" t="s">
        <v>23</v>
      </c>
      <c r="C97">
        <v>2007</v>
      </c>
      <c r="E97" s="1">
        <v>39295</v>
      </c>
      <c r="F97" s="1">
        <v>39323</v>
      </c>
      <c r="G97" s="2">
        <v>569520</v>
      </c>
      <c r="H97" s="3">
        <v>31105.97</v>
      </c>
      <c r="K97" t="s">
        <v>13</v>
      </c>
      <c r="L97" s="4">
        <v>20340</v>
      </c>
      <c r="M97" s="3">
        <v>1110.93</v>
      </c>
      <c r="N97" s="3">
        <v>5.4600000000000003E-2</v>
      </c>
      <c r="P97">
        <f t="shared" si="133"/>
        <v>28</v>
      </c>
      <c r="Q97" s="5">
        <f t="shared" si="134"/>
        <v>0.93333333333333335</v>
      </c>
      <c r="AA97" s="6"/>
      <c r="BN97" s="7">
        <f t="shared" si="135"/>
        <v>0</v>
      </c>
    </row>
    <row r="98" spans="2:66" hidden="1" x14ac:dyDescent="0.25">
      <c r="B98" t="s">
        <v>24</v>
      </c>
      <c r="C98">
        <v>2007</v>
      </c>
      <c r="E98" s="1">
        <v>39264</v>
      </c>
      <c r="F98" s="1">
        <v>39292</v>
      </c>
      <c r="G98" s="2">
        <v>480960</v>
      </c>
      <c r="H98" s="3">
        <v>26153.37</v>
      </c>
      <c r="K98" t="s">
        <v>13</v>
      </c>
      <c r="L98" s="4">
        <v>17177.14</v>
      </c>
      <c r="M98" s="3">
        <v>934.05</v>
      </c>
      <c r="N98" s="3">
        <v>5.4399999999999997E-2</v>
      </c>
      <c r="P98">
        <f t="shared" ref="P98:P122" si="136">F98-E98</f>
        <v>28</v>
      </c>
      <c r="Q98" s="5">
        <f t="shared" si="134"/>
        <v>0.93333333333333335</v>
      </c>
      <c r="AA98" s="6"/>
      <c r="BN98" s="7">
        <f t="shared" si="135"/>
        <v>0</v>
      </c>
    </row>
    <row r="99" spans="2:66" hidden="1" x14ac:dyDescent="0.25">
      <c r="B99" t="s">
        <v>12</v>
      </c>
      <c r="C99">
        <v>2007</v>
      </c>
      <c r="E99" s="1">
        <v>39234</v>
      </c>
      <c r="F99" s="1">
        <v>39262</v>
      </c>
      <c r="G99" s="2">
        <v>485280</v>
      </c>
      <c r="H99" s="3">
        <v>26015.759999999998</v>
      </c>
      <c r="K99" t="s">
        <v>13</v>
      </c>
      <c r="L99" s="4">
        <v>17331.43</v>
      </c>
      <c r="M99" s="3">
        <v>929.13</v>
      </c>
      <c r="N99" s="3">
        <v>5.3600000000000002E-2</v>
      </c>
      <c r="P99">
        <f t="shared" si="136"/>
        <v>28</v>
      </c>
      <c r="Q99" s="5">
        <f t="shared" si="134"/>
        <v>0.93333333333333335</v>
      </c>
      <c r="AA99" s="6"/>
      <c r="BN99" s="7">
        <f t="shared" si="135"/>
        <v>0</v>
      </c>
    </row>
    <row r="100" spans="2:66" hidden="1" x14ac:dyDescent="0.25">
      <c r="B100" t="s">
        <v>14</v>
      </c>
      <c r="C100">
        <v>2007</v>
      </c>
      <c r="E100" s="1">
        <v>39203</v>
      </c>
      <c r="F100" s="1">
        <v>39231</v>
      </c>
      <c r="G100" s="2">
        <v>451440</v>
      </c>
      <c r="H100" s="3">
        <v>24447.439999999999</v>
      </c>
      <c r="K100" t="s">
        <v>13</v>
      </c>
      <c r="L100" s="4">
        <v>16122.86</v>
      </c>
      <c r="M100" s="3">
        <v>873.12</v>
      </c>
      <c r="N100" s="3">
        <v>5.4199999999999998E-2</v>
      </c>
      <c r="P100">
        <f t="shared" si="136"/>
        <v>28</v>
      </c>
      <c r="Q100" s="5">
        <f t="shared" si="134"/>
        <v>0.93333333333333335</v>
      </c>
      <c r="AA100" s="6"/>
      <c r="BN100" s="7">
        <f t="shared" si="135"/>
        <v>0</v>
      </c>
    </row>
    <row r="101" spans="2:66" hidden="1" x14ac:dyDescent="0.25">
      <c r="B101" t="s">
        <v>15</v>
      </c>
      <c r="C101">
        <v>2007</v>
      </c>
      <c r="E101" s="1">
        <v>39173</v>
      </c>
      <c r="F101" s="1">
        <v>39201</v>
      </c>
      <c r="G101" s="2">
        <v>460080</v>
      </c>
      <c r="H101" s="3">
        <v>24528.65</v>
      </c>
      <c r="K101" t="s">
        <v>13</v>
      </c>
      <c r="L101" s="4">
        <v>16431.43</v>
      </c>
      <c r="M101" s="3">
        <v>876.02</v>
      </c>
      <c r="N101" s="3">
        <v>5.33E-2</v>
      </c>
      <c r="P101">
        <f t="shared" si="136"/>
        <v>28</v>
      </c>
      <c r="Q101" s="5">
        <f t="shared" si="134"/>
        <v>0.93333333333333335</v>
      </c>
      <c r="AA101" s="6"/>
      <c r="BN101" s="7">
        <f t="shared" si="135"/>
        <v>0</v>
      </c>
    </row>
    <row r="102" spans="2:66" hidden="1" x14ac:dyDescent="0.25">
      <c r="B102" t="s">
        <v>16</v>
      </c>
      <c r="C102">
        <v>2007</v>
      </c>
      <c r="E102" s="1">
        <v>39142</v>
      </c>
      <c r="F102" s="1">
        <v>39170</v>
      </c>
      <c r="G102" s="2">
        <v>406800</v>
      </c>
      <c r="H102" s="3">
        <v>21166.71</v>
      </c>
      <c r="K102" t="s">
        <v>13</v>
      </c>
      <c r="L102" s="4">
        <v>14528.57</v>
      </c>
      <c r="M102" s="3">
        <v>755.95</v>
      </c>
      <c r="N102" s="3">
        <v>5.1999999999999998E-2</v>
      </c>
      <c r="P102">
        <f t="shared" si="136"/>
        <v>28</v>
      </c>
      <c r="Q102" s="5">
        <f t="shared" si="134"/>
        <v>0.93333333333333335</v>
      </c>
      <c r="AA102" s="6"/>
      <c r="BN102" s="7">
        <f t="shared" si="135"/>
        <v>0</v>
      </c>
    </row>
    <row r="103" spans="2:66" hidden="1" x14ac:dyDescent="0.25">
      <c r="B103" t="s">
        <v>17</v>
      </c>
      <c r="C103">
        <v>2007</v>
      </c>
      <c r="E103" s="1">
        <v>39114</v>
      </c>
      <c r="F103" s="1">
        <v>39141</v>
      </c>
      <c r="G103" s="2">
        <v>372960</v>
      </c>
      <c r="H103" s="3">
        <v>18542.12</v>
      </c>
      <c r="K103" t="s">
        <v>13</v>
      </c>
      <c r="L103" s="4">
        <v>13813.33</v>
      </c>
      <c r="M103" s="3">
        <v>686.75</v>
      </c>
      <c r="N103" s="3">
        <v>4.9700000000000001E-2</v>
      </c>
      <c r="P103">
        <f t="shared" si="136"/>
        <v>27</v>
      </c>
      <c r="Q103" s="5">
        <f t="shared" si="134"/>
        <v>0.9</v>
      </c>
      <c r="AA103" s="6"/>
      <c r="BN103" s="7">
        <f t="shared" si="135"/>
        <v>0</v>
      </c>
    </row>
    <row r="104" spans="2:66" hidden="1" x14ac:dyDescent="0.25">
      <c r="B104" t="s">
        <v>18</v>
      </c>
      <c r="C104">
        <v>2007</v>
      </c>
      <c r="E104" s="1">
        <v>39083</v>
      </c>
      <c r="F104" s="1">
        <v>39111</v>
      </c>
      <c r="G104" s="2">
        <v>396720</v>
      </c>
      <c r="H104" s="3">
        <v>18569.55</v>
      </c>
      <c r="K104" t="s">
        <v>13</v>
      </c>
      <c r="L104" s="4">
        <v>14168.57</v>
      </c>
      <c r="M104" s="3">
        <v>663.2</v>
      </c>
      <c r="N104" s="3">
        <v>4.6800000000000001E-2</v>
      </c>
      <c r="P104">
        <f t="shared" si="136"/>
        <v>28</v>
      </c>
      <c r="Q104" s="5">
        <f t="shared" si="134"/>
        <v>0.93333333333333335</v>
      </c>
      <c r="AA104" s="6"/>
      <c r="BN104" s="7">
        <f t="shared" si="135"/>
        <v>0</v>
      </c>
    </row>
    <row r="105" spans="2:66" hidden="1" x14ac:dyDescent="0.25">
      <c r="B105" t="s">
        <v>19</v>
      </c>
      <c r="C105">
        <v>2006</v>
      </c>
      <c r="E105" s="1">
        <v>39052</v>
      </c>
      <c r="F105" s="1">
        <v>39080</v>
      </c>
      <c r="G105" s="2">
        <v>447120</v>
      </c>
      <c r="H105" s="3">
        <v>20976.38</v>
      </c>
      <c r="K105" t="s">
        <v>13</v>
      </c>
      <c r="L105" s="4">
        <v>15968.57</v>
      </c>
      <c r="M105" s="3">
        <v>749.16</v>
      </c>
      <c r="N105" s="3">
        <v>4.6899999999999997E-2</v>
      </c>
      <c r="P105">
        <f t="shared" si="136"/>
        <v>28</v>
      </c>
      <c r="Q105" s="5">
        <f t="shared" si="134"/>
        <v>0.93333333333333335</v>
      </c>
      <c r="AA105" s="6"/>
      <c r="BN105" s="7">
        <f t="shared" si="135"/>
        <v>0</v>
      </c>
    </row>
    <row r="106" spans="2:66" hidden="1" x14ac:dyDescent="0.25">
      <c r="B106" t="s">
        <v>20</v>
      </c>
      <c r="C106">
        <v>2006</v>
      </c>
      <c r="E106" s="1">
        <v>39022</v>
      </c>
      <c r="F106" s="1">
        <v>39050</v>
      </c>
      <c r="G106" s="2">
        <v>480240</v>
      </c>
      <c r="H106" s="3">
        <v>24584.1</v>
      </c>
      <c r="K106" t="s">
        <v>13</v>
      </c>
      <c r="L106" s="4">
        <v>17151.43</v>
      </c>
      <c r="M106" s="3">
        <v>878</v>
      </c>
      <c r="N106" s="3">
        <v>5.1200000000000002E-2</v>
      </c>
      <c r="P106">
        <f t="shared" si="136"/>
        <v>28</v>
      </c>
      <c r="Q106" s="5">
        <f t="shared" si="134"/>
        <v>0.93333333333333335</v>
      </c>
      <c r="AA106" s="6"/>
      <c r="BN106" s="7">
        <f t="shared" si="135"/>
        <v>0</v>
      </c>
    </row>
    <row r="107" spans="2:66" hidden="1" x14ac:dyDescent="0.25">
      <c r="B107" t="s">
        <v>21</v>
      </c>
      <c r="C107">
        <v>2006</v>
      </c>
      <c r="E107" s="1">
        <v>38991</v>
      </c>
      <c r="F107" s="1">
        <v>39019</v>
      </c>
      <c r="G107" s="2">
        <v>424800</v>
      </c>
      <c r="H107" s="3">
        <v>23388.26</v>
      </c>
      <c r="K107" t="s">
        <v>13</v>
      </c>
      <c r="L107" s="4">
        <v>15171.43</v>
      </c>
      <c r="M107" s="3">
        <v>835.3</v>
      </c>
      <c r="N107" s="3">
        <v>5.5100000000000003E-2</v>
      </c>
      <c r="P107">
        <f t="shared" si="136"/>
        <v>28</v>
      </c>
      <c r="Q107" s="5">
        <f t="shared" si="134"/>
        <v>0.93333333333333335</v>
      </c>
      <c r="AA107" s="6"/>
      <c r="BN107" s="7">
        <f t="shared" si="135"/>
        <v>0</v>
      </c>
    </row>
    <row r="108" spans="2:66" hidden="1" x14ac:dyDescent="0.25">
      <c r="B108" t="s">
        <v>22</v>
      </c>
      <c r="C108">
        <v>2006</v>
      </c>
      <c r="E108" s="1">
        <v>38961</v>
      </c>
      <c r="F108" s="1">
        <v>38989</v>
      </c>
      <c r="G108" s="2">
        <v>432000</v>
      </c>
      <c r="H108" s="3">
        <v>24201.29</v>
      </c>
      <c r="K108" t="s">
        <v>13</v>
      </c>
      <c r="L108" s="4">
        <v>15428.57</v>
      </c>
      <c r="M108" s="3">
        <v>864.33</v>
      </c>
      <c r="N108" s="3">
        <v>5.6000000000000001E-2</v>
      </c>
      <c r="P108">
        <f t="shared" si="136"/>
        <v>28</v>
      </c>
      <c r="Q108" s="5">
        <f t="shared" si="134"/>
        <v>0.93333333333333335</v>
      </c>
      <c r="AA108" s="6"/>
      <c r="BN108" s="7">
        <f t="shared" si="135"/>
        <v>0</v>
      </c>
    </row>
    <row r="109" spans="2:66" hidden="1" x14ac:dyDescent="0.25">
      <c r="B109" t="s">
        <v>23</v>
      </c>
      <c r="C109">
        <v>2006</v>
      </c>
      <c r="E109" s="1">
        <v>38930</v>
      </c>
      <c r="F109" s="1">
        <v>38958</v>
      </c>
      <c r="G109" s="2">
        <v>508320</v>
      </c>
      <c r="H109" s="3">
        <v>26211.94</v>
      </c>
      <c r="K109" t="s">
        <v>13</v>
      </c>
      <c r="L109" s="4">
        <v>18154.29</v>
      </c>
      <c r="M109" s="3">
        <v>936.14</v>
      </c>
      <c r="N109" s="3">
        <v>5.16E-2</v>
      </c>
      <c r="P109">
        <f t="shared" si="136"/>
        <v>28</v>
      </c>
      <c r="Q109" s="5">
        <f t="shared" si="134"/>
        <v>0.93333333333333335</v>
      </c>
      <c r="AA109" s="6"/>
      <c r="BN109" s="7">
        <f t="shared" si="135"/>
        <v>0</v>
      </c>
    </row>
    <row r="110" spans="2:66" hidden="1" x14ac:dyDescent="0.25">
      <c r="B110" t="s">
        <v>24</v>
      </c>
      <c r="C110">
        <v>2006</v>
      </c>
      <c r="E110" s="1">
        <v>38899</v>
      </c>
      <c r="F110" s="1">
        <v>38927</v>
      </c>
      <c r="G110" s="2">
        <v>550080</v>
      </c>
      <c r="H110" s="3">
        <v>26114.04</v>
      </c>
      <c r="K110" t="s">
        <v>13</v>
      </c>
      <c r="L110" s="4">
        <v>19645.71</v>
      </c>
      <c r="M110" s="3">
        <v>932.64</v>
      </c>
      <c r="N110" s="3">
        <v>4.7500000000000001E-2</v>
      </c>
      <c r="P110">
        <f t="shared" si="136"/>
        <v>28</v>
      </c>
      <c r="Q110" s="5">
        <f t="shared" si="134"/>
        <v>0.93333333333333335</v>
      </c>
      <c r="AA110" s="6"/>
      <c r="BN110" s="7">
        <f t="shared" si="135"/>
        <v>0</v>
      </c>
    </row>
    <row r="111" spans="2:66" hidden="1" x14ac:dyDescent="0.25">
      <c r="B111" t="s">
        <v>12</v>
      </c>
      <c r="C111">
        <v>2006</v>
      </c>
      <c r="E111" s="1">
        <v>38869</v>
      </c>
      <c r="F111" s="1">
        <v>38897</v>
      </c>
      <c r="G111" s="2">
        <v>488160</v>
      </c>
      <c r="H111" s="3">
        <v>22579.29</v>
      </c>
      <c r="K111" t="s">
        <v>13</v>
      </c>
      <c r="L111" s="4">
        <v>17434.29</v>
      </c>
      <c r="M111" s="3">
        <v>806.4</v>
      </c>
      <c r="N111" s="3">
        <v>4.6300000000000001E-2</v>
      </c>
      <c r="P111">
        <f t="shared" si="136"/>
        <v>28</v>
      </c>
      <c r="Q111" s="5">
        <f t="shared" si="134"/>
        <v>0.93333333333333335</v>
      </c>
      <c r="AA111" s="6"/>
      <c r="BN111" s="7">
        <f t="shared" si="135"/>
        <v>0</v>
      </c>
    </row>
    <row r="112" spans="2:66" hidden="1" x14ac:dyDescent="0.25">
      <c r="B112" t="s">
        <v>14</v>
      </c>
      <c r="C112">
        <v>2006</v>
      </c>
      <c r="E112" s="1">
        <v>38838</v>
      </c>
      <c r="F112" s="1">
        <v>38866</v>
      </c>
      <c r="G112" s="2">
        <v>501120</v>
      </c>
      <c r="H112" s="3">
        <v>25017.58</v>
      </c>
      <c r="K112" t="s">
        <v>13</v>
      </c>
      <c r="L112" s="4">
        <v>17897.14</v>
      </c>
      <c r="M112" s="3">
        <v>893.49</v>
      </c>
      <c r="N112" s="3">
        <v>4.99E-2</v>
      </c>
      <c r="P112">
        <f t="shared" si="136"/>
        <v>28</v>
      </c>
      <c r="Q112" s="5">
        <f t="shared" si="134"/>
        <v>0.93333333333333335</v>
      </c>
      <c r="AA112" s="6"/>
      <c r="BN112" s="7">
        <f t="shared" si="135"/>
        <v>0</v>
      </c>
    </row>
    <row r="113" spans="2:66" hidden="1" x14ac:dyDescent="0.25">
      <c r="B113" t="s">
        <v>15</v>
      </c>
      <c r="C113">
        <v>2006</v>
      </c>
      <c r="E113" s="1">
        <v>38808</v>
      </c>
      <c r="F113" s="1">
        <v>38836</v>
      </c>
      <c r="G113" s="2">
        <v>391680</v>
      </c>
      <c r="H113" s="3">
        <v>19541.88</v>
      </c>
      <c r="K113" t="s">
        <v>13</v>
      </c>
      <c r="L113" s="4">
        <v>13988.57</v>
      </c>
      <c r="M113" s="3">
        <v>697.92</v>
      </c>
      <c r="N113" s="3">
        <v>4.99E-2</v>
      </c>
      <c r="P113">
        <f t="shared" si="136"/>
        <v>28</v>
      </c>
      <c r="Q113" s="5">
        <f t="shared" si="134"/>
        <v>0.93333333333333335</v>
      </c>
      <c r="AA113" s="6"/>
      <c r="BN113" s="7">
        <f t="shared" si="135"/>
        <v>0</v>
      </c>
    </row>
    <row r="114" spans="2:66" hidden="1" x14ac:dyDescent="0.25">
      <c r="B114" t="s">
        <v>16</v>
      </c>
      <c r="C114">
        <v>2006</v>
      </c>
      <c r="E114" s="1">
        <v>38777</v>
      </c>
      <c r="F114" s="1">
        <v>38805</v>
      </c>
      <c r="G114" s="2">
        <v>400320</v>
      </c>
      <c r="H114" s="3">
        <v>20350.73</v>
      </c>
      <c r="K114" t="s">
        <v>13</v>
      </c>
      <c r="L114" s="4">
        <v>14297.14</v>
      </c>
      <c r="M114" s="3">
        <v>726.81</v>
      </c>
      <c r="N114" s="3">
        <v>5.0799999999999998E-2</v>
      </c>
      <c r="P114">
        <f t="shared" si="136"/>
        <v>28</v>
      </c>
      <c r="Q114" s="5">
        <f t="shared" si="134"/>
        <v>0.93333333333333335</v>
      </c>
      <c r="AA114" s="6"/>
      <c r="BN114" s="7">
        <f t="shared" si="135"/>
        <v>0</v>
      </c>
    </row>
    <row r="115" spans="2:66" hidden="1" x14ac:dyDescent="0.25">
      <c r="B115" t="s">
        <v>17</v>
      </c>
      <c r="C115">
        <v>2006</v>
      </c>
      <c r="E115" s="1">
        <v>38749</v>
      </c>
      <c r="F115" s="1">
        <v>38776</v>
      </c>
      <c r="G115" s="2">
        <v>388800</v>
      </c>
      <c r="H115" s="3">
        <v>18628.45</v>
      </c>
      <c r="K115" t="s">
        <v>13</v>
      </c>
      <c r="L115" s="4">
        <v>14400</v>
      </c>
      <c r="M115" s="3">
        <v>689.94</v>
      </c>
      <c r="N115" s="3">
        <v>4.7899999999999998E-2</v>
      </c>
      <c r="P115">
        <f t="shared" si="136"/>
        <v>27</v>
      </c>
      <c r="Q115" s="5">
        <f t="shared" si="134"/>
        <v>0.9</v>
      </c>
      <c r="AA115" s="6"/>
      <c r="BN115" s="7">
        <f t="shared" si="135"/>
        <v>0</v>
      </c>
    </row>
    <row r="116" spans="2:66" hidden="1" x14ac:dyDescent="0.25">
      <c r="B116" t="s">
        <v>18</v>
      </c>
      <c r="C116">
        <v>2006</v>
      </c>
      <c r="E116" s="1">
        <v>38718</v>
      </c>
      <c r="F116" s="1">
        <v>38746</v>
      </c>
      <c r="G116" s="2">
        <v>434880</v>
      </c>
      <c r="H116" s="3">
        <v>21835.79</v>
      </c>
      <c r="K116" t="s">
        <v>13</v>
      </c>
      <c r="L116" s="4">
        <v>15531.43</v>
      </c>
      <c r="M116" s="3">
        <v>779.85</v>
      </c>
      <c r="N116" s="3">
        <v>5.0200000000000002E-2</v>
      </c>
      <c r="P116">
        <f t="shared" si="136"/>
        <v>28</v>
      </c>
      <c r="Q116" s="5">
        <f t="shared" si="134"/>
        <v>0.93333333333333335</v>
      </c>
      <c r="AA116" s="6"/>
      <c r="BN116" s="7">
        <f t="shared" si="135"/>
        <v>0</v>
      </c>
    </row>
    <row r="117" spans="2:66" hidden="1" x14ac:dyDescent="0.25">
      <c r="B117" t="s">
        <v>19</v>
      </c>
      <c r="C117">
        <v>2005</v>
      </c>
      <c r="E117" s="1">
        <v>38687</v>
      </c>
      <c r="F117" s="1">
        <v>38715</v>
      </c>
      <c r="G117" s="2">
        <v>414000</v>
      </c>
      <c r="H117" s="3">
        <v>21597.53</v>
      </c>
      <c r="K117" t="s">
        <v>13</v>
      </c>
      <c r="L117" s="4">
        <v>14785.71</v>
      </c>
      <c r="M117" s="3">
        <v>771.34</v>
      </c>
      <c r="N117" s="3">
        <v>5.2200000000000003E-2</v>
      </c>
      <c r="P117">
        <f t="shared" si="136"/>
        <v>28</v>
      </c>
      <c r="Q117" s="5">
        <f t="shared" si="134"/>
        <v>0.93333333333333335</v>
      </c>
      <c r="AA117" s="6"/>
      <c r="BN117" s="7">
        <f t="shared" si="135"/>
        <v>0</v>
      </c>
    </row>
    <row r="118" spans="2:66" hidden="1" x14ac:dyDescent="0.25">
      <c r="B118" t="s">
        <v>20</v>
      </c>
      <c r="C118">
        <v>2005</v>
      </c>
      <c r="E118" s="1">
        <v>38657</v>
      </c>
      <c r="F118" s="1">
        <v>38685</v>
      </c>
      <c r="G118" s="2">
        <v>437040</v>
      </c>
      <c r="H118" s="3">
        <v>25488.41</v>
      </c>
      <c r="K118" t="s">
        <v>13</v>
      </c>
      <c r="L118" s="4">
        <v>15608.57</v>
      </c>
      <c r="M118" s="3">
        <v>910.3</v>
      </c>
      <c r="N118" s="3">
        <v>5.8299999999999998E-2</v>
      </c>
      <c r="P118">
        <f t="shared" si="136"/>
        <v>28</v>
      </c>
      <c r="Q118" s="5">
        <f t="shared" si="134"/>
        <v>0.93333333333333335</v>
      </c>
      <c r="AA118" s="6"/>
      <c r="BN118" s="7">
        <f t="shared" si="135"/>
        <v>0</v>
      </c>
    </row>
    <row r="119" spans="2:66" hidden="1" x14ac:dyDescent="0.25">
      <c r="B119" t="s">
        <v>21</v>
      </c>
      <c r="C119">
        <v>2005</v>
      </c>
      <c r="E119" s="1">
        <v>38626</v>
      </c>
      <c r="F119" s="1">
        <v>38654</v>
      </c>
      <c r="G119" s="2">
        <v>424800</v>
      </c>
      <c r="H119" s="3">
        <v>23388.26</v>
      </c>
      <c r="K119" t="s">
        <v>13</v>
      </c>
      <c r="L119" s="4">
        <v>15171.43</v>
      </c>
      <c r="M119" s="3">
        <v>835.3</v>
      </c>
      <c r="N119" s="3">
        <v>5.5100000000000003E-2</v>
      </c>
      <c r="P119">
        <f t="shared" si="136"/>
        <v>28</v>
      </c>
      <c r="Q119" s="5">
        <f t="shared" si="134"/>
        <v>0.93333333333333335</v>
      </c>
      <c r="AA119" s="6"/>
      <c r="BN119" s="7">
        <f t="shared" si="135"/>
        <v>0</v>
      </c>
    </row>
    <row r="120" spans="2:66" hidden="1" x14ac:dyDescent="0.25">
      <c r="B120" t="s">
        <v>22</v>
      </c>
      <c r="C120">
        <v>2005</v>
      </c>
      <c r="E120" s="1">
        <v>38596</v>
      </c>
      <c r="F120" s="1">
        <v>38624</v>
      </c>
      <c r="G120" s="2">
        <v>432000</v>
      </c>
      <c r="H120" s="3">
        <v>24201.29</v>
      </c>
      <c r="K120" t="s">
        <v>13</v>
      </c>
      <c r="L120" s="4">
        <v>15428.57</v>
      </c>
      <c r="M120" s="3">
        <v>864.33</v>
      </c>
      <c r="N120" s="3">
        <v>5.6000000000000001E-2</v>
      </c>
      <c r="P120">
        <f t="shared" si="136"/>
        <v>28</v>
      </c>
      <c r="Q120" s="5">
        <f t="shared" si="134"/>
        <v>0.93333333333333335</v>
      </c>
      <c r="AA120" s="6"/>
      <c r="BN120" s="7">
        <f t="shared" si="135"/>
        <v>0</v>
      </c>
    </row>
    <row r="121" spans="2:66" hidden="1" x14ac:dyDescent="0.25">
      <c r="B121" t="s">
        <v>23</v>
      </c>
      <c r="C121">
        <v>2005</v>
      </c>
      <c r="E121" s="1">
        <v>38565</v>
      </c>
      <c r="F121" s="1">
        <v>38593</v>
      </c>
      <c r="G121" s="2">
        <v>508320</v>
      </c>
      <c r="H121" s="3">
        <v>26211.94</v>
      </c>
      <c r="K121" t="s">
        <v>13</v>
      </c>
      <c r="L121" s="4">
        <v>18154.29</v>
      </c>
      <c r="M121" s="3">
        <v>936.14</v>
      </c>
      <c r="N121" s="3">
        <v>5.16E-2</v>
      </c>
      <c r="P121">
        <f t="shared" si="136"/>
        <v>28</v>
      </c>
      <c r="Q121" s="5">
        <f t="shared" si="134"/>
        <v>0.93333333333333335</v>
      </c>
      <c r="AA121" s="6"/>
      <c r="BN121" s="7">
        <f t="shared" si="135"/>
        <v>0</v>
      </c>
    </row>
    <row r="122" spans="2:66" hidden="1" x14ac:dyDescent="0.25">
      <c r="B122" t="s">
        <v>24</v>
      </c>
      <c r="C122">
        <v>2005</v>
      </c>
      <c r="E122" s="1">
        <v>38534</v>
      </c>
      <c r="F122" s="1">
        <v>38562</v>
      </c>
      <c r="G122" s="2">
        <v>493200</v>
      </c>
      <c r="H122" s="3">
        <v>22401.1</v>
      </c>
      <c r="K122" t="s">
        <v>13</v>
      </c>
      <c r="L122" s="4">
        <v>17614.29</v>
      </c>
      <c r="M122" s="3">
        <v>800.04</v>
      </c>
      <c r="N122" s="3">
        <v>4.5400000000000003E-2</v>
      </c>
      <c r="P122">
        <f t="shared" si="136"/>
        <v>28</v>
      </c>
      <c r="Q122" s="5">
        <f t="shared" si="134"/>
        <v>0.93333333333333335</v>
      </c>
      <c r="AA122" s="6"/>
      <c r="BN122" s="7">
        <f t="shared" si="13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opLeftCell="A4" workbookViewId="0">
      <selection activeCell="G30" sqref="G30"/>
    </sheetView>
  </sheetViews>
  <sheetFormatPr defaultRowHeight="15" x14ac:dyDescent="0.25"/>
  <cols>
    <col min="1" max="1" width="13.140625" bestFit="1" customWidth="1"/>
    <col min="2" max="2" width="32.7109375" bestFit="1" customWidth="1"/>
    <col min="3" max="3" width="26.85546875" bestFit="1" customWidth="1"/>
    <col min="4" max="4" width="25.28515625" bestFit="1" customWidth="1"/>
    <col min="5" max="5" width="20.140625" bestFit="1" customWidth="1"/>
  </cols>
  <sheetData>
    <row r="3" spans="1:4" x14ac:dyDescent="0.25">
      <c r="A3" s="14" t="s">
        <v>49</v>
      </c>
      <c r="B3" t="s">
        <v>50</v>
      </c>
      <c r="C3" t="s">
        <v>51</v>
      </c>
      <c r="D3" t="s">
        <v>52</v>
      </c>
    </row>
    <row r="4" spans="1:4" x14ac:dyDescent="0.25">
      <c r="A4" s="15">
        <v>2011</v>
      </c>
      <c r="B4" s="12">
        <v>3.5036016044236152E-3</v>
      </c>
      <c r="C4" s="12">
        <v>0.35100089153770275</v>
      </c>
      <c r="D4" s="12">
        <v>0.64549550685787371</v>
      </c>
    </row>
    <row r="5" spans="1:4" x14ac:dyDescent="0.25">
      <c r="A5" s="15">
        <v>2012</v>
      </c>
      <c r="B5" s="12">
        <v>2.9432381376488822E-3</v>
      </c>
      <c r="C5" s="12">
        <v>0.32557376163693291</v>
      </c>
      <c r="D5" s="12">
        <v>0.67148300022541818</v>
      </c>
    </row>
    <row r="6" spans="1:4" x14ac:dyDescent="0.25">
      <c r="A6" s="15">
        <v>2013</v>
      </c>
      <c r="B6" s="12">
        <v>3.2302813630943395E-3</v>
      </c>
      <c r="C6" s="12">
        <v>0.36610409199615673</v>
      </c>
      <c r="D6" s="12">
        <v>0.63066562664074888</v>
      </c>
    </row>
    <row r="7" spans="1:4" x14ac:dyDescent="0.25">
      <c r="A7" s="15">
        <v>2014</v>
      </c>
      <c r="B7" s="12">
        <v>3.2934592592589892E-3</v>
      </c>
      <c r="C7" s="12">
        <v>0.40609256996333731</v>
      </c>
      <c r="D7" s="12">
        <v>0.59061397077740374</v>
      </c>
    </row>
    <row r="8" spans="1:4" x14ac:dyDescent="0.25">
      <c r="A8" s="15">
        <v>2015</v>
      </c>
      <c r="B8" s="12">
        <v>3.8678005367000549E-3</v>
      </c>
      <c r="C8" s="12">
        <v>0.42487627685381768</v>
      </c>
      <c r="D8" s="12">
        <v>0.57125592260948233</v>
      </c>
    </row>
    <row r="15" spans="1:4" x14ac:dyDescent="0.25">
      <c r="A15" t="s">
        <v>49</v>
      </c>
      <c r="B15" t="s">
        <v>50</v>
      </c>
      <c r="C15" t="s">
        <v>51</v>
      </c>
      <c r="D15" t="s">
        <v>52</v>
      </c>
    </row>
    <row r="16" spans="1:4" x14ac:dyDescent="0.25">
      <c r="A16">
        <v>2011</v>
      </c>
      <c r="B16">
        <v>3.5036016044236152E-3</v>
      </c>
      <c r="C16">
        <v>0.35100089153770275</v>
      </c>
      <c r="D16">
        <v>0.64549550685787371</v>
      </c>
    </row>
    <row r="17" spans="1:4" x14ac:dyDescent="0.25">
      <c r="A17">
        <v>2012</v>
      </c>
      <c r="B17">
        <v>2.9432381376488822E-3</v>
      </c>
      <c r="C17">
        <v>0.32557376163693291</v>
      </c>
      <c r="D17">
        <v>0.67148300022541818</v>
      </c>
    </row>
    <row r="18" spans="1:4" x14ac:dyDescent="0.25">
      <c r="A18">
        <v>2013</v>
      </c>
      <c r="B18">
        <v>3.2302813630943395E-3</v>
      </c>
      <c r="C18">
        <v>0.36610409199615673</v>
      </c>
      <c r="D18">
        <v>0.63066562664074888</v>
      </c>
    </row>
    <row r="19" spans="1:4" x14ac:dyDescent="0.25">
      <c r="A19">
        <v>2014</v>
      </c>
      <c r="B19">
        <v>3.2934592592589892E-3</v>
      </c>
      <c r="C19">
        <v>0.40609256996333731</v>
      </c>
      <c r="D19">
        <v>0.59061397077740374</v>
      </c>
    </row>
    <row r="20" spans="1:4" x14ac:dyDescent="0.25">
      <c r="A20">
        <v>2015</v>
      </c>
      <c r="B20">
        <v>3.8678005367000549E-3</v>
      </c>
      <c r="C20">
        <v>0.42487627685381768</v>
      </c>
      <c r="D20">
        <v>0.57125592260948233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25" sqref="B25"/>
    </sheetView>
  </sheetViews>
  <sheetFormatPr defaultRowHeight="15" x14ac:dyDescent="0.25"/>
  <cols>
    <col min="1" max="1" width="13.140625" bestFit="1" customWidth="1"/>
    <col min="2" max="2" width="30.42578125" bestFit="1" customWidth="1"/>
    <col min="3" max="3" width="29.28515625" bestFit="1" customWidth="1"/>
  </cols>
  <sheetData>
    <row r="3" spans="1:3" x14ac:dyDescent="0.25">
      <c r="A3" s="14" t="s">
        <v>49</v>
      </c>
      <c r="B3" t="s">
        <v>55</v>
      </c>
      <c r="C3" t="s">
        <v>56</v>
      </c>
    </row>
    <row r="4" spans="1:3" x14ac:dyDescent="0.25">
      <c r="A4" s="15">
        <v>2011</v>
      </c>
      <c r="B4" s="6">
        <v>10.429741666668329</v>
      </c>
      <c r="C4" s="8">
        <v>3.4215583333813505E-2</v>
      </c>
    </row>
    <row r="5" spans="1:3" x14ac:dyDescent="0.25">
      <c r="A5" s="15">
        <v>2012</v>
      </c>
      <c r="B5" s="6">
        <v>11.985180555554811</v>
      </c>
      <c r="C5" s="8">
        <v>4.1112638889292917E-2</v>
      </c>
    </row>
    <row r="6" spans="1:3" x14ac:dyDescent="0.25">
      <c r="A6" s="15">
        <v>2013</v>
      </c>
      <c r="B6" s="6">
        <v>13.216041666666266</v>
      </c>
      <c r="C6" s="8">
        <v>3.7342638889640511E-2</v>
      </c>
    </row>
    <row r="7" spans="1:3" x14ac:dyDescent="0.25">
      <c r="A7" s="15">
        <v>2014</v>
      </c>
      <c r="B7" s="6">
        <v>13.609583333332921</v>
      </c>
      <c r="C7" s="8">
        <v>3.393969444459799E-2</v>
      </c>
    </row>
    <row r="8" spans="1:3" x14ac:dyDescent="0.25">
      <c r="A8" s="15">
        <v>2015</v>
      </c>
      <c r="B8" s="6">
        <v>13.843349999998281</v>
      </c>
      <c r="C8" s="8">
        <v>3.2895972222831915E-2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topLeftCell="A19" workbookViewId="0">
      <selection activeCell="G52" sqref="G52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8.85546875" bestFit="1" customWidth="1"/>
    <col min="4" max="4" width="18.7109375" bestFit="1" customWidth="1"/>
    <col min="5" max="5" width="19.42578125" bestFit="1" customWidth="1"/>
  </cols>
  <sheetData>
    <row r="3" spans="1:8" x14ac:dyDescent="0.25">
      <c r="A3" s="14" t="s">
        <v>49</v>
      </c>
      <c r="B3" t="s">
        <v>57</v>
      </c>
      <c r="C3" t="s">
        <v>58</v>
      </c>
      <c r="D3" t="s">
        <v>59</v>
      </c>
      <c r="E3" t="s">
        <v>60</v>
      </c>
    </row>
    <row r="4" spans="1:8" x14ac:dyDescent="0.25">
      <c r="A4" s="15">
        <v>2011</v>
      </c>
      <c r="B4" s="16">
        <v>4848480</v>
      </c>
      <c r="C4" s="17">
        <v>13348.49</v>
      </c>
      <c r="D4" s="17">
        <v>789.25</v>
      </c>
      <c r="E4" s="7">
        <v>5.6983333333333351E-2</v>
      </c>
    </row>
    <row r="5" spans="1:8" x14ac:dyDescent="0.25">
      <c r="A5" s="15">
        <v>2012</v>
      </c>
      <c r="B5" s="16">
        <v>5043600</v>
      </c>
      <c r="C5" s="17">
        <v>13833.61083333333</v>
      </c>
      <c r="D5" s="17">
        <v>762.66666666666663</v>
      </c>
      <c r="E5" s="7">
        <v>6.4558333333333329E-2</v>
      </c>
    </row>
    <row r="6" spans="1:8" x14ac:dyDescent="0.25">
      <c r="A6" s="15">
        <v>2013</v>
      </c>
      <c r="B6" s="16">
        <v>4718160</v>
      </c>
      <c r="C6" s="17">
        <v>12929.685833333335</v>
      </c>
      <c r="D6" s="17">
        <v>710</v>
      </c>
      <c r="E6" s="7">
        <v>6.3200000000000006E-2</v>
      </c>
    </row>
    <row r="7" spans="1:8" x14ac:dyDescent="0.25">
      <c r="A7" s="15">
        <v>2014</v>
      </c>
      <c r="B7" s="16">
        <v>4776480</v>
      </c>
      <c r="C7" s="17">
        <v>13010.635</v>
      </c>
      <c r="D7" s="17">
        <v>750.7166666666667</v>
      </c>
      <c r="E7" s="7">
        <v>6.1375000000000006E-2</v>
      </c>
    </row>
    <row r="8" spans="1:8" x14ac:dyDescent="0.25">
      <c r="A8" s="15">
        <v>2015</v>
      </c>
      <c r="B8" s="16">
        <v>4633200</v>
      </c>
      <c r="C8" s="17">
        <v>12707.584999999997</v>
      </c>
      <c r="D8" s="17">
        <v>751.60833333333323</v>
      </c>
      <c r="E8" s="7">
        <v>6.1450000000000005E-2</v>
      </c>
    </row>
    <row r="14" spans="1:8" x14ac:dyDescent="0.25">
      <c r="B14" t="s">
        <v>109</v>
      </c>
      <c r="C14" t="s">
        <v>110</v>
      </c>
      <c r="D14" t="s">
        <v>112</v>
      </c>
      <c r="E14" t="s">
        <v>111</v>
      </c>
      <c r="F14" t="s">
        <v>117</v>
      </c>
      <c r="G14" s="15"/>
      <c r="H14" s="16"/>
    </row>
    <row r="15" spans="1:8" x14ac:dyDescent="0.25">
      <c r="A15">
        <v>2011</v>
      </c>
      <c r="B15">
        <v>4848480</v>
      </c>
      <c r="C15">
        <v>13348.49</v>
      </c>
      <c r="D15">
        <v>789.25</v>
      </c>
      <c r="E15">
        <v>5.6983333333333351E-2</v>
      </c>
      <c r="F15" s="17">
        <v>275351.77</v>
      </c>
      <c r="G15" s="15"/>
      <c r="H15" s="16"/>
    </row>
    <row r="16" spans="1:8" x14ac:dyDescent="0.25">
      <c r="A16">
        <v>2012</v>
      </c>
      <c r="B16">
        <v>5043600</v>
      </c>
      <c r="C16">
        <v>13833.61083333333</v>
      </c>
      <c r="D16">
        <v>762.66666666666663</v>
      </c>
      <c r="E16">
        <v>6.4558333333333329E-2</v>
      </c>
      <c r="F16" s="17">
        <v>325438.30000000005</v>
      </c>
      <c r="G16" s="15"/>
      <c r="H16" s="16"/>
    </row>
    <row r="17" spans="1:8" x14ac:dyDescent="0.25">
      <c r="A17">
        <v>2013</v>
      </c>
      <c r="B17">
        <v>4718160</v>
      </c>
      <c r="C17">
        <v>12929.685833333335</v>
      </c>
      <c r="D17">
        <v>710</v>
      </c>
      <c r="E17">
        <v>6.3200000000000006E-2</v>
      </c>
      <c r="F17" s="17">
        <v>297827.12999999995</v>
      </c>
      <c r="G17" s="15"/>
      <c r="H17" s="16"/>
    </row>
    <row r="18" spans="1:8" x14ac:dyDescent="0.25">
      <c r="A18">
        <v>2014</v>
      </c>
      <c r="B18">
        <v>4776480</v>
      </c>
      <c r="C18">
        <v>13010.635</v>
      </c>
      <c r="D18">
        <v>750.7166666666667</v>
      </c>
      <c r="E18">
        <v>6.1375000000000006E-2</v>
      </c>
      <c r="F18" s="17">
        <v>292337.12</v>
      </c>
      <c r="G18" s="15"/>
      <c r="H18" s="16"/>
    </row>
    <row r="19" spans="1:8" x14ac:dyDescent="0.25">
      <c r="A19">
        <v>2015</v>
      </c>
      <c r="B19">
        <v>4633200</v>
      </c>
      <c r="C19">
        <v>12707.584999999997</v>
      </c>
      <c r="D19">
        <v>751.60833333333323</v>
      </c>
      <c r="E19">
        <v>6.1450000000000005E-2</v>
      </c>
      <c r="F19" s="17">
        <v>283923.74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4" sqref="A4:D9"/>
    </sheetView>
  </sheetViews>
  <sheetFormatPr defaultRowHeight="15" x14ac:dyDescent="0.25"/>
  <cols>
    <col min="1" max="1" width="10.140625" bestFit="1" customWidth="1"/>
    <col min="2" max="2" width="11.140625" customWidth="1"/>
    <col min="3" max="3" width="14.42578125" customWidth="1"/>
    <col min="4" max="4" width="12.140625" customWidth="1"/>
  </cols>
  <sheetData>
    <row r="3" spans="1:4" ht="15.75" thickBot="1" x14ac:dyDescent="0.3"/>
    <row r="4" spans="1:4" ht="60.75" thickBot="1" x14ac:dyDescent="0.3">
      <c r="A4" s="32" t="s">
        <v>113</v>
      </c>
      <c r="B4" s="29" t="s">
        <v>111</v>
      </c>
      <c r="C4" s="30" t="s">
        <v>114</v>
      </c>
      <c r="D4" s="31" t="s">
        <v>115</v>
      </c>
    </row>
    <row r="5" spans="1:4" x14ac:dyDescent="0.25">
      <c r="A5" s="33">
        <v>2011</v>
      </c>
      <c r="B5" s="36">
        <v>5.6983333333333351E-2</v>
      </c>
      <c r="C5" s="27">
        <v>10.429741666668329</v>
      </c>
      <c r="D5" s="28">
        <v>3.4215583333813505E-2</v>
      </c>
    </row>
    <row r="6" spans="1:4" x14ac:dyDescent="0.25">
      <c r="A6" s="34">
        <v>2012</v>
      </c>
      <c r="B6" s="37">
        <v>6.4558333333333329E-2</v>
      </c>
      <c r="C6" s="23">
        <v>11.985180555554811</v>
      </c>
      <c r="D6" s="24">
        <v>4.1112638889292917E-2</v>
      </c>
    </row>
    <row r="7" spans="1:4" x14ac:dyDescent="0.25">
      <c r="A7" s="34">
        <v>2013</v>
      </c>
      <c r="B7" s="37">
        <v>6.3200000000000006E-2</v>
      </c>
      <c r="C7" s="23">
        <v>13.216041666666266</v>
      </c>
      <c r="D7" s="24">
        <v>3.7342638889640511E-2</v>
      </c>
    </row>
    <row r="8" spans="1:4" x14ac:dyDescent="0.25">
      <c r="A8" s="34">
        <v>2014</v>
      </c>
      <c r="B8" s="37">
        <v>6.1375000000000006E-2</v>
      </c>
      <c r="C8" s="23">
        <v>13.609583333332921</v>
      </c>
      <c r="D8" s="24">
        <v>3.393969444459799E-2</v>
      </c>
    </row>
    <row r="9" spans="1:4" ht="15.75" thickBot="1" x14ac:dyDescent="0.3">
      <c r="A9" s="35">
        <v>2015</v>
      </c>
      <c r="B9" s="38">
        <v>6.1450000000000005E-2</v>
      </c>
      <c r="C9" s="25">
        <v>13.843349999998281</v>
      </c>
      <c r="D9" s="26">
        <v>3.2895972222831915E-2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37" workbookViewId="0">
      <selection activeCell="K57" sqref="K57"/>
    </sheetView>
  </sheetViews>
  <sheetFormatPr defaultRowHeight="15" x14ac:dyDescent="0.25"/>
  <cols>
    <col min="1" max="1" width="13.140625" customWidth="1"/>
    <col min="2" max="2" width="11" customWidth="1"/>
    <col min="3" max="3" width="11.42578125" customWidth="1"/>
    <col min="4" max="4" width="18.85546875" customWidth="1"/>
    <col min="5" max="5" width="19.42578125" customWidth="1"/>
    <col min="6" max="9" width="5" customWidth="1"/>
    <col min="10" max="10" width="7" customWidth="1"/>
    <col min="11" max="23" width="5" customWidth="1"/>
    <col min="24" max="60" width="6" customWidth="1"/>
    <col min="61" max="114" width="7" customWidth="1"/>
    <col min="115" max="171" width="8" customWidth="1"/>
    <col min="172" max="172" width="7.28515625" customWidth="1"/>
    <col min="173" max="173" width="11.28515625" bestFit="1" customWidth="1"/>
  </cols>
  <sheetData>
    <row r="1" spans="1:5" x14ac:dyDescent="0.25">
      <c r="A1" s="14" t="s">
        <v>89</v>
      </c>
      <c r="B1" t="s">
        <v>91</v>
      </c>
    </row>
    <row r="3" spans="1:5" x14ac:dyDescent="0.25">
      <c r="A3" s="14" t="s">
        <v>49</v>
      </c>
      <c r="B3" t="s">
        <v>98</v>
      </c>
      <c r="C3" t="s">
        <v>97</v>
      </c>
      <c r="D3" t="s">
        <v>58</v>
      </c>
      <c r="E3" t="s">
        <v>60</v>
      </c>
    </row>
    <row r="4" spans="1:5" x14ac:dyDescent="0.25">
      <c r="A4" s="15">
        <v>2011</v>
      </c>
      <c r="B4" s="16">
        <v>113367</v>
      </c>
      <c r="C4" s="16">
        <v>123494.96</v>
      </c>
      <c r="D4" s="16">
        <v>312.24249999999995</v>
      </c>
      <c r="E4" s="16">
        <v>1.116325</v>
      </c>
    </row>
    <row r="5" spans="1:5" x14ac:dyDescent="0.25">
      <c r="A5" s="15">
        <v>2012</v>
      </c>
      <c r="B5" s="16">
        <v>158093.5</v>
      </c>
      <c r="C5" s="16">
        <v>165866.01</v>
      </c>
      <c r="D5" s="16">
        <v>425.4591666666667</v>
      </c>
      <c r="E5" s="16">
        <v>1.0482291666666665</v>
      </c>
    </row>
    <row r="6" spans="1:5" x14ac:dyDescent="0.25">
      <c r="A6" s="15">
        <v>2013</v>
      </c>
      <c r="B6" s="16">
        <v>178908</v>
      </c>
      <c r="C6" s="16">
        <v>150622.06</v>
      </c>
      <c r="D6" s="16">
        <v>487.22916666666674</v>
      </c>
      <c r="E6" s="16">
        <v>0.89190000000000003</v>
      </c>
    </row>
    <row r="7" spans="1:5" x14ac:dyDescent="0.25">
      <c r="A7" s="15">
        <v>2014</v>
      </c>
      <c r="B7" s="16">
        <v>191947</v>
      </c>
      <c r="C7" s="16">
        <v>137391.34</v>
      </c>
      <c r="D7" s="16">
        <v>523.34749999999997</v>
      </c>
      <c r="E7" s="16">
        <v>0.71973333333333323</v>
      </c>
    </row>
    <row r="8" spans="1:5" x14ac:dyDescent="0.25">
      <c r="A8" s="15">
        <v>2015</v>
      </c>
      <c r="B8" s="16">
        <v>138179</v>
      </c>
      <c r="C8" s="16">
        <v>98081.43</v>
      </c>
      <c r="D8" s="16">
        <v>380.38111111111112</v>
      </c>
      <c r="E8" s="16">
        <v>0.71107500000000001</v>
      </c>
    </row>
    <row r="9" spans="1:5" x14ac:dyDescent="0.25">
      <c r="A9" s="15" t="s">
        <v>116</v>
      </c>
      <c r="B9" s="16">
        <v>780494.5</v>
      </c>
      <c r="C9" s="16">
        <v>675455.80000000016</v>
      </c>
      <c r="D9" s="16">
        <v>425.7318888888887</v>
      </c>
      <c r="E9" s="16">
        <v>0.89745249999999988</v>
      </c>
    </row>
    <row r="17" spans="1:5" x14ac:dyDescent="0.25">
      <c r="A17" s="22" t="s">
        <v>49</v>
      </c>
      <c r="B17" s="22" t="s">
        <v>118</v>
      </c>
      <c r="C17" s="22" t="s">
        <v>117</v>
      </c>
      <c r="D17" s="22" t="s">
        <v>119</v>
      </c>
      <c r="E17" s="22" t="s">
        <v>120</v>
      </c>
    </row>
    <row r="18" spans="1:5" x14ac:dyDescent="0.25">
      <c r="A18" s="15">
        <v>2011</v>
      </c>
      <c r="B18" s="16">
        <v>113367</v>
      </c>
      <c r="C18" s="16">
        <v>123494.96</v>
      </c>
      <c r="D18" s="16">
        <v>312.24249999999995</v>
      </c>
      <c r="E18" s="16">
        <v>1.116325</v>
      </c>
    </row>
    <row r="19" spans="1:5" x14ac:dyDescent="0.25">
      <c r="A19" s="15">
        <v>2012</v>
      </c>
      <c r="B19" s="16">
        <v>158093.5</v>
      </c>
      <c r="C19" s="16">
        <v>165866.01</v>
      </c>
      <c r="D19" s="16">
        <v>425.4591666666667</v>
      </c>
      <c r="E19" s="16">
        <v>1.0482291666666665</v>
      </c>
    </row>
    <row r="20" spans="1:5" x14ac:dyDescent="0.25">
      <c r="A20" s="15">
        <v>2013</v>
      </c>
      <c r="B20" s="16">
        <v>178908</v>
      </c>
      <c r="C20" s="16">
        <v>150622.06</v>
      </c>
      <c r="D20" s="16">
        <v>487.22916666666674</v>
      </c>
      <c r="E20" s="16">
        <v>0.89190000000000003</v>
      </c>
    </row>
    <row r="21" spans="1:5" x14ac:dyDescent="0.25">
      <c r="A21" s="15">
        <v>2014</v>
      </c>
      <c r="B21" s="16">
        <v>191947</v>
      </c>
      <c r="C21" s="16">
        <v>137391.34</v>
      </c>
      <c r="D21" s="16">
        <v>523.34749999999997</v>
      </c>
      <c r="E21" s="16">
        <v>0.71973333333333323</v>
      </c>
    </row>
    <row r="22" spans="1:5" x14ac:dyDescent="0.25">
      <c r="A22" s="15">
        <v>2015</v>
      </c>
      <c r="B22" s="16">
        <v>138179</v>
      </c>
      <c r="C22" s="16">
        <v>98081.43</v>
      </c>
      <c r="D22" s="16">
        <v>380.38111111111112</v>
      </c>
      <c r="E22" s="16">
        <v>0.71107500000000001</v>
      </c>
    </row>
    <row r="57" spans="2:5" ht="15.75" thickBot="1" x14ac:dyDescent="0.3"/>
    <row r="58" spans="2:5" ht="45.75" thickBot="1" x14ac:dyDescent="0.3">
      <c r="B58" s="32" t="s">
        <v>113</v>
      </c>
      <c r="C58" s="29" t="s">
        <v>111</v>
      </c>
      <c r="D58" s="30" t="s">
        <v>121</v>
      </c>
      <c r="E58" s="31" t="s">
        <v>122</v>
      </c>
    </row>
    <row r="59" spans="2:5" x14ac:dyDescent="0.25">
      <c r="B59" s="33">
        <v>2011</v>
      </c>
      <c r="C59" s="39">
        <v>1.116325</v>
      </c>
      <c r="D59" s="27"/>
      <c r="E59" s="28"/>
    </row>
    <row r="60" spans="2:5" x14ac:dyDescent="0.25">
      <c r="B60" s="34">
        <v>2012</v>
      </c>
      <c r="C60" s="40">
        <v>1.0482291666666665</v>
      </c>
      <c r="D60" s="23"/>
      <c r="E60" s="24"/>
    </row>
    <row r="61" spans="2:5" x14ac:dyDescent="0.25">
      <c r="B61" s="34">
        <v>2013</v>
      </c>
      <c r="C61" s="40">
        <v>0.89190000000000003</v>
      </c>
      <c r="D61" s="42">
        <f>C61-E61</f>
        <v>0.36990000000000001</v>
      </c>
      <c r="E61" s="44">
        <v>0.52200000000000002</v>
      </c>
    </row>
    <row r="62" spans="2:5" x14ac:dyDescent="0.25">
      <c r="B62" s="34">
        <v>2014</v>
      </c>
      <c r="C62" s="40">
        <v>0.71973333333333323</v>
      </c>
      <c r="D62" s="42">
        <f>C62-E62</f>
        <v>0.19773333333333321</v>
      </c>
      <c r="E62" s="44">
        <v>0.52200000000000002</v>
      </c>
    </row>
    <row r="63" spans="2:5" ht="15.75" thickBot="1" x14ac:dyDescent="0.3">
      <c r="B63" s="35">
        <v>2015</v>
      </c>
      <c r="C63" s="41">
        <v>0.71107500000000001</v>
      </c>
      <c r="D63" s="43">
        <f>C63-E63</f>
        <v>0.18907499999999999</v>
      </c>
      <c r="E63" s="45">
        <v>0.52200000000000002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MasterBillingData</vt:lpstr>
      <vt:lpstr>BillingDataSummary</vt:lpstr>
      <vt:lpstr>Elec_Model</vt:lpstr>
      <vt:lpstr>ElecUse+Dem_Cost_Allocation</vt:lpstr>
      <vt:lpstr>ElecUse+Dem_AvoidedCosts</vt:lpstr>
      <vt:lpstr>Avg_ElecUse+Dem+UnitCost</vt:lpstr>
      <vt:lpstr>Sheet1</vt:lpstr>
      <vt:lpstr>NaturalGasSummary</vt:lpstr>
    </vt:vector>
  </TitlesOfParts>
  <Company>City of Alexandria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2015-07-21T16:47:28Z</dcterms:created>
  <dcterms:modified xsi:type="dcterms:W3CDTF">2015-07-23T20:03:52Z</dcterms:modified>
</cp:coreProperties>
</file>