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fc73ac90d75be10f/Documents/Brandeis/"/>
    </mc:Choice>
  </mc:AlternateContent>
  <xr:revisionPtr revIDLastSave="1223" documentId="8_{F7917105-AD07-47D0-A68D-06BB127385CB}" xr6:coauthVersionLast="47" xr6:coauthVersionMax="47" xr10:uidLastSave="{AC472F05-9D00-4BF4-A29C-815A664746C9}"/>
  <bookViews>
    <workbookView xWindow="-30210" yWindow="2760" windowWidth="21165" windowHeight="14415" activeTab="1" xr2:uid="{00000000-000D-0000-FFFF-FFFF00000000}"/>
  </bookViews>
  <sheets>
    <sheet name="Cover" sheetId="5" r:id="rId1"/>
    <sheet name="Summary" sheetId="14" r:id="rId2"/>
    <sheet name="Assumptions" sheetId="6" r:id="rId3"/>
    <sheet name="Scenarios" sheetId="10" r:id="rId4"/>
    <sheet name="Model" sheetId="11" r:id="rId5"/>
    <sheet name="UFCF" sheetId="12" r:id="rId6"/>
    <sheet name="DCF Schedule" sheetId="13" r:id="rId7"/>
    <sheet name="IS" sheetId="1" state="hidden" r:id="rId8"/>
    <sheet name="BS" sheetId="2" state="hidden" r:id="rId9"/>
    <sheet name="CF" sheetId="3" state="hidden" r:id="rId10"/>
    <sheet name="Scrap" sheetId="4" state="hidden" r:id="rId11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3" l="1"/>
  <c r="E14" i="13"/>
  <c r="U5" i="14"/>
  <c r="U4" i="14"/>
  <c r="P80" i="6" l="1"/>
  <c r="Q80" i="6"/>
  <c r="R80" i="6"/>
  <c r="S80" i="6"/>
  <c r="O80" i="6"/>
  <c r="P75" i="6"/>
  <c r="Q75" i="6"/>
  <c r="R75" i="6"/>
  <c r="S75" i="6"/>
  <c r="O75" i="6"/>
  <c r="P65" i="6"/>
  <c r="Q65" i="6"/>
  <c r="R65" i="6"/>
  <c r="S65" i="6"/>
  <c r="O65" i="6"/>
  <c r="X13" i="14"/>
  <c r="V13" i="14"/>
  <c r="L32" i="14"/>
  <c r="L34" i="14"/>
  <c r="N34" i="14"/>
  <c r="N32" i="14"/>
  <c r="N30" i="14"/>
  <c r="L30" i="14"/>
  <c r="P32" i="14"/>
  <c r="P34" i="14"/>
  <c r="R34" i="14"/>
  <c r="J13" i="14"/>
  <c r="J15" i="14"/>
  <c r="J17" i="14"/>
  <c r="H17" i="14"/>
  <c r="H15" i="14"/>
  <c r="L15" i="14" s="1"/>
  <c r="P15" i="14" s="1"/>
  <c r="H13" i="14"/>
  <c r="Y5" i="14"/>
  <c r="L17" i="14" s="1"/>
  <c r="P17" i="14" s="1"/>
  <c r="Y6" i="14"/>
  <c r="R32" i="14" s="1"/>
  <c r="Y4" i="14"/>
  <c r="G14" i="13"/>
  <c r="C34" i="14"/>
  <c r="C32" i="14"/>
  <c r="C30" i="14"/>
  <c r="C27" i="14"/>
  <c r="P27" i="14"/>
  <c r="B1" i="14"/>
  <c r="J334" i="11"/>
  <c r="J58" i="11"/>
  <c r="J59" i="11"/>
  <c r="J62" i="11"/>
  <c r="B51" i="10"/>
  <c r="B52" i="10"/>
  <c r="B50" i="10"/>
  <c r="G44" i="10"/>
  <c r="H44" i="10" s="1"/>
  <c r="I44" i="10" s="1"/>
  <c r="J44" i="10" s="1"/>
  <c r="K44" i="10" s="1"/>
  <c r="L44" i="10" s="1"/>
  <c r="G17" i="13"/>
  <c r="G28" i="13" s="1"/>
  <c r="G39" i="13" s="1"/>
  <c r="G51" i="13" s="1"/>
  <c r="C10" i="13"/>
  <c r="C21" i="13" s="1"/>
  <c r="G8" i="13"/>
  <c r="E28" i="13"/>
  <c r="E39" i="13" s="1"/>
  <c r="E51" i="13" s="1"/>
  <c r="E25" i="13"/>
  <c r="E36" i="13" s="1"/>
  <c r="E48" i="13" s="1"/>
  <c r="J8" i="13"/>
  <c r="M8" i="13" s="1"/>
  <c r="C5" i="13"/>
  <c r="B3" i="13"/>
  <c r="L155" i="11"/>
  <c r="M155" i="11"/>
  <c r="N155" i="11"/>
  <c r="O155" i="11"/>
  <c r="K155" i="11"/>
  <c r="K160" i="11"/>
  <c r="J311" i="11"/>
  <c r="L185" i="11"/>
  <c r="M185" i="11" s="1"/>
  <c r="N185" i="11" s="1"/>
  <c r="O185" i="11" s="1"/>
  <c r="K185" i="11"/>
  <c r="O67" i="12"/>
  <c r="O66" i="12"/>
  <c r="C49" i="12"/>
  <c r="B47" i="12"/>
  <c r="J19" i="12"/>
  <c r="C5" i="12"/>
  <c r="B3" i="12"/>
  <c r="B24" i="10"/>
  <c r="B23" i="10"/>
  <c r="I402" i="11"/>
  <c r="I399" i="11"/>
  <c r="I396" i="11"/>
  <c r="I393" i="11"/>
  <c r="J385" i="11"/>
  <c r="J384" i="11"/>
  <c r="N1" i="11"/>
  <c r="N17" i="14" l="1"/>
  <c r="R17" i="14" s="1"/>
  <c r="J17" i="13"/>
  <c r="J28" i="13" s="1"/>
  <c r="J39" i="13" s="1"/>
  <c r="J51" i="13" s="1"/>
  <c r="N15" i="14"/>
  <c r="R15" i="14" s="1"/>
  <c r="N13" i="14"/>
  <c r="R13" i="14" s="1"/>
  <c r="P30" i="14"/>
  <c r="L13" i="14"/>
  <c r="P13" i="14" s="1"/>
  <c r="R30" i="14"/>
  <c r="P10" i="14"/>
  <c r="M17" i="13"/>
  <c r="P17" i="13" s="1"/>
  <c r="P28" i="13" s="1"/>
  <c r="P39" i="13" s="1"/>
  <c r="P51" i="13" s="1"/>
  <c r="C32" i="13"/>
  <c r="P8" i="13"/>
  <c r="K177" i="11"/>
  <c r="L177" i="11" s="1"/>
  <c r="M177" i="11" s="1"/>
  <c r="N177" i="11" s="1"/>
  <c r="O177" i="11" s="1"/>
  <c r="J295" i="11"/>
  <c r="J293" i="11"/>
  <c r="M28" i="13" l="1"/>
  <c r="M39" i="13" s="1"/>
  <c r="M51" i="13" s="1"/>
  <c r="C44" i="13"/>
  <c r="K199" i="11"/>
  <c r="L199" i="11" s="1"/>
  <c r="M199" i="11" s="1"/>
  <c r="N199" i="11" s="1"/>
  <c r="O199" i="11" s="1"/>
  <c r="K180" i="11"/>
  <c r="L180" i="11" s="1"/>
  <c r="M180" i="11" s="1"/>
  <c r="N180" i="11" s="1"/>
  <c r="O180" i="11" s="1"/>
  <c r="K178" i="11"/>
  <c r="L178" i="11" s="1"/>
  <c r="M178" i="11" s="1"/>
  <c r="N178" i="11" s="1"/>
  <c r="O178" i="11" s="1"/>
  <c r="F213" i="11"/>
  <c r="K216" i="11" s="1"/>
  <c r="L216" i="11" s="1"/>
  <c r="M216" i="11" s="1"/>
  <c r="N216" i="11" s="1"/>
  <c r="O216" i="11" s="1"/>
  <c r="K241" i="11"/>
  <c r="J15" i="12" s="1"/>
  <c r="L328" i="11"/>
  <c r="M328" i="11"/>
  <c r="N328" i="11"/>
  <c r="O328" i="11"/>
  <c r="K328" i="11"/>
  <c r="L370" i="11"/>
  <c r="M370" i="11"/>
  <c r="N370" i="11"/>
  <c r="O370" i="11"/>
  <c r="K370" i="11"/>
  <c r="K365" i="11"/>
  <c r="L365" i="11" s="1"/>
  <c r="M365" i="11" s="1"/>
  <c r="N365" i="11" s="1"/>
  <c r="O365" i="11" s="1"/>
  <c r="J366" i="11"/>
  <c r="K354" i="11"/>
  <c r="H48" i="10"/>
  <c r="L158" i="11" s="1"/>
  <c r="I48" i="10"/>
  <c r="M158" i="11" s="1"/>
  <c r="J48" i="10"/>
  <c r="N158" i="11" s="1"/>
  <c r="K48" i="10"/>
  <c r="O158" i="11" s="1"/>
  <c r="L48" i="10"/>
  <c r="G48" i="10"/>
  <c r="K158" i="11" s="1"/>
  <c r="L145" i="11"/>
  <c r="M145" i="11"/>
  <c r="N145" i="11"/>
  <c r="O145" i="11"/>
  <c r="L146" i="11"/>
  <c r="M146" i="11"/>
  <c r="N146" i="11"/>
  <c r="O146" i="11"/>
  <c r="L147" i="11"/>
  <c r="M147" i="11"/>
  <c r="N147" i="11"/>
  <c r="O147" i="11"/>
  <c r="L148" i="11"/>
  <c r="M148" i="11"/>
  <c r="N148" i="11"/>
  <c r="O148" i="11"/>
  <c r="K146" i="11"/>
  <c r="K147" i="11"/>
  <c r="K148" i="11"/>
  <c r="K179" i="11" s="1"/>
  <c r="K145" i="11"/>
  <c r="L139" i="11"/>
  <c r="M139" i="11"/>
  <c r="N139" i="11"/>
  <c r="O139" i="11"/>
  <c r="K139" i="11"/>
  <c r="O103" i="11"/>
  <c r="N103" i="11"/>
  <c r="M103" i="11"/>
  <c r="L103" i="11"/>
  <c r="K103" i="11"/>
  <c r="J371" i="11"/>
  <c r="K368" i="11" s="1"/>
  <c r="L152" i="11"/>
  <c r="M152" i="11"/>
  <c r="N152" i="11"/>
  <c r="O152" i="11"/>
  <c r="K152" i="11"/>
  <c r="H140" i="11"/>
  <c r="J140" i="11"/>
  <c r="I119" i="11"/>
  <c r="L10" i="11"/>
  <c r="M10" i="11"/>
  <c r="N10" i="11"/>
  <c r="O10" i="11"/>
  <c r="P10" i="11"/>
  <c r="K10" i="11"/>
  <c r="K264" i="11"/>
  <c r="J38" i="12" s="1"/>
  <c r="G262" i="11"/>
  <c r="G36" i="12" s="1"/>
  <c r="D233" i="11"/>
  <c r="D7" i="12" s="1"/>
  <c r="L15" i="10"/>
  <c r="L14" i="10"/>
  <c r="H14" i="10"/>
  <c r="I14" i="10"/>
  <c r="J14" i="10"/>
  <c r="K14" i="10"/>
  <c r="H15" i="10"/>
  <c r="I15" i="10"/>
  <c r="J15" i="10"/>
  <c r="K15" i="10"/>
  <c r="H41" i="10"/>
  <c r="I41" i="10"/>
  <c r="J41" i="10"/>
  <c r="K41" i="10"/>
  <c r="L41" i="10"/>
  <c r="H42" i="10"/>
  <c r="I42" i="10"/>
  <c r="J42" i="10"/>
  <c r="K42" i="10"/>
  <c r="L42" i="10"/>
  <c r="G42" i="10"/>
  <c r="G41" i="10"/>
  <c r="B36" i="4"/>
  <c r="B35" i="4"/>
  <c r="G15" i="10"/>
  <c r="G14" i="10"/>
  <c r="J15" i="6"/>
  <c r="J17" i="6"/>
  <c r="C7" i="6"/>
  <c r="J362" i="11"/>
  <c r="K359" i="11" s="1"/>
  <c r="L351" i="11"/>
  <c r="M351" i="11"/>
  <c r="N351" i="11"/>
  <c r="O351" i="11"/>
  <c r="K351" i="11"/>
  <c r="J352" i="11"/>
  <c r="K350" i="11" s="1"/>
  <c r="K336" i="11"/>
  <c r="K332" i="11"/>
  <c r="K324" i="11"/>
  <c r="L321" i="11"/>
  <c r="M321" i="11"/>
  <c r="N321" i="11"/>
  <c r="O321" i="11"/>
  <c r="K321" i="11"/>
  <c r="L320" i="11"/>
  <c r="M320" i="11"/>
  <c r="N320" i="11"/>
  <c r="O320" i="11"/>
  <c r="K320" i="11"/>
  <c r="L319" i="11"/>
  <c r="L333" i="11" s="1"/>
  <c r="L154" i="11" s="1"/>
  <c r="M319" i="11"/>
  <c r="M333" i="11" s="1"/>
  <c r="M154" i="11" s="1"/>
  <c r="N319" i="11"/>
  <c r="N333" i="11" s="1"/>
  <c r="N154" i="11" s="1"/>
  <c r="O319" i="11"/>
  <c r="O333" i="11" s="1"/>
  <c r="O154" i="11" s="1"/>
  <c r="K319" i="11"/>
  <c r="K333" i="11" s="1"/>
  <c r="K154" i="11" s="1"/>
  <c r="K313" i="11"/>
  <c r="O85" i="2"/>
  <c r="C71" i="2"/>
  <c r="D71" i="2"/>
  <c r="E71" i="2"/>
  <c r="F71" i="2"/>
  <c r="B71" i="2"/>
  <c r="J294" i="11"/>
  <c r="J292" i="11"/>
  <c r="J296" i="11" s="1"/>
  <c r="C47" i="11"/>
  <c r="C87" i="11" s="1"/>
  <c r="C130" i="11" s="1"/>
  <c r="C167" i="11" s="1"/>
  <c r="K48" i="4"/>
  <c r="K44" i="4"/>
  <c r="K45" i="4"/>
  <c r="K43" i="4"/>
  <c r="J47" i="4"/>
  <c r="H48" i="4"/>
  <c r="H72" i="4"/>
  <c r="H70" i="4"/>
  <c r="H66" i="4"/>
  <c r="G48" i="4"/>
  <c r="K245" i="11"/>
  <c r="I156" i="11"/>
  <c r="H156" i="11"/>
  <c r="I149" i="11"/>
  <c r="H149" i="11"/>
  <c r="I138" i="11"/>
  <c r="I136" i="11"/>
  <c r="H136" i="11"/>
  <c r="I135" i="11"/>
  <c r="J113" i="11"/>
  <c r="J138" i="11" s="1"/>
  <c r="J109" i="11"/>
  <c r="J387" i="11" s="1"/>
  <c r="J388" i="11" s="1"/>
  <c r="H56" i="4"/>
  <c r="H113" i="11"/>
  <c r="H138" i="11" s="1"/>
  <c r="N39" i="4"/>
  <c r="I114" i="11"/>
  <c r="N44" i="11"/>
  <c r="N84" i="11" s="1"/>
  <c r="N127" i="11" s="1"/>
  <c r="J216" i="11"/>
  <c r="J225" i="11" s="1"/>
  <c r="I225" i="11"/>
  <c r="H225" i="11"/>
  <c r="F214" i="11"/>
  <c r="J188" i="11"/>
  <c r="J192" i="11" s="1"/>
  <c r="I197" i="11"/>
  <c r="I200" i="11" s="1"/>
  <c r="J197" i="11"/>
  <c r="J200" i="11" s="1"/>
  <c r="J174" i="11"/>
  <c r="J181" i="11" s="1"/>
  <c r="I188" i="11"/>
  <c r="I192" i="11" s="1"/>
  <c r="I174" i="11"/>
  <c r="I181" i="11" s="1"/>
  <c r="H197" i="11"/>
  <c r="H200" i="11" s="1"/>
  <c r="H188" i="11"/>
  <c r="H192" i="11" s="1"/>
  <c r="H174" i="11"/>
  <c r="H181" i="11" s="1"/>
  <c r="C183" i="11"/>
  <c r="L144" i="11"/>
  <c r="L384" i="11" s="1"/>
  <c r="K144" i="11"/>
  <c r="K384" i="11" s="1"/>
  <c r="I92" i="11"/>
  <c r="I93" i="11"/>
  <c r="I94" i="11"/>
  <c r="I95" i="11"/>
  <c r="I96" i="11"/>
  <c r="I97" i="11"/>
  <c r="I98" i="11"/>
  <c r="H95" i="11"/>
  <c r="H96" i="11"/>
  <c r="H97" i="11"/>
  <c r="H98" i="11"/>
  <c r="H94" i="11"/>
  <c r="H93" i="11"/>
  <c r="H92" i="11"/>
  <c r="G45" i="4"/>
  <c r="G46" i="4"/>
  <c r="G44" i="4"/>
  <c r="H46" i="4"/>
  <c r="H45" i="4"/>
  <c r="H44" i="4"/>
  <c r="K70" i="11"/>
  <c r="K71" i="11"/>
  <c r="O22" i="4"/>
  <c r="O23" i="4"/>
  <c r="O21" i="4"/>
  <c r="G34" i="4"/>
  <c r="H32" i="4"/>
  <c r="H30" i="4"/>
  <c r="G32" i="4"/>
  <c r="G30" i="4"/>
  <c r="H28" i="4"/>
  <c r="E45" i="4"/>
  <c r="E43" i="4"/>
  <c r="H24" i="4"/>
  <c r="G28" i="4"/>
  <c r="C8" i="4"/>
  <c r="G27" i="4"/>
  <c r="I51" i="11"/>
  <c r="J51" i="11"/>
  <c r="H51" i="11"/>
  <c r="K63" i="11"/>
  <c r="K95" i="11" s="1"/>
  <c r="K64" i="11"/>
  <c r="K96" i="11" s="1"/>
  <c r="K65" i="11"/>
  <c r="K97" i="11" s="1"/>
  <c r="K66" i="11"/>
  <c r="K98" i="11" s="1"/>
  <c r="K62" i="11"/>
  <c r="K94" i="11" s="1"/>
  <c r="L70" i="11"/>
  <c r="M70" i="11"/>
  <c r="N70" i="11"/>
  <c r="O70" i="11"/>
  <c r="L71" i="11"/>
  <c r="M71" i="11"/>
  <c r="N71" i="11"/>
  <c r="O71" i="11"/>
  <c r="C56" i="11"/>
  <c r="I49" i="11"/>
  <c r="I89" i="11" s="1"/>
  <c r="I132" i="11" s="1"/>
  <c r="I169" i="11" s="1"/>
  <c r="J49" i="11"/>
  <c r="J89" i="11" s="1"/>
  <c r="J132" i="11" s="1"/>
  <c r="J169" i="11" s="1"/>
  <c r="H49" i="11"/>
  <c r="H89" i="11" s="1"/>
  <c r="H132" i="11" s="1"/>
  <c r="H169" i="11" s="1"/>
  <c r="J66" i="11"/>
  <c r="J65" i="11"/>
  <c r="J64" i="11"/>
  <c r="J63" i="11"/>
  <c r="B2" i="11"/>
  <c r="B3" i="11"/>
  <c r="G15" i="11"/>
  <c r="J36" i="11"/>
  <c r="J37" i="11" s="1"/>
  <c r="I36" i="11"/>
  <c r="H36" i="11"/>
  <c r="H37" i="11" s="1"/>
  <c r="I28" i="11"/>
  <c r="I29" i="11" s="1"/>
  <c r="J28" i="11"/>
  <c r="J29" i="11" s="1"/>
  <c r="H28" i="11"/>
  <c r="H29" i="11" s="1"/>
  <c r="I20" i="11"/>
  <c r="J20" i="11"/>
  <c r="J21" i="11" s="1"/>
  <c r="H20" i="11"/>
  <c r="H21" i="11" s="1"/>
  <c r="L39" i="4"/>
  <c r="J39" i="4"/>
  <c r="H39" i="4"/>
  <c r="L38" i="4"/>
  <c r="J38" i="4"/>
  <c r="H38" i="4"/>
  <c r="L37" i="4"/>
  <c r="J37" i="4"/>
  <c r="H37" i="4"/>
  <c r="O35" i="4"/>
  <c r="O34" i="4"/>
  <c r="N34" i="4"/>
  <c r="N35" i="4"/>
  <c r="N28" i="4"/>
  <c r="L21" i="4"/>
  <c r="J21" i="4"/>
  <c r="I22" i="4"/>
  <c r="K6" i="11"/>
  <c r="C28" i="4"/>
  <c r="D28" i="4"/>
  <c r="B28" i="4"/>
  <c r="B10" i="4"/>
  <c r="C13" i="4"/>
  <c r="E2" i="4"/>
  <c r="E3" i="4"/>
  <c r="E5" i="4"/>
  <c r="D13" i="4"/>
  <c r="C10" i="4"/>
  <c r="D10" i="4"/>
  <c r="H38" i="10"/>
  <c r="L8" i="11" s="1"/>
  <c r="I38" i="10"/>
  <c r="M8" i="11" s="1"/>
  <c r="J38" i="10"/>
  <c r="N8" i="11" s="1"/>
  <c r="K38" i="10"/>
  <c r="O8" i="11" s="1"/>
  <c r="L38" i="10"/>
  <c r="P8" i="11" s="1"/>
  <c r="H32" i="10"/>
  <c r="L34" i="11" s="1"/>
  <c r="I32" i="10"/>
  <c r="M34" i="11" s="1"/>
  <c r="J32" i="10"/>
  <c r="N34" i="11" s="1"/>
  <c r="K32" i="10"/>
  <c r="O34" i="11" s="1"/>
  <c r="L32" i="10"/>
  <c r="P34" i="11" s="1"/>
  <c r="H26" i="10"/>
  <c r="L26" i="11" s="1"/>
  <c r="I26" i="10"/>
  <c r="M26" i="11" s="1"/>
  <c r="J26" i="10"/>
  <c r="N26" i="11" s="1"/>
  <c r="K26" i="10"/>
  <c r="O26" i="11" s="1"/>
  <c r="L26" i="10"/>
  <c r="P26" i="11" s="1"/>
  <c r="H20" i="10"/>
  <c r="L18" i="11" s="1"/>
  <c r="I20" i="10"/>
  <c r="M18" i="11" s="1"/>
  <c r="J20" i="10"/>
  <c r="N18" i="11" s="1"/>
  <c r="K20" i="10"/>
  <c r="O18" i="11" s="1"/>
  <c r="L20" i="10"/>
  <c r="P18" i="11" s="1"/>
  <c r="H11" i="10"/>
  <c r="L9" i="11" s="1"/>
  <c r="L56" i="11" s="1"/>
  <c r="I11" i="10"/>
  <c r="J11" i="10"/>
  <c r="N9" i="11" s="1"/>
  <c r="N56" i="11" s="1"/>
  <c r="K11" i="10"/>
  <c r="O9" i="11" s="1"/>
  <c r="O56" i="11" s="1"/>
  <c r="L11" i="10"/>
  <c r="P9" i="11" s="1"/>
  <c r="G38" i="10"/>
  <c r="K8" i="11" s="1"/>
  <c r="G32" i="10"/>
  <c r="K34" i="11" s="1"/>
  <c r="K35" i="11" s="1"/>
  <c r="G26" i="10"/>
  <c r="K26" i="11" s="1"/>
  <c r="K27" i="11" s="1"/>
  <c r="G20" i="10"/>
  <c r="K18" i="11" s="1"/>
  <c r="K19" i="11" s="1"/>
  <c r="G11" i="10"/>
  <c r="K9" i="11" s="1"/>
  <c r="K56" i="11" s="1"/>
  <c r="B35" i="10"/>
  <c r="B41" i="10" s="1"/>
  <c r="B36" i="10"/>
  <c r="B42" i="10" s="1"/>
  <c r="B34" i="10"/>
  <c r="B40" i="10" s="1"/>
  <c r="B30" i="10"/>
  <c r="B28" i="10"/>
  <c r="B29" i="10"/>
  <c r="G6" i="10"/>
  <c r="H6" i="10" s="1"/>
  <c r="I6" i="10" s="1"/>
  <c r="J6" i="10" s="1"/>
  <c r="K6" i="10" s="1"/>
  <c r="F55" i="6"/>
  <c r="J22" i="6"/>
  <c r="J20" i="6"/>
  <c r="G60" i="6"/>
  <c r="K57" i="12" s="1"/>
  <c r="K70" i="12" s="1"/>
  <c r="F60" i="6"/>
  <c r="J57" i="12" s="1"/>
  <c r="J70" i="12" s="1"/>
  <c r="C75" i="2"/>
  <c r="D75" i="2"/>
  <c r="E75" i="2"/>
  <c r="F75" i="2"/>
  <c r="B75" i="2"/>
  <c r="C72" i="2"/>
  <c r="D72" i="2"/>
  <c r="E72" i="2"/>
  <c r="F72" i="2"/>
  <c r="B72" i="2"/>
  <c r="J12" i="2"/>
  <c r="K12" i="2"/>
  <c r="L12" i="2"/>
  <c r="I12" i="2"/>
  <c r="C48" i="6"/>
  <c r="C47" i="6"/>
  <c r="F18" i="6"/>
  <c r="J9" i="6"/>
  <c r="J7" i="6"/>
  <c r="J6" i="6"/>
  <c r="U6" i="14" s="1"/>
  <c r="C1" i="6"/>
  <c r="B1" i="10" s="1"/>
  <c r="B7" i="5"/>
  <c r="D6" i="4"/>
  <c r="C6" i="4"/>
  <c r="B6" i="4"/>
  <c r="D5" i="4"/>
  <c r="C5" i="4"/>
  <c r="B5" i="4"/>
  <c r="L179" i="11" l="1"/>
  <c r="M179" i="11" s="1"/>
  <c r="N179" i="11" s="1"/>
  <c r="O179" i="11" s="1"/>
  <c r="K366" i="11"/>
  <c r="L366" i="11" s="1"/>
  <c r="M366" i="11" s="1"/>
  <c r="N164" i="11"/>
  <c r="N207" i="11" s="1"/>
  <c r="N228" i="11" s="1"/>
  <c r="C210" i="11"/>
  <c r="C231" i="11" s="1"/>
  <c r="C275" i="11" s="1"/>
  <c r="C304" i="11" s="1"/>
  <c r="C345" i="11" s="1"/>
  <c r="C378" i="11" s="1"/>
  <c r="J114" i="11"/>
  <c r="H114" i="11"/>
  <c r="H99" i="11"/>
  <c r="L27" i="11"/>
  <c r="M27" i="11" s="1"/>
  <c r="N27" i="11" s="1"/>
  <c r="O27" i="11" s="1"/>
  <c r="P27" i="11" s="1"/>
  <c r="P28" i="11" s="1"/>
  <c r="P29" i="11" s="1"/>
  <c r="J149" i="11"/>
  <c r="L35" i="11"/>
  <c r="M35" i="11" s="1"/>
  <c r="N35" i="11" s="1"/>
  <c r="O35" i="11" s="1"/>
  <c r="P35" i="11" s="1"/>
  <c r="P36" i="11" s="1"/>
  <c r="P37" i="11" s="1"/>
  <c r="P38" i="11" s="1"/>
  <c r="P39" i="11" s="1"/>
  <c r="J67" i="11"/>
  <c r="I99" i="11"/>
  <c r="J202" i="11"/>
  <c r="J204" i="11" s="1"/>
  <c r="K67" i="11"/>
  <c r="I202" i="11"/>
  <c r="I204" i="11" s="1"/>
  <c r="J156" i="11"/>
  <c r="K352" i="11"/>
  <c r="H57" i="6"/>
  <c r="M9" i="11"/>
  <c r="M56" i="11" s="1"/>
  <c r="L354" i="11"/>
  <c r="K334" i="11"/>
  <c r="L336" i="11"/>
  <c r="L313" i="11"/>
  <c r="F65" i="6"/>
  <c r="F75" i="6" s="1"/>
  <c r="F86" i="6" s="1"/>
  <c r="G55" i="6"/>
  <c r="K149" i="11"/>
  <c r="K318" i="11" s="1"/>
  <c r="K265" i="11"/>
  <c r="J39" i="12" s="1"/>
  <c r="J40" i="12" s="1"/>
  <c r="J41" i="12" s="1"/>
  <c r="J42" i="12" s="1"/>
  <c r="J11" i="12" s="1"/>
  <c r="L149" i="11"/>
  <c r="L318" i="11" s="1"/>
  <c r="L265" i="11"/>
  <c r="H106" i="11"/>
  <c r="H137" i="11"/>
  <c r="J106" i="11"/>
  <c r="J137" i="11"/>
  <c r="I106" i="11"/>
  <c r="I137" i="11"/>
  <c r="I141" i="11" s="1"/>
  <c r="I159" i="11" s="1"/>
  <c r="J136" i="11"/>
  <c r="O27" i="4"/>
  <c r="P21" i="4"/>
  <c r="O25" i="4"/>
  <c r="P23" i="4"/>
  <c r="O26" i="4"/>
  <c r="P22" i="4"/>
  <c r="I37" i="11"/>
  <c r="B45" i="11"/>
  <c r="B85" i="11" s="1"/>
  <c r="B128" i="11" s="1"/>
  <c r="H212" i="11"/>
  <c r="J212" i="11"/>
  <c r="J277" i="11" s="1"/>
  <c r="J306" i="11" s="1"/>
  <c r="J347" i="11" s="1"/>
  <c r="J380" i="11" s="1"/>
  <c r="I212" i="11"/>
  <c r="I277" i="11" s="1"/>
  <c r="I306" i="11" s="1"/>
  <c r="H202" i="11"/>
  <c r="H204" i="11" s="1"/>
  <c r="J74" i="11"/>
  <c r="J94" i="11"/>
  <c r="J75" i="11"/>
  <c r="J95" i="11"/>
  <c r="J76" i="11"/>
  <c r="J96" i="11"/>
  <c r="J77" i="11"/>
  <c r="J97" i="11"/>
  <c r="J78" i="11"/>
  <c r="J98" i="11"/>
  <c r="I52" i="11"/>
  <c r="I21" i="11"/>
  <c r="I23" i="11" s="1"/>
  <c r="J52" i="11"/>
  <c r="L19" i="11"/>
  <c r="L20" i="11" s="1"/>
  <c r="L21" i="11" s="1"/>
  <c r="K51" i="11"/>
  <c r="K77" i="11" s="1"/>
  <c r="I74" i="11"/>
  <c r="I75" i="11"/>
  <c r="I76" i="11"/>
  <c r="I77" i="11"/>
  <c r="I78" i="11"/>
  <c r="H52" i="11"/>
  <c r="H23" i="11"/>
  <c r="H75" i="11"/>
  <c r="H76" i="11"/>
  <c r="H77" i="11"/>
  <c r="H78" i="11"/>
  <c r="H74" i="11"/>
  <c r="L62" i="11"/>
  <c r="L94" i="11" s="1"/>
  <c r="L66" i="11"/>
  <c r="L98" i="11" s="1"/>
  <c r="L65" i="11"/>
  <c r="L97" i="11" s="1"/>
  <c r="L64" i="11"/>
  <c r="L96" i="11" s="1"/>
  <c r="L63" i="11"/>
  <c r="L95" i="11" s="1"/>
  <c r="L6" i="11"/>
  <c r="K49" i="11"/>
  <c r="K89" i="11" s="1"/>
  <c r="K132" i="11" s="1"/>
  <c r="K169" i="11" s="1"/>
  <c r="H67" i="11"/>
  <c r="H81" i="11" s="1"/>
  <c r="I67" i="11"/>
  <c r="I81" i="11" s="1"/>
  <c r="K36" i="11"/>
  <c r="K37" i="11" s="1"/>
  <c r="K38" i="11" s="1"/>
  <c r="K39" i="11" s="1"/>
  <c r="K28" i="11"/>
  <c r="K20" i="11"/>
  <c r="J39" i="11"/>
  <c r="H39" i="11"/>
  <c r="J31" i="11"/>
  <c r="H31" i="11"/>
  <c r="J23" i="11"/>
  <c r="I31" i="11"/>
  <c r="E10" i="4"/>
  <c r="B27" i="4"/>
  <c r="H22" i="4"/>
  <c r="D30" i="4"/>
  <c r="D31" i="4"/>
  <c r="D32" i="4"/>
  <c r="C30" i="4"/>
  <c r="C34" i="4" s="1"/>
  <c r="C31" i="4"/>
  <c r="C35" i="4" s="1"/>
  <c r="C32" i="4"/>
  <c r="C36" i="4" s="1"/>
  <c r="N30" i="4"/>
  <c r="N31" i="4"/>
  <c r="N32" i="4"/>
  <c r="N36" i="4" s="1"/>
  <c r="O36" i="4" s="1"/>
  <c r="B31" i="4"/>
  <c r="D35" i="4" s="1"/>
  <c r="B32" i="4"/>
  <c r="D36" i="4" s="1"/>
  <c r="B30" i="4"/>
  <c r="B34" i="4" s="1"/>
  <c r="L266" i="11" l="1"/>
  <c r="K39" i="12"/>
  <c r="K40" i="12" s="1"/>
  <c r="J43" i="12"/>
  <c r="K38" i="12" s="1"/>
  <c r="N272" i="11"/>
  <c r="N2" i="12"/>
  <c r="N2" i="13"/>
  <c r="L332" i="11"/>
  <c r="L334" i="11" s="1"/>
  <c r="L191" i="11" s="1"/>
  <c r="K191" i="11"/>
  <c r="L369" i="11"/>
  <c r="K369" i="11"/>
  <c r="K371" i="11" s="1"/>
  <c r="L368" i="11" s="1"/>
  <c r="L371" i="11" s="1"/>
  <c r="M368" i="11" s="1"/>
  <c r="L350" i="11"/>
  <c r="L352" i="11" s="1"/>
  <c r="K195" i="11"/>
  <c r="N366" i="11"/>
  <c r="M369" i="11"/>
  <c r="B165" i="11"/>
  <c r="B208" i="11" s="1"/>
  <c r="B229" i="11" s="1"/>
  <c r="B273" i="11" s="1"/>
  <c r="B302" i="11" s="1"/>
  <c r="B343" i="11" s="1"/>
  <c r="B376" i="11" s="1"/>
  <c r="K337" i="11"/>
  <c r="K75" i="11"/>
  <c r="P30" i="11"/>
  <c r="P31" i="11" s="1"/>
  <c r="K76" i="11"/>
  <c r="K78" i="11"/>
  <c r="K74" i="11"/>
  <c r="J41" i="11"/>
  <c r="J90" i="11" s="1"/>
  <c r="J282" i="11" s="1"/>
  <c r="H41" i="11"/>
  <c r="H90" i="11" s="1"/>
  <c r="H101" i="11" s="1"/>
  <c r="H79" i="11"/>
  <c r="I57" i="6"/>
  <c r="M144" i="11"/>
  <c r="M384" i="11" s="1"/>
  <c r="H60" i="6"/>
  <c r="L57" i="12" s="1"/>
  <c r="L70" i="12" s="1"/>
  <c r="M354" i="11"/>
  <c r="M336" i="11"/>
  <c r="M313" i="11"/>
  <c r="G65" i="6"/>
  <c r="G75" i="6" s="1"/>
  <c r="G86" i="6" s="1"/>
  <c r="H55" i="6"/>
  <c r="J279" i="11"/>
  <c r="K266" i="11"/>
  <c r="K267" i="11" s="1"/>
  <c r="J70" i="11"/>
  <c r="J71" i="11"/>
  <c r="I39" i="11"/>
  <c r="I41" i="11" s="1"/>
  <c r="I90" i="11" s="1"/>
  <c r="I101" i="11" s="1"/>
  <c r="K212" i="11"/>
  <c r="J51" i="12" s="1"/>
  <c r="K29" i="11"/>
  <c r="K30" i="11" s="1"/>
  <c r="K31" i="11" s="1"/>
  <c r="K52" i="11"/>
  <c r="K58" i="11" s="1"/>
  <c r="K92" i="11" s="1"/>
  <c r="K21" i="11"/>
  <c r="I79" i="11"/>
  <c r="M63" i="11"/>
  <c r="M95" i="11" s="1"/>
  <c r="M64" i="11"/>
  <c r="M96" i="11" s="1"/>
  <c r="M65" i="11"/>
  <c r="M97" i="11" s="1"/>
  <c r="M66" i="11"/>
  <c r="M98" i="11" s="1"/>
  <c r="M19" i="11"/>
  <c r="M20" i="11" s="1"/>
  <c r="M21" i="11" s="1"/>
  <c r="L51" i="11"/>
  <c r="J92" i="11"/>
  <c r="J93" i="11"/>
  <c r="L22" i="11"/>
  <c r="L23" i="11" s="1"/>
  <c r="M62" i="11"/>
  <c r="M94" i="11" s="1"/>
  <c r="L67" i="11"/>
  <c r="M6" i="11"/>
  <c r="L49" i="11"/>
  <c r="L89" i="11" s="1"/>
  <c r="L132" i="11" s="1"/>
  <c r="L169" i="11" s="1"/>
  <c r="L36" i="11"/>
  <c r="L28" i="11"/>
  <c r="B40" i="4"/>
  <c r="B41" i="4" s="1"/>
  <c r="D34" i="4"/>
  <c r="J22" i="4"/>
  <c r="H23" i="4"/>
  <c r="H25" i="4" s="1"/>
  <c r="K41" i="12" l="1"/>
  <c r="K42" i="12" s="1"/>
  <c r="N301" i="11"/>
  <c r="N342" i="11" s="1"/>
  <c r="N375" i="11" s="1"/>
  <c r="N46" i="12"/>
  <c r="J287" i="11"/>
  <c r="K287" i="11" s="1"/>
  <c r="L287" i="11" s="1"/>
  <c r="M287" i="11" s="1"/>
  <c r="N287" i="11" s="1"/>
  <c r="O287" i="11" s="1"/>
  <c r="K372" i="11"/>
  <c r="K118" i="11" s="1"/>
  <c r="K268" i="11"/>
  <c r="K269" i="11" s="1"/>
  <c r="L264" i="11" s="1"/>
  <c r="L267" i="11" s="1"/>
  <c r="L268" i="11" s="1"/>
  <c r="L237" i="11" s="1"/>
  <c r="M350" i="11"/>
  <c r="M352" i="11" s="1"/>
  <c r="L195" i="11"/>
  <c r="L372" i="11"/>
  <c r="L118" i="11" s="1"/>
  <c r="O366" i="11"/>
  <c r="O369" i="11" s="1"/>
  <c r="N369" i="11"/>
  <c r="M371" i="11"/>
  <c r="N368" i="11" s="1"/>
  <c r="K79" i="11"/>
  <c r="J79" i="11"/>
  <c r="K59" i="11"/>
  <c r="M149" i="11"/>
  <c r="M318" i="11" s="1"/>
  <c r="M265" i="11"/>
  <c r="J57" i="6"/>
  <c r="N144" i="11"/>
  <c r="N384" i="11" s="1"/>
  <c r="I60" i="6"/>
  <c r="M57" i="12" s="1"/>
  <c r="M70" i="12" s="1"/>
  <c r="N354" i="11"/>
  <c r="L337" i="11"/>
  <c r="M332" i="11"/>
  <c r="M334" i="11" s="1"/>
  <c r="N336" i="11"/>
  <c r="N313" i="11"/>
  <c r="J286" i="11"/>
  <c r="H65" i="6"/>
  <c r="H75" i="6" s="1"/>
  <c r="H86" i="6" s="1"/>
  <c r="I55" i="6"/>
  <c r="K233" i="11"/>
  <c r="K277" i="11"/>
  <c r="L212" i="11"/>
  <c r="J99" i="11"/>
  <c r="L37" i="11"/>
  <c r="L38" i="11" s="1"/>
  <c r="L39" i="11" s="1"/>
  <c r="L52" i="11"/>
  <c r="L59" i="11" s="1"/>
  <c r="L136" i="11" s="1"/>
  <c r="L29" i="11"/>
  <c r="L30" i="11" s="1"/>
  <c r="L31" i="11" s="1"/>
  <c r="J81" i="11"/>
  <c r="L75" i="11"/>
  <c r="L76" i="11"/>
  <c r="L77" i="11"/>
  <c r="L78" i="11"/>
  <c r="L74" i="11"/>
  <c r="N19" i="11"/>
  <c r="N20" i="11" s="1"/>
  <c r="N21" i="11" s="1"/>
  <c r="M51" i="11"/>
  <c r="M74" i="11" s="1"/>
  <c r="N66" i="11"/>
  <c r="N98" i="11" s="1"/>
  <c r="N65" i="11"/>
  <c r="N97" i="11" s="1"/>
  <c r="N64" i="11"/>
  <c r="N96" i="11" s="1"/>
  <c r="N63" i="11"/>
  <c r="N95" i="11" s="1"/>
  <c r="M22" i="11"/>
  <c r="M23" i="11" s="1"/>
  <c r="N62" i="11"/>
  <c r="N94" i="11" s="1"/>
  <c r="M67" i="11"/>
  <c r="K22" i="11"/>
  <c r="K23" i="11" s="1"/>
  <c r="K41" i="11" s="1"/>
  <c r="K90" i="11" s="1"/>
  <c r="K282" i="11" s="1"/>
  <c r="N6" i="11"/>
  <c r="M49" i="11"/>
  <c r="M89" i="11" s="1"/>
  <c r="M132" i="11" s="1"/>
  <c r="M169" i="11" s="1"/>
  <c r="M36" i="11"/>
  <c r="M28" i="11"/>
  <c r="L22" i="4"/>
  <c r="L23" i="4" s="1"/>
  <c r="J23" i="4"/>
  <c r="K261" i="11" l="1"/>
  <c r="J7" i="12"/>
  <c r="J35" i="12" s="1"/>
  <c r="K43" i="12"/>
  <c r="L38" i="12" s="1"/>
  <c r="K11" i="12"/>
  <c r="K93" i="11"/>
  <c r="K99" i="11" s="1"/>
  <c r="K283" i="11" s="1"/>
  <c r="K136" i="11"/>
  <c r="K186" i="11" s="1"/>
  <c r="L186" i="11" s="1"/>
  <c r="M266" i="11"/>
  <c r="L39" i="12"/>
  <c r="L40" i="12" s="1"/>
  <c r="N332" i="11"/>
  <c r="N334" i="11" s="1"/>
  <c r="M191" i="11"/>
  <c r="K237" i="11"/>
  <c r="N350" i="11"/>
  <c r="N352" i="11" s="1"/>
  <c r="M195" i="11"/>
  <c r="N371" i="11"/>
  <c r="O368" i="11" s="1"/>
  <c r="M372" i="11"/>
  <c r="M118" i="11" s="1"/>
  <c r="L41" i="11"/>
  <c r="L90" i="11" s="1"/>
  <c r="L282" i="11" s="1"/>
  <c r="L58" i="11"/>
  <c r="L92" i="11" s="1"/>
  <c r="K81" i="11"/>
  <c r="L79" i="11"/>
  <c r="M75" i="11"/>
  <c r="M77" i="11"/>
  <c r="M337" i="11"/>
  <c r="M76" i="11"/>
  <c r="M78" i="11"/>
  <c r="L269" i="11"/>
  <c r="M264" i="11" s="1"/>
  <c r="N149" i="11"/>
  <c r="N318" i="11" s="1"/>
  <c r="N265" i="11"/>
  <c r="K57" i="6"/>
  <c r="O144" i="11"/>
  <c r="O384" i="11" s="1"/>
  <c r="J60" i="6"/>
  <c r="O354" i="11"/>
  <c r="O336" i="11"/>
  <c r="O313" i="11"/>
  <c r="K279" i="11"/>
  <c r="K306" i="11"/>
  <c r="K347" i="11" s="1"/>
  <c r="K380" i="11" s="1"/>
  <c r="J101" i="11"/>
  <c r="J283" i="11"/>
  <c r="J289" i="11" s="1"/>
  <c r="K289" i="11" s="1"/>
  <c r="L289" i="11" s="1"/>
  <c r="M289" i="11" s="1"/>
  <c r="N289" i="11" s="1"/>
  <c r="O289" i="11" s="1"/>
  <c r="I65" i="6"/>
  <c r="I75" i="6" s="1"/>
  <c r="I86" i="6" s="1"/>
  <c r="J55" i="6"/>
  <c r="J65" i="6" s="1"/>
  <c r="J75" i="6" s="1"/>
  <c r="J86" i="6" s="1"/>
  <c r="L233" i="11"/>
  <c r="L277" i="11"/>
  <c r="K51" i="12" s="1"/>
  <c r="L93" i="11"/>
  <c r="M212" i="11"/>
  <c r="M37" i="11"/>
  <c r="M38" i="11" s="1"/>
  <c r="M39" i="11" s="1"/>
  <c r="M52" i="11"/>
  <c r="M59" i="11" s="1"/>
  <c r="M136" i="11" s="1"/>
  <c r="M29" i="11"/>
  <c r="M30" i="11" s="1"/>
  <c r="O63" i="11"/>
  <c r="O95" i="11" s="1"/>
  <c r="O64" i="11"/>
  <c r="O96" i="11" s="1"/>
  <c r="O65" i="11"/>
  <c r="O97" i="11" s="1"/>
  <c r="O66" i="11"/>
  <c r="O98" i="11" s="1"/>
  <c r="O19" i="11"/>
  <c r="N51" i="11"/>
  <c r="N22" i="11"/>
  <c r="N23" i="11" s="1"/>
  <c r="O62" i="11"/>
  <c r="O94" i="11" s="1"/>
  <c r="N67" i="11"/>
  <c r="O6" i="11"/>
  <c r="O49" i="11" s="1"/>
  <c r="O89" i="11" s="1"/>
  <c r="O132" i="11" s="1"/>
  <c r="O169" i="11" s="1"/>
  <c r="N49" i="11"/>
  <c r="N89" i="11" s="1"/>
  <c r="N132" i="11" s="1"/>
  <c r="N169" i="11" s="1"/>
  <c r="O36" i="11"/>
  <c r="N36" i="11"/>
  <c r="O28" i="11"/>
  <c r="O29" i="11" s="1"/>
  <c r="N28" i="11"/>
  <c r="K295" i="11" l="1"/>
  <c r="K187" i="11" s="1"/>
  <c r="N337" i="11"/>
  <c r="K294" i="11"/>
  <c r="K184" i="11" s="1"/>
  <c r="L261" i="11"/>
  <c r="K7" i="12"/>
  <c r="K35" i="12" s="1"/>
  <c r="L41" i="12"/>
  <c r="L42" i="12" s="1"/>
  <c r="L11" i="12" s="1"/>
  <c r="M267" i="11"/>
  <c r="M268" i="11" s="1"/>
  <c r="M237" i="11" s="1"/>
  <c r="K101" i="11"/>
  <c r="N266" i="11"/>
  <c r="M39" i="12"/>
  <c r="M40" i="12" s="1"/>
  <c r="F219" i="11" a="1"/>
  <c r="F219" i="11" s="1"/>
  <c r="N57" i="12"/>
  <c r="N70" i="12" s="1"/>
  <c r="M186" i="11"/>
  <c r="O332" i="11"/>
  <c r="O334" i="11" s="1"/>
  <c r="O191" i="11" s="1"/>
  <c r="N191" i="11"/>
  <c r="K293" i="11"/>
  <c r="K173" i="11" s="1"/>
  <c r="K292" i="11"/>
  <c r="O350" i="11"/>
  <c r="O352" i="11" s="1"/>
  <c r="O195" i="11" s="1"/>
  <c r="N195" i="11"/>
  <c r="N372" i="11"/>
  <c r="N118" i="11" s="1"/>
  <c r="O371" i="11"/>
  <c r="O372" i="11" s="1"/>
  <c r="O118" i="11" s="1"/>
  <c r="P118" i="11" s="1"/>
  <c r="L81" i="11"/>
  <c r="O51" i="11"/>
  <c r="O78" i="11" s="1"/>
  <c r="P19" i="11"/>
  <c r="P20" i="11" s="1"/>
  <c r="P21" i="11" s="1"/>
  <c r="L99" i="11"/>
  <c r="L101" i="11" s="1"/>
  <c r="M79" i="11"/>
  <c r="O20" i="11"/>
  <c r="O52" i="11" s="1"/>
  <c r="O59" i="11" s="1"/>
  <c r="O136" i="11" s="1"/>
  <c r="M58" i="11"/>
  <c r="M81" i="11" s="1"/>
  <c r="M31" i="11"/>
  <c r="M41" i="11" s="1"/>
  <c r="M90" i="11" s="1"/>
  <c r="M282" i="11" s="1"/>
  <c r="O149" i="11"/>
  <c r="O318" i="11" s="1"/>
  <c r="O265" i="11"/>
  <c r="K60" i="6"/>
  <c r="L279" i="11"/>
  <c r="L293" i="11" s="1"/>
  <c r="L173" i="11" s="1"/>
  <c r="L306" i="11"/>
  <c r="L347" i="11" s="1"/>
  <c r="L380" i="11" s="1"/>
  <c r="J288" i="11"/>
  <c r="M233" i="11"/>
  <c r="M277" i="11"/>
  <c r="L51" i="12" s="1"/>
  <c r="M93" i="11"/>
  <c r="N212" i="11"/>
  <c r="O212" i="11"/>
  <c r="N37" i="11"/>
  <c r="N38" i="11" s="1"/>
  <c r="N39" i="11" s="1"/>
  <c r="O37" i="11"/>
  <c r="O38" i="11" s="1"/>
  <c r="O39" i="11" s="1"/>
  <c r="N52" i="11"/>
  <c r="N58" i="11" s="1"/>
  <c r="N29" i="11"/>
  <c r="N30" i="11" s="1"/>
  <c r="O67" i="11"/>
  <c r="N74" i="11"/>
  <c r="N75" i="11"/>
  <c r="N76" i="11"/>
  <c r="N77" i="11"/>
  <c r="N78" i="11"/>
  <c r="O30" i="11"/>
  <c r="O31" i="11" s="1"/>
  <c r="L43" i="12" l="1"/>
  <c r="M38" i="12" s="1"/>
  <c r="M41" i="12" s="1"/>
  <c r="M42" i="12" s="1"/>
  <c r="M261" i="11"/>
  <c r="L7" i="12"/>
  <c r="L35" i="12" s="1"/>
  <c r="M269" i="11"/>
  <c r="N264" i="11" s="1"/>
  <c r="N267" i="11" s="1"/>
  <c r="N268" i="11" s="1"/>
  <c r="N237" i="11" s="1"/>
  <c r="P106" i="11"/>
  <c r="O57" i="12"/>
  <c r="O266" i="11"/>
  <c r="N39" i="12"/>
  <c r="N40" i="12" s="1"/>
  <c r="O337" i="11"/>
  <c r="K296" i="11"/>
  <c r="K172" i="11"/>
  <c r="L292" i="11"/>
  <c r="L283" i="11"/>
  <c r="O21" i="11"/>
  <c r="O22" i="11" s="1"/>
  <c r="O23" i="11" s="1"/>
  <c r="O41" i="11" s="1"/>
  <c r="O90" i="11" s="1"/>
  <c r="O75" i="11"/>
  <c r="O76" i="11"/>
  <c r="O74" i="11"/>
  <c r="O77" i="11"/>
  <c r="O58" i="11"/>
  <c r="O81" i="11" s="1"/>
  <c r="P22" i="11"/>
  <c r="P23" i="11" s="1"/>
  <c r="P41" i="11" s="1"/>
  <c r="P90" i="11" s="1"/>
  <c r="M92" i="11"/>
  <c r="M99" i="11" s="1"/>
  <c r="M101" i="11" s="1"/>
  <c r="N59" i="11"/>
  <c r="N31" i="11"/>
  <c r="N41" i="11" s="1"/>
  <c r="N90" i="11" s="1"/>
  <c r="N282" i="11" s="1"/>
  <c r="M279" i="11"/>
  <c r="M292" i="11" s="1"/>
  <c r="M306" i="11"/>
  <c r="M347" i="11" s="1"/>
  <c r="M380" i="11" s="1"/>
  <c r="O233" i="11"/>
  <c r="O277" i="11"/>
  <c r="N233" i="11"/>
  <c r="N277" i="11"/>
  <c r="M51" i="12" s="1"/>
  <c r="O93" i="11"/>
  <c r="E219" i="11" a="1"/>
  <c r="N92" i="11"/>
  <c r="N79" i="11"/>
  <c r="N269" i="11" l="1"/>
  <c r="O264" i="11" s="1"/>
  <c r="O267" i="11" s="1"/>
  <c r="O268" i="11" s="1"/>
  <c r="O261" i="11"/>
  <c r="N7" i="12"/>
  <c r="N35" i="12" s="1"/>
  <c r="N261" i="11"/>
  <c r="M7" i="12"/>
  <c r="M35" i="12" s="1"/>
  <c r="O306" i="11"/>
  <c r="O347" i="11" s="1"/>
  <c r="O380" i="11" s="1"/>
  <c r="N51" i="12"/>
  <c r="O65" i="12"/>
  <c r="O70" i="12"/>
  <c r="M43" i="12"/>
  <c r="N38" i="12" s="1"/>
  <c r="N41" i="12" s="1"/>
  <c r="N42" i="12" s="1"/>
  <c r="M11" i="12"/>
  <c r="N93" i="11"/>
  <c r="N99" i="11" s="1"/>
  <c r="N283" i="11" s="1"/>
  <c r="N136" i="11"/>
  <c r="N186" i="11" s="1"/>
  <c r="O186" i="11" s="1"/>
  <c r="K298" i="11"/>
  <c r="K140" i="11" s="1"/>
  <c r="J56" i="12" s="1"/>
  <c r="J69" i="12" s="1"/>
  <c r="L172" i="11"/>
  <c r="M172" i="11"/>
  <c r="M293" i="11"/>
  <c r="M173" i="11" s="1"/>
  <c r="O92" i="11"/>
  <c r="O99" i="11" s="1"/>
  <c r="O283" i="11" s="1"/>
  <c r="L294" i="11"/>
  <c r="L184" i="11" s="1"/>
  <c r="L295" i="11"/>
  <c r="L187" i="11" s="1"/>
  <c r="O79" i="11"/>
  <c r="N81" i="11"/>
  <c r="M283" i="11"/>
  <c r="N279" i="11"/>
  <c r="N292" i="11" s="1"/>
  <c r="N306" i="11"/>
  <c r="N347" i="11" s="1"/>
  <c r="N380" i="11" s="1"/>
  <c r="O282" i="11"/>
  <c r="O279" i="11"/>
  <c r="E219" i="11"/>
  <c r="O220" i="11"/>
  <c r="O221" i="11"/>
  <c r="O222" i="11"/>
  <c r="O223" i="11"/>
  <c r="N220" i="11"/>
  <c r="N221" i="11"/>
  <c r="N222" i="11"/>
  <c r="M220" i="11"/>
  <c r="M221" i="11"/>
  <c r="L220" i="11"/>
  <c r="O237" i="11" l="1"/>
  <c r="O269" i="11"/>
  <c r="N43" i="12"/>
  <c r="N11" i="12"/>
  <c r="N172" i="11"/>
  <c r="L296" i="11"/>
  <c r="O293" i="11"/>
  <c r="O173" i="11" s="1"/>
  <c r="N293" i="11"/>
  <c r="N173" i="11" s="1"/>
  <c r="M294" i="11"/>
  <c r="M184" i="11" s="1"/>
  <c r="M295" i="11"/>
  <c r="M187" i="11" s="1"/>
  <c r="N295" i="11"/>
  <c r="N187" i="11" s="1"/>
  <c r="O295" i="11"/>
  <c r="O187" i="11" s="1"/>
  <c r="O292" i="11"/>
  <c r="N294" i="11"/>
  <c r="N184" i="11" s="1"/>
  <c r="O294" i="11"/>
  <c r="O184" i="11" s="1"/>
  <c r="O101" i="11"/>
  <c r="O104" i="11" s="1"/>
  <c r="N54" i="12" s="1"/>
  <c r="N101" i="11"/>
  <c r="N104" i="11" s="1"/>
  <c r="M54" i="12" s="1"/>
  <c r="L219" i="11"/>
  <c r="M219" i="11"/>
  <c r="N219" i="11"/>
  <c r="O219" i="11"/>
  <c r="K219" i="11"/>
  <c r="K225" i="11" s="1"/>
  <c r="K236" i="11" s="1"/>
  <c r="J10" i="12" s="1"/>
  <c r="I104" i="11"/>
  <c r="I122" i="11" s="1"/>
  <c r="H104" i="11"/>
  <c r="J104" i="11"/>
  <c r="K104" i="11"/>
  <c r="J54" i="12" s="1"/>
  <c r="L104" i="11"/>
  <c r="K54" i="12" s="1"/>
  <c r="M104" i="11"/>
  <c r="L54" i="12" s="1"/>
  <c r="L298" i="11" l="1"/>
  <c r="L140" i="11" s="1"/>
  <c r="K56" i="12" s="1"/>
  <c r="K69" i="12" s="1"/>
  <c r="K122" i="11"/>
  <c r="K383" i="11"/>
  <c r="M122" i="11"/>
  <c r="M383" i="11"/>
  <c r="L122" i="11"/>
  <c r="L383" i="11"/>
  <c r="J122" i="11"/>
  <c r="J383" i="11"/>
  <c r="N122" i="11"/>
  <c r="N383" i="11"/>
  <c r="O122" i="11"/>
  <c r="O383" i="11"/>
  <c r="N296" i="11"/>
  <c r="O172" i="11"/>
  <c r="O296" i="11"/>
  <c r="M296" i="11"/>
  <c r="J107" i="11"/>
  <c r="J110" i="11" s="1"/>
  <c r="J116" i="11" s="1"/>
  <c r="J119" i="11" s="1"/>
  <c r="I107" i="11"/>
  <c r="I123" i="11" s="1"/>
  <c r="H107" i="11"/>
  <c r="H122" i="11"/>
  <c r="K106" i="11"/>
  <c r="K107" i="11" s="1"/>
  <c r="K137" i="11"/>
  <c r="J396" i="11" l="1"/>
  <c r="J399" i="11"/>
  <c r="J400" i="11"/>
  <c r="J397" i="11"/>
  <c r="N298" i="11"/>
  <c r="N140" i="11" s="1"/>
  <c r="M56" i="12" s="1"/>
  <c r="M69" i="12" s="1"/>
  <c r="J65" i="12"/>
  <c r="K176" i="11"/>
  <c r="M298" i="11"/>
  <c r="M140" i="11" s="1"/>
  <c r="L56" i="12" s="1"/>
  <c r="L69" i="12" s="1"/>
  <c r="K123" i="11"/>
  <c r="J9" i="12"/>
  <c r="O298" i="11"/>
  <c r="O140" i="11" s="1"/>
  <c r="N56" i="12" s="1"/>
  <c r="N69" i="12" s="1"/>
  <c r="P122" i="11"/>
  <c r="P104" i="11" s="1"/>
  <c r="J123" i="11"/>
  <c r="I110" i="11"/>
  <c r="J135" i="11"/>
  <c r="J141" i="11" s="1"/>
  <c r="J159" i="11" s="1"/>
  <c r="J124" i="11"/>
  <c r="H110" i="11"/>
  <c r="H116" i="11" s="1"/>
  <c r="H123" i="11"/>
  <c r="J28" i="12" l="1"/>
  <c r="J12" i="12"/>
  <c r="J16" i="12" s="1"/>
  <c r="L225" i="11"/>
  <c r="L137" i="11" s="1"/>
  <c r="L176" i="11" s="1"/>
  <c r="P107" i="11"/>
  <c r="P110" i="11" s="1"/>
  <c r="P112" i="11" s="1"/>
  <c r="O54" i="12"/>
  <c r="H135" i="11"/>
  <c r="H141" i="11" s="1"/>
  <c r="H159" i="11" s="1"/>
  <c r="H119" i="11"/>
  <c r="L236" i="11" l="1"/>
  <c r="K10" i="12" s="1"/>
  <c r="L106" i="11"/>
  <c r="L107" i="11" s="1"/>
  <c r="L123" i="11" s="1"/>
  <c r="P114" i="11"/>
  <c r="P116" i="11" s="1"/>
  <c r="O55" i="12"/>
  <c r="O58" i="12" s="1"/>
  <c r="M225" i="11"/>
  <c r="M106" i="11" s="1"/>
  <c r="M107" i="11" s="1"/>
  <c r="K65" i="12"/>
  <c r="H161" i="11"/>
  <c r="I160" i="11" s="1"/>
  <c r="K9" i="12" l="1"/>
  <c r="K12" i="12" s="1"/>
  <c r="P22" i="13"/>
  <c r="M22" i="13"/>
  <c r="J45" i="13"/>
  <c r="G33" i="13"/>
  <c r="J22" i="13"/>
  <c r="G22" i="13"/>
  <c r="G11" i="13"/>
  <c r="M11" i="13"/>
  <c r="M45" i="13"/>
  <c r="G45" i="13"/>
  <c r="P11" i="13"/>
  <c r="P33" i="13"/>
  <c r="J33" i="13"/>
  <c r="P45" i="13"/>
  <c r="J11" i="13"/>
  <c r="M33" i="13"/>
  <c r="O64" i="12"/>
  <c r="O71" i="12" s="1"/>
  <c r="O73" i="12" s="1"/>
  <c r="P119" i="11"/>
  <c r="M123" i="11"/>
  <c r="L9" i="12"/>
  <c r="M236" i="11"/>
  <c r="L10" i="12" s="1"/>
  <c r="M137" i="11"/>
  <c r="M176" i="11" s="1"/>
  <c r="I161" i="11"/>
  <c r="J160" i="11" s="1"/>
  <c r="J161" i="11" s="1"/>
  <c r="K28" i="12" l="1"/>
  <c r="N225" i="11"/>
  <c r="L65" i="12"/>
  <c r="L12" i="12"/>
  <c r="L28" i="12"/>
  <c r="N137" i="11" l="1"/>
  <c r="N176" i="11" s="1"/>
  <c r="N106" i="11"/>
  <c r="N107" i="11" s="1"/>
  <c r="N236" i="11"/>
  <c r="M10" i="12" s="1"/>
  <c r="N123" i="11" l="1"/>
  <c r="M9" i="12"/>
  <c r="O225" i="11"/>
  <c r="M65" i="12"/>
  <c r="O236" i="11" l="1"/>
  <c r="N10" i="12" s="1"/>
  <c r="O137" i="11"/>
  <c r="O176" i="11" s="1"/>
  <c r="O106" i="11"/>
  <c r="O107" i="11" s="1"/>
  <c r="M28" i="12"/>
  <c r="M12" i="12"/>
  <c r="O123" i="11" l="1"/>
  <c r="N9" i="12"/>
  <c r="N65" i="12"/>
  <c r="N28" i="12" l="1"/>
  <c r="N12" i="12"/>
  <c r="K188" i="11" l="1"/>
  <c r="L188" i="11"/>
  <c r="M188" i="11"/>
  <c r="N188" i="11"/>
  <c r="O188" i="11"/>
  <c r="K309" i="11"/>
  <c r="J386" i="11"/>
  <c r="J393" i="11"/>
  <c r="J394" i="11"/>
  <c r="J402" i="11"/>
  <c r="J17" i="12"/>
  <c r="J14" i="13"/>
  <c r="M14" i="13" s="1"/>
  <c r="G25" i="13"/>
  <c r="J25" i="13"/>
  <c r="G36" i="13"/>
  <c r="J36" i="13"/>
  <c r="G48" i="13"/>
  <c r="J48" i="13"/>
  <c r="M25" i="13" l="1"/>
  <c r="M36" i="13" s="1"/>
  <c r="M48" i="13" s="1"/>
  <c r="P14" i="13"/>
  <c r="P25" i="13" s="1"/>
  <c r="P36" i="13" s="1"/>
  <c r="P48" i="13" s="1"/>
  <c r="G36" i="6"/>
  <c r="G37" i="6"/>
  <c r="G38" i="6"/>
  <c r="G39" i="6"/>
  <c r="G10" i="13"/>
  <c r="H10" i="13"/>
  <c r="J10" i="13"/>
  <c r="K10" i="13"/>
  <c r="M10" i="13"/>
  <c r="N10" i="13"/>
  <c r="P10" i="13"/>
  <c r="Q10" i="13"/>
  <c r="H11" i="13"/>
  <c r="K11" i="13"/>
  <c r="N11" i="13"/>
  <c r="Q11" i="13"/>
  <c r="G12" i="13"/>
  <c r="H12" i="13"/>
  <c r="J12" i="13"/>
  <c r="K12" i="13"/>
  <c r="M12" i="13"/>
  <c r="N12" i="13"/>
  <c r="P12" i="13"/>
  <c r="Q12" i="13"/>
  <c r="G15" i="13"/>
  <c r="J15" i="13"/>
  <c r="M15" i="13"/>
  <c r="P15" i="13"/>
  <c r="G18" i="13"/>
  <c r="J18" i="13"/>
  <c r="M18" i="13"/>
  <c r="P18" i="13"/>
  <c r="G21" i="13"/>
  <c r="H21" i="13"/>
  <c r="J21" i="13"/>
  <c r="K21" i="13"/>
  <c r="M21" i="13"/>
  <c r="N21" i="13"/>
  <c r="P21" i="13"/>
  <c r="Q21" i="13"/>
  <c r="H22" i="13"/>
  <c r="K22" i="13"/>
  <c r="N22" i="13"/>
  <c r="Q22" i="13"/>
  <c r="G23" i="13"/>
  <c r="H23" i="13"/>
  <c r="J23" i="13"/>
  <c r="K23" i="13"/>
  <c r="M23" i="13"/>
  <c r="N23" i="13"/>
  <c r="P23" i="13"/>
  <c r="Q23" i="13"/>
  <c r="G26" i="13"/>
  <c r="J26" i="13"/>
  <c r="M26" i="13"/>
  <c r="P26" i="13"/>
  <c r="G29" i="13"/>
  <c r="J29" i="13"/>
  <c r="M29" i="13"/>
  <c r="P29" i="13"/>
  <c r="G32" i="13"/>
  <c r="H32" i="13"/>
  <c r="J32" i="13"/>
  <c r="K32" i="13"/>
  <c r="M32" i="13"/>
  <c r="N32" i="13"/>
  <c r="P32" i="13"/>
  <c r="Q32" i="13"/>
  <c r="H33" i="13"/>
  <c r="K33" i="13"/>
  <c r="N33" i="13"/>
  <c r="Q33" i="13"/>
  <c r="G34" i="13"/>
  <c r="H34" i="13"/>
  <c r="J34" i="13"/>
  <c r="K34" i="13"/>
  <c r="M34" i="13"/>
  <c r="N34" i="13"/>
  <c r="P34" i="13"/>
  <c r="Q34" i="13"/>
  <c r="G37" i="13"/>
  <c r="J37" i="13"/>
  <c r="M37" i="13"/>
  <c r="P37" i="13"/>
  <c r="G40" i="13"/>
  <c r="J40" i="13"/>
  <c r="M40" i="13"/>
  <c r="P40" i="13"/>
  <c r="G44" i="13"/>
  <c r="H44" i="13"/>
  <c r="J44" i="13"/>
  <c r="K44" i="13"/>
  <c r="M44" i="13"/>
  <c r="N44" i="13"/>
  <c r="P44" i="13"/>
  <c r="Q44" i="13"/>
  <c r="H45" i="13"/>
  <c r="K45" i="13"/>
  <c r="N45" i="13"/>
  <c r="Q45" i="13"/>
  <c r="G46" i="13"/>
  <c r="H46" i="13"/>
  <c r="J46" i="13"/>
  <c r="K46" i="13"/>
  <c r="M46" i="13"/>
  <c r="N46" i="13"/>
  <c r="P46" i="13"/>
  <c r="Q46" i="13"/>
  <c r="G49" i="13"/>
  <c r="J49" i="13"/>
  <c r="M49" i="13"/>
  <c r="P49" i="13"/>
  <c r="G52" i="13"/>
  <c r="J52" i="13"/>
  <c r="M52" i="13"/>
  <c r="P52" i="13"/>
  <c r="K109" i="11"/>
  <c r="L109" i="11"/>
  <c r="M109" i="11"/>
  <c r="N109" i="11"/>
  <c r="O109" i="11"/>
  <c r="K110" i="11"/>
  <c r="L110" i="11"/>
  <c r="M110" i="11"/>
  <c r="N110" i="11"/>
  <c r="O110" i="11"/>
  <c r="K112" i="11"/>
  <c r="L112" i="11"/>
  <c r="M112" i="11"/>
  <c r="N112" i="11"/>
  <c r="O112" i="11"/>
  <c r="K113" i="11"/>
  <c r="L113" i="11"/>
  <c r="M113" i="11"/>
  <c r="N113" i="11"/>
  <c r="O113" i="11"/>
  <c r="K114" i="11"/>
  <c r="L114" i="11"/>
  <c r="M114" i="11"/>
  <c r="N114" i="11"/>
  <c r="O114" i="11"/>
  <c r="K116" i="11"/>
  <c r="L116" i="11"/>
  <c r="M116" i="11"/>
  <c r="N116" i="11"/>
  <c r="O116" i="11"/>
  <c r="K119" i="11"/>
  <c r="L119" i="11"/>
  <c r="M119" i="11"/>
  <c r="N119" i="11"/>
  <c r="O119" i="11"/>
  <c r="K124" i="11"/>
  <c r="L124" i="11"/>
  <c r="M124" i="11"/>
  <c r="N124" i="11"/>
  <c r="O124" i="11"/>
  <c r="K135" i="11"/>
  <c r="L135" i="11"/>
  <c r="M135" i="11"/>
  <c r="N135" i="11"/>
  <c r="O135" i="11"/>
  <c r="K138" i="11"/>
  <c r="L138" i="11"/>
  <c r="M138" i="11"/>
  <c r="N138" i="11"/>
  <c r="O138" i="11"/>
  <c r="K141" i="11"/>
  <c r="L141" i="11"/>
  <c r="M141" i="11"/>
  <c r="N141" i="11"/>
  <c r="O141" i="11"/>
  <c r="K153" i="11"/>
  <c r="L153" i="11"/>
  <c r="M153" i="11"/>
  <c r="N153" i="11"/>
  <c r="O153" i="11"/>
  <c r="K156" i="11"/>
  <c r="L156" i="11"/>
  <c r="M156" i="11"/>
  <c r="N156" i="11"/>
  <c r="O156" i="11"/>
  <c r="K159" i="11"/>
  <c r="L159" i="11"/>
  <c r="M159" i="11"/>
  <c r="N159" i="11"/>
  <c r="O159" i="11"/>
  <c r="L160" i="11"/>
  <c r="M160" i="11"/>
  <c r="N160" i="11"/>
  <c r="O160" i="11"/>
  <c r="K161" i="11"/>
  <c r="L161" i="11"/>
  <c r="M161" i="11"/>
  <c r="N161" i="11"/>
  <c r="O161" i="11"/>
  <c r="K171" i="11"/>
  <c r="L171" i="11"/>
  <c r="M171" i="11"/>
  <c r="N171" i="11"/>
  <c r="O171" i="11"/>
  <c r="K174" i="11"/>
  <c r="L174" i="11"/>
  <c r="M174" i="11"/>
  <c r="N174" i="11"/>
  <c r="O174" i="11"/>
  <c r="K181" i="11"/>
  <c r="L181" i="11"/>
  <c r="M181" i="11"/>
  <c r="N181" i="11"/>
  <c r="O181" i="11"/>
  <c r="K190" i="11"/>
  <c r="L190" i="11"/>
  <c r="M190" i="11"/>
  <c r="N190" i="11"/>
  <c r="O190" i="11"/>
  <c r="K192" i="11"/>
  <c r="L192" i="11"/>
  <c r="M192" i="11"/>
  <c r="N192" i="11"/>
  <c r="O192" i="11"/>
  <c r="K196" i="11"/>
  <c r="L196" i="11"/>
  <c r="M196" i="11"/>
  <c r="N196" i="11"/>
  <c r="O196" i="11"/>
  <c r="K197" i="11"/>
  <c r="L197" i="11"/>
  <c r="M197" i="11"/>
  <c r="N197" i="11"/>
  <c r="O197" i="11"/>
  <c r="K200" i="11"/>
  <c r="L200" i="11"/>
  <c r="M200" i="11"/>
  <c r="N200" i="11"/>
  <c r="O200" i="11"/>
  <c r="K202" i="11"/>
  <c r="L202" i="11"/>
  <c r="M202" i="11"/>
  <c r="N202" i="11"/>
  <c r="O202" i="11"/>
  <c r="K204" i="11"/>
  <c r="L204" i="11"/>
  <c r="M204" i="11"/>
  <c r="N204" i="11"/>
  <c r="O204" i="11"/>
  <c r="K235" i="11"/>
  <c r="L235" i="11"/>
  <c r="M235" i="11"/>
  <c r="N235" i="11"/>
  <c r="O235" i="11"/>
  <c r="K238" i="11"/>
  <c r="L238" i="11"/>
  <c r="M238" i="11"/>
  <c r="N238" i="11"/>
  <c r="O238" i="11"/>
  <c r="L241" i="11"/>
  <c r="M241" i="11"/>
  <c r="N241" i="11"/>
  <c r="O241" i="11"/>
  <c r="K242" i="11"/>
  <c r="L242" i="11"/>
  <c r="M242" i="11"/>
  <c r="N242" i="11"/>
  <c r="O242" i="11"/>
  <c r="K243" i="11"/>
  <c r="L243" i="11"/>
  <c r="M243" i="11"/>
  <c r="N243" i="11"/>
  <c r="O243" i="11"/>
  <c r="L245" i="11"/>
  <c r="M245" i="11"/>
  <c r="N245" i="11"/>
  <c r="O245" i="11"/>
  <c r="K246" i="11"/>
  <c r="L246" i="11"/>
  <c r="M246" i="11"/>
  <c r="N246" i="11"/>
  <c r="O246" i="11"/>
  <c r="K247" i="11"/>
  <c r="L247" i="11"/>
  <c r="M247" i="11"/>
  <c r="N247" i="11"/>
  <c r="O247" i="11"/>
  <c r="K249" i="11"/>
  <c r="L249" i="11"/>
  <c r="M249" i="11"/>
  <c r="N249" i="11"/>
  <c r="O249" i="11"/>
  <c r="K250" i="11"/>
  <c r="L250" i="11"/>
  <c r="M250" i="11"/>
  <c r="N250" i="11"/>
  <c r="O250" i="11"/>
  <c r="K252" i="11"/>
  <c r="L252" i="11"/>
  <c r="M252" i="11"/>
  <c r="N252" i="11"/>
  <c r="O252" i="11"/>
  <c r="K254" i="11"/>
  <c r="L254" i="11"/>
  <c r="M254" i="11"/>
  <c r="N254" i="11"/>
  <c r="O254" i="11"/>
  <c r="K257" i="11"/>
  <c r="L257" i="11"/>
  <c r="M257" i="11"/>
  <c r="N257" i="11"/>
  <c r="O257" i="11"/>
  <c r="K258" i="11"/>
  <c r="L258" i="11"/>
  <c r="M258" i="11"/>
  <c r="N258" i="11"/>
  <c r="O258" i="11"/>
  <c r="K259" i="11"/>
  <c r="L259" i="11"/>
  <c r="M259" i="11"/>
  <c r="N259" i="11"/>
  <c r="O259" i="11"/>
  <c r="L309" i="11"/>
  <c r="M309" i="11"/>
  <c r="N309" i="11"/>
  <c r="O309" i="11"/>
  <c r="K310" i="11"/>
  <c r="L310" i="11"/>
  <c r="M310" i="11"/>
  <c r="N310" i="11"/>
  <c r="O310" i="11"/>
  <c r="K311" i="11"/>
  <c r="L311" i="11"/>
  <c r="M311" i="11"/>
  <c r="N311" i="11"/>
  <c r="O311" i="11"/>
  <c r="K314" i="11"/>
  <c r="L314" i="11"/>
  <c r="M314" i="11"/>
  <c r="N314" i="11"/>
  <c r="O314" i="11"/>
  <c r="K317" i="11"/>
  <c r="L317" i="11"/>
  <c r="M317" i="11"/>
  <c r="N317" i="11"/>
  <c r="O317" i="11"/>
  <c r="K322" i="11"/>
  <c r="L322" i="11"/>
  <c r="M322" i="11"/>
  <c r="N322" i="11"/>
  <c r="O322" i="11"/>
  <c r="L324" i="11"/>
  <c r="M324" i="11"/>
  <c r="N324" i="11"/>
  <c r="O324" i="11"/>
  <c r="K325" i="11"/>
  <c r="L325" i="11"/>
  <c r="M325" i="11"/>
  <c r="N325" i="11"/>
  <c r="O325" i="11"/>
  <c r="K326" i="11"/>
  <c r="L326" i="11"/>
  <c r="M326" i="11"/>
  <c r="N326" i="11"/>
  <c r="O326" i="11"/>
  <c r="K329" i="11"/>
  <c r="L329" i="11"/>
  <c r="M329" i="11"/>
  <c r="N329" i="11"/>
  <c r="O329" i="11"/>
  <c r="K339" i="11"/>
  <c r="L339" i="11"/>
  <c r="M339" i="11"/>
  <c r="N339" i="11"/>
  <c r="O339" i="11"/>
  <c r="K355" i="11"/>
  <c r="L355" i="11"/>
  <c r="M355" i="11"/>
  <c r="N355" i="11"/>
  <c r="O355" i="11"/>
  <c r="K356" i="11"/>
  <c r="L356" i="11"/>
  <c r="M356" i="11"/>
  <c r="N356" i="11"/>
  <c r="O356" i="11"/>
  <c r="L359" i="11"/>
  <c r="M359" i="11"/>
  <c r="N359" i="11"/>
  <c r="O359" i="11"/>
  <c r="K360" i="11"/>
  <c r="L360" i="11"/>
  <c r="M360" i="11"/>
  <c r="N360" i="11"/>
  <c r="O360" i="11"/>
  <c r="K361" i="11"/>
  <c r="L361" i="11"/>
  <c r="M361" i="11"/>
  <c r="N361" i="11"/>
  <c r="O361" i="11"/>
  <c r="K362" i="11"/>
  <c r="L362" i="11"/>
  <c r="M362" i="11"/>
  <c r="N362" i="11"/>
  <c r="O362" i="11"/>
  <c r="K385" i="11"/>
  <c r="L385" i="11"/>
  <c r="M385" i="11"/>
  <c r="N385" i="11"/>
  <c r="O385" i="11"/>
  <c r="K386" i="11"/>
  <c r="L386" i="11"/>
  <c r="M386" i="11"/>
  <c r="N386" i="11"/>
  <c r="O386" i="11"/>
  <c r="K387" i="11"/>
  <c r="L387" i="11"/>
  <c r="M387" i="11"/>
  <c r="N387" i="11"/>
  <c r="O387" i="11"/>
  <c r="K388" i="11"/>
  <c r="L388" i="11"/>
  <c r="M388" i="11"/>
  <c r="N388" i="11"/>
  <c r="O388" i="11"/>
  <c r="K393" i="11"/>
  <c r="L393" i="11"/>
  <c r="M393" i="11"/>
  <c r="N393" i="11"/>
  <c r="O393" i="11"/>
  <c r="K394" i="11"/>
  <c r="L394" i="11"/>
  <c r="M394" i="11"/>
  <c r="N394" i="11"/>
  <c r="O394" i="11"/>
  <c r="K396" i="11"/>
  <c r="L396" i="11"/>
  <c r="M396" i="11"/>
  <c r="N396" i="11"/>
  <c r="O396" i="11"/>
  <c r="K397" i="11"/>
  <c r="L397" i="11"/>
  <c r="M397" i="11"/>
  <c r="N397" i="11"/>
  <c r="O397" i="11"/>
  <c r="K399" i="11"/>
  <c r="L399" i="11"/>
  <c r="M399" i="11"/>
  <c r="N399" i="11"/>
  <c r="O399" i="11"/>
  <c r="K400" i="11"/>
  <c r="L400" i="11"/>
  <c r="M400" i="11"/>
  <c r="N400" i="11"/>
  <c r="O400" i="11"/>
  <c r="K402" i="11"/>
  <c r="L402" i="11"/>
  <c r="M402" i="11"/>
  <c r="N402" i="11"/>
  <c r="O402" i="11"/>
  <c r="K15" i="12"/>
  <c r="L15" i="12"/>
  <c r="M15" i="12"/>
  <c r="N15" i="12"/>
  <c r="K16" i="12"/>
  <c r="L16" i="12"/>
  <c r="M16" i="12"/>
  <c r="N16" i="12"/>
  <c r="K17" i="12"/>
  <c r="L17" i="12"/>
  <c r="M17" i="12"/>
  <c r="N17" i="12"/>
  <c r="K19" i="12"/>
  <c r="L19" i="12"/>
  <c r="M19" i="12"/>
  <c r="N19" i="12"/>
  <c r="J20" i="12"/>
  <c r="K20" i="12"/>
  <c r="L20" i="12"/>
  <c r="M20" i="12"/>
  <c r="N20" i="12"/>
  <c r="J21" i="12"/>
  <c r="K21" i="12"/>
  <c r="L21" i="12"/>
  <c r="M21" i="12"/>
  <c r="N21" i="12"/>
  <c r="J23" i="12"/>
  <c r="K23" i="12"/>
  <c r="L23" i="12"/>
  <c r="M23" i="12"/>
  <c r="N23" i="12"/>
  <c r="J24" i="12"/>
  <c r="K24" i="12"/>
  <c r="L24" i="12"/>
  <c r="M24" i="12"/>
  <c r="N24" i="12"/>
  <c r="J26" i="12"/>
  <c r="K26" i="12"/>
  <c r="L26" i="12"/>
  <c r="M26" i="12"/>
  <c r="N26" i="12"/>
  <c r="J31" i="12"/>
  <c r="K31" i="12"/>
  <c r="L31" i="12"/>
  <c r="M31" i="12"/>
  <c r="N31" i="12"/>
  <c r="J32" i="12"/>
  <c r="K32" i="12"/>
  <c r="L32" i="12"/>
  <c r="M32" i="12"/>
  <c r="N32" i="12"/>
  <c r="J33" i="12"/>
  <c r="K33" i="12"/>
  <c r="L33" i="12"/>
  <c r="M33" i="12"/>
  <c r="N33" i="12"/>
  <c r="J55" i="12"/>
  <c r="K55" i="12"/>
  <c r="L55" i="12"/>
  <c r="M55" i="12"/>
  <c r="N55" i="12"/>
  <c r="J58" i="12"/>
  <c r="K58" i="12"/>
  <c r="L58" i="12"/>
  <c r="M58" i="12"/>
  <c r="N58" i="12"/>
  <c r="J64" i="12"/>
  <c r="K64" i="12"/>
  <c r="L64" i="12"/>
  <c r="M64" i="12"/>
  <c r="N64" i="12"/>
  <c r="J66" i="12"/>
  <c r="K66" i="12"/>
  <c r="L66" i="12"/>
  <c r="M66" i="12"/>
  <c r="N66" i="12"/>
  <c r="J67" i="12"/>
  <c r="K67" i="12"/>
  <c r="L67" i="12"/>
  <c r="M67" i="12"/>
  <c r="N67" i="12"/>
  <c r="J68" i="12"/>
  <c r="K68" i="12"/>
  <c r="L68" i="12"/>
  <c r="M68" i="12"/>
  <c r="N68" i="12"/>
  <c r="J71" i="12"/>
  <c r="K71" i="12"/>
  <c r="L71" i="12"/>
  <c r="M71" i="12"/>
  <c r="N71" i="12"/>
  <c r="J73" i="12"/>
  <c r="K73" i="12"/>
  <c r="L73" i="12"/>
  <c r="M73" i="12"/>
  <c r="N7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tc={5EB846B2-76E4-4EEB-968B-369DD1547422}</author>
  </authors>
  <commentList>
    <comment ref="C9" authorId="0" shapeId="0" xr:uid="{5EB846B2-76E4-4EEB-968B-369DD15474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Sorry for merging the cells. It looks better for this table 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<sst xmlns="http://schemas.openxmlformats.org/spreadsheetml/2006/main" count="864" uniqueCount="506">
  <si>
    <t>Fiscal year is January-December. All values USD Millions.</t>
  </si>
  <si>
    <t>5-year trend</t>
  </si>
  <si>
    <t>Sales/Revenue</t>
  </si>
  <si>
    <t>Sales Growth</t>
  </si>
  <si>
    <t>-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</si>
  <si>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</si>
  <si>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</si>
  <si>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</si>
  <si>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</si>
  <si>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</si>
  <si>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</si>
  <si>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</si>
  <si>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</si>
  <si>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</si>
  <si>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</si>
  <si>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</si>
  <si>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</si>
  <si>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</si>
  <si>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</si>
  <si>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EBIT</t>
  </si>
  <si>
    <t>Unusual Expense</t>
  </si>
  <si>
    <t>Non Operating Income/Expense</t>
  </si>
  <si>
    <t>Non-Operating Interest Income</t>
  </si>
  <si>
    <t>Interest Expense</t>
  </si>
  <si>
    <t>Interest Expense Growth</t>
  </si>
  <si>
    <t>Gross Interest Expense</t>
  </si>
  <si>
    <t>Pretax Income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</si>
  <si>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</si>
  <si>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</si>
  <si>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</si>
  <si>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</si>
  <si>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</si>
  <si>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</si>
  <si>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</si>
  <si>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Consolidated Net Income</t>
  </si>
  <si>
    <t>Net Income</t>
  </si>
  <si>
    <t>Net Income Growth</t>
  </si>
  <si>
    <t>Net Margin</t>
  </si>
  <si>
    <t>Net Income After Extraordinaries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</si>
  <si>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</si>
  <si>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</si>
  <si>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</si>
  <si>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</si>
  <si>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</si>
  <si>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</si>
  <si>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</si>
  <si>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</si>
  <si>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</si>
  <si>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</si>
  <si>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</t>
  </si>
  <si>
    <t>Cash Only</t>
  </si>
  <si>
    <t>Cash &amp; Short Term Investments Growth</t>
  </si>
  <si>
    <t>Cash &amp; ST Investments / Total Assets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</si>
  <si>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</si>
  <si>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</si>
  <si>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</si>
  <si>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</si>
  <si>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</si>
  <si>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Accounts Receivable Growth</t>
  </si>
  <si>
    <t>Accounts Receivable Turnover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</si>
  <si>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</si>
  <si>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</si>
  <si>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</si>
  <si>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</si>
  <si>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</si>
  <si>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</si>
  <si>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Computer Software and Equipment</t>
  </si>
  <si>
    <t>Other Property, Plant &amp; Equipment</t>
  </si>
  <si>
    <t>Accumulated Depreciation</t>
  </si>
  <si>
    <t>Total Investments and Advances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</si>
  <si>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</si>
  <si>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</si>
  <si>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</si>
  <si>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</si>
  <si>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</si>
  <si>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</si>
  <si>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Total Assets</t>
  </si>
  <si>
    <t>Assets - Total - Growth</t>
  </si>
  <si>
    <t>Asset Turnover</t>
  </si>
  <si>
    <t>Return On Average Assets</t>
  </si>
  <si>
    <t>Liabilities &amp; Shareholders' Equity</t>
  </si>
  <si>
    <t>All values USD Millions.</t>
  </si>
  <si>
    <t>ST Debt &amp; Current Portion LT Debt</t>
  </si>
  <si>
    <t>Short Term Debt</t>
  </si>
  <si>
    <t>Current Portion of Long Term Debt</t>
  </si>
  <si>
    <t>Accounts Payable</t>
  </si>
  <si>
    <t>Accounts Payable Growth</t>
  </si>
  <si>
    <t>Income Tax Payable</t>
  </si>
  <si>
    <t>Other Current Liabilities</t>
  </si>
  <si>
    <t>Miscellaneous Current Liabilities</t>
  </si>
  <si>
    <t>Total Current Liabilities</t>
  </si>
  <si>
    <t>Current Ratio</t>
  </si>
  <si>
    <t>Quick Ratio</t>
  </si>
  <si>
    <t>Cash Ratio</t>
  </si>
  <si>
    <t>Long-Term Debt</t>
  </si>
  <si>
    <t>Long-Term Debt excl. Capitalized Leases</t>
  </si>
  <si>
    <t>Non-Convertible Debt</t>
  </si>
  <si>
    <t>Deferred Taxes</t>
  </si>
  <si>
    <t>Deferred Taxes - Credit</t>
  </si>
  <si>
    <t>Deferred Taxes - Debit</t>
  </si>
  <si>
    <t>Other Liabilities</t>
  </si>
  <si>
    <t>Other Liabilities (excl. Deferred Income)</t>
  </si>
  <si>
    <t>Total Liabilities</t>
  </si>
  <si>
    <t>Total Liabilities / Total Assets</t>
  </si>
  <si>
    <t>Common Equity (Total)</t>
  </si>
  <si>
    <t>Additional Paid-In Capital/Capital Surplus</t>
  </si>
  <si>
    <t>Retained Earnings</t>
  </si>
  <si>
    <t>Cumulative Translation Adjustment/Unrealized For. Exch. Gain</t>
  </si>
  <si>
    <t>Unrealized Gain/Loss Marketable Securities</t>
  </si>
  <si>
    <t>Other Appropriated Reserves</t>
  </si>
  <si>
    <t>Treasury Stock</t>
  </si>
  <si>
    <t>Common Equity / Total Assets</t>
  </si>
  <si>
    <t>Total Shareholders' Equity</t>
  </si>
  <si>
    <t>Total Shareholders' Equity / Total Assets</t>
  </si>
  <si>
    <t>Accumulated Minority Interest</t>
  </si>
  <si>
    <t>Total Equity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</si>
  <si>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</si>
  <si>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</si>
  <si>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</si>
  <si>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</si>
  <si>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</si>
  <si>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Other Funds</t>
  </si>
  <si>
    <t>Funds from Operations</t>
  </si>
  <si>
    <t>Changes in Working Capital</t>
  </si>
  <si>
    <t>Receivables</t>
  </si>
  <si>
    <t>Income Taxes Payable</t>
  </si>
  <si>
    <t>Other Assets/Liabilities</t>
  </si>
  <si>
    <t>Net Operating Cash Flow</t>
  </si>
  <si>
    <t>Net Operating Cash Flow Growth</t>
  </si>
  <si>
    <t>Net Operating Cash Flow / Sales</t>
  </si>
  <si>
    <t>Investing Activities</t>
  </si>
  <si>
    <t>Capital Expenditures</t>
  </si>
  <si>
    <t>Capital Expenditures (Fixed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</si>
  <si>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</si>
  <si>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</si>
  <si>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</si>
  <si>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</si>
  <si>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</si>
  <si>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</si>
  <si>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</si>
  <si>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</si>
  <si>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</si>
  <si>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</si>
  <si>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</si>
  <si>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</si>
  <si>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Financing Activities</t>
  </si>
  <si>
    <t>Change in Capital Stock</t>
  </si>
  <si>
    <t>Repurchase of Common &amp; Preferred Stk.</t>
  </si>
  <si>
    <t>Sale of Common &amp; Preferred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</si>
  <si>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</si>
  <si>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</si>
  <si>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</si>
  <si>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</si>
  <si>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</si>
  <si>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</si>
  <si>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</si>
  <si>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</si>
  <si>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</si>
  <si>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Net Change in Cash</t>
  </si>
  <si>
    <t>Free Cash Flow</t>
  </si>
  <si>
    <t>Free Cash Flow Growth</t>
  </si>
  <si>
    <t>Free Cash Flow Yield</t>
  </si>
  <si>
    <t>Transaction Expense</t>
  </si>
  <si>
    <t>Transaction and Credit Losses</t>
  </si>
  <si>
    <t>Customer support and operations</t>
  </si>
  <si>
    <t>Sales and marketing</t>
  </si>
  <si>
    <t>Technology and development</t>
  </si>
  <si>
    <t>General administrative</t>
  </si>
  <si>
    <t>Restructuting and other charges</t>
  </si>
  <si>
    <t>PayPal Holdings, Inc.</t>
  </si>
  <si>
    <t>Financial Model</t>
  </si>
  <si>
    <t>Prepared By:</t>
  </si>
  <si>
    <t>Larry White and Evan Goddard</t>
  </si>
  <si>
    <t>Inputs and Assumptions</t>
  </si>
  <si>
    <t>GENERAL</t>
  </si>
  <si>
    <t>EQUITY</t>
  </si>
  <si>
    <t>-First year of forecast in model:</t>
  </si>
  <si>
    <t>Common Dividend Payout Rate</t>
  </si>
  <si>
    <t>PRICING</t>
  </si>
  <si>
    <t>US Price</t>
  </si>
  <si>
    <t>% of TPV</t>
  </si>
  <si>
    <t>VALUATION</t>
  </si>
  <si>
    <t>Fixed Price (Per Transaction)</t>
  </si>
  <si>
    <t>USD per Transaction</t>
  </si>
  <si>
    <t>-Cost of Equity</t>
  </si>
  <si>
    <t>-Low End of WACC Range</t>
  </si>
  <si>
    <t>-Low End of Terminal Growth Range</t>
  </si>
  <si>
    <t>COSTS</t>
  </si>
  <si>
    <t>Variable Cost</t>
  </si>
  <si>
    <t>Increases</t>
  </si>
  <si>
    <t>Remains unchanged</t>
  </si>
  <si>
    <t>TERMINAL YEAR</t>
  </si>
  <si>
    <t>Remains unchanges</t>
  </si>
  <si>
    <t>-Full cash taxes are paid</t>
  </si>
  <si>
    <t>Fixed Cost</t>
  </si>
  <si>
    <t>MM</t>
  </si>
  <si>
    <t>Inflation on total basis</t>
  </si>
  <si>
    <t>-Depreciation is equal to Capex</t>
  </si>
  <si>
    <t>-No changes in working capital</t>
  </si>
  <si>
    <t>DEPRECIATION</t>
  </si>
  <si>
    <t>-Depreciation Methodology Used</t>
  </si>
  <si>
    <t>Straight Line</t>
  </si>
  <si>
    <t>-Years Remaining for depreciation of existing assets:</t>
  </si>
  <si>
    <t>INTEREST RATES AND DEBT COVENANTS</t>
  </si>
  <si>
    <t>-Years used for depreciation of new assets:</t>
  </si>
  <si>
    <t>Interest Rates</t>
  </si>
  <si>
    <t>- Interest rate earned on cash balances:</t>
  </si>
  <si>
    <t>Taxes</t>
  </si>
  <si>
    <t>- Interest rate on the Bank Revolver:</t>
  </si>
  <si>
    <t>-Tax Rate:</t>
  </si>
  <si>
    <t>- Interest rate on the Senior Secured Term Debt:</t>
  </si>
  <si>
    <t>-Blended Tax dep'n rate:</t>
  </si>
  <si>
    <t>-Opening NOL Balance:</t>
  </si>
  <si>
    <t>Debt Covenants</t>
  </si>
  <si>
    <t>-Opening Tax Basis balance:</t>
  </si>
  <si>
    <t>- Net Debt / EBITDA</t>
  </si>
  <si>
    <t>- Interest Coverage (EBITDA / Interest)</t>
  </si>
  <si>
    <t>- Interest Coverage ((EBITDA-CAPEX) / Int)</t>
  </si>
  <si>
    <t>- Net Debt / Capitalization</t>
  </si>
  <si>
    <t>CAPITAL EXPENDITURES (CAPEX)</t>
  </si>
  <si>
    <t>($ millions)</t>
  </si>
  <si>
    <t>Term</t>
  </si>
  <si>
    <t>Maintenance</t>
  </si>
  <si>
    <t>Environmental</t>
  </si>
  <si>
    <t>Strategic</t>
  </si>
  <si>
    <t>Total</t>
  </si>
  <si>
    <t>EARNINGS ADJUSTMENTS (PRE-EBITDA)</t>
  </si>
  <si>
    <t>Adjustment 1</t>
  </si>
  <si>
    <t>Adjustment 2</t>
  </si>
  <si>
    <t>Adjustment 3</t>
  </si>
  <si>
    <t>WORKING CAPITAL DAYS</t>
  </si>
  <si>
    <t>(Days)</t>
  </si>
  <si>
    <t>Accounts Receivable</t>
  </si>
  <si>
    <t>Loans and Interest Receivable</t>
  </si>
  <si>
    <t>Funds Receivable</t>
  </si>
  <si>
    <t>Funds Payable</t>
  </si>
  <si>
    <t>CHANGE IN DEBT AND EQUITY</t>
  </si>
  <si>
    <t> </t>
  </si>
  <si>
    <t>Sr. Term Debt Issuance / (Repayment)</t>
  </si>
  <si>
    <t>Common Stock Issuance / (Buy-back)</t>
  </si>
  <si>
    <t>Dividends</t>
  </si>
  <si>
    <t>Stock Option Grants (MM)</t>
  </si>
  <si>
    <t>Economic and Sales Scenario</t>
  </si>
  <si>
    <t>SCENARIO SWITCH</t>
  </si>
  <si>
    <t>ECONOMIC SCENARIOS</t>
  </si>
  <si>
    <t>Cost Inflation</t>
  </si>
  <si>
    <t>Base Case</t>
  </si>
  <si>
    <t>Best Case</t>
  </si>
  <si>
    <t>Worst Case</t>
  </si>
  <si>
    <t>SALES SCENARIOS</t>
  </si>
  <si>
    <t>Transaction Growth in US</t>
  </si>
  <si>
    <t>Transaction Growth in UK</t>
  </si>
  <si>
    <t>Transaction Growth in Other Countries</t>
  </si>
  <si>
    <t>Average Transaction Size</t>
  </si>
  <si>
    <t>Revenue</t>
  </si>
  <si>
    <t>Transaction #</t>
  </si>
  <si>
    <t>Rev/TPV</t>
  </si>
  <si>
    <t>Transaction Revenue</t>
  </si>
  <si>
    <t>Other Revenue</t>
  </si>
  <si>
    <t>Net Revenue</t>
  </si>
  <si>
    <t>Costs Total</t>
  </si>
  <si>
    <t>Total operating expenses</t>
  </si>
  <si>
    <t>Costs per Unit</t>
  </si>
  <si>
    <t>Transaction and Credit Loss Rate (per $ of TPV)</t>
  </si>
  <si>
    <t>Income Statement</t>
  </si>
  <si>
    <t>Operating Income</t>
  </si>
  <si>
    <t>EBT</t>
  </si>
  <si>
    <t>Tax Expense</t>
  </si>
  <si>
    <t>Cash Flow Statement</t>
  </si>
  <si>
    <t>Operating</t>
  </si>
  <si>
    <t>Operating CF</t>
  </si>
  <si>
    <t>Investing</t>
  </si>
  <si>
    <t>CAPEX</t>
  </si>
  <si>
    <t>Other</t>
  </si>
  <si>
    <t>Investing CF</t>
  </si>
  <si>
    <t>Financing</t>
  </si>
  <si>
    <t>Balance Sheet</t>
  </si>
  <si>
    <t>Assets</t>
  </si>
  <si>
    <t>Cash</t>
  </si>
  <si>
    <t>PP&amp;E</t>
  </si>
  <si>
    <t>Shareholders Equity</t>
  </si>
  <si>
    <t>($ Millions)</t>
  </si>
  <si>
    <t>Projected</t>
  </si>
  <si>
    <t>Term.</t>
  </si>
  <si>
    <t>Transaction Size</t>
  </si>
  <si>
    <t>Cost of Inflation</t>
  </si>
  <si>
    <t>Revenue as a Percentage of TVP</t>
  </si>
  <si>
    <t>Other Revenue as a Percentage of Transaction</t>
  </si>
  <si>
    <t>Pricing Assumptions</t>
  </si>
  <si>
    <t>Fixed Price per Transaction</t>
  </si>
  <si>
    <t>US Price as a Percentage of TVP</t>
  </si>
  <si>
    <t>Revenue US</t>
  </si>
  <si>
    <t>Volume Growth</t>
  </si>
  <si>
    <t>Transaction Volume</t>
  </si>
  <si>
    <t>(millions)</t>
  </si>
  <si>
    <t>TPV</t>
  </si>
  <si>
    <t>Total Revenue-US</t>
  </si>
  <si>
    <t>Revenue UK</t>
  </si>
  <si>
    <t>Total Revenue-UK</t>
  </si>
  <si>
    <t>Revenue Other Countries</t>
  </si>
  <si>
    <t>Total Revenue-Other Countries</t>
  </si>
  <si>
    <t>Cost Schedule</t>
  </si>
  <si>
    <t>Total Transaction Volume</t>
  </si>
  <si>
    <t>Total TVP</t>
  </si>
  <si>
    <t>Transaction and Credit Loss</t>
  </si>
  <si>
    <t>Total Fixed Costs</t>
  </si>
  <si>
    <t>Transaction Expense Rate (per $ of TPV)</t>
  </si>
  <si>
    <t>Fixed Cost (per Transaction)</t>
  </si>
  <si>
    <t>Total Costs/$ of TPV</t>
  </si>
  <si>
    <t>Total Costs</t>
  </si>
  <si>
    <t>Adjutments</t>
  </si>
  <si>
    <t>Current Income Taxes</t>
  </si>
  <si>
    <t>Deferred Income Taxes</t>
  </si>
  <si>
    <t>Depreciation and Amortization</t>
  </si>
  <si>
    <t>Change in Working Capital</t>
  </si>
  <si>
    <t xml:space="preserve">Purchase/Sale of Investments </t>
  </si>
  <si>
    <t>Start Cash</t>
  </si>
  <si>
    <t>End Cash</t>
  </si>
  <si>
    <t>Total Current assets</t>
  </si>
  <si>
    <t>Intangible assets</t>
  </si>
  <si>
    <t>Other assets</t>
  </si>
  <si>
    <t>Equity</t>
  </si>
  <si>
    <t>Noncontrolling interest</t>
  </si>
  <si>
    <t>Total Liabilities and Equity</t>
  </si>
  <si>
    <t>Balance</t>
  </si>
  <si>
    <t>Depreciation Schedule</t>
  </si>
  <si>
    <t>Years Remaining on Existing Assets:</t>
  </si>
  <si>
    <t>Depreciation Years on New Assets:</t>
  </si>
  <si>
    <t>Depreciation to Existing Assets</t>
  </si>
  <si>
    <t>Total Depreciation</t>
  </si>
  <si>
    <t>Income Tax Schedule</t>
  </si>
  <si>
    <t>Tax Rate:</t>
  </si>
  <si>
    <t>Earnings Befofe Taxes (as is on I/S)</t>
  </si>
  <si>
    <t>Plus: Accounting Depreciation</t>
  </si>
  <si>
    <t>Less: Tax depreciation</t>
  </si>
  <si>
    <t>Earnings Before NOL after Tax Dep'n</t>
  </si>
  <si>
    <t>NOL Schedule</t>
  </si>
  <si>
    <t>Existing NOL (Initial Balance)</t>
  </si>
  <si>
    <t>Existing NOL Used</t>
  </si>
  <si>
    <t>Earnings after use of NOL</t>
  </si>
  <si>
    <t>Newly Created NOL - Beginning</t>
  </si>
  <si>
    <t>Newly Created NOL - Used (Added)</t>
  </si>
  <si>
    <t>Newly Created NOL - Ending</t>
  </si>
  <si>
    <t>Remaining Existing NOL</t>
  </si>
  <si>
    <t>Total NOL Available</t>
  </si>
  <si>
    <t>EBT (after Tax Dep'n and NOLs)</t>
  </si>
  <si>
    <t>Accounting Tax</t>
  </si>
  <si>
    <t>Taxes Appearing on Income Statement</t>
  </si>
  <si>
    <t>Current Tax</t>
  </si>
  <si>
    <t>Deferred Tax</t>
  </si>
  <si>
    <t>Total Income Tax</t>
  </si>
  <si>
    <t>Tax Depreciation Schedule</t>
  </si>
  <si>
    <t>Blended Tax Dep'n Rate:</t>
  </si>
  <si>
    <t>Tax Basis Beginning</t>
  </si>
  <si>
    <t>Plus: New Capex</t>
  </si>
  <si>
    <t>1/2 New Capex</t>
  </si>
  <si>
    <t>Tax Basis after New Capex</t>
  </si>
  <si>
    <t>Less: Tax Dep'n Used</t>
  </si>
  <si>
    <t>Tax Basis Ending</t>
  </si>
  <si>
    <t>Working Capital Schedule</t>
  </si>
  <si>
    <t>Days per Year</t>
  </si>
  <si>
    <t>Income Statement Items</t>
  </si>
  <si>
    <t>Cost of Sales</t>
  </si>
  <si>
    <t>Days In</t>
  </si>
  <si>
    <t>Account Balances</t>
  </si>
  <si>
    <t>Net Working Capital</t>
  </si>
  <si>
    <t>Debt and Interest Schedule</t>
  </si>
  <si>
    <t>Amount Outstanding - Beginning</t>
  </si>
  <si>
    <t>Change in Cash</t>
  </si>
  <si>
    <t>Amount Outstanding - Ending</t>
  </si>
  <si>
    <t>Interest Rate</t>
  </si>
  <si>
    <t>Annual Interest Income</t>
  </si>
  <si>
    <t>Revolver</t>
  </si>
  <si>
    <t>Operating Cash Flow</t>
  </si>
  <si>
    <t>Investing Cash Flow</t>
  </si>
  <si>
    <t>Mandatory Debt Repayments</t>
  </si>
  <si>
    <t>Common Shares Issuance / (Buy-Back)</t>
  </si>
  <si>
    <t>FCF After Mandatory Debt Repayment and Dividend</t>
  </si>
  <si>
    <t xml:space="preserve">Revolver Outstanding - Beginning </t>
  </si>
  <si>
    <t>Additions / (Repayments)</t>
  </si>
  <si>
    <t>Revolver Outstanding - Endings</t>
  </si>
  <si>
    <t>Annual Interest Expense</t>
  </si>
  <si>
    <t>Senior Secured Term Debt</t>
  </si>
  <si>
    <t>Net Interest Expense</t>
  </si>
  <si>
    <t>Shareholders' Equity Schedule</t>
  </si>
  <si>
    <t>Common Shares + APIC</t>
  </si>
  <si>
    <t>New Issuance / (Buy-Back)</t>
  </si>
  <si>
    <t>Dividend Payout Rate</t>
  </si>
  <si>
    <t xml:space="preserve">Net Income </t>
  </si>
  <si>
    <t>Common Dividend</t>
  </si>
  <si>
    <t>Shares Outstanding</t>
  </si>
  <si>
    <t>Cost of Equity</t>
  </si>
  <si>
    <t>Average Stock Price</t>
  </si>
  <si>
    <t>Fully Diluted Share O/S (MM) - Beginning</t>
  </si>
  <si>
    <t>Stock Option Grants</t>
  </si>
  <si>
    <t>Fully Diluted Share O/S (MM) - Ending</t>
  </si>
  <si>
    <t>Average Fully Diluted Shares O/S</t>
  </si>
  <si>
    <t>Credit Statistics and Covenants</t>
  </si>
  <si>
    <t>trans rev</t>
  </si>
  <si>
    <t>Rev/Transaction</t>
  </si>
  <si>
    <t>Source</t>
  </si>
  <si>
    <t># transactions</t>
  </si>
  <si>
    <t>TVP</t>
  </si>
  <si>
    <t>US</t>
  </si>
  <si>
    <t>millions</t>
  </si>
  <si>
    <t>US REV</t>
  </si>
  <si>
    <t>UK REV</t>
  </si>
  <si>
    <t>Other REV</t>
  </si>
  <si>
    <t>UK</t>
  </si>
  <si>
    <t>%rev transact</t>
  </si>
  <si>
    <t>% rev transact</t>
  </si>
  <si>
    <t>Idaho (lol)</t>
  </si>
  <si>
    <t>trans rev US</t>
  </si>
  <si>
    <t>trans rev UK</t>
  </si>
  <si>
    <t>trans other</t>
  </si>
  <si>
    <t>TPV in US</t>
  </si>
  <si>
    <t>transaction Rev</t>
  </si>
  <si>
    <t>Number of trans</t>
  </si>
  <si>
    <t>US %</t>
  </si>
  <si>
    <t>total tvp</t>
  </si>
  <si>
    <t>Trans Rev %</t>
  </si>
  <si>
    <t>US TR</t>
  </si>
  <si>
    <t>UK %</t>
  </si>
  <si>
    <t>UK TR</t>
  </si>
  <si>
    <t>Other %</t>
  </si>
  <si>
    <t>2020 Transaction #</t>
  </si>
  <si>
    <t>Growth</t>
  </si>
  <si>
    <t>Trans # US</t>
  </si>
  <si>
    <t>Trans # UK</t>
  </si>
  <si>
    <t>Tran # Idaho</t>
  </si>
  <si>
    <t>Other Rev</t>
  </si>
  <si>
    <t>US #</t>
  </si>
  <si>
    <t>UK#</t>
  </si>
  <si>
    <t>Other#</t>
  </si>
  <si>
    <t>Flow</t>
  </si>
  <si>
    <t>TOV</t>
  </si>
  <si>
    <t>Days</t>
  </si>
  <si>
    <t xml:space="preserve">Margins </t>
  </si>
  <si>
    <t>EBIT Margin</t>
  </si>
  <si>
    <t>Return on Equity</t>
  </si>
  <si>
    <t>Average Diluted Shares O/S</t>
  </si>
  <si>
    <t>Earnings Per Share</t>
  </si>
  <si>
    <t>Change in Treasury Stock</t>
  </si>
  <si>
    <t>Term Issuance/Reduction of Debt, Net</t>
  </si>
  <si>
    <t>Net Assets for Acquisition</t>
  </si>
  <si>
    <t>Sales of Fixed Assets and Businesses</t>
  </si>
  <si>
    <t xml:space="preserve">Other Sources </t>
  </si>
  <si>
    <t>INVESTING CASH FLOW</t>
  </si>
  <si>
    <t>OPERATING CASH FLOW</t>
  </si>
  <si>
    <t>Exchange Rates</t>
  </si>
  <si>
    <t xml:space="preserve">Other </t>
  </si>
  <si>
    <t>Short Term Receivables</t>
  </si>
  <si>
    <t>Other Long Term</t>
  </si>
  <si>
    <t>Common Share</t>
  </si>
  <si>
    <t>Credit Statistic Values</t>
  </si>
  <si>
    <t>($ MM)</t>
  </si>
  <si>
    <t>Total Debt</t>
  </si>
  <si>
    <t>Net Debt</t>
  </si>
  <si>
    <t>Total Book Capitalization</t>
  </si>
  <si>
    <t>Consolidated Ratios</t>
  </si>
  <si>
    <t>Net Debt / EBITDA</t>
  </si>
  <si>
    <t>EBITDA Cushion</t>
  </si>
  <si>
    <t>Interest Coverage (EBITDA / Interest)</t>
  </si>
  <si>
    <t>Interest Coverage ((EBITDA - CAPEX) / Int.)</t>
  </si>
  <si>
    <t>Net Debt / Capitalization</t>
  </si>
  <si>
    <t>Convenant</t>
  </si>
  <si>
    <t>Tax Rate</t>
  </si>
  <si>
    <t>Earnings Before INTEREST and Taxes</t>
  </si>
  <si>
    <t>Unlevered Free Cash Flow Schedule</t>
  </si>
  <si>
    <t>Unlevered Free Cash Flow</t>
  </si>
  <si>
    <t>Current Taxes</t>
  </si>
  <si>
    <t>Changes in working capital</t>
  </si>
  <si>
    <t>Unlevered Free Cash Flow (DCF Valuation)</t>
  </si>
  <si>
    <t>CHECK CALCULATION ON UFCF</t>
  </si>
  <si>
    <t>Tax Shelter on Interest Expense</t>
  </si>
  <si>
    <t>Check</t>
  </si>
  <si>
    <t>FINANCING ACTIVITIES</t>
  </si>
  <si>
    <t/>
  </si>
  <si>
    <t>WACC</t>
  </si>
  <si>
    <t>Terminal Value Growth Rate</t>
  </si>
  <si>
    <t>PV of Cash Flows</t>
  </si>
  <si>
    <t>PV of Terminal Year</t>
  </si>
  <si>
    <t>Enterprise Value</t>
  </si>
  <si>
    <t>Equity Value</t>
  </si>
  <si>
    <t>Equity Value per Share</t>
  </si>
  <si>
    <t>Discount Cash Flow</t>
  </si>
  <si>
    <t>Income Tax Schedule for Calculating UFCF</t>
  </si>
  <si>
    <t>- Capex has been assumed at $950 million in 2023, $1000 million in 2024 and grown at inflation thereafter</t>
  </si>
  <si>
    <t>Three Scenarios have been used for cost inflation, transaction growth in the US, UK, and rest of the world, net gains on strategic investments, and exchange rate fluculation</t>
  </si>
  <si>
    <t>Summary Values</t>
  </si>
  <si>
    <r>
      <t xml:space="preserve">Discounted Cash Flow Valuation </t>
    </r>
    <r>
      <rPr>
        <b/>
        <vertAlign val="superscript"/>
        <sz val="12"/>
        <rFont val="Calibri"/>
        <family val="2"/>
      </rPr>
      <t>(1)</t>
    </r>
  </si>
  <si>
    <t>Stock Price on:</t>
  </si>
  <si>
    <t>Scenario</t>
  </si>
  <si>
    <t>Enterprise Values</t>
  </si>
  <si>
    <t>Equity Values</t>
  </si>
  <si>
    <t>Equity per Share</t>
  </si>
  <si>
    <t xml:space="preserve">    ($ MM)</t>
  </si>
  <si>
    <t>($ per share)</t>
  </si>
  <si>
    <t>Premium / (Discount)</t>
  </si>
  <si>
    <t>Base Case Scenario</t>
  </si>
  <si>
    <t>to</t>
  </si>
  <si>
    <t>Best Case Scenario</t>
  </si>
  <si>
    <t>Worst Case Scenario</t>
  </si>
  <si>
    <t>P/E Multiple Valuation</t>
  </si>
  <si>
    <t>P/E Multiple Range</t>
  </si>
  <si>
    <t>F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</si>
</sst>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0\ &quot; years&quot;"/>
    <numFmt numFmtId="166" formatCode="&quot;$&quot;#,##0.00"/>
    <numFmt numFmtId="167" formatCode="#,##0.00;\(#,##0.00\)"/>
    <numFmt numFmtId="168" formatCode="0.000"/>
    <numFmt numFmtId="169" formatCode="&quot;$&quot;#,##0"/>
    <numFmt numFmtId="170" formatCode="_(* #,##0_);_(* \(#,##0\);_(* &quot;-&quot;??_);_(@_)"/>
    <numFmt numFmtId="171" formatCode="0.0"/>
    <numFmt numFmtId="172" formatCode="&quot;$&quot;#,##0.0"/>
    <numFmt numFmtId="173" formatCode="0.0%"/>
    <numFmt numFmtId="174" formatCode="0.00_);\(0.00\)"/>
    <numFmt numFmtId="175" formatCode="0\A"/>
    <numFmt numFmtId="176" formatCode="0\F"/>
    <numFmt numFmtId="177" formatCode="&quot;$&quot;#,##0.0_);\(&quot;$&quot;#,##0.0\)"/>
    <numFmt numFmtId="178" formatCode="#,##0.0_);\(#,##0.0\)"/>
    <numFmt numFmtId="179" formatCode="\&lt;\ 0.0\ \x"/>
    <numFmt numFmtId="180" formatCode="\&gt;\ 0.0\ \x"/>
    <numFmt numFmtId="181" formatCode="\&lt;\ 0%"/>
    <numFmt numFmtId="182" formatCode="\&lt;\ 0.0%"/>
    <numFmt numFmtId="183" formatCode="0.0\ \x\ "/>
    <numFmt numFmtId="184" formatCode="0.0%\ ;\(0.0%\)"/>
    <numFmt numFmtId="185" formatCode="#,##0.000_);\(#,##0.000\)"/>
    <numFmt numFmtId="186" formatCode="_(&quot;$&quot;* #,##0_);_(&quot;$&quot;* \(#,##0\);_(&quot;$&quot;* &quot;-&quot;??_);_(@_)"/>
    <numFmt numFmtId="187" formatCode="0_);\(0\)"/>
    <numFmt numFmtId="188" formatCode="_([$$-409]* #,##0.00_);_([$$-409]* \(#,##0.00\);_([$$-409]* &quot;-&quot;??_);_(@_)"/>
    <numFmt numFmtId="189" formatCode="#,##0.00000_);\(#,##0.00000\)"/>
    <numFmt numFmtId="190" formatCode="0.0\x\ "/>
    <numFmt numFmtId="191" formatCode="#,##0.0000_);\(#,##0.0000\)"/>
  </numFmts>
  <fonts count="85">
    <font>
      <sz val="10"/>
      <color rgb="FF000000"/>
      <name val="Arial"/>
      <scheme val="minor"/>
    </font>
    <font>
      <sz val="10"/>
      <color rgb="FF333333"/>
      <name val="Retina"/>
    </font>
    <font>
      <sz val="10"/>
      <color rgb="FF000000"/>
      <name val="Retina"/>
    </font>
    <font>
      <sz val="10"/>
      <color theme="1"/>
      <name val="Retina"/>
    </font>
    <font>
      <sz val="10"/>
      <color rgb="FF45923D"/>
      <name val="Retina"/>
    </font>
    <font>
      <sz val="10"/>
      <color rgb="FFFF0000"/>
      <name val="Retina"/>
    </font>
    <font>
      <sz val="10"/>
      <color theme="1"/>
      <name val="Arial"/>
      <family val="2"/>
    </font>
    <font>
      <sz val="10"/>
      <color rgb="FF333333"/>
      <name val="Arial"/>
      <family val="2"/>
      <scheme val="minor"/>
    </font>
    <font>
      <sz val="10"/>
      <color rgb="FF333333"/>
      <name val="Arial"/>
      <family val="2"/>
    </font>
    <font>
      <sz val="10"/>
      <color theme="1"/>
      <name val="Arial"/>
      <family val="2"/>
      <scheme val="minor"/>
    </font>
    <font>
      <sz val="10"/>
      <color rgb="FF45923D"/>
      <name val="Arial"/>
      <family val="2"/>
    </font>
    <font>
      <sz val="10"/>
      <color rgb="FFFF0000"/>
      <name val="Arial"/>
      <family val="2"/>
    </font>
    <font>
      <sz val="10"/>
      <color rgb="FF45923D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Retina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  <font>
      <sz val="30"/>
      <color theme="1"/>
      <name val="Calibri"/>
      <family val="2"/>
    </font>
    <font>
      <sz val="24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i/>
      <sz val="10"/>
      <color rgb="FFFFFFFF"/>
      <name val="Calibri"/>
      <family val="2"/>
    </font>
    <font>
      <sz val="10"/>
      <color rgb="FFFF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u/>
      <sz val="10"/>
      <color rgb="FF000000"/>
      <name val="Arial"/>
      <family val="2"/>
      <scheme val="minor"/>
    </font>
    <font>
      <i/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sz val="10"/>
      <color theme="4"/>
      <name val="Calibri"/>
      <family val="2"/>
    </font>
    <font>
      <b/>
      <sz val="20"/>
      <color rgb="FF000000"/>
      <name val="Calibri"/>
      <family val="2"/>
    </font>
    <font>
      <sz val="15"/>
      <color rgb="FF000000"/>
      <name val="Calibri"/>
      <family val="2"/>
    </font>
    <font>
      <sz val="10"/>
      <color theme="5" tint="-0.499984740745262"/>
      <name val="Calibri"/>
      <family val="2"/>
    </font>
    <font>
      <b/>
      <sz val="30"/>
      <color theme="4" tint="-0.499984740745262"/>
      <name val="Calibri"/>
      <family val="2"/>
    </font>
    <font>
      <sz val="10"/>
      <color theme="4" tint="-0.499984740745262"/>
      <name val="Arial"/>
      <family val="2"/>
      <scheme val="minor"/>
    </font>
    <font>
      <sz val="10"/>
      <name val="Arial"/>
      <family val="2"/>
      <scheme val="minor"/>
    </font>
    <font>
      <b/>
      <sz val="10"/>
      <name val="Calibri"/>
      <family val="2"/>
    </font>
    <font>
      <sz val="9"/>
      <name val="Calibri"/>
      <family val="2"/>
    </font>
    <font>
      <sz val="8"/>
      <name val="Calibri"/>
      <family val="2"/>
    </font>
    <font>
      <i/>
      <sz val="10"/>
      <name val="Arial"/>
      <family val="2"/>
      <scheme val="minor"/>
    </font>
    <font>
      <i/>
      <sz val="10"/>
      <name val="Calibri"/>
      <family val="2"/>
    </font>
    <font>
      <sz val="20"/>
      <color rgb="FF000000"/>
      <name val="Comic Sans MS"/>
      <family val="4"/>
    </font>
    <font>
      <sz val="15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b/>
      <u/>
      <sz val="10"/>
      <name val="Arial"/>
      <family val="2"/>
      <scheme val="minor"/>
    </font>
    <font>
      <b/>
      <i/>
      <sz val="10"/>
      <name val="Arial"/>
      <family val="2"/>
      <scheme val="minor"/>
    </font>
    <font>
      <sz val="10"/>
      <color indexed="12"/>
      <name val="Arial"/>
      <family val="2"/>
      <scheme val="minor"/>
    </font>
    <font>
      <sz val="10"/>
      <color indexed="8"/>
      <name val="Arial"/>
      <family val="2"/>
      <scheme val="minor"/>
    </font>
    <font>
      <i/>
      <sz val="9"/>
      <color indexed="8"/>
      <name val="Arial"/>
      <family val="2"/>
      <scheme val="minor"/>
    </font>
    <font>
      <i/>
      <u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10"/>
      <color indexed="10"/>
      <name val="Arial"/>
      <family val="2"/>
      <scheme val="minor"/>
    </font>
    <font>
      <sz val="9"/>
      <color indexed="12"/>
      <name val="Arial"/>
      <family val="2"/>
      <scheme val="minor"/>
    </font>
    <font>
      <i/>
      <sz val="10"/>
      <color theme="5" tint="-0.499984740745262"/>
      <name val="Calibri"/>
      <family val="2"/>
    </font>
    <font>
      <b/>
      <i/>
      <sz val="10"/>
      <color theme="5" tint="-0.499984740745262"/>
      <name val="Arial"/>
      <family val="2"/>
      <scheme val="minor"/>
    </font>
    <font>
      <b/>
      <sz val="10"/>
      <color theme="5" tint="-0.499984740745262"/>
      <name val="Arial"/>
      <family val="2"/>
      <scheme val="minor"/>
    </font>
    <font>
      <sz val="10"/>
      <color theme="5" tint="-0.499984740745262"/>
      <name val="Arial"/>
      <family val="2"/>
      <scheme val="minor"/>
    </font>
    <font>
      <b/>
      <i/>
      <u/>
      <sz val="14"/>
      <name val="Arial"/>
      <family val="2"/>
      <scheme val="minor"/>
    </font>
    <font>
      <b/>
      <i/>
      <sz val="14"/>
      <name val="Arial"/>
      <family val="2"/>
      <scheme val="minor"/>
    </font>
    <font>
      <b/>
      <i/>
      <sz val="14"/>
      <color indexed="61"/>
      <name val="Arial"/>
      <family val="2"/>
      <scheme val="minor"/>
    </font>
    <font>
      <b/>
      <sz val="12"/>
      <name val="Arial"/>
      <family val="2"/>
      <scheme val="minor"/>
    </font>
    <font>
      <b/>
      <vertAlign val="superscript"/>
      <sz val="12"/>
      <name val="Calibri"/>
      <family val="2"/>
    </font>
    <font>
      <sz val="12"/>
      <name val="Arial"/>
      <family val="2"/>
      <scheme val="minor"/>
    </font>
    <font>
      <sz val="12"/>
      <color indexed="12"/>
      <name val="Arial"/>
      <family val="2"/>
      <scheme val="minor"/>
    </font>
    <font>
      <i/>
      <sz val="12"/>
      <name val="Arial"/>
      <family val="2"/>
      <scheme val="minor"/>
    </font>
    <font>
      <b/>
      <sz val="14"/>
      <name val="Arial"/>
      <family val="2"/>
      <scheme val="minor"/>
    </font>
    <font>
      <vertAlign val="superscript"/>
      <sz val="9.6"/>
      <name val="Arial"/>
      <family val="2"/>
      <scheme val="minor"/>
    </font>
    <font>
      <b/>
      <sz val="12"/>
      <color indexed="12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n">
        <color rgb="FFE5E5E5"/>
      </bottom>
      <diagonal/>
    </border>
    <border>
      <left style="thin">
        <color rgb="FFE5E5E5"/>
      </left>
      <right style="thin">
        <color rgb="FFE5E5E5"/>
      </right>
      <top/>
      <bottom style="thin">
        <color rgb="FFE5E5E5"/>
      </bottom>
      <diagonal/>
    </border>
    <border>
      <left/>
      <right style="thin">
        <color rgb="FFE5E5E5"/>
      </right>
      <top/>
      <bottom style="thin">
        <color rgb="FFE5E5E5"/>
      </bottom>
      <diagonal/>
    </border>
    <border>
      <left style="thin">
        <color rgb="FFE5E5E5"/>
      </left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000000"/>
      </left>
      <right/>
      <top style="dashed">
        <color rgb="FF000000"/>
      </top>
      <bottom/>
      <diagonal/>
    </border>
    <border>
      <left/>
      <right/>
      <top style="dashed">
        <color rgb="FF000000"/>
      </top>
      <bottom/>
      <diagonal/>
    </border>
    <border>
      <left style="dashed">
        <color rgb="FF000000"/>
      </left>
      <right/>
      <top/>
      <bottom/>
      <diagonal/>
    </border>
    <border>
      <left style="dashed">
        <color rgb="FF000000"/>
      </left>
      <right/>
      <top/>
      <bottom style="dashed">
        <color rgb="FF000000"/>
      </bottom>
      <diagonal/>
    </border>
    <border>
      <left/>
      <right/>
      <top/>
      <bottom style="dash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ashed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dash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</borders>
  <cellStyleXfs count="3">
    <xf numFmtId="0" fontId="0" fillId="0" borderId="0"/>
    <xf numFmtId="44" fontId="39" fillId="0" borderId="0" applyFont="0" applyFill="0" applyBorder="0" applyAlignment="0" applyProtection="0"/>
    <xf numFmtId="9" fontId="56" fillId="0" borderId="0" applyFont="0" applyFill="0" applyBorder="0" applyAlignment="0" applyProtection="0"/>
  </cellStyleXfs>
  <cellXfs count="55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3" fillId="0" borderId="2" xfId="0" applyNumberFormat="1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10" fontId="3" fillId="0" borderId="2" xfId="0" applyNumberFormat="1" applyFont="1" applyBorder="1" applyAlignment="1">
      <alignment horizontal="right"/>
    </xf>
    <xf numFmtId="10" fontId="4" fillId="0" borderId="3" xfId="0" applyNumberFormat="1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10" fontId="4" fillId="0" borderId="4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3" fillId="0" borderId="3" xfId="0" applyNumberFormat="1" applyFont="1" applyBorder="1" applyAlignment="1">
      <alignment horizontal="right"/>
    </xf>
    <xf numFmtId="10" fontId="2" fillId="0" borderId="4" xfId="0" applyNumberFormat="1" applyFont="1" applyBorder="1" applyAlignment="1">
      <alignment horizontal="right"/>
    </xf>
    <xf numFmtId="10" fontId="5" fillId="0" borderId="1" xfId="0" applyNumberFormat="1" applyFont="1" applyBorder="1" applyAlignment="1">
      <alignment horizontal="right"/>
    </xf>
    <xf numFmtId="10" fontId="5" fillId="0" borderId="4" xfId="0" applyNumberFormat="1" applyFont="1" applyBorder="1" applyAlignment="1">
      <alignment horizontal="right"/>
    </xf>
    <xf numFmtId="10" fontId="3" fillId="0" borderId="1" xfId="0" applyNumberFormat="1" applyFont="1" applyBorder="1" applyAlignment="1">
      <alignment horizontal="right"/>
    </xf>
    <xf numFmtId="0" fontId="6" fillId="0" borderId="1" xfId="0" applyFont="1" applyBorder="1"/>
    <xf numFmtId="0" fontId="6" fillId="0" borderId="0" xfId="0" applyFont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3" fontId="6" fillId="0" borderId="2" xfId="0" applyNumberFormat="1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6" fillId="0" borderId="2" xfId="0" applyNumberFormat="1" applyFont="1" applyBorder="1" applyAlignment="1">
      <alignment horizontal="right"/>
    </xf>
    <xf numFmtId="10" fontId="10" fillId="0" borderId="3" xfId="0" applyNumberFormat="1" applyFont="1" applyBorder="1" applyAlignment="1">
      <alignment horizontal="right"/>
    </xf>
    <xf numFmtId="10" fontId="11" fillId="0" borderId="1" xfId="0" applyNumberFormat="1" applyFont="1" applyBorder="1" applyAlignment="1">
      <alignment horizontal="right"/>
    </xf>
    <xf numFmtId="10" fontId="12" fillId="0" borderId="4" xfId="0" applyNumberFormat="1" applyFont="1" applyBorder="1" applyAlignment="1">
      <alignment horizontal="right"/>
    </xf>
    <xf numFmtId="10" fontId="13" fillId="0" borderId="4" xfId="0" applyNumberFormat="1" applyFont="1" applyBorder="1" applyAlignment="1">
      <alignment horizontal="right"/>
    </xf>
    <xf numFmtId="10" fontId="10" fillId="0" borderId="2" xfId="0" applyNumberFormat="1" applyFont="1" applyBorder="1" applyAlignment="1">
      <alignment horizontal="right"/>
    </xf>
    <xf numFmtId="10" fontId="10" fillId="0" borderId="1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4" fillId="0" borderId="0" xfId="0" applyFont="1"/>
    <xf numFmtId="10" fontId="5" fillId="0" borderId="3" xfId="0" applyNumberFormat="1" applyFont="1" applyBorder="1" applyAlignment="1">
      <alignment horizontal="right"/>
    </xf>
    <xf numFmtId="10" fontId="4" fillId="0" borderId="2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10" fontId="5" fillId="0" borderId="2" xfId="0" applyNumberFormat="1" applyFont="1" applyBorder="1" applyAlignment="1">
      <alignment horizontal="right"/>
    </xf>
    <xf numFmtId="0" fontId="9" fillId="0" borderId="0" xfId="0" applyFont="1"/>
    <xf numFmtId="0" fontId="16" fillId="0" borderId="5" xfId="0" applyFont="1" applyBorder="1"/>
    <xf numFmtId="0" fontId="17" fillId="0" borderId="6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7" fillId="0" borderId="0" xfId="0" applyFont="1" applyAlignment="1">
      <alignment horizontal="left"/>
    </xf>
    <xf numFmtId="0" fontId="16" fillId="0" borderId="0" xfId="0" applyFont="1"/>
    <xf numFmtId="0" fontId="16" fillId="0" borderId="9" xfId="0" applyFont="1" applyBorder="1"/>
    <xf numFmtId="0" fontId="17" fillId="0" borderId="0" xfId="0" applyFont="1"/>
    <xf numFmtId="164" fontId="18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/>
    <xf numFmtId="0" fontId="16" fillId="0" borderId="10" xfId="0" applyFont="1" applyBorder="1"/>
    <xf numFmtId="0" fontId="18" fillId="0" borderId="11" xfId="0" applyFont="1" applyBorder="1"/>
    <xf numFmtId="0" fontId="16" fillId="0" borderId="11" xfId="0" applyFont="1" applyBorder="1"/>
    <xf numFmtId="0" fontId="16" fillId="0" borderId="12" xfId="0" applyFont="1" applyBorder="1"/>
    <xf numFmtId="0" fontId="21" fillId="0" borderId="0" xfId="0" applyFont="1"/>
    <xf numFmtId="0" fontId="22" fillId="0" borderId="0" xfId="0" applyFont="1"/>
    <xf numFmtId="0" fontId="24" fillId="0" borderId="8" xfId="0" applyFont="1" applyBorder="1"/>
    <xf numFmtId="0" fontId="16" fillId="0" borderId="8" xfId="0" quotePrefix="1" applyFont="1" applyBorder="1"/>
    <xf numFmtId="0" fontId="16" fillId="0" borderId="10" xfId="0" quotePrefix="1" applyFont="1" applyBorder="1"/>
    <xf numFmtId="0" fontId="16" fillId="0" borderId="8" xfId="0" applyFont="1" applyBorder="1" applyAlignment="1">
      <alignment horizontal="left"/>
    </xf>
    <xf numFmtId="0" fontId="25" fillId="0" borderId="0" xfId="0" applyFont="1" applyAlignment="1">
      <alignment horizontal="right"/>
    </xf>
    <xf numFmtId="0" fontId="25" fillId="0" borderId="9" xfId="0" applyFont="1" applyBorder="1" applyAlignment="1">
      <alignment horizontal="right"/>
    </xf>
    <xf numFmtId="0" fontId="25" fillId="0" borderId="11" xfId="0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22" fillId="0" borderId="10" xfId="0" applyFont="1" applyBorder="1"/>
    <xf numFmtId="166" fontId="22" fillId="0" borderId="11" xfId="0" applyNumberFormat="1" applyFont="1" applyBorder="1" applyAlignment="1">
      <alignment horizontal="right"/>
    </xf>
    <xf numFmtId="166" fontId="22" fillId="0" borderId="12" xfId="0" applyNumberFormat="1" applyFont="1" applyBorder="1" applyAlignment="1">
      <alignment horizontal="right"/>
    </xf>
    <xf numFmtId="0" fontId="23" fillId="2" borderId="6" xfId="0" applyFont="1" applyFill="1" applyBorder="1"/>
    <xf numFmtId="0" fontId="23" fillId="2" borderId="7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6" fillId="2" borderId="5" xfId="0" applyFont="1" applyFill="1" applyBorder="1"/>
    <xf numFmtId="0" fontId="26" fillId="2" borderId="13" xfId="0" applyFont="1" applyFill="1" applyBorder="1"/>
    <xf numFmtId="0" fontId="27" fillId="2" borderId="14" xfId="0" applyFont="1" applyFill="1" applyBorder="1"/>
    <xf numFmtId="0" fontId="27" fillId="2" borderId="6" xfId="0" applyFont="1" applyFill="1" applyBorder="1"/>
    <xf numFmtId="0" fontId="28" fillId="2" borderId="13" xfId="0" applyFont="1" applyFill="1" applyBorder="1"/>
    <xf numFmtId="0" fontId="26" fillId="2" borderId="14" xfId="0" applyFont="1" applyFill="1" applyBorder="1" applyAlignment="1">
      <alignment horizontal="right"/>
    </xf>
    <xf numFmtId="0" fontId="26" fillId="2" borderId="15" xfId="0" applyFont="1" applyFill="1" applyBorder="1" applyAlignment="1">
      <alignment horizontal="right"/>
    </xf>
    <xf numFmtId="0" fontId="23" fillId="0" borderId="11" xfId="0" applyFont="1" applyBorder="1"/>
    <xf numFmtId="0" fontId="27" fillId="2" borderId="15" xfId="0" applyFont="1" applyFill="1" applyBorder="1"/>
    <xf numFmtId="0" fontId="27" fillId="2" borderId="7" xfId="0" applyFont="1" applyFill="1" applyBorder="1"/>
    <xf numFmtId="0" fontId="28" fillId="2" borderId="5" xfId="0" applyFont="1" applyFill="1" applyBorder="1"/>
    <xf numFmtId="0" fontId="26" fillId="2" borderId="6" xfId="0" applyFont="1" applyFill="1" applyBorder="1"/>
    <xf numFmtId="0" fontId="21" fillId="0" borderId="8" xfId="0" applyFont="1" applyBorder="1"/>
    <xf numFmtId="0" fontId="21" fillId="0" borderId="9" xfId="0" applyFont="1" applyBorder="1"/>
    <xf numFmtId="0" fontId="21" fillId="0" borderId="10" xfId="0" applyFont="1" applyBorder="1"/>
    <xf numFmtId="0" fontId="21" fillId="0" borderId="11" xfId="0" applyFont="1" applyBorder="1"/>
    <xf numFmtId="10" fontId="21" fillId="0" borderId="0" xfId="0" applyNumberFormat="1" applyFont="1"/>
    <xf numFmtId="0" fontId="16" fillId="3" borderId="8" xfId="0" applyFont="1" applyFill="1" applyBorder="1"/>
    <xf numFmtId="0" fontId="0" fillId="0" borderId="0" xfId="0" applyAlignment="1">
      <alignment wrapText="1"/>
    </xf>
    <xf numFmtId="0" fontId="21" fillId="0" borderId="0" xfId="0" quotePrefix="1" applyFont="1"/>
    <xf numFmtId="0" fontId="21" fillId="0" borderId="5" xfId="0" applyFont="1" applyBorder="1"/>
    <xf numFmtId="0" fontId="21" fillId="0" borderId="6" xfId="0" applyFont="1" applyBorder="1"/>
    <xf numFmtId="0" fontId="21" fillId="0" borderId="7" xfId="0" applyFont="1" applyBorder="1"/>
    <xf numFmtId="0" fontId="21" fillId="0" borderId="9" xfId="0" quotePrefix="1" applyFont="1" applyBorder="1"/>
    <xf numFmtId="0" fontId="21" fillId="0" borderId="12" xfId="0" applyFont="1" applyBorder="1"/>
    <xf numFmtId="0" fontId="30" fillId="0" borderId="0" xfId="0" applyFont="1" applyAlignment="1">
      <alignment horizontal="center"/>
    </xf>
    <xf numFmtId="0" fontId="31" fillId="0" borderId="0" xfId="0" applyFont="1"/>
    <xf numFmtId="0" fontId="21" fillId="0" borderId="23" xfId="0" applyFont="1" applyBorder="1"/>
    <xf numFmtId="9" fontId="2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32" fillId="0" borderId="0" xfId="0" applyFont="1"/>
    <xf numFmtId="167" fontId="33" fillId="0" borderId="0" xfId="0" applyNumberFormat="1" applyFont="1"/>
    <xf numFmtId="10" fontId="33" fillId="0" borderId="0" xfId="0" applyNumberFormat="1" applyFont="1"/>
    <xf numFmtId="1" fontId="32" fillId="0" borderId="0" xfId="0" applyNumberFormat="1" applyFont="1"/>
    <xf numFmtId="0" fontId="0" fillId="0" borderId="22" xfId="0" applyBorder="1"/>
    <xf numFmtId="10" fontId="0" fillId="0" borderId="0" xfId="0" applyNumberFormat="1"/>
    <xf numFmtId="0" fontId="3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5" fillId="0" borderId="0" xfId="0" applyFont="1"/>
    <xf numFmtId="0" fontId="36" fillId="0" borderId="0" xfId="0" applyFont="1"/>
    <xf numFmtId="44" fontId="21" fillId="0" borderId="9" xfId="0" applyNumberFormat="1" applyFont="1" applyBorder="1"/>
    <xf numFmtId="10" fontId="21" fillId="0" borderId="12" xfId="0" applyNumberFormat="1" applyFont="1" applyBorder="1"/>
    <xf numFmtId="0" fontId="31" fillId="4" borderId="5" xfId="0" applyFont="1" applyFill="1" applyBorder="1"/>
    <xf numFmtId="0" fontId="21" fillId="4" borderId="6" xfId="0" applyFont="1" applyFill="1" applyBorder="1"/>
    <xf numFmtId="0" fontId="21" fillId="4" borderId="7" xfId="0" applyFont="1" applyFill="1" applyBorder="1"/>
    <xf numFmtId="0" fontId="29" fillId="0" borderId="0" xfId="0" applyFont="1"/>
    <xf numFmtId="0" fontId="35" fillId="0" borderId="13" xfId="0" applyFont="1" applyBorder="1"/>
    <xf numFmtId="0" fontId="36" fillId="0" borderId="14" xfId="0" applyFont="1" applyBorder="1"/>
    <xf numFmtId="0" fontId="35" fillId="0" borderId="14" xfId="0" applyFont="1" applyBorder="1"/>
    <xf numFmtId="169" fontId="21" fillId="0" borderId="0" xfId="0" applyNumberFormat="1" applyFont="1"/>
    <xf numFmtId="167" fontId="16" fillId="0" borderId="0" xfId="0" applyNumberFormat="1" applyFont="1"/>
    <xf numFmtId="168" fontId="16" fillId="0" borderId="0" xfId="0" applyNumberFormat="1" applyFont="1"/>
    <xf numFmtId="169" fontId="16" fillId="0" borderId="0" xfId="0" applyNumberFormat="1" applyFont="1"/>
    <xf numFmtId="1" fontId="21" fillId="0" borderId="0" xfId="0" applyNumberFormat="1" applyFont="1"/>
    <xf numFmtId="0" fontId="36" fillId="0" borderId="11" xfId="0" applyFont="1" applyBorder="1"/>
    <xf numFmtId="0" fontId="31" fillId="0" borderId="11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1" fillId="0" borderId="30" xfId="0" applyFont="1" applyBorder="1"/>
    <xf numFmtId="169" fontId="21" fillId="0" borderId="6" xfId="0" applyNumberFormat="1" applyFont="1" applyBorder="1"/>
    <xf numFmtId="0" fontId="37" fillId="0" borderId="0" xfId="0" applyFont="1"/>
    <xf numFmtId="167" fontId="21" fillId="0" borderId="0" xfId="0" applyNumberFormat="1" applyFont="1"/>
    <xf numFmtId="0" fontId="24" fillId="0" borderId="0" xfId="0" applyFont="1" applyAlignment="1">
      <alignment horizontal="center"/>
    </xf>
    <xf numFmtId="0" fontId="21" fillId="0" borderId="22" xfId="0" applyFont="1" applyBorder="1"/>
    <xf numFmtId="171" fontId="21" fillId="0" borderId="0" xfId="0" applyNumberFormat="1" applyFont="1"/>
    <xf numFmtId="0" fontId="21" fillId="0" borderId="31" xfId="0" applyFont="1" applyBorder="1"/>
    <xf numFmtId="0" fontId="30" fillId="0" borderId="0" xfId="0" applyFont="1" applyAlignment="1">
      <alignment horizontal="right"/>
    </xf>
    <xf numFmtId="0" fontId="21" fillId="0" borderId="31" xfId="0" applyFont="1" applyBorder="1" applyAlignment="1">
      <alignment horizontal="center"/>
    </xf>
    <xf numFmtId="166" fontId="21" fillId="0" borderId="0" xfId="0" applyNumberFormat="1" applyFont="1"/>
    <xf numFmtId="43" fontId="21" fillId="0" borderId="0" xfId="0" applyNumberFormat="1" applyFont="1"/>
    <xf numFmtId="0" fontId="21" fillId="0" borderId="33" xfId="0" applyFont="1" applyBorder="1"/>
    <xf numFmtId="0" fontId="31" fillId="0" borderId="33" xfId="0" applyFont="1" applyBorder="1"/>
    <xf numFmtId="0" fontId="38" fillId="0" borderId="0" xfId="0" applyFont="1"/>
    <xf numFmtId="172" fontId="22" fillId="0" borderId="11" xfId="0" applyNumberFormat="1" applyFont="1" applyBorder="1" applyAlignment="1">
      <alignment horizontal="right"/>
    </xf>
    <xf numFmtId="171" fontId="25" fillId="0" borderId="0" xfId="0" applyNumberFormat="1" applyFont="1" applyAlignment="1">
      <alignment horizontal="right"/>
    </xf>
    <xf numFmtId="171" fontId="35" fillId="0" borderId="0" xfId="0" applyNumberFormat="1" applyFont="1"/>
    <xf numFmtId="171" fontId="31" fillId="0" borderId="0" xfId="0" applyNumberFormat="1" applyFont="1"/>
    <xf numFmtId="0" fontId="3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0" borderId="20" xfId="0" applyFont="1" applyBorder="1"/>
    <xf numFmtId="0" fontId="21" fillId="0" borderId="34" xfId="0" applyFont="1" applyBorder="1"/>
    <xf numFmtId="0" fontId="31" fillId="0" borderId="21" xfId="0" applyFont="1" applyBorder="1"/>
    <xf numFmtId="0" fontId="21" fillId="0" borderId="36" xfId="0" applyFont="1" applyBorder="1"/>
    <xf numFmtId="0" fontId="21" fillId="0" borderId="37" xfId="0" applyFont="1" applyBorder="1"/>
    <xf numFmtId="0" fontId="21" fillId="0" borderId="38" xfId="0" applyFont="1" applyBorder="1"/>
    <xf numFmtId="3" fontId="6" fillId="0" borderId="0" xfId="0" applyNumberFormat="1" applyFont="1"/>
    <xf numFmtId="0" fontId="16" fillId="0" borderId="9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21" fillId="0" borderId="8" xfId="0" quotePrefix="1" applyFont="1" applyBorder="1"/>
    <xf numFmtId="0" fontId="21" fillId="0" borderId="10" xfId="0" quotePrefix="1" applyFont="1" applyBorder="1"/>
    <xf numFmtId="0" fontId="24" fillId="0" borderId="9" xfId="0" applyFont="1" applyBorder="1"/>
    <xf numFmtId="0" fontId="21" fillId="2" borderId="6" xfId="0" applyFont="1" applyFill="1" applyBorder="1"/>
    <xf numFmtId="0" fontId="21" fillId="2" borderId="7" xfId="0" applyFont="1" applyFill="1" applyBorder="1"/>
    <xf numFmtId="0" fontId="24" fillId="0" borderId="0" xfId="0" applyFont="1"/>
    <xf numFmtId="173" fontId="21" fillId="0" borderId="0" xfId="0" applyNumberFormat="1" applyFont="1"/>
    <xf numFmtId="0" fontId="40" fillId="0" borderId="0" xfId="0" applyFont="1" applyAlignment="1">
      <alignment horizontal="centerContinuous"/>
    </xf>
    <xf numFmtId="0" fontId="21" fillId="0" borderId="22" xfId="0" applyFont="1" applyBorder="1" applyAlignment="1">
      <alignment horizontal="centerContinuous"/>
    </xf>
    <xf numFmtId="0" fontId="41" fillId="0" borderId="22" xfId="0" applyFont="1" applyBorder="1" applyAlignment="1">
      <alignment horizontal="centerContinuous"/>
    </xf>
    <xf numFmtId="0" fontId="31" fillId="0" borderId="39" xfId="0" applyFont="1" applyBorder="1"/>
    <xf numFmtId="0" fontId="31" fillId="0" borderId="40" xfId="0" applyFont="1" applyBorder="1"/>
    <xf numFmtId="0" fontId="21" fillId="0" borderId="40" xfId="0" applyFont="1" applyBorder="1"/>
    <xf numFmtId="171" fontId="21" fillId="0" borderId="40" xfId="0" applyNumberFormat="1" applyFont="1" applyBorder="1"/>
    <xf numFmtId="0" fontId="21" fillId="0" borderId="41" xfId="0" applyFont="1" applyBorder="1"/>
    <xf numFmtId="0" fontId="21" fillId="0" borderId="42" xfId="0" applyFont="1" applyBorder="1"/>
    <xf numFmtId="0" fontId="21" fillId="0" borderId="44" xfId="0" applyFont="1" applyBorder="1"/>
    <xf numFmtId="0" fontId="21" fillId="0" borderId="45" xfId="0" applyFont="1" applyBorder="1"/>
    <xf numFmtId="0" fontId="30" fillId="0" borderId="47" xfId="0" applyFont="1" applyBorder="1" applyAlignment="1">
      <alignment horizontal="right"/>
    </xf>
    <xf numFmtId="0" fontId="21" fillId="0" borderId="48" xfId="0" applyFont="1" applyBorder="1"/>
    <xf numFmtId="0" fontId="21" fillId="0" borderId="50" xfId="0" applyFont="1" applyBorder="1"/>
    <xf numFmtId="1" fontId="21" fillId="0" borderId="48" xfId="0" applyNumberFormat="1" applyFont="1" applyBorder="1"/>
    <xf numFmtId="169" fontId="21" fillId="0" borderId="48" xfId="0" applyNumberFormat="1" applyFont="1" applyBorder="1"/>
    <xf numFmtId="169" fontId="21" fillId="0" borderId="52" xfId="0" applyNumberFormat="1" applyFont="1" applyBorder="1"/>
    <xf numFmtId="0" fontId="42" fillId="0" borderId="0" xfId="0" applyFont="1"/>
    <xf numFmtId="167" fontId="21" fillId="0" borderId="45" xfId="0" applyNumberFormat="1" applyFont="1" applyBorder="1"/>
    <xf numFmtId="169" fontId="31" fillId="0" borderId="0" xfId="0" applyNumberFormat="1" applyFont="1"/>
    <xf numFmtId="173" fontId="21" fillId="0" borderId="43" xfId="0" applyNumberFormat="1" applyFont="1" applyBorder="1"/>
    <xf numFmtId="173" fontId="21" fillId="0" borderId="45" xfId="0" applyNumberFormat="1" applyFont="1" applyBorder="1"/>
    <xf numFmtId="173" fontId="21" fillId="0" borderId="46" xfId="0" applyNumberFormat="1" applyFont="1" applyBorder="1"/>
    <xf numFmtId="44" fontId="31" fillId="0" borderId="0" xfId="1" applyFont="1"/>
    <xf numFmtId="173" fontId="31" fillId="0" borderId="43" xfId="0" applyNumberFormat="1" applyFont="1" applyBorder="1"/>
    <xf numFmtId="0" fontId="28" fillId="2" borderId="55" xfId="0" applyFont="1" applyFill="1" applyBorder="1"/>
    <xf numFmtId="0" fontId="27" fillId="2" borderId="56" xfId="0" applyFont="1" applyFill="1" applyBorder="1"/>
    <xf numFmtId="0" fontId="26" fillId="2" borderId="56" xfId="0" applyFont="1" applyFill="1" applyBorder="1" applyAlignment="1">
      <alignment horizontal="right"/>
    </xf>
    <xf numFmtId="0" fontId="16" fillId="0" borderId="42" xfId="0" applyFont="1" applyBorder="1" applyAlignment="1">
      <alignment horizontal="left"/>
    </xf>
    <xf numFmtId="0" fontId="25" fillId="0" borderId="43" xfId="0" applyFont="1" applyBorder="1" applyAlignment="1">
      <alignment horizontal="right"/>
    </xf>
    <xf numFmtId="0" fontId="16" fillId="0" borderId="44" xfId="0" applyFont="1" applyBorder="1" applyAlignment="1">
      <alignment horizontal="left"/>
    </xf>
    <xf numFmtId="0" fontId="16" fillId="0" borderId="45" xfId="0" applyFont="1" applyBorder="1"/>
    <xf numFmtId="0" fontId="25" fillId="0" borderId="45" xfId="0" applyFont="1" applyBorder="1" applyAlignment="1">
      <alignment horizontal="right"/>
    </xf>
    <xf numFmtId="0" fontId="25" fillId="0" borderId="46" xfId="0" applyFont="1" applyBorder="1" applyAlignment="1">
      <alignment horizontal="right"/>
    </xf>
    <xf numFmtId="0" fontId="21" fillId="0" borderId="39" xfId="0" applyFont="1" applyBorder="1"/>
    <xf numFmtId="0" fontId="31" fillId="0" borderId="44" xfId="0" applyFont="1" applyBorder="1"/>
    <xf numFmtId="0" fontId="31" fillId="0" borderId="45" xfId="0" applyFont="1" applyBorder="1"/>
    <xf numFmtId="174" fontId="21" fillId="0" borderId="5" xfId="0" applyNumberFormat="1" applyFont="1" applyBorder="1"/>
    <xf numFmtId="174" fontId="21" fillId="0" borderId="6" xfId="0" applyNumberFormat="1" applyFont="1" applyBorder="1"/>
    <xf numFmtId="174" fontId="21" fillId="0" borderId="8" xfId="0" applyNumberFormat="1" applyFont="1" applyBorder="1"/>
    <xf numFmtId="174" fontId="21" fillId="0" borderId="0" xfId="0" applyNumberFormat="1" applyFont="1"/>
    <xf numFmtId="174" fontId="21" fillId="0" borderId="10" xfId="0" applyNumberFormat="1" applyFont="1" applyBorder="1"/>
    <xf numFmtId="174" fontId="21" fillId="0" borderId="11" xfId="0" applyNumberFormat="1" applyFont="1" applyBorder="1"/>
    <xf numFmtId="0" fontId="21" fillId="0" borderId="0" xfId="0" applyFont="1" applyAlignment="1">
      <alignment horizontal="centerContinuous"/>
    </xf>
    <xf numFmtId="0" fontId="31" fillId="0" borderId="0" xfId="0" applyFont="1" applyAlignment="1">
      <alignment horizontal="centerContinuous"/>
    </xf>
    <xf numFmtId="0" fontId="43" fillId="0" borderId="0" xfId="0" applyFont="1" applyAlignment="1">
      <alignment horizontal="centerContinuous"/>
    </xf>
    <xf numFmtId="169" fontId="21" fillId="0" borderId="22" xfId="0" applyNumberFormat="1" applyFont="1" applyBorder="1" applyAlignment="1">
      <alignment horizontal="centerContinuous"/>
    </xf>
    <xf numFmtId="0" fontId="44" fillId="0" borderId="22" xfId="0" applyFont="1" applyBorder="1" applyAlignment="1">
      <alignment horizontal="centerContinuous"/>
    </xf>
    <xf numFmtId="169" fontId="44" fillId="0" borderId="22" xfId="0" applyNumberFormat="1" applyFont="1" applyBorder="1" applyAlignment="1">
      <alignment horizontal="centerContinuous"/>
    </xf>
    <xf numFmtId="0" fontId="45" fillId="0" borderId="0" xfId="0" applyFont="1"/>
    <xf numFmtId="9" fontId="45" fillId="0" borderId="0" xfId="0" applyNumberFormat="1" applyFont="1"/>
    <xf numFmtId="171" fontId="31" fillId="0" borderId="57" xfId="0" applyNumberFormat="1" applyFont="1" applyBorder="1"/>
    <xf numFmtId="0" fontId="45" fillId="0" borderId="40" xfId="0" applyFont="1" applyBorder="1"/>
    <xf numFmtId="10" fontId="45" fillId="0" borderId="0" xfId="0" applyNumberFormat="1" applyFont="1"/>
    <xf numFmtId="44" fontId="45" fillId="0" borderId="0" xfId="1" applyFont="1"/>
    <xf numFmtId="44" fontId="21" fillId="0" borderId="0" xfId="1" applyFont="1"/>
    <xf numFmtId="0" fontId="31" fillId="0" borderId="57" xfId="0" applyFont="1" applyBorder="1"/>
    <xf numFmtId="2" fontId="31" fillId="0" borderId="57" xfId="0" applyNumberFormat="1" applyFont="1" applyBorder="1"/>
    <xf numFmtId="166" fontId="42" fillId="0" borderId="0" xfId="0" applyNumberFormat="1" applyFont="1"/>
    <xf numFmtId="169" fontId="40" fillId="0" borderId="0" xfId="0" applyNumberFormat="1" applyFont="1" applyAlignment="1">
      <alignment horizontal="centerContinuous"/>
    </xf>
    <xf numFmtId="175" fontId="24" fillId="0" borderId="0" xfId="0" applyNumberFormat="1" applyFont="1" applyAlignment="1">
      <alignment horizontal="center"/>
    </xf>
    <xf numFmtId="176" fontId="24" fillId="0" borderId="0" xfId="0" applyNumberFormat="1" applyFont="1" applyAlignment="1">
      <alignment horizontal="center"/>
    </xf>
    <xf numFmtId="0" fontId="44" fillId="0" borderId="0" xfId="0" applyFont="1" applyAlignment="1">
      <alignment horizontal="centerContinuous"/>
    </xf>
    <xf numFmtId="0" fontId="49" fillId="0" borderId="39" xfId="0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50" fillId="0" borderId="40" xfId="0" applyFont="1" applyBorder="1" applyAlignment="1">
      <alignment vertical="center"/>
    </xf>
    <xf numFmtId="0" fontId="23" fillId="0" borderId="40" xfId="0" applyFont="1" applyBorder="1"/>
    <xf numFmtId="0" fontId="23" fillId="0" borderId="41" xfId="0" applyFont="1" applyBorder="1"/>
    <xf numFmtId="0" fontId="23" fillId="0" borderId="4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23" fillId="0" borderId="0" xfId="0" applyFont="1"/>
    <xf numFmtId="178" fontId="23" fillId="0" borderId="0" xfId="0" applyNumberFormat="1" applyFont="1"/>
    <xf numFmtId="0" fontId="23" fillId="0" borderId="44" xfId="0" applyFont="1" applyBorder="1" applyAlignment="1">
      <alignment vertical="center"/>
    </xf>
    <xf numFmtId="0" fontId="23" fillId="0" borderId="45" xfId="0" applyFont="1" applyBorder="1" applyAlignment="1">
      <alignment vertical="center"/>
    </xf>
    <xf numFmtId="0" fontId="51" fillId="0" borderId="45" xfId="0" applyFont="1" applyBorder="1" applyAlignment="1">
      <alignment vertical="center"/>
    </xf>
    <xf numFmtId="0" fontId="23" fillId="0" borderId="45" xfId="0" applyFont="1" applyBorder="1"/>
    <xf numFmtId="166" fontId="21" fillId="0" borderId="22" xfId="0" applyNumberFormat="1" applyFont="1" applyBorder="1" applyAlignment="1">
      <alignment horizontal="centerContinuous"/>
    </xf>
    <xf numFmtId="166" fontId="40" fillId="0" borderId="0" xfId="0" applyNumberFormat="1" applyFont="1" applyAlignment="1">
      <alignment horizontal="centerContinuous"/>
    </xf>
    <xf numFmtId="166" fontId="44" fillId="0" borderId="22" xfId="0" applyNumberFormat="1" applyFont="1" applyBorder="1" applyAlignment="1">
      <alignment horizontal="centerContinuous"/>
    </xf>
    <xf numFmtId="0" fontId="53" fillId="0" borderId="0" xfId="0" applyFont="1" applyAlignment="1">
      <alignment vertical="center"/>
    </xf>
    <xf numFmtId="177" fontId="53" fillId="0" borderId="0" xfId="0" applyNumberFormat="1" applyFont="1" applyAlignment="1">
      <alignment vertical="center"/>
    </xf>
    <xf numFmtId="183" fontId="23" fillId="0" borderId="0" xfId="0" applyNumberFormat="1" applyFont="1" applyAlignment="1">
      <alignment vertical="center"/>
    </xf>
    <xf numFmtId="0" fontId="31" fillId="0" borderId="58" xfId="0" applyFont="1" applyBorder="1"/>
    <xf numFmtId="179" fontId="45" fillId="0" borderId="59" xfId="0" applyNumberFormat="1" applyFont="1" applyBorder="1"/>
    <xf numFmtId="180" fontId="45" fillId="0" borderId="59" xfId="0" applyNumberFormat="1" applyFont="1" applyBorder="1"/>
    <xf numFmtId="182" fontId="45" fillId="0" borderId="59" xfId="0" applyNumberFormat="1" applyFont="1" applyBorder="1"/>
    <xf numFmtId="0" fontId="54" fillId="0" borderId="0" xfId="0" applyFont="1" applyAlignment="1">
      <alignment horizontal="centerContinuous"/>
    </xf>
    <xf numFmtId="0" fontId="26" fillId="2" borderId="39" xfId="0" applyFont="1" applyFill="1" applyBorder="1"/>
    <xf numFmtId="0" fontId="16" fillId="2" borderId="40" xfId="0" applyFont="1" applyFill="1" applyBorder="1"/>
    <xf numFmtId="0" fontId="16" fillId="2" borderId="41" xfId="0" applyFont="1" applyFill="1" applyBorder="1"/>
    <xf numFmtId="0" fontId="24" fillId="0" borderId="42" xfId="0" applyFont="1" applyBorder="1"/>
    <xf numFmtId="0" fontId="16" fillId="0" borderId="43" xfId="0" applyFont="1" applyBorder="1"/>
    <xf numFmtId="0" fontId="16" fillId="0" borderId="42" xfId="0" quotePrefix="1" applyFont="1" applyBorder="1" applyAlignment="1">
      <alignment horizontal="left"/>
    </xf>
    <xf numFmtId="0" fontId="16" fillId="0" borderId="42" xfId="0" applyFont="1" applyBorder="1"/>
    <xf numFmtId="0" fontId="16" fillId="0" borderId="42" xfId="0" quotePrefix="1" applyFont="1" applyBorder="1"/>
    <xf numFmtId="183" fontId="4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6" fillId="0" borderId="44" xfId="0" quotePrefix="1" applyFont="1" applyBorder="1"/>
    <xf numFmtId="0" fontId="31" fillId="0" borderId="45" xfId="0" applyFont="1" applyBorder="1" applyAlignment="1">
      <alignment horizontal="center"/>
    </xf>
    <xf numFmtId="0" fontId="55" fillId="0" borderId="0" xfId="0" applyFont="1" applyAlignment="1">
      <alignment horizontal="centerContinuous"/>
    </xf>
    <xf numFmtId="0" fontId="18" fillId="0" borderId="0" xfId="0" applyFont="1" applyAlignment="1">
      <alignment horizontal="centerContinuous"/>
    </xf>
    <xf numFmtId="17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left"/>
    </xf>
    <xf numFmtId="0" fontId="48" fillId="0" borderId="0" xfId="0" applyFont="1"/>
    <xf numFmtId="0" fontId="57" fillId="0" borderId="0" xfId="0" quotePrefix="1" applyFont="1" applyAlignment="1">
      <alignment horizontal="left"/>
    </xf>
    <xf numFmtId="0" fontId="57" fillId="0" borderId="0" xfId="0" applyFont="1" applyAlignment="1">
      <alignment horizontal="left"/>
    </xf>
    <xf numFmtId="0" fontId="57" fillId="0" borderId="0" xfId="0" applyFont="1"/>
    <xf numFmtId="0" fontId="49" fillId="0" borderId="0" xfId="0" quotePrefix="1" applyFont="1" applyAlignment="1">
      <alignment horizontal="left"/>
    </xf>
    <xf numFmtId="0" fontId="49" fillId="0" borderId="0" xfId="0" applyFont="1" applyAlignment="1">
      <alignment horizontal="left"/>
    </xf>
    <xf numFmtId="0" fontId="49" fillId="0" borderId="0" xfId="0" applyFont="1"/>
    <xf numFmtId="0" fontId="58" fillId="0" borderId="0" xfId="0" applyFont="1"/>
    <xf numFmtId="1" fontId="35" fillId="0" borderId="0" xfId="0" applyNumberFormat="1" applyFont="1"/>
    <xf numFmtId="2" fontId="21" fillId="0" borderId="0" xfId="0" applyNumberFormat="1" applyFont="1"/>
    <xf numFmtId="2" fontId="42" fillId="0" borderId="0" xfId="0" applyNumberFormat="1" applyFont="1"/>
    <xf numFmtId="174" fontId="42" fillId="0" borderId="0" xfId="0" applyNumberFormat="1" applyFont="1"/>
    <xf numFmtId="174" fontId="36" fillId="0" borderId="40" xfId="0" applyNumberFormat="1" applyFont="1" applyBorder="1"/>
    <xf numFmtId="174" fontId="42" fillId="0" borderId="45" xfId="0" applyNumberFormat="1" applyFont="1" applyBorder="1"/>
    <xf numFmtId="174" fontId="36" fillId="0" borderId="0" xfId="0" applyNumberFormat="1" applyFont="1"/>
    <xf numFmtId="174" fontId="42" fillId="0" borderId="40" xfId="0" applyNumberFormat="1" applyFont="1" applyBorder="1"/>
    <xf numFmtId="174" fontId="21" fillId="0" borderId="40" xfId="0" applyNumberFormat="1" applyFont="1" applyBorder="1"/>
    <xf numFmtId="174" fontId="21" fillId="0" borderId="43" xfId="0" applyNumberFormat="1" applyFont="1" applyBorder="1"/>
    <xf numFmtId="174" fontId="31" fillId="0" borderId="45" xfId="0" applyNumberFormat="1" applyFont="1" applyBorder="1"/>
    <xf numFmtId="174" fontId="31" fillId="0" borderId="46" xfId="0" applyNumberFormat="1" applyFont="1" applyBorder="1"/>
    <xf numFmtId="2" fontId="31" fillId="0" borderId="0" xfId="0" applyNumberFormat="1" applyFont="1"/>
    <xf numFmtId="2" fontId="31" fillId="0" borderId="32" xfId="0" applyNumberFormat="1" applyFont="1" applyBorder="1"/>
    <xf numFmtId="174" fontId="31" fillId="0" borderId="0" xfId="0" applyNumberFormat="1" applyFont="1"/>
    <xf numFmtId="174" fontId="31" fillId="0" borderId="32" xfId="0" applyNumberFormat="1" applyFont="1" applyBorder="1"/>
    <xf numFmtId="174" fontId="31" fillId="0" borderId="6" xfId="0" applyNumberFormat="1" applyFont="1" applyBorder="1"/>
    <xf numFmtId="174" fontId="21" fillId="0" borderId="17" xfId="0" applyNumberFormat="1" applyFont="1" applyBorder="1"/>
    <xf numFmtId="174" fontId="31" fillId="0" borderId="22" xfId="0" applyNumberFormat="1" applyFont="1" applyBorder="1"/>
    <xf numFmtId="0" fontId="21" fillId="0" borderId="58" xfId="0" applyFont="1" applyBorder="1"/>
    <xf numFmtId="0" fontId="21" fillId="0" borderId="57" xfId="0" applyFont="1" applyBorder="1"/>
    <xf numFmtId="9" fontId="21" fillId="0" borderId="59" xfId="0" applyNumberFormat="1" applyFont="1" applyBorder="1"/>
    <xf numFmtId="174" fontId="31" fillId="0" borderId="40" xfId="0" applyNumberFormat="1" applyFont="1" applyBorder="1"/>
    <xf numFmtId="174" fontId="21" fillId="0" borderId="0" xfId="1" applyNumberFormat="1" applyFont="1"/>
    <xf numFmtId="0" fontId="53" fillId="0" borderId="0" xfId="0" applyFont="1"/>
    <xf numFmtId="0" fontId="50" fillId="0" borderId="0" xfId="0" applyFont="1"/>
    <xf numFmtId="185" fontId="53" fillId="0" borderId="0" xfId="0" applyNumberFormat="1" applyFont="1"/>
    <xf numFmtId="0" fontId="59" fillId="0" borderId="0" xfId="0" applyFont="1"/>
    <xf numFmtId="0" fontId="60" fillId="0" borderId="45" xfId="0" applyFont="1" applyBorder="1"/>
    <xf numFmtId="173" fontId="61" fillId="0" borderId="45" xfId="0" applyNumberFormat="1" applyFont="1" applyBorder="1"/>
    <xf numFmtId="173" fontId="52" fillId="0" borderId="45" xfId="0" applyNumberFormat="1" applyFont="1" applyBorder="1"/>
    <xf numFmtId="0" fontId="60" fillId="0" borderId="0" xfId="0" applyFont="1"/>
    <xf numFmtId="173" fontId="62" fillId="0" borderId="0" xfId="0" applyNumberFormat="1" applyFont="1" applyAlignment="1">
      <alignment horizontal="right"/>
    </xf>
    <xf numFmtId="173" fontId="52" fillId="0" borderId="0" xfId="0" applyNumberFormat="1" applyFont="1"/>
    <xf numFmtId="37" fontId="63" fillId="0" borderId="0" xfId="0" applyNumberFormat="1" applyFont="1"/>
    <xf numFmtId="9" fontId="64" fillId="0" borderId="0" xfId="0" applyNumberFormat="1" applyFont="1"/>
    <xf numFmtId="173" fontId="48" fillId="0" borderId="0" xfId="0" applyNumberFormat="1" applyFont="1" applyAlignment="1">
      <alignment horizontal="center"/>
    </xf>
    <xf numFmtId="37" fontId="63" fillId="0" borderId="45" xfId="0" applyNumberFormat="1" applyFont="1" applyBorder="1"/>
    <xf numFmtId="9" fontId="65" fillId="0" borderId="0" xfId="0" applyNumberFormat="1" applyFont="1"/>
    <xf numFmtId="37" fontId="66" fillId="0" borderId="0" xfId="0" applyNumberFormat="1" applyFont="1"/>
    <xf numFmtId="37" fontId="67" fillId="0" borderId="0" xfId="0" applyNumberFormat="1" applyFont="1"/>
    <xf numFmtId="37" fontId="62" fillId="0" borderId="0" xfId="0" applyNumberFormat="1" applyFont="1"/>
    <xf numFmtId="5" fontId="67" fillId="0" borderId="0" xfId="0" applyNumberFormat="1" applyFont="1"/>
    <xf numFmtId="0" fontId="64" fillId="0" borderId="0" xfId="0" applyFont="1"/>
    <xf numFmtId="37" fontId="48" fillId="0" borderId="0" xfId="0" applyNumberFormat="1" applyFont="1" applyAlignment="1">
      <alignment horizontal="left"/>
    </xf>
    <xf numFmtId="37" fontId="68" fillId="0" borderId="0" xfId="0" applyNumberFormat="1" applyFont="1"/>
    <xf numFmtId="37" fontId="48" fillId="0" borderId="45" xfId="0" applyNumberFormat="1" applyFont="1" applyBorder="1"/>
    <xf numFmtId="173" fontId="48" fillId="0" borderId="0" xfId="0" quotePrefix="1" applyNumberFormat="1" applyFont="1" applyAlignment="1">
      <alignment horizontal="center"/>
    </xf>
    <xf numFmtId="5" fontId="63" fillId="0" borderId="0" xfId="0" applyNumberFormat="1" applyFont="1"/>
    <xf numFmtId="39" fontId="63" fillId="0" borderId="0" xfId="0" applyNumberFormat="1" applyFont="1"/>
    <xf numFmtId="39" fontId="48" fillId="0" borderId="45" xfId="0" applyNumberFormat="1" applyFont="1" applyBorder="1"/>
    <xf numFmtId="7" fontId="67" fillId="0" borderId="0" xfId="0" applyNumberFormat="1" applyFont="1"/>
    <xf numFmtId="37" fontId="69" fillId="0" borderId="0" xfId="0" applyNumberFormat="1" applyFont="1"/>
    <xf numFmtId="173" fontId="67" fillId="0" borderId="60" xfId="0" applyNumberFormat="1" applyFont="1" applyBorder="1" applyAlignment="1">
      <alignment horizontal="center"/>
    </xf>
    <xf numFmtId="178" fontId="63" fillId="0" borderId="0" xfId="0" applyNumberFormat="1" applyFont="1"/>
    <xf numFmtId="0" fontId="63" fillId="0" borderId="0" xfId="0" applyFont="1"/>
    <xf numFmtId="174" fontId="42" fillId="0" borderId="11" xfId="0" applyNumberFormat="1" applyFont="1" applyBorder="1"/>
    <xf numFmtId="0" fontId="16" fillId="0" borderId="0" xfId="0" quotePrefix="1" applyFont="1"/>
    <xf numFmtId="0" fontId="18" fillId="0" borderId="45" xfId="0" applyFont="1" applyBorder="1" applyAlignment="1">
      <alignment horizontal="centerContinuous"/>
    </xf>
    <xf numFmtId="0" fontId="21" fillId="0" borderId="45" xfId="0" applyFont="1" applyBorder="1" applyAlignment="1">
      <alignment horizontal="centerContinuous"/>
    </xf>
    <xf numFmtId="0" fontId="55" fillId="0" borderId="45" xfId="0" applyFont="1" applyBorder="1" applyAlignment="1">
      <alignment horizontal="centerContinuous"/>
    </xf>
    <xf numFmtId="0" fontId="42" fillId="0" borderId="27" xfId="0" applyFont="1" applyBorder="1"/>
    <xf numFmtId="10" fontId="42" fillId="0" borderId="0" xfId="0" applyNumberFormat="1" applyFont="1"/>
    <xf numFmtId="9" fontId="42" fillId="0" borderId="6" xfId="0" applyNumberFormat="1" applyFont="1" applyBorder="1"/>
    <xf numFmtId="9" fontId="42" fillId="0" borderId="7" xfId="0" applyNumberFormat="1" applyFont="1" applyBorder="1"/>
    <xf numFmtId="9" fontId="42" fillId="0" borderId="0" xfId="0" applyNumberFormat="1" applyFont="1"/>
    <xf numFmtId="9" fontId="42" fillId="0" borderId="9" xfId="0" applyNumberFormat="1" applyFont="1" applyBorder="1"/>
    <xf numFmtId="9" fontId="42" fillId="0" borderId="11" xfId="0" applyNumberFormat="1" applyFont="1" applyBorder="1"/>
    <xf numFmtId="9" fontId="42" fillId="0" borderId="12" xfId="0" applyNumberFormat="1" applyFont="1" applyBorder="1"/>
    <xf numFmtId="173" fontId="42" fillId="0" borderId="6" xfId="0" applyNumberFormat="1" applyFont="1" applyBorder="1"/>
    <xf numFmtId="173" fontId="42" fillId="0" borderId="0" xfId="0" applyNumberFormat="1" applyFont="1"/>
    <xf numFmtId="173" fontId="42" fillId="0" borderId="11" xfId="0" applyNumberFormat="1" applyFont="1" applyBorder="1"/>
    <xf numFmtId="173" fontId="31" fillId="0" borderId="24" xfId="0" applyNumberFormat="1" applyFont="1" applyBorder="1"/>
    <xf numFmtId="173" fontId="31" fillId="0" borderId="25" xfId="0" applyNumberFormat="1" applyFont="1" applyBorder="1"/>
    <xf numFmtId="9" fontId="31" fillId="0" borderId="24" xfId="2" applyFont="1" applyBorder="1"/>
    <xf numFmtId="9" fontId="31" fillId="0" borderId="25" xfId="2" applyFont="1" applyBorder="1"/>
    <xf numFmtId="0" fontId="42" fillId="0" borderId="6" xfId="0" applyFont="1" applyBorder="1"/>
    <xf numFmtId="187" fontId="42" fillId="0" borderId="9" xfId="0" applyNumberFormat="1" applyFont="1" applyBorder="1"/>
    <xf numFmtId="0" fontId="42" fillId="0" borderId="11" xfId="0" applyFont="1" applyBorder="1"/>
    <xf numFmtId="187" fontId="42" fillId="0" borderId="12" xfId="0" applyNumberFormat="1" applyFont="1" applyBorder="1"/>
    <xf numFmtId="0" fontId="21" fillId="0" borderId="61" xfId="0" applyFont="1" applyBorder="1"/>
    <xf numFmtId="174" fontId="42" fillId="0" borderId="6" xfId="0" applyNumberFormat="1" applyFont="1" applyBorder="1"/>
    <xf numFmtId="174" fontId="42" fillId="0" borderId="7" xfId="0" applyNumberFormat="1" applyFont="1" applyBorder="1"/>
    <xf numFmtId="174" fontId="42" fillId="0" borderId="9" xfId="0" applyNumberFormat="1" applyFont="1" applyBorder="1"/>
    <xf numFmtId="174" fontId="42" fillId="0" borderId="12" xfId="0" applyNumberFormat="1" applyFont="1" applyBorder="1"/>
    <xf numFmtId="186" fontId="31" fillId="0" borderId="24" xfId="1" applyNumberFormat="1" applyFont="1" applyBorder="1"/>
    <xf numFmtId="186" fontId="31" fillId="0" borderId="25" xfId="1" applyNumberFormat="1" applyFont="1" applyBorder="1"/>
    <xf numFmtId="173" fontId="31" fillId="0" borderId="24" xfId="2" applyNumberFormat="1" applyFont="1" applyBorder="1"/>
    <xf numFmtId="173" fontId="31" fillId="0" borderId="25" xfId="2" applyNumberFormat="1" applyFont="1" applyBorder="1"/>
    <xf numFmtId="188" fontId="31" fillId="0" borderId="24" xfId="1" applyNumberFormat="1" applyFont="1" applyBorder="1"/>
    <xf numFmtId="188" fontId="31" fillId="0" borderId="25" xfId="1" applyNumberFormat="1" applyFont="1" applyBorder="1"/>
    <xf numFmtId="1" fontId="42" fillId="0" borderId="0" xfId="0" applyNumberFormat="1" applyFont="1"/>
    <xf numFmtId="169" fontId="42" fillId="0" borderId="0" xfId="0" applyNumberFormat="1" applyFont="1"/>
    <xf numFmtId="169" fontId="31" fillId="0" borderId="11" xfId="0" applyNumberFormat="1" applyFont="1" applyBorder="1"/>
    <xf numFmtId="169" fontId="31" fillId="0" borderId="53" xfId="0" applyNumberFormat="1" applyFont="1" applyBorder="1"/>
    <xf numFmtId="169" fontId="31" fillId="0" borderId="6" xfId="0" applyNumberFormat="1" applyFont="1" applyBorder="1"/>
    <xf numFmtId="169" fontId="31" fillId="0" borderId="52" xfId="0" applyNumberFormat="1" applyFont="1" applyBorder="1"/>
    <xf numFmtId="170" fontId="16" fillId="0" borderId="40" xfId="0" applyNumberFormat="1" applyFont="1" applyBorder="1"/>
    <xf numFmtId="170" fontId="16" fillId="0" borderId="41" xfId="0" applyNumberFormat="1" applyFont="1" applyBorder="1"/>
    <xf numFmtId="169" fontId="16" fillId="0" borderId="45" xfId="0" applyNumberFormat="1" applyFont="1" applyBorder="1"/>
    <xf numFmtId="169" fontId="16" fillId="0" borderId="46" xfId="0" applyNumberFormat="1" applyFont="1" applyBorder="1"/>
    <xf numFmtId="10" fontId="21" fillId="0" borderId="0" xfId="2" applyNumberFormat="1" applyFont="1"/>
    <xf numFmtId="0" fontId="45" fillId="0" borderId="27" xfId="0" applyFont="1" applyBorder="1" applyAlignment="1">
      <alignment wrapText="1"/>
    </xf>
    <xf numFmtId="0" fontId="45" fillId="0" borderId="49" xfId="0" applyFont="1" applyBorder="1" applyAlignment="1">
      <alignment wrapText="1"/>
    </xf>
    <xf numFmtId="10" fontId="45" fillId="0" borderId="0" xfId="2" quotePrefix="1" applyNumberFormat="1" applyFont="1"/>
    <xf numFmtId="10" fontId="45" fillId="0" borderId="48" xfId="2" quotePrefix="1" applyNumberFormat="1" applyFont="1" applyBorder="1"/>
    <xf numFmtId="10" fontId="45" fillId="0" borderId="48" xfId="0" applyNumberFormat="1" applyFont="1" applyBorder="1"/>
    <xf numFmtId="9" fontId="70" fillId="0" borderId="14" xfId="2" applyFont="1" applyBorder="1"/>
    <xf numFmtId="9" fontId="70" fillId="0" borderId="51" xfId="2" applyFont="1" applyBorder="1"/>
    <xf numFmtId="0" fontId="16" fillId="0" borderId="39" xfId="0" applyFont="1" applyBorder="1"/>
    <xf numFmtId="0" fontId="16" fillId="0" borderId="44" xfId="0" applyFont="1" applyBorder="1"/>
    <xf numFmtId="10" fontId="42" fillId="0" borderId="40" xfId="2" applyNumberFormat="1" applyFont="1" applyBorder="1"/>
    <xf numFmtId="10" fontId="45" fillId="0" borderId="40" xfId="2" applyNumberFormat="1" applyFont="1" applyBorder="1"/>
    <xf numFmtId="10" fontId="45" fillId="0" borderId="41" xfId="2" applyNumberFormat="1" applyFont="1" applyBorder="1"/>
    <xf numFmtId="10" fontId="42" fillId="0" borderId="45" xfId="2" applyNumberFormat="1" applyFont="1" applyBorder="1"/>
    <xf numFmtId="10" fontId="45" fillId="0" borderId="45" xfId="2" applyNumberFormat="1" applyFont="1" applyBorder="1"/>
    <xf numFmtId="10" fontId="45" fillId="0" borderId="46" xfId="2" applyNumberFormat="1" applyFont="1" applyBorder="1"/>
    <xf numFmtId="167" fontId="42" fillId="0" borderId="0" xfId="0" applyNumberFormat="1" applyFont="1"/>
    <xf numFmtId="167" fontId="45" fillId="0" borderId="0" xfId="0" applyNumberFormat="1" applyFont="1"/>
    <xf numFmtId="2" fontId="31" fillId="0" borderId="54" xfId="0" applyNumberFormat="1" applyFont="1" applyBorder="1"/>
    <xf numFmtId="174" fontId="22" fillId="0" borderId="0" xfId="0" applyNumberFormat="1" applyFont="1"/>
    <xf numFmtId="174" fontId="23" fillId="0" borderId="45" xfId="0" applyNumberFormat="1" applyFont="1" applyBorder="1"/>
    <xf numFmtId="174" fontId="21" fillId="0" borderId="45" xfId="0" applyNumberFormat="1" applyFont="1" applyBorder="1"/>
    <xf numFmtId="174" fontId="42" fillId="0" borderId="45" xfId="0" quotePrefix="1" applyNumberFormat="1" applyFont="1" applyBorder="1"/>
    <xf numFmtId="174" fontId="45" fillId="0" borderId="0" xfId="0" applyNumberFormat="1" applyFont="1"/>
    <xf numFmtId="174" fontId="45" fillId="0" borderId="45" xfId="0" applyNumberFormat="1" applyFont="1" applyBorder="1"/>
    <xf numFmtId="174" fontId="45" fillId="0" borderId="40" xfId="0" applyNumberFormat="1" applyFont="1" applyBorder="1"/>
    <xf numFmtId="169" fontId="21" fillId="0" borderId="43" xfId="0" applyNumberFormat="1" applyFont="1" applyBorder="1"/>
    <xf numFmtId="169" fontId="21" fillId="0" borderId="46" xfId="0" applyNumberFormat="1" applyFont="1" applyBorder="1"/>
    <xf numFmtId="0" fontId="21" fillId="0" borderId="39" xfId="0" applyFont="1" applyBorder="1" applyAlignment="1">
      <alignment horizontal="centerContinuous"/>
    </xf>
    <xf numFmtId="0" fontId="21" fillId="0" borderId="41" xfId="0" applyFont="1" applyBorder="1" applyAlignment="1">
      <alignment horizontal="centerContinuous"/>
    </xf>
    <xf numFmtId="39" fontId="31" fillId="0" borderId="0" xfId="0" applyNumberFormat="1" applyFont="1"/>
    <xf numFmtId="39" fontId="21" fillId="0" borderId="0" xfId="0" applyNumberFormat="1" applyFont="1"/>
    <xf numFmtId="39" fontId="21" fillId="0" borderId="11" xfId="0" applyNumberFormat="1" applyFont="1" applyBorder="1"/>
    <xf numFmtId="39" fontId="21" fillId="0" borderId="17" xfId="0" applyNumberFormat="1" applyFont="1" applyBorder="1"/>
    <xf numFmtId="39" fontId="21" fillId="0" borderId="18" xfId="0" applyNumberFormat="1" applyFont="1" applyBorder="1"/>
    <xf numFmtId="39" fontId="21" fillId="0" borderId="20" xfId="0" applyNumberFormat="1" applyFont="1" applyBorder="1"/>
    <xf numFmtId="39" fontId="21" fillId="0" borderId="22" xfId="0" applyNumberFormat="1" applyFont="1" applyBorder="1"/>
    <xf numFmtId="39" fontId="21" fillId="0" borderId="34" xfId="0" applyNumberFormat="1" applyFont="1" applyBorder="1"/>
    <xf numFmtId="9" fontId="45" fillId="0" borderId="35" xfId="0" applyNumberFormat="1" applyFont="1" applyBorder="1"/>
    <xf numFmtId="9" fontId="45" fillId="0" borderId="25" xfId="0" applyNumberFormat="1" applyFont="1" applyBorder="1"/>
    <xf numFmtId="39" fontId="45" fillId="0" borderId="0" xfId="0" applyNumberFormat="1" applyFont="1"/>
    <xf numFmtId="1" fontId="45" fillId="0" borderId="0" xfId="0" applyNumberFormat="1" applyFont="1"/>
    <xf numFmtId="174" fontId="21" fillId="0" borderId="22" xfId="0" applyNumberFormat="1" applyFont="1" applyBorder="1"/>
    <xf numFmtId="7" fontId="23" fillId="0" borderId="45" xfId="0" applyNumberFormat="1" applyFont="1" applyBorder="1"/>
    <xf numFmtId="0" fontId="49" fillId="0" borderId="0" xfId="0" applyFont="1" applyAlignment="1">
      <alignment vertical="center"/>
    </xf>
    <xf numFmtId="7" fontId="23" fillId="0" borderId="0" xfId="0" applyNumberFormat="1" applyFont="1"/>
    <xf numFmtId="7" fontId="23" fillId="0" borderId="43" xfId="0" applyNumberFormat="1" applyFont="1" applyBorder="1"/>
    <xf numFmtId="7" fontId="23" fillId="0" borderId="46" xfId="0" applyNumberFormat="1" applyFont="1" applyBorder="1"/>
    <xf numFmtId="184" fontId="23" fillId="0" borderId="0" xfId="0" applyNumberFormat="1" applyFont="1" applyAlignment="1">
      <alignment vertical="center"/>
    </xf>
    <xf numFmtId="174" fontId="23" fillId="0" borderId="0" xfId="0" applyNumberFormat="1" applyFont="1"/>
    <xf numFmtId="173" fontId="71" fillId="0" borderId="45" xfId="0" applyNumberFormat="1" applyFont="1" applyBorder="1" applyAlignment="1">
      <alignment horizontal="right"/>
    </xf>
    <xf numFmtId="173" fontId="72" fillId="0" borderId="60" xfId="0" applyNumberFormat="1" applyFont="1" applyBorder="1" applyAlignment="1">
      <alignment horizontal="center"/>
    </xf>
    <xf numFmtId="39" fontId="73" fillId="0" borderId="45" xfId="0" applyNumberFormat="1" applyFont="1" applyBorder="1"/>
    <xf numFmtId="0" fontId="74" fillId="0" borderId="0" xfId="0" applyFont="1" applyAlignment="1">
      <alignment horizontal="centerContinuous"/>
    </xf>
    <xf numFmtId="0" fontId="75" fillId="0" borderId="0" xfId="0" applyFont="1" applyAlignment="1">
      <alignment horizontal="centerContinuous"/>
    </xf>
    <xf numFmtId="37" fontId="48" fillId="0" borderId="39" xfId="0" applyNumberFormat="1" applyFont="1" applyBorder="1" applyAlignment="1">
      <alignment vertical="center"/>
    </xf>
    <xf numFmtId="0" fontId="62" fillId="0" borderId="40" xfId="0" applyFont="1" applyBorder="1" applyAlignment="1">
      <alignment vertical="center"/>
    </xf>
    <xf numFmtId="0" fontId="48" fillId="0" borderId="40" xfId="0" applyFont="1" applyBorder="1" applyAlignment="1">
      <alignment vertical="center"/>
    </xf>
    <xf numFmtId="5" fontId="48" fillId="0" borderId="41" xfId="0" applyNumberFormat="1" applyFont="1" applyBorder="1" applyAlignment="1">
      <alignment vertical="center"/>
    </xf>
    <xf numFmtId="0" fontId="76" fillId="0" borderId="0" xfId="0" applyFont="1" applyAlignment="1">
      <alignment horizontal="left"/>
    </xf>
    <xf numFmtId="39" fontId="48" fillId="0" borderId="42" xfId="0" applyNumberFormat="1" applyFont="1" applyBorder="1"/>
    <xf numFmtId="0" fontId="77" fillId="0" borderId="0" xfId="0" applyFont="1" applyAlignment="1">
      <alignment horizontal="centerContinuous"/>
    </xf>
    <xf numFmtId="0" fontId="75" fillId="0" borderId="0" xfId="0" applyFont="1" applyAlignment="1">
      <alignment horizontal="left"/>
    </xf>
    <xf numFmtId="0" fontId="48" fillId="0" borderId="44" xfId="0" applyFont="1" applyBorder="1"/>
    <xf numFmtId="0" fontId="48" fillId="0" borderId="45" xfId="0" applyFont="1" applyBorder="1"/>
    <xf numFmtId="0" fontId="79" fillId="0" borderId="0" xfId="0" applyFont="1"/>
    <xf numFmtId="0" fontId="48" fillId="0" borderId="0" xfId="0" applyFont="1" applyAlignment="1">
      <alignment horizontal="centerContinuous"/>
    </xf>
    <xf numFmtId="0" fontId="57" fillId="0" borderId="0" xfId="0" applyFont="1" applyAlignment="1">
      <alignment horizontal="centerContinuous"/>
    </xf>
    <xf numFmtId="0" fontId="48" fillId="0" borderId="0" xfId="0" applyFont="1" applyAlignment="1">
      <alignment horizontal="left"/>
    </xf>
    <xf numFmtId="37" fontId="48" fillId="0" borderId="0" xfId="0" applyNumberFormat="1" applyFont="1"/>
    <xf numFmtId="0" fontId="52" fillId="0" borderId="0" xfId="0" applyFont="1" applyAlignment="1">
      <alignment horizontal="center"/>
    </xf>
    <xf numFmtId="0" fontId="57" fillId="0" borderId="45" xfId="0" applyFont="1" applyBorder="1" applyAlignment="1">
      <alignment horizontal="left"/>
    </xf>
    <xf numFmtId="0" fontId="57" fillId="0" borderId="45" xfId="0" applyFont="1" applyBorder="1" applyAlignment="1">
      <alignment horizontal="centerContinuous"/>
    </xf>
    <xf numFmtId="0" fontId="52" fillId="0" borderId="0" xfId="0" applyFont="1" applyAlignment="1">
      <alignment horizontal="centerContinuous"/>
    </xf>
    <xf numFmtId="0" fontId="48" fillId="0" borderId="0" xfId="0" applyFont="1" applyAlignment="1">
      <alignment horizontal="center"/>
    </xf>
    <xf numFmtId="0" fontId="48" fillId="0" borderId="39" xfId="0" applyFont="1" applyBorder="1"/>
    <xf numFmtId="0" fontId="48" fillId="0" borderId="40" xfId="0" applyFont="1" applyBorder="1"/>
    <xf numFmtId="0" fontId="48" fillId="0" borderId="41" xfId="0" applyFont="1" applyBorder="1"/>
    <xf numFmtId="0" fontId="77" fillId="0" borderId="0" xfId="0" applyFont="1"/>
    <xf numFmtId="37" fontId="62" fillId="0" borderId="0" xfId="0" applyNumberFormat="1" applyFont="1" applyAlignment="1">
      <alignment horizontal="right"/>
    </xf>
    <xf numFmtId="0" fontId="52" fillId="0" borderId="0" xfId="0" applyFont="1" applyAlignment="1">
      <alignment horizontal="right"/>
    </xf>
    <xf numFmtId="37" fontId="48" fillId="0" borderId="0" xfId="0" applyNumberFormat="1" applyFont="1" applyAlignment="1">
      <alignment horizontal="right"/>
    </xf>
    <xf numFmtId="39" fontId="48" fillId="0" borderId="0" xfId="0" applyNumberFormat="1" applyFont="1" applyAlignment="1">
      <alignment horizontal="right"/>
    </xf>
    <xf numFmtId="184" fontId="48" fillId="0" borderId="0" xfId="0" applyNumberFormat="1" applyFont="1" applyAlignment="1">
      <alignment horizontal="right"/>
    </xf>
    <xf numFmtId="37" fontId="80" fillId="0" borderId="0" xfId="0" applyNumberFormat="1" applyFont="1" applyAlignment="1">
      <alignment horizontal="right"/>
    </xf>
    <xf numFmtId="0" fontId="48" fillId="0" borderId="42" xfId="0" applyFont="1" applyBorder="1"/>
    <xf numFmtId="37" fontId="48" fillId="0" borderId="43" xfId="0" applyNumberFormat="1" applyFont="1" applyBorder="1"/>
    <xf numFmtId="37" fontId="79" fillId="0" borderId="0" xfId="0" applyNumberFormat="1" applyFont="1"/>
    <xf numFmtId="0" fontId="52" fillId="0" borderId="45" xfId="0" applyFont="1" applyBorder="1" applyAlignment="1">
      <alignment horizontal="center"/>
    </xf>
    <xf numFmtId="37" fontId="48" fillId="0" borderId="46" xfId="0" applyNumberFormat="1" applyFont="1" applyBorder="1"/>
    <xf numFmtId="1" fontId="79" fillId="0" borderId="0" xfId="0" applyNumberFormat="1" applyFont="1" applyAlignment="1">
      <alignment horizontal="center"/>
    </xf>
    <xf numFmtId="189" fontId="48" fillId="0" borderId="0" xfId="0" applyNumberFormat="1" applyFont="1"/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centerContinuous"/>
    </xf>
    <xf numFmtId="0" fontId="57" fillId="0" borderId="45" xfId="0" quotePrefix="1" applyFont="1" applyBorder="1" applyAlignment="1">
      <alignment horizontal="left"/>
    </xf>
    <xf numFmtId="37" fontId="62" fillId="0" borderId="0" xfId="0" applyNumberFormat="1" applyFont="1" applyAlignment="1">
      <alignment horizontal="centerContinuous"/>
    </xf>
    <xf numFmtId="190" fontId="62" fillId="0" borderId="0" xfId="0" applyNumberFormat="1" applyFont="1" applyAlignment="1">
      <alignment horizontal="right"/>
    </xf>
    <xf numFmtId="39" fontId="48" fillId="0" borderId="0" xfId="0" applyNumberFormat="1" applyFont="1" applyAlignment="1">
      <alignment horizontal="left"/>
    </xf>
    <xf numFmtId="191" fontId="48" fillId="0" borderId="0" xfId="0" applyNumberFormat="1" applyFont="1"/>
    <xf numFmtId="0" fontId="83" fillId="0" borderId="0" xfId="0" quotePrefix="1" applyFont="1" applyAlignment="1">
      <alignment horizontal="right"/>
    </xf>
    <xf numFmtId="0" fontId="79" fillId="0" borderId="45" xfId="0" applyFont="1" applyBorder="1"/>
    <xf numFmtId="0" fontId="81" fillId="0" borderId="45" xfId="0" applyFont="1" applyBorder="1" applyAlignment="1">
      <alignment horizontal="center"/>
    </xf>
    <xf numFmtId="37" fontId="84" fillId="0" borderId="45" xfId="0" applyNumberFormat="1" applyFont="1" applyBorder="1" applyAlignment="1">
      <alignment horizontal="right"/>
    </xf>
    <xf numFmtId="37" fontId="79" fillId="0" borderId="45" xfId="0" applyNumberFormat="1" applyFont="1" applyBorder="1"/>
    <xf numFmtId="0" fontId="48" fillId="0" borderId="43" xfId="0" applyFont="1" applyBorder="1" applyAlignment="1">
      <alignment horizontal="left"/>
    </xf>
    <xf numFmtId="0" fontId="57" fillId="0" borderId="43" xfId="0" applyFont="1" applyBorder="1" applyAlignment="1">
      <alignment horizontal="left"/>
    </xf>
    <xf numFmtId="0" fontId="48" fillId="0" borderId="43" xfId="0" applyFont="1" applyBorder="1"/>
    <xf numFmtId="0" fontId="77" fillId="0" borderId="42" xfId="0" applyFont="1" applyBorder="1"/>
    <xf numFmtId="0" fontId="79" fillId="0" borderId="44" xfId="0" applyFont="1" applyBorder="1"/>
    <xf numFmtId="37" fontId="79" fillId="0" borderId="46" xfId="0" applyNumberFormat="1" applyFont="1" applyBorder="1"/>
    <xf numFmtId="39" fontId="62" fillId="0" borderId="0" xfId="0" applyNumberFormat="1" applyFont="1"/>
    <xf numFmtId="39" fontId="48" fillId="0" borderId="0" xfId="0" applyNumberFormat="1" applyFont="1"/>
    <xf numFmtId="2" fontId="42" fillId="0" borderId="11" xfId="0" applyNumberFormat="1" applyFont="1" applyBorder="1"/>
    <xf numFmtId="169" fontId="42" fillId="0" borderId="11" xfId="0" applyNumberFormat="1" applyFont="1" applyBorder="1"/>
    <xf numFmtId="10" fontId="42" fillId="0" borderId="43" xfId="0" applyNumberFormat="1" applyFont="1" applyBorder="1"/>
    <xf numFmtId="0" fontId="42" fillId="0" borderId="43" xfId="0" applyFont="1" applyBorder="1"/>
    <xf numFmtId="179" fontId="42" fillId="0" borderId="43" xfId="0" applyNumberFormat="1" applyFont="1" applyBorder="1"/>
    <xf numFmtId="180" fontId="42" fillId="0" borderId="43" xfId="0" applyNumberFormat="1" applyFont="1" applyBorder="1"/>
    <xf numFmtId="181" fontId="42" fillId="0" borderId="46" xfId="0" applyNumberFormat="1" applyFont="1" applyBorder="1"/>
    <xf numFmtId="0" fontId="42" fillId="0" borderId="9" xfId="0" applyFont="1" applyBorder="1"/>
    <xf numFmtId="0" fontId="42" fillId="0" borderId="12" xfId="0" applyFont="1" applyBorder="1"/>
    <xf numFmtId="165" fontId="42" fillId="3" borderId="9" xfId="0" applyNumberFormat="1" applyFont="1" applyFill="1" applyBorder="1"/>
    <xf numFmtId="165" fontId="42" fillId="3" borderId="12" xfId="0" applyNumberFormat="1" applyFont="1" applyFill="1" applyBorder="1"/>
    <xf numFmtId="10" fontId="42" fillId="0" borderId="9" xfId="0" applyNumberFormat="1" applyFont="1" applyBorder="1"/>
    <xf numFmtId="39" fontId="73" fillId="0" borderId="43" xfId="0" applyNumberFormat="1" applyFont="1" applyBorder="1"/>
    <xf numFmtId="7" fontId="73" fillId="0" borderId="46" xfId="0" applyNumberFormat="1" applyFont="1" applyBorder="1"/>
    <xf numFmtId="37" fontId="62" fillId="0" borderId="0" xfId="0" applyNumberFormat="1" applyFont="1" applyAlignment="1">
      <alignment horizontal="center"/>
    </xf>
    <xf numFmtId="0" fontId="23" fillId="2" borderId="40" xfId="0" applyFont="1" applyFill="1" applyBorder="1"/>
    <xf numFmtId="0" fontId="23" fillId="2" borderId="41" xfId="0" applyFont="1" applyFill="1" applyBorder="1"/>
    <xf numFmtId="166" fontId="42" fillId="0" borderId="43" xfId="0" applyNumberFormat="1" applyFont="1" applyBorder="1"/>
    <xf numFmtId="0" fontId="42" fillId="0" borderId="46" xfId="0" applyFont="1" applyBorder="1"/>
    <xf numFmtId="0" fontId="46" fillId="0" borderId="0" xfId="0" applyFont="1"/>
    <xf numFmtId="0" fontId="47" fillId="0" borderId="0" xfId="0" applyFont="1"/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4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0" xfId="0" applyFont="1" applyBorder="1" applyAlignment="1">
      <alignment horizontal="left"/>
    </xf>
    <xf numFmtId="0" fontId="23" fillId="0" borderId="11" xfId="0" applyFont="1" applyBorder="1"/>
    <xf numFmtId="0" fontId="16" fillId="0" borderId="8" xfId="0" applyFont="1" applyBorder="1" applyAlignment="1">
      <alignment horizontal="left"/>
    </xf>
    <xf numFmtId="0" fontId="21" fillId="0" borderId="0" xfId="0" applyFont="1"/>
    <xf numFmtId="0" fontId="2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5">
    <dxf>
      <font>
        <b/>
        <i val="0"/>
        <condense val="0"/>
        <extend val="0"/>
      </font>
      <fill>
        <patternFill>
          <bgColor theme="5" tint="0.79998168889431442"/>
        </patternFill>
      </fill>
    </dxf>
    <dxf>
      <font>
        <b/>
        <i val="0"/>
        <condense val="0"/>
        <extend val="0"/>
      </font>
      <fill>
        <patternFill>
          <bgColor theme="5" tint="0.79998168889431442"/>
        </patternFill>
      </fill>
      <border>
        <left/>
        <right/>
        <top/>
        <bottom/>
      </border>
    </dxf>
    <dxf>
      <font>
        <b/>
        <i val="0"/>
        <condense val="0"/>
        <extend val="0"/>
      </font>
      <fill>
        <patternFill>
          <bgColor theme="5" tint="0.79998168889431442"/>
        </patternFill>
      </fill>
    </dxf>
    <dxf>
      <font>
        <b/>
        <i val="0"/>
        <condense val="0"/>
        <extend val="0"/>
      </font>
      <fill>
        <patternFill>
          <bgColor theme="5" tint="0.79998168889431442"/>
        </patternFill>
      </fill>
    </dxf>
    <dxf>
      <font>
        <b/>
        <i val="0"/>
        <condense val="0"/>
        <extend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31" fmlaLink="$D$6" fmlaRange="$B$13:$B$15" noThreeD="1" sel="1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19</xdr:col>
      <xdr:colOff>69850</xdr:colOff>
      <xdr:row>35</xdr:row>
      <xdr:rowOff>0</xdr:rowOff>
    </xdr:to>
    <xdr:sp macro="" textlink="">
      <xdr:nvSpPr>
        <xdr:cNvPr id="5" name="Rectangl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96900" y="4171950"/>
          <a:ext cx="7626350" cy="1733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  <a:extLst>
            <a:ext uri="{C807C97D-BFC1-408E-A445-0C87EB9F89A2}">
              <ask:lineSketchStyleProps xmlns:ask="http://schemas.microsoft.com/office/drawing/2018/sketchyshapes">
                <ask:type>
                  <ask:lineSketchNone/>
                </ask:type>
              </ask:lineSketchStyleProps>
            </a:ext>
          </a:extLst>
        </a:ln>
        <a:effectLst/>
        <a:scene3d>
          <a:camera prst="orthographicFront"/>
          <a:lightRig rig="threePt" dir="t"/>
        </a:scene3d>
        <a:sp3d prstMaterial="matte"/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622300</xdr:colOff>
          <xdr:row>4</xdr:row>
          <xdr:rowOff>114300</xdr:rowOff>
        </xdr:from>
        <xdr:to>
          <xdr:col>4</xdr:col>
          <xdr:colOff>69850</xdr:colOff>
          <xdr:row>5</xdr:row>
          <xdr:rowOff>158750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3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203200</xdr:colOff>
      <xdr:row>20</xdr:row>
      <xdr:rowOff>0</xdr:rowOff>
    </xdr:from>
    <xdr:to>
      <xdr:col>14</xdr:col>
      <xdr:colOff>361950</xdr:colOff>
      <xdr:row>41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4756150" y="3092450"/>
          <a:ext cx="3257550" cy="299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van Goddard" id="{5A3C33B9-6BB7-4750-9829-B14DE62FB322}" userId="fc73ac90d75be10f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" dT="2022-12-12T05:23:50.59" personId="{5A3C33B9-6BB7-4750-9829-B14DE62FB322}" id="{5EB846B2-76E4-4EEB-968B-369DD1547422}">
    <text xml:space="preserve">Sorry for merging the cells. It looks better for this table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5"/>
  <sheetViews>
    <sheetView showGridLines="0" workbookViewId="0">
      <selection activeCell="B5" sqref="B5"/>
    </sheetView>
  </sheetViews>
  <sheetFormatPr defaultColWidth="12.54296875" defaultRowHeight="15.75" customHeight="1"/>
  <cols>
    <col min="2" max="2" width="38.81640625" customWidth="1"/>
  </cols>
  <sheetData>
    <row r="1" spans="1:10" ht="15.75" customHeight="1">
      <c r="A1" s="52"/>
      <c r="B1" s="53"/>
      <c r="C1" s="54"/>
      <c r="D1" s="54"/>
      <c r="E1" s="54"/>
      <c r="F1" s="54"/>
      <c r="G1" s="54"/>
      <c r="H1" s="54"/>
      <c r="I1" s="54"/>
      <c r="J1" s="55"/>
    </row>
    <row r="2" spans="1:10" ht="15.75" customHeight="1">
      <c r="A2" s="56"/>
      <c r="B2" s="57"/>
      <c r="C2" s="58"/>
      <c r="D2" s="58"/>
      <c r="E2" s="58"/>
      <c r="F2" s="58"/>
      <c r="G2" s="58"/>
      <c r="H2" s="58"/>
      <c r="I2" s="58"/>
      <c r="J2" s="59"/>
    </row>
    <row r="3" spans="1:10" ht="15.75" customHeight="1">
      <c r="A3" s="56"/>
      <c r="B3" s="60"/>
      <c r="C3" s="58"/>
      <c r="D3" s="58"/>
      <c r="E3" s="58"/>
      <c r="F3" s="58"/>
      <c r="G3" s="58"/>
      <c r="H3" s="58"/>
      <c r="I3" s="58"/>
      <c r="J3" s="59"/>
    </row>
    <row r="4" spans="1:10" ht="15.75" customHeight="1">
      <c r="A4" s="56"/>
      <c r="B4" s="60"/>
      <c r="C4" s="58"/>
      <c r="D4" s="58"/>
      <c r="E4" s="58"/>
      <c r="F4" s="58"/>
      <c r="G4" s="58"/>
      <c r="H4" s="58"/>
      <c r="I4" s="58"/>
      <c r="J4" s="59"/>
    </row>
    <row r="5" spans="1:10" ht="15.75" customHeight="1">
      <c r="A5" s="56"/>
      <c r="B5" s="60"/>
      <c r="C5" s="58"/>
      <c r="D5" s="58"/>
      <c r="E5" s="58"/>
      <c r="F5" s="58"/>
      <c r="G5" s="58"/>
      <c r="H5" s="58"/>
      <c r="I5" s="58"/>
      <c r="J5" s="59"/>
    </row>
    <row r="6" spans="1:10" ht="15.75" customHeight="1">
      <c r="A6" s="56"/>
      <c r="B6" s="60"/>
      <c r="C6" s="58"/>
      <c r="D6" s="58"/>
      <c r="E6" s="58"/>
      <c r="F6" s="58"/>
      <c r="G6" s="58"/>
      <c r="H6" s="58"/>
      <c r="I6" s="58"/>
      <c r="J6" s="59"/>
    </row>
    <row r="7" spans="1:10" ht="26">
      <c r="A7" s="56"/>
      <c r="B7" s="61">
        <f ca="1">TODAY()</f>
        <v>44907</v>
      </c>
      <c r="C7" s="58"/>
      <c r="D7" s="58"/>
      <c r="E7" s="58"/>
      <c r="F7" s="58"/>
      <c r="G7" s="58"/>
      <c r="H7" s="58"/>
      <c r="I7" s="58"/>
      <c r="J7" s="59"/>
    </row>
    <row r="8" spans="1:10" ht="15.75" customHeight="1">
      <c r="A8" s="56"/>
      <c r="B8" s="60"/>
      <c r="C8" s="58"/>
      <c r="D8" s="58"/>
      <c r="E8" s="58"/>
      <c r="F8" s="58"/>
      <c r="G8" s="58"/>
      <c r="H8" s="58"/>
      <c r="I8" s="58"/>
      <c r="J8" s="59"/>
    </row>
    <row r="9" spans="1:10" ht="15.75" customHeight="1">
      <c r="A9" s="56"/>
      <c r="B9" s="60"/>
      <c r="C9" s="58"/>
      <c r="D9" s="58"/>
      <c r="E9" s="58"/>
      <c r="F9" s="58"/>
      <c r="G9" s="58"/>
      <c r="H9" s="58"/>
      <c r="I9" s="58"/>
      <c r="J9" s="59"/>
    </row>
    <row r="10" spans="1:10" ht="18.5">
      <c r="A10" s="56"/>
      <c r="B10" s="60"/>
      <c r="C10" s="58"/>
      <c r="D10" s="58"/>
      <c r="E10" s="58"/>
      <c r="F10" s="58"/>
      <c r="G10" s="58"/>
      <c r="H10" s="58"/>
      <c r="I10" s="58"/>
      <c r="J10" s="59"/>
    </row>
    <row r="11" spans="1:10" ht="15.5" customHeight="1">
      <c r="A11" s="56"/>
      <c r="B11" s="60"/>
      <c r="C11" s="58"/>
      <c r="D11" s="58"/>
      <c r="E11" s="58"/>
      <c r="F11" s="58"/>
      <c r="G11" s="58"/>
      <c r="H11" s="58"/>
      <c r="I11" s="58"/>
      <c r="J11" s="59"/>
    </row>
    <row r="12" spans="1:10" ht="38.5">
      <c r="A12" s="56"/>
      <c r="B12" s="537" t="s">
        <v>169</v>
      </c>
      <c r="C12" s="538"/>
      <c r="D12" s="538"/>
      <c r="E12" s="58"/>
      <c r="F12" s="58"/>
      <c r="G12" s="58"/>
      <c r="H12" s="58"/>
      <c r="I12" s="58"/>
      <c r="J12" s="59"/>
    </row>
    <row r="13" spans="1:10" ht="15.75" customHeight="1">
      <c r="A13" s="56"/>
      <c r="B13" s="62"/>
      <c r="C13" s="58"/>
      <c r="D13" s="58"/>
      <c r="E13" s="58"/>
      <c r="F13" s="58"/>
      <c r="G13" s="58"/>
      <c r="H13" s="58"/>
      <c r="I13" s="58"/>
      <c r="J13" s="59"/>
    </row>
    <row r="14" spans="1:10" ht="31">
      <c r="A14" s="56"/>
      <c r="B14" s="63" t="s">
        <v>170</v>
      </c>
      <c r="C14" s="58"/>
      <c r="D14" s="58"/>
      <c r="E14" s="58"/>
      <c r="F14" s="58"/>
      <c r="G14" s="58"/>
      <c r="H14" s="58"/>
      <c r="I14" s="58"/>
      <c r="J14" s="59"/>
    </row>
    <row r="15" spans="1:10" ht="15.75" customHeight="1">
      <c r="A15" s="56"/>
      <c r="B15" s="60"/>
      <c r="C15" s="58"/>
      <c r="D15" s="58"/>
      <c r="E15" s="58"/>
      <c r="F15" s="58"/>
      <c r="G15" s="58"/>
      <c r="H15" s="58"/>
      <c r="I15" s="58"/>
      <c r="J15" s="59"/>
    </row>
    <row r="16" spans="1:10" ht="15.75" customHeight="1">
      <c r="A16" s="56"/>
      <c r="B16" s="60"/>
      <c r="C16" s="58"/>
      <c r="D16" s="58"/>
      <c r="E16" s="58"/>
      <c r="F16" s="58"/>
      <c r="G16" s="58"/>
      <c r="H16" s="58"/>
      <c r="I16" s="58"/>
      <c r="J16" s="59"/>
    </row>
    <row r="17" spans="1:10" ht="15.75" customHeight="1">
      <c r="A17" s="56"/>
      <c r="B17" s="60"/>
      <c r="C17" s="58"/>
      <c r="D17" s="58"/>
      <c r="E17" s="58"/>
      <c r="F17" s="58"/>
      <c r="G17" s="58"/>
      <c r="H17" s="58"/>
      <c r="I17" s="58"/>
      <c r="J17" s="59"/>
    </row>
    <row r="18" spans="1:10" ht="15.75" customHeight="1">
      <c r="A18" s="56"/>
      <c r="B18" s="60"/>
      <c r="C18" s="58"/>
      <c r="D18" s="58"/>
      <c r="E18" s="58"/>
      <c r="F18" s="58"/>
      <c r="G18" s="58"/>
      <c r="H18" s="58"/>
      <c r="I18" s="58"/>
      <c r="J18" s="59"/>
    </row>
    <row r="19" spans="1:10" ht="15.75" customHeight="1">
      <c r="A19" s="56"/>
      <c r="B19" s="60"/>
      <c r="C19" s="58"/>
      <c r="D19" s="58"/>
      <c r="E19" s="58"/>
      <c r="F19" s="58"/>
      <c r="G19" s="58"/>
      <c r="H19" s="58"/>
      <c r="I19" s="58"/>
      <c r="J19" s="59"/>
    </row>
    <row r="20" spans="1:10" ht="15.75" customHeight="1">
      <c r="A20" s="56"/>
      <c r="B20" s="60"/>
      <c r="C20" s="58"/>
      <c r="D20" s="58"/>
      <c r="E20" s="58"/>
      <c r="F20" s="58"/>
      <c r="G20" s="58"/>
      <c r="H20" s="58"/>
      <c r="I20" s="58"/>
      <c r="J20" s="59"/>
    </row>
    <row r="21" spans="1:10" ht="15.75" customHeight="1">
      <c r="A21" s="56"/>
      <c r="B21" s="60"/>
      <c r="C21" s="58"/>
      <c r="D21" s="58"/>
      <c r="E21" s="58"/>
      <c r="F21" s="58"/>
      <c r="G21" s="58"/>
      <c r="H21" s="58"/>
      <c r="I21" s="58"/>
      <c r="J21" s="59"/>
    </row>
    <row r="22" spans="1:10" ht="26">
      <c r="A22" s="56"/>
      <c r="B22" s="64" t="s">
        <v>171</v>
      </c>
      <c r="C22" s="58"/>
      <c r="D22" s="58"/>
      <c r="E22" s="58"/>
      <c r="F22" s="58"/>
      <c r="G22" s="58"/>
      <c r="H22" s="58"/>
      <c r="I22" s="58"/>
      <c r="J22" s="59"/>
    </row>
    <row r="23" spans="1:10" ht="26">
      <c r="A23" s="56"/>
      <c r="B23" s="64" t="s">
        <v>172</v>
      </c>
      <c r="C23" s="58"/>
      <c r="D23" s="58"/>
      <c r="E23" s="58"/>
      <c r="F23" s="58"/>
      <c r="G23" s="58"/>
      <c r="H23" s="58"/>
      <c r="I23" s="58"/>
      <c r="J23" s="59"/>
    </row>
    <row r="24" spans="1:10" ht="15.75" customHeight="1">
      <c r="A24" s="56"/>
      <c r="B24" s="64"/>
      <c r="C24" s="58"/>
      <c r="D24" s="58"/>
      <c r="E24" s="58"/>
      <c r="F24" s="58"/>
      <c r="G24" s="58"/>
      <c r="H24" s="58"/>
      <c r="I24" s="58"/>
      <c r="J24" s="59"/>
    </row>
    <row r="25" spans="1:10" ht="15.75" customHeight="1">
      <c r="A25" s="65"/>
      <c r="B25" s="66"/>
      <c r="C25" s="67"/>
      <c r="D25" s="67"/>
      <c r="E25" s="67"/>
      <c r="F25" s="67"/>
      <c r="G25" s="67"/>
      <c r="H25" s="67"/>
      <c r="I25" s="67"/>
      <c r="J25" s="68"/>
    </row>
  </sheetData>
  <mergeCells count="1">
    <mergeCell ref="B12:D12"/>
  </mergeCells>
  <pageMargins left="0" right="0" top="0" bottom="0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1000"/>
  <sheetViews>
    <sheetView topLeftCell="A29" workbookViewId="0">
      <selection activeCell="D7" sqref="D7"/>
    </sheetView>
  </sheetViews>
  <sheetFormatPr defaultColWidth="12.54296875" defaultRowHeight="15.75" customHeight="1"/>
  <cols>
    <col min="1" max="1" width="48.453125" bestFit="1" customWidth="1"/>
  </cols>
  <sheetData>
    <row r="1" spans="1:15" ht="15.75" customHeight="1">
      <c r="A1" s="1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 t="s">
        <v>1</v>
      </c>
      <c r="K1" s="2"/>
      <c r="L1" s="2"/>
      <c r="M1" s="2"/>
      <c r="N1" s="2"/>
      <c r="O1" s="2"/>
    </row>
    <row r="2" spans="1:15" ht="15.75" customHeight="1">
      <c r="A2" s="3" t="s">
        <v>116</v>
      </c>
      <c r="B2" s="4">
        <v>1795</v>
      </c>
      <c r="C2" s="5">
        <v>2057</v>
      </c>
      <c r="D2" s="5">
        <v>2459</v>
      </c>
      <c r="E2" s="5">
        <v>4202</v>
      </c>
      <c r="F2" s="6">
        <v>4169</v>
      </c>
      <c r="G2" s="7"/>
      <c r="K2" s="8"/>
      <c r="L2" s="8"/>
      <c r="M2" s="8"/>
      <c r="N2" s="8"/>
      <c r="O2" s="8"/>
    </row>
    <row r="3" spans="1:15" ht="15.75" customHeight="1">
      <c r="A3" s="3" t="s">
        <v>36</v>
      </c>
      <c r="B3" s="9" t="s">
        <v>4</v>
      </c>
      <c r="C3" s="10">
        <v>0.14599999999999999</v>
      </c>
      <c r="D3" s="10">
        <v>0.19539999999999999</v>
      </c>
      <c r="E3" s="10">
        <v>0.70879999999999999</v>
      </c>
      <c r="F3" s="18">
        <v>-7.9000000000000008E-3</v>
      </c>
      <c r="G3" s="7"/>
      <c r="K3" s="7"/>
      <c r="L3" s="12"/>
      <c r="M3" s="12"/>
      <c r="N3" s="12"/>
      <c r="O3" s="19"/>
    </row>
    <row r="4" spans="1:15" ht="15.75" customHeight="1">
      <c r="A4" s="3" t="s">
        <v>117</v>
      </c>
      <c r="B4" s="4">
        <v>805</v>
      </c>
      <c r="C4" s="5">
        <v>776</v>
      </c>
      <c r="D4" s="13">
        <v>912</v>
      </c>
      <c r="E4" s="5">
        <v>1189</v>
      </c>
      <c r="F4" s="6">
        <v>1265</v>
      </c>
      <c r="G4" s="7"/>
      <c r="K4" s="7"/>
      <c r="L4" s="7"/>
      <c r="M4" s="7"/>
      <c r="N4" s="8"/>
      <c r="O4" s="8"/>
    </row>
    <row r="5" spans="1:15" ht="15.75" customHeight="1">
      <c r="A5" s="3" t="s">
        <v>118</v>
      </c>
      <c r="B5" s="14">
        <v>649</v>
      </c>
      <c r="C5" s="13">
        <v>627</v>
      </c>
      <c r="D5" s="13">
        <v>701</v>
      </c>
      <c r="E5" s="13">
        <v>738</v>
      </c>
      <c r="F5" s="15">
        <v>822</v>
      </c>
      <c r="G5" s="7"/>
      <c r="K5" s="7"/>
      <c r="L5" s="7"/>
      <c r="M5" s="7"/>
      <c r="N5" s="7"/>
      <c r="O5" s="7"/>
    </row>
    <row r="6" spans="1:15" ht="15.75" customHeight="1">
      <c r="A6" s="3" t="s">
        <v>119</v>
      </c>
      <c r="B6" s="14">
        <v>156</v>
      </c>
      <c r="C6" s="13">
        <v>149</v>
      </c>
      <c r="D6" s="13">
        <v>211</v>
      </c>
      <c r="E6" s="13">
        <v>451</v>
      </c>
      <c r="F6" s="15">
        <v>443</v>
      </c>
      <c r="G6" s="7"/>
      <c r="K6" s="7"/>
      <c r="L6" s="7"/>
      <c r="M6" s="7"/>
      <c r="N6" s="7"/>
      <c r="O6" s="7"/>
    </row>
    <row r="7" spans="1:15" ht="15.75" customHeight="1">
      <c r="A7" s="3" t="s">
        <v>120</v>
      </c>
      <c r="B7" s="4">
        <v>-1299</v>
      </c>
      <c r="C7" s="13">
        <v>-171</v>
      </c>
      <c r="D7" s="13">
        <v>-269</v>
      </c>
      <c r="E7" s="13">
        <v>165</v>
      </c>
      <c r="F7" s="6">
        <v>-482</v>
      </c>
      <c r="G7" s="7"/>
      <c r="K7" s="8"/>
      <c r="L7" s="7"/>
      <c r="M7" s="7"/>
      <c r="N7" s="7"/>
      <c r="O7" s="7"/>
    </row>
    <row r="8" spans="1:15" ht="15.75" customHeight="1">
      <c r="A8" s="3" t="s">
        <v>97</v>
      </c>
      <c r="B8" s="4">
        <v>-1299</v>
      </c>
      <c r="C8" s="13">
        <v>-171</v>
      </c>
      <c r="D8" s="13">
        <v>-269</v>
      </c>
      <c r="E8" s="13">
        <v>165</v>
      </c>
      <c r="F8" s="6">
        <v>-482</v>
      </c>
      <c r="G8" s="7"/>
      <c r="K8" s="8"/>
      <c r="L8" s="7"/>
      <c r="M8" s="7"/>
      <c r="N8" s="7"/>
      <c r="O8" s="7"/>
    </row>
    <row r="9" spans="1:15" ht="15.75" customHeight="1">
      <c r="A9" s="3" t="s">
        <v>121</v>
      </c>
      <c r="B9" s="4">
        <v>1811</v>
      </c>
      <c r="C9" s="5">
        <v>2199</v>
      </c>
      <c r="D9" s="5">
        <v>2044</v>
      </c>
      <c r="E9" s="5">
        <v>1250</v>
      </c>
      <c r="F9" s="6">
        <v>2490</v>
      </c>
      <c r="G9" s="7"/>
      <c r="K9" s="8"/>
      <c r="L9" s="8"/>
      <c r="M9" s="8"/>
      <c r="N9" s="8"/>
      <c r="O9" s="8"/>
    </row>
    <row r="10" spans="1:15" ht="15.75" customHeight="1">
      <c r="A10" s="3" t="s">
        <v>122</v>
      </c>
      <c r="B10" s="4">
        <v>3112</v>
      </c>
      <c r="C10" s="5">
        <v>4861</v>
      </c>
      <c r="D10" s="5">
        <v>5146</v>
      </c>
      <c r="E10" s="5">
        <v>6806</v>
      </c>
      <c r="F10" s="6">
        <v>7442</v>
      </c>
      <c r="G10" s="7"/>
      <c r="K10" s="8"/>
      <c r="L10" s="8"/>
      <c r="M10" s="8"/>
      <c r="N10" s="8"/>
      <c r="O10" s="8"/>
    </row>
    <row r="11" spans="1:15" ht="15.75" customHeight="1">
      <c r="A11" s="3" t="s">
        <v>123</v>
      </c>
      <c r="B11" s="4">
        <v>-581</v>
      </c>
      <c r="C11" s="13">
        <v>622</v>
      </c>
      <c r="D11" s="13">
        <v>-585</v>
      </c>
      <c r="E11" s="13">
        <v>-952</v>
      </c>
      <c r="F11" s="6">
        <v>-1102</v>
      </c>
      <c r="G11" s="7"/>
      <c r="K11" s="7"/>
      <c r="L11" s="7"/>
      <c r="M11" s="7"/>
      <c r="N11" s="7"/>
      <c r="O11" s="8"/>
    </row>
    <row r="12" spans="1:15" ht="15.75" customHeight="1">
      <c r="A12" s="3" t="s">
        <v>124</v>
      </c>
      <c r="B12" s="4">
        <v>-2113</v>
      </c>
      <c r="C12" s="5">
        <v>302</v>
      </c>
      <c r="D12" s="5">
        <v>-1204</v>
      </c>
      <c r="E12" s="5">
        <v>-1220</v>
      </c>
      <c r="F12" s="6">
        <v>-1400</v>
      </c>
      <c r="G12" s="7"/>
      <c r="K12" s="8"/>
      <c r="L12" s="7"/>
      <c r="M12" s="8"/>
      <c r="N12" s="8"/>
      <c r="O12" s="8"/>
    </row>
    <row r="13" spans="1:15" ht="15.75" customHeight="1">
      <c r="A13" s="3" t="s">
        <v>85</v>
      </c>
      <c r="B13" s="14">
        <v>62</v>
      </c>
      <c r="C13" s="13">
        <v>26</v>
      </c>
      <c r="D13" s="13">
        <v>4</v>
      </c>
      <c r="E13" s="13">
        <v>-4</v>
      </c>
      <c r="F13" s="15">
        <v>-31</v>
      </c>
      <c r="G13" s="7"/>
      <c r="K13" s="7"/>
      <c r="L13" s="7"/>
      <c r="M13" s="7"/>
      <c r="N13" s="7"/>
      <c r="O13" s="7"/>
    </row>
    <row r="14" spans="1:15" ht="15.75" customHeight="1">
      <c r="A14" s="3" t="s">
        <v>125</v>
      </c>
      <c r="B14" s="14">
        <v>19</v>
      </c>
      <c r="C14" s="13">
        <v>-44</v>
      </c>
      <c r="D14" s="13">
        <v>-40</v>
      </c>
      <c r="E14" s="13">
        <v>-230</v>
      </c>
      <c r="F14" s="15">
        <v>73</v>
      </c>
      <c r="G14" s="7"/>
      <c r="K14" s="7"/>
      <c r="L14" s="7"/>
      <c r="M14" s="7"/>
      <c r="N14" s="7"/>
      <c r="O14" s="7"/>
    </row>
    <row r="15" spans="1:15" ht="15.75" customHeight="1">
      <c r="A15" s="3" t="s">
        <v>126</v>
      </c>
      <c r="B15" s="4">
        <v>1451</v>
      </c>
      <c r="C15" s="13">
        <v>338</v>
      </c>
      <c r="D15" s="13">
        <v>655</v>
      </c>
      <c r="E15" s="13">
        <v>502</v>
      </c>
      <c r="F15" s="6">
        <v>256</v>
      </c>
      <c r="G15" s="7"/>
      <c r="K15" s="8"/>
      <c r="L15" s="7"/>
      <c r="M15" s="7"/>
      <c r="N15" s="7"/>
      <c r="O15" s="7"/>
    </row>
    <row r="16" spans="1:15" ht="15.75" customHeight="1">
      <c r="A16" s="3" t="s">
        <v>127</v>
      </c>
      <c r="B16" s="4">
        <v>2531</v>
      </c>
      <c r="C16" s="5">
        <v>5483</v>
      </c>
      <c r="D16" s="5">
        <v>4561</v>
      </c>
      <c r="E16" s="5">
        <v>5854</v>
      </c>
      <c r="F16" s="6">
        <v>6340</v>
      </c>
      <c r="G16" s="7"/>
      <c r="K16" s="8"/>
      <c r="L16" s="8"/>
      <c r="M16" s="8"/>
      <c r="N16" s="8"/>
      <c r="O16" s="8"/>
    </row>
    <row r="17" spans="1:15" ht="15.75" customHeight="1">
      <c r="A17" s="3" t="s">
        <v>128</v>
      </c>
      <c r="B17" s="9" t="s">
        <v>4</v>
      </c>
      <c r="C17" s="10">
        <v>1.1662999999999999</v>
      </c>
      <c r="D17" s="47">
        <v>-0.16819999999999999</v>
      </c>
      <c r="E17" s="10">
        <v>0.28349999999999997</v>
      </c>
      <c r="F17" s="11">
        <v>8.3000000000000004E-2</v>
      </c>
      <c r="G17" s="7"/>
      <c r="K17" s="7"/>
      <c r="L17" s="12"/>
      <c r="M17" s="19"/>
      <c r="N17" s="12"/>
      <c r="O17" s="12"/>
    </row>
    <row r="18" spans="1:15" ht="15.75" customHeight="1">
      <c r="A18" s="3" t="s">
        <v>129</v>
      </c>
      <c r="B18" s="48">
        <v>0.19350000000000001</v>
      </c>
      <c r="C18" s="10">
        <v>0.35420000000000001</v>
      </c>
      <c r="D18" s="10">
        <v>0.2601</v>
      </c>
      <c r="E18" s="10">
        <v>0.27310000000000001</v>
      </c>
      <c r="F18" s="11">
        <v>0.248</v>
      </c>
      <c r="G18" s="7"/>
      <c r="K18" s="12"/>
      <c r="L18" s="12"/>
      <c r="M18" s="12"/>
      <c r="N18" s="12"/>
      <c r="O18" s="12"/>
    </row>
    <row r="19" spans="1:15" ht="14">
      <c r="A19" s="49" t="s">
        <v>130</v>
      </c>
      <c r="B19" s="22"/>
      <c r="C19" s="22"/>
      <c r="D19" s="22"/>
      <c r="E19" s="22"/>
      <c r="F19" s="22"/>
    </row>
    <row r="20" spans="1:15" ht="15.75" customHeight="1">
      <c r="A20" s="1" t="s">
        <v>81</v>
      </c>
      <c r="B20" s="2">
        <v>2017</v>
      </c>
      <c r="C20" s="2">
        <v>2018</v>
      </c>
      <c r="D20" s="2">
        <v>2019</v>
      </c>
      <c r="E20" s="2">
        <v>2020</v>
      </c>
      <c r="F20" s="2">
        <v>2021</v>
      </c>
      <c r="G20" s="2" t="s">
        <v>1</v>
      </c>
      <c r="K20" s="2"/>
      <c r="L20" s="2"/>
      <c r="M20" s="2"/>
      <c r="N20" s="2"/>
      <c r="O20" s="2"/>
    </row>
    <row r="21" spans="1:15" ht="15.75" customHeight="1">
      <c r="A21" s="3" t="s">
        <v>131</v>
      </c>
      <c r="B21" s="14">
        <v>-667</v>
      </c>
      <c r="C21" s="13">
        <v>-823</v>
      </c>
      <c r="D21" s="13">
        <v>-704</v>
      </c>
      <c r="E21" s="13">
        <v>-866</v>
      </c>
      <c r="F21" s="15">
        <v>-908</v>
      </c>
      <c r="G21" s="7"/>
      <c r="K21" s="7"/>
      <c r="L21" s="7"/>
      <c r="M21" s="7"/>
      <c r="N21" s="7"/>
      <c r="O21" s="7"/>
    </row>
    <row r="22" spans="1:15" ht="15.75" customHeight="1">
      <c r="A22" s="3" t="s">
        <v>132</v>
      </c>
      <c r="B22" s="14">
        <v>-667</v>
      </c>
      <c r="C22" s="13">
        <v>-823</v>
      </c>
      <c r="D22" s="13">
        <v>-704</v>
      </c>
      <c r="E22" s="13">
        <v>-866</v>
      </c>
      <c r="F22" s="15">
        <v>-908</v>
      </c>
      <c r="G22" s="7"/>
      <c r="K22" s="7"/>
      <c r="L22" s="7"/>
      <c r="M22" s="7"/>
      <c r="N22" s="7"/>
      <c r="O22" s="7"/>
    </row>
    <row r="23" spans="1:15" ht="15.75" customHeight="1">
      <c r="A23" s="3" t="s">
        <v>133</v>
      </c>
      <c r="B23" s="9" t="s">
        <v>4</v>
      </c>
      <c r="C23" s="47">
        <v>-0.2339</v>
      </c>
      <c r="D23" s="10">
        <v>0.14460000000000001</v>
      </c>
      <c r="E23" s="47">
        <v>-0.2301</v>
      </c>
      <c r="F23" s="18">
        <v>-4.8500000000000001E-2</v>
      </c>
      <c r="G23" s="7"/>
      <c r="K23" s="7"/>
      <c r="L23" s="19"/>
      <c r="M23" s="12"/>
      <c r="N23" s="19"/>
      <c r="O23" s="19"/>
    </row>
    <row r="24" spans="1:15" ht="15.75" customHeight="1">
      <c r="A24" s="3" t="s">
        <v>134</v>
      </c>
      <c r="B24" s="50">
        <v>-5.0999999999999997E-2</v>
      </c>
      <c r="C24" s="47">
        <v>-5.3199999999999997E-2</v>
      </c>
      <c r="D24" s="47">
        <v>-4.02E-2</v>
      </c>
      <c r="E24" s="47">
        <v>-4.0399999999999998E-2</v>
      </c>
      <c r="F24" s="18">
        <v>-3.5499999999999997E-2</v>
      </c>
      <c r="G24" s="7"/>
      <c r="K24" s="19"/>
      <c r="L24" s="19"/>
      <c r="M24" s="19"/>
      <c r="N24" s="19"/>
      <c r="O24" s="19"/>
    </row>
    <row r="25" spans="1:15" ht="15.75" customHeight="1">
      <c r="A25" s="3" t="s">
        <v>135</v>
      </c>
      <c r="B25" s="4">
        <v>-323</v>
      </c>
      <c r="C25" s="5">
        <v>-2124</v>
      </c>
      <c r="D25" s="13">
        <v>-70</v>
      </c>
      <c r="E25" s="5">
        <v>-3609</v>
      </c>
      <c r="F25" s="6">
        <v>-2763</v>
      </c>
      <c r="G25" s="7"/>
      <c r="K25" s="7"/>
      <c r="L25" s="8"/>
      <c r="M25" s="7"/>
      <c r="N25" s="8"/>
      <c r="O25" s="8"/>
    </row>
    <row r="26" spans="1:15" ht="15.75" customHeight="1">
      <c r="A26" s="3" t="s">
        <v>136</v>
      </c>
      <c r="B26" s="14" t="s">
        <v>4</v>
      </c>
      <c r="C26" s="13">
        <v>3</v>
      </c>
      <c r="D26" s="13">
        <v>17</v>
      </c>
      <c r="E26" s="13">
        <v>120</v>
      </c>
      <c r="F26" s="15">
        <v>5</v>
      </c>
      <c r="G26" s="7"/>
      <c r="K26" s="7"/>
      <c r="L26" s="7"/>
      <c r="M26" s="7"/>
      <c r="N26" s="7"/>
      <c r="O26" s="7"/>
    </row>
    <row r="27" spans="1:15" ht="15.75" customHeight="1">
      <c r="A27" s="3" t="s">
        <v>137</v>
      </c>
      <c r="B27" s="14">
        <v>-968</v>
      </c>
      <c r="C27" s="5">
        <v>-483</v>
      </c>
      <c r="D27" s="5">
        <v>-3003</v>
      </c>
      <c r="E27" s="5">
        <v>-10605</v>
      </c>
      <c r="F27" s="15">
        <v>-418</v>
      </c>
      <c r="G27" s="7"/>
      <c r="K27" s="7"/>
      <c r="L27" s="7"/>
      <c r="M27" s="8"/>
      <c r="N27" s="8"/>
      <c r="O27" s="7"/>
    </row>
    <row r="28" spans="1:15" ht="15.75" customHeight="1">
      <c r="A28" s="3" t="s">
        <v>138</v>
      </c>
      <c r="B28" s="4">
        <v>-19418</v>
      </c>
      <c r="C28" s="5">
        <v>-22381</v>
      </c>
      <c r="D28" s="5">
        <v>-27881</v>
      </c>
      <c r="E28" s="5">
        <v>-41513</v>
      </c>
      <c r="F28" s="6">
        <v>-40116</v>
      </c>
      <c r="G28" s="7"/>
      <c r="K28" s="8"/>
      <c r="L28" s="8"/>
      <c r="M28" s="8"/>
      <c r="N28" s="8"/>
      <c r="O28" s="8"/>
    </row>
    <row r="29" spans="1:15" ht="15.75" customHeight="1">
      <c r="A29" s="3" t="s">
        <v>139</v>
      </c>
      <c r="B29" s="4">
        <v>18450</v>
      </c>
      <c r="C29" s="5">
        <v>21898</v>
      </c>
      <c r="D29" s="5">
        <v>24878</v>
      </c>
      <c r="E29" s="5">
        <v>30908</v>
      </c>
      <c r="F29" s="6">
        <v>39698</v>
      </c>
      <c r="G29" s="7"/>
      <c r="K29" s="8"/>
      <c r="L29" s="8"/>
      <c r="M29" s="8"/>
      <c r="N29" s="8"/>
      <c r="O29" s="8"/>
    </row>
    <row r="30" spans="1:15" ht="15.75" customHeight="1">
      <c r="A30" s="3" t="s">
        <v>140</v>
      </c>
      <c r="B30" s="4">
        <v>-3400</v>
      </c>
      <c r="C30" s="5" t="s">
        <v>4</v>
      </c>
      <c r="D30" s="5">
        <v>-1973</v>
      </c>
      <c r="E30" s="5">
        <v>-1552</v>
      </c>
      <c r="F30" s="6">
        <v>-1594</v>
      </c>
      <c r="G30" s="7"/>
      <c r="K30" s="8"/>
      <c r="L30" s="7"/>
      <c r="M30" s="8"/>
      <c r="N30" s="8"/>
      <c r="O30" s="8"/>
    </row>
    <row r="31" spans="1:15" ht="15.75" customHeight="1">
      <c r="A31" s="3" t="s">
        <v>141</v>
      </c>
      <c r="B31" s="14" t="s">
        <v>4</v>
      </c>
      <c r="C31" s="5">
        <v>4267</v>
      </c>
      <c r="D31" s="13" t="s">
        <v>4</v>
      </c>
      <c r="E31" s="5">
        <v>294</v>
      </c>
      <c r="F31" s="15">
        <v>193</v>
      </c>
      <c r="G31" s="7"/>
      <c r="K31" s="7"/>
      <c r="L31" s="8"/>
      <c r="M31" s="7"/>
      <c r="N31" s="7"/>
      <c r="O31" s="7"/>
    </row>
    <row r="32" spans="1:15" ht="15.75" customHeight="1">
      <c r="A32" s="3" t="s">
        <v>142</v>
      </c>
      <c r="B32" s="4">
        <v>-5358</v>
      </c>
      <c r="C32" s="5">
        <v>840</v>
      </c>
      <c r="D32" s="5">
        <v>-5733</v>
      </c>
      <c r="E32" s="5">
        <v>-16218</v>
      </c>
      <c r="F32" s="6">
        <v>-5485</v>
      </c>
      <c r="G32" s="7"/>
      <c r="K32" s="8"/>
      <c r="L32" s="7"/>
      <c r="M32" s="8"/>
      <c r="N32" s="8"/>
      <c r="O32" s="8"/>
    </row>
    <row r="33" spans="1:15" ht="15.75" customHeight="1">
      <c r="A33" s="3" t="s">
        <v>143</v>
      </c>
      <c r="B33" s="9" t="s">
        <v>4</v>
      </c>
      <c r="C33" s="10">
        <v>1.1568000000000001</v>
      </c>
      <c r="D33" s="47">
        <v>-7.8250000000000002</v>
      </c>
      <c r="E33" s="47">
        <v>-1.8289</v>
      </c>
      <c r="F33" s="11">
        <v>0.66180000000000005</v>
      </c>
      <c r="G33" s="7"/>
      <c r="K33" s="7"/>
      <c r="L33" s="12"/>
      <c r="M33" s="19"/>
      <c r="N33" s="19"/>
      <c r="O33" s="12"/>
    </row>
    <row r="34" spans="1:15" ht="15.75" customHeight="1">
      <c r="A34" s="3" t="s">
        <v>144</v>
      </c>
      <c r="B34" s="50">
        <v>-0.40970000000000001</v>
      </c>
      <c r="C34" s="10">
        <v>5.4300000000000001E-2</v>
      </c>
      <c r="D34" s="47">
        <v>-0.32700000000000001</v>
      </c>
      <c r="E34" s="47">
        <v>-0.75660000000000005</v>
      </c>
      <c r="F34" s="18">
        <v>-0.21460000000000001</v>
      </c>
      <c r="G34" s="7"/>
      <c r="K34" s="19"/>
      <c r="L34" s="12"/>
      <c r="M34" s="19"/>
      <c r="N34" s="19"/>
      <c r="O34" s="19"/>
    </row>
    <row r="35" spans="1:15" ht="14">
      <c r="A35" s="49" t="s">
        <v>145</v>
      </c>
      <c r="B35" s="22"/>
      <c r="C35" s="22"/>
      <c r="D35" s="22"/>
      <c r="E35" s="22"/>
      <c r="F35" s="22"/>
    </row>
    <row r="36" spans="1:15" ht="15.75" customHeight="1">
      <c r="A36" s="1" t="s">
        <v>81</v>
      </c>
      <c r="B36" s="2">
        <v>2017</v>
      </c>
      <c r="C36" s="2">
        <v>2018</v>
      </c>
      <c r="D36" s="2">
        <v>2019</v>
      </c>
      <c r="E36" s="2">
        <v>2020</v>
      </c>
      <c r="F36" s="2">
        <v>2021</v>
      </c>
      <c r="G36" s="2" t="s">
        <v>1</v>
      </c>
      <c r="K36" s="2"/>
      <c r="L36" s="2"/>
      <c r="M36" s="2"/>
      <c r="N36" s="2"/>
      <c r="O36" s="2"/>
    </row>
    <row r="37" spans="1:15" ht="15.75" customHeight="1">
      <c r="A37" s="3" t="s">
        <v>146</v>
      </c>
      <c r="B37" s="4">
        <v>-862</v>
      </c>
      <c r="C37" s="5">
        <v>-3376</v>
      </c>
      <c r="D37" s="5">
        <v>-1273</v>
      </c>
      <c r="E37" s="5">
        <v>-1498</v>
      </c>
      <c r="F37" s="6">
        <v>-3211</v>
      </c>
      <c r="G37" s="7"/>
      <c r="K37" s="7"/>
      <c r="L37" s="8"/>
      <c r="M37" s="8"/>
      <c r="N37" s="8"/>
      <c r="O37" s="8"/>
    </row>
    <row r="38" spans="1:15" ht="15.75" customHeight="1">
      <c r="A38" s="3" t="s">
        <v>147</v>
      </c>
      <c r="B38" s="4">
        <v>-1006</v>
      </c>
      <c r="C38" s="5">
        <v>-3520</v>
      </c>
      <c r="D38" s="5">
        <v>-1411</v>
      </c>
      <c r="E38" s="5">
        <v>-1635</v>
      </c>
      <c r="F38" s="6">
        <v>-3373</v>
      </c>
      <c r="G38" s="7"/>
      <c r="K38" s="8"/>
      <c r="L38" s="8"/>
      <c r="M38" s="8"/>
      <c r="N38" s="8"/>
      <c r="O38" s="8"/>
    </row>
    <row r="39" spans="1:15" ht="15.75" customHeight="1">
      <c r="A39" s="3" t="s">
        <v>148</v>
      </c>
      <c r="B39" s="14">
        <v>144</v>
      </c>
      <c r="C39" s="13">
        <v>144</v>
      </c>
      <c r="D39" s="13">
        <v>138</v>
      </c>
      <c r="E39" s="13">
        <v>137</v>
      </c>
      <c r="F39" s="15">
        <v>162</v>
      </c>
      <c r="G39" s="7"/>
      <c r="K39" s="7"/>
      <c r="L39" s="7"/>
      <c r="M39" s="7"/>
      <c r="N39" s="7"/>
      <c r="O39" s="7"/>
    </row>
    <row r="40" spans="1:15" ht="15.75" customHeight="1">
      <c r="A40" s="3" t="s">
        <v>149</v>
      </c>
      <c r="B40" s="14">
        <v>144</v>
      </c>
      <c r="C40" s="13">
        <v>144</v>
      </c>
      <c r="D40" s="13">
        <v>138</v>
      </c>
      <c r="E40" s="13">
        <v>137</v>
      </c>
      <c r="F40" s="15">
        <v>162</v>
      </c>
      <c r="G40" s="7"/>
      <c r="K40" s="7"/>
      <c r="L40" s="7"/>
      <c r="M40" s="7"/>
      <c r="N40" s="7"/>
      <c r="O40" s="7"/>
    </row>
    <row r="41" spans="1:15" ht="15.75" customHeight="1">
      <c r="A41" s="3" t="s">
        <v>150</v>
      </c>
      <c r="B41" s="14">
        <v>820</v>
      </c>
      <c r="C41" s="5">
        <v>960</v>
      </c>
      <c r="D41" s="5">
        <v>2955</v>
      </c>
      <c r="E41" s="5">
        <v>3966</v>
      </c>
      <c r="F41" s="15">
        <v>-89</v>
      </c>
      <c r="G41" s="7"/>
      <c r="K41" s="7"/>
      <c r="L41" s="7"/>
      <c r="M41" s="8"/>
      <c r="N41" s="8"/>
      <c r="O41" s="7"/>
    </row>
    <row r="42" spans="1:15" ht="15.75" customHeight="1">
      <c r="A42" s="3" t="s">
        <v>151</v>
      </c>
      <c r="B42" s="14">
        <v>820</v>
      </c>
      <c r="C42" s="5">
        <v>960</v>
      </c>
      <c r="D42" s="5">
        <v>2955</v>
      </c>
      <c r="E42" s="5">
        <v>3966</v>
      </c>
      <c r="F42" s="15" t="s">
        <v>4</v>
      </c>
      <c r="G42" s="7"/>
      <c r="K42" s="7"/>
      <c r="L42" s="7"/>
      <c r="M42" s="8"/>
      <c r="N42" s="8"/>
      <c r="O42" s="7"/>
    </row>
    <row r="43" spans="1:15" ht="15.75" customHeight="1">
      <c r="A43" s="3" t="s">
        <v>152</v>
      </c>
      <c r="B43" s="14">
        <v>820</v>
      </c>
      <c r="C43" s="5">
        <v>2075</v>
      </c>
      <c r="D43" s="5">
        <v>5471</v>
      </c>
      <c r="E43" s="5">
        <v>6966</v>
      </c>
      <c r="F43" s="15">
        <v>272</v>
      </c>
      <c r="G43" s="7"/>
      <c r="K43" s="7"/>
      <c r="L43" s="8"/>
      <c r="M43" s="8"/>
      <c r="N43" s="8"/>
      <c r="O43" s="7"/>
    </row>
    <row r="44" spans="1:15" ht="15.75" customHeight="1">
      <c r="A44" s="3" t="s">
        <v>153</v>
      </c>
      <c r="B44" s="14" t="s">
        <v>4</v>
      </c>
      <c r="C44" s="5">
        <v>-1115</v>
      </c>
      <c r="D44" s="5">
        <v>-2516</v>
      </c>
      <c r="E44" s="5">
        <v>-3000</v>
      </c>
      <c r="F44" s="15">
        <v>-361</v>
      </c>
      <c r="G44" s="7"/>
      <c r="K44" s="7"/>
      <c r="L44" s="8"/>
      <c r="M44" s="8"/>
      <c r="N44" s="8"/>
      <c r="O44" s="7"/>
    </row>
    <row r="45" spans="1:15" ht="15.75" customHeight="1">
      <c r="A45" s="3" t="s">
        <v>121</v>
      </c>
      <c r="B45" s="4">
        <v>4126</v>
      </c>
      <c r="C45" s="5">
        <v>1154</v>
      </c>
      <c r="D45" s="5">
        <v>2006</v>
      </c>
      <c r="E45" s="5">
        <v>10024</v>
      </c>
      <c r="F45" s="6">
        <v>2536</v>
      </c>
      <c r="G45" s="7"/>
      <c r="K45" s="8"/>
      <c r="L45" s="8"/>
      <c r="M45" s="8"/>
      <c r="N45" s="8"/>
      <c r="O45" s="8"/>
    </row>
    <row r="46" spans="1:15" ht="15.75" customHeight="1">
      <c r="A46" s="3" t="s">
        <v>140</v>
      </c>
      <c r="B46" s="4">
        <v>-166</v>
      </c>
      <c r="C46" s="13">
        <v>-419</v>
      </c>
      <c r="D46" s="13">
        <v>-504</v>
      </c>
      <c r="E46" s="13">
        <v>-573</v>
      </c>
      <c r="F46" s="6">
        <v>-1036</v>
      </c>
      <c r="G46" s="7"/>
      <c r="K46" s="7"/>
      <c r="L46" s="7"/>
      <c r="M46" s="7"/>
      <c r="N46" s="7"/>
      <c r="O46" s="8"/>
    </row>
    <row r="47" spans="1:15" ht="15.75" customHeight="1">
      <c r="A47" s="3" t="s">
        <v>141</v>
      </c>
      <c r="B47" s="4">
        <v>4292</v>
      </c>
      <c r="C47" s="5">
        <v>1573</v>
      </c>
      <c r="D47" s="5">
        <v>2510</v>
      </c>
      <c r="E47" s="5">
        <v>10597</v>
      </c>
      <c r="F47" s="6">
        <v>3572</v>
      </c>
      <c r="G47" s="7"/>
      <c r="K47" s="8"/>
      <c r="L47" s="8"/>
      <c r="M47" s="8"/>
      <c r="N47" s="8"/>
      <c r="O47" s="8"/>
    </row>
    <row r="48" spans="1:15" ht="15.75" customHeight="1">
      <c r="A48" s="3" t="s">
        <v>154</v>
      </c>
      <c r="B48" s="4">
        <v>4084</v>
      </c>
      <c r="C48" s="5">
        <v>-1262</v>
      </c>
      <c r="D48" s="5">
        <v>3688</v>
      </c>
      <c r="E48" s="5">
        <v>12492</v>
      </c>
      <c r="F48" s="6">
        <v>-764</v>
      </c>
      <c r="G48" s="7"/>
      <c r="K48" s="8"/>
      <c r="L48" s="8"/>
      <c r="M48" s="8"/>
      <c r="N48" s="8"/>
      <c r="O48" s="7"/>
    </row>
    <row r="49" spans="1:15" ht="15.75" customHeight="1">
      <c r="A49" s="3" t="s">
        <v>155</v>
      </c>
      <c r="B49" s="9" t="s">
        <v>4</v>
      </c>
      <c r="C49" s="47">
        <v>-1.3089999999999999</v>
      </c>
      <c r="D49" s="10">
        <v>3.9222999999999999</v>
      </c>
      <c r="E49" s="10">
        <v>2.3872</v>
      </c>
      <c r="F49" s="18">
        <v>-1.0611999999999999</v>
      </c>
      <c r="G49" s="7"/>
      <c r="K49" s="7"/>
      <c r="L49" s="19"/>
      <c r="M49" s="12"/>
      <c r="N49" s="12"/>
      <c r="O49" s="19"/>
    </row>
    <row r="50" spans="1:15" ht="15.75" customHeight="1">
      <c r="A50" s="3" t="s">
        <v>156</v>
      </c>
      <c r="B50" s="48">
        <v>0.31230000000000002</v>
      </c>
      <c r="C50" s="47">
        <v>-8.1500000000000003E-2</v>
      </c>
      <c r="D50" s="10">
        <v>0.21029999999999999</v>
      </c>
      <c r="E50" s="10">
        <v>0.58279999999999998</v>
      </c>
      <c r="F50" s="18">
        <v>-2.9899999999999999E-2</v>
      </c>
      <c r="G50" s="7"/>
      <c r="K50" s="12"/>
      <c r="L50" s="19"/>
      <c r="M50" s="12"/>
      <c r="N50" s="12"/>
      <c r="O50" s="19"/>
    </row>
    <row r="51" spans="1:15" ht="15.75" customHeight="1">
      <c r="A51" s="3" t="s">
        <v>157</v>
      </c>
      <c r="B51" s="14">
        <v>36</v>
      </c>
      <c r="C51" s="13">
        <v>-113</v>
      </c>
      <c r="D51" s="13">
        <v>-6</v>
      </c>
      <c r="E51" s="13">
        <v>169</v>
      </c>
      <c r="F51" s="15">
        <v>-102</v>
      </c>
      <c r="G51" s="7"/>
      <c r="K51" s="7"/>
      <c r="L51" s="7"/>
      <c r="M51" s="7"/>
      <c r="N51" s="7"/>
      <c r="O51" s="7"/>
    </row>
    <row r="52" spans="1:15" ht="15.75" customHeight="1">
      <c r="A52" s="3" t="s">
        <v>158</v>
      </c>
      <c r="B52" s="4">
        <v>1293</v>
      </c>
      <c r="C52" s="5">
        <v>4948</v>
      </c>
      <c r="D52" s="5">
        <v>2510</v>
      </c>
      <c r="E52" s="5">
        <v>2297</v>
      </c>
      <c r="F52" s="6">
        <v>-11</v>
      </c>
      <c r="G52" s="7"/>
      <c r="K52" s="8"/>
      <c r="L52" s="8"/>
      <c r="M52" s="8"/>
      <c r="N52" s="8"/>
      <c r="O52" s="7"/>
    </row>
    <row r="53" spans="1:15" ht="15.75" customHeight="1">
      <c r="A53" s="3" t="s">
        <v>159</v>
      </c>
      <c r="B53" s="4">
        <v>1864</v>
      </c>
      <c r="C53" s="5">
        <v>4660</v>
      </c>
      <c r="D53" s="5">
        <v>3857</v>
      </c>
      <c r="E53" s="5">
        <v>4988</v>
      </c>
      <c r="F53" s="6">
        <v>5432</v>
      </c>
      <c r="G53" s="7"/>
      <c r="K53" s="8"/>
      <c r="L53" s="8"/>
      <c r="M53" s="8"/>
      <c r="N53" s="8"/>
      <c r="O53" s="8"/>
    </row>
    <row r="54" spans="1:15" ht="15.75" customHeight="1">
      <c r="A54" s="3" t="s">
        <v>160</v>
      </c>
      <c r="B54" s="9" t="s">
        <v>4</v>
      </c>
      <c r="C54" s="10">
        <v>1.5</v>
      </c>
      <c r="D54" s="47">
        <v>-0.17230000000000001</v>
      </c>
      <c r="E54" s="10">
        <v>0.29320000000000002</v>
      </c>
      <c r="F54" s="11">
        <v>8.8999999999999996E-2</v>
      </c>
      <c r="G54" s="7"/>
      <c r="K54" s="7"/>
      <c r="L54" s="12"/>
      <c r="M54" s="19"/>
      <c r="N54" s="12"/>
      <c r="O54" s="12"/>
    </row>
    <row r="55" spans="1:15" ht="15.75" customHeight="1">
      <c r="A55" s="3" t="s">
        <v>161</v>
      </c>
      <c r="B55" s="9" t="s">
        <v>4</v>
      </c>
      <c r="C55" s="13" t="s">
        <v>4</v>
      </c>
      <c r="D55" s="13" t="s">
        <v>4</v>
      </c>
      <c r="E55" s="13" t="s">
        <v>4</v>
      </c>
      <c r="F55" s="11">
        <v>2.4299999999999999E-2</v>
      </c>
      <c r="G55" s="7"/>
      <c r="K55" s="7"/>
      <c r="L55" s="7"/>
      <c r="M55" s="7"/>
      <c r="N55" s="7"/>
      <c r="O55" s="12"/>
    </row>
    <row r="56" spans="1:15" ht="15.75" customHeight="1">
      <c r="B56" s="22"/>
      <c r="C56" s="22"/>
      <c r="D56" s="22"/>
      <c r="E56" s="22"/>
      <c r="F56" s="22"/>
    </row>
    <row r="57" spans="1:15" ht="15.75" customHeight="1">
      <c r="B57" s="22"/>
      <c r="C57" s="22"/>
      <c r="D57" s="22"/>
      <c r="E57" s="22"/>
      <c r="F57" s="22"/>
    </row>
    <row r="58" spans="1:15" ht="15.75" customHeight="1">
      <c r="B58" s="22"/>
      <c r="C58" s="22"/>
      <c r="D58" s="22"/>
      <c r="E58" s="22"/>
      <c r="F58" s="22"/>
    </row>
    <row r="59" spans="1:15" ht="15.75" customHeight="1">
      <c r="B59" s="22"/>
      <c r="C59" s="22"/>
      <c r="D59" s="22"/>
      <c r="E59" s="22"/>
      <c r="F59" s="22"/>
    </row>
    <row r="60" spans="1:15" ht="15.75" customHeight="1">
      <c r="B60" s="22"/>
      <c r="C60" s="22"/>
      <c r="D60" s="22"/>
      <c r="E60" s="22"/>
      <c r="F60" s="22"/>
    </row>
    <row r="61" spans="1:15" ht="15.75" customHeight="1">
      <c r="B61" s="22"/>
      <c r="C61" s="22"/>
      <c r="D61" s="22"/>
      <c r="E61" s="22"/>
      <c r="F61" s="22"/>
    </row>
    <row r="62" spans="1:15" ht="15.75" customHeight="1">
      <c r="B62" s="22"/>
      <c r="C62" s="22"/>
      <c r="D62" s="22"/>
      <c r="E62" s="22"/>
      <c r="F62" s="22"/>
    </row>
    <row r="63" spans="1:15" ht="15.75" customHeight="1">
      <c r="B63" s="22"/>
      <c r="C63" s="22"/>
      <c r="D63" s="22"/>
      <c r="E63" s="22"/>
      <c r="F63" s="22"/>
    </row>
    <row r="64" spans="1:15" ht="15.75" customHeight="1">
      <c r="B64" s="22"/>
      <c r="C64" s="22"/>
      <c r="D64" s="22"/>
      <c r="E64" s="22"/>
      <c r="F64" s="22"/>
    </row>
    <row r="65" spans="2:6" ht="15.75" customHeight="1">
      <c r="B65" s="22"/>
      <c r="C65" s="22"/>
      <c r="D65" s="22"/>
      <c r="E65" s="22"/>
      <c r="F65" s="22"/>
    </row>
    <row r="66" spans="2:6" ht="15.75" customHeight="1">
      <c r="B66" s="22"/>
      <c r="C66" s="22"/>
      <c r="D66" s="22"/>
      <c r="E66" s="22"/>
      <c r="F66" s="22"/>
    </row>
    <row r="67" spans="2:6" ht="15.75" customHeight="1">
      <c r="B67" s="22"/>
      <c r="C67" s="22"/>
      <c r="D67" s="22"/>
      <c r="E67" s="22"/>
      <c r="F67" s="22"/>
    </row>
    <row r="68" spans="2:6" ht="15.75" customHeight="1">
      <c r="B68" s="22"/>
      <c r="C68" s="22"/>
      <c r="D68" s="22"/>
      <c r="E68" s="22"/>
      <c r="F68" s="22"/>
    </row>
    <row r="69" spans="2:6" ht="15.75" customHeight="1">
      <c r="B69" s="22"/>
      <c r="C69" s="22"/>
      <c r="D69" s="22"/>
      <c r="E69" s="22"/>
      <c r="F69" s="22"/>
    </row>
    <row r="70" spans="2:6" ht="15.75" customHeight="1">
      <c r="B70" s="22"/>
      <c r="C70" s="22"/>
      <c r="D70" s="22"/>
      <c r="E70" s="22"/>
      <c r="F70" s="22"/>
    </row>
    <row r="71" spans="2:6" ht="15.75" customHeight="1">
      <c r="B71" s="22"/>
      <c r="C71" s="22"/>
      <c r="D71" s="22"/>
      <c r="E71" s="22"/>
      <c r="F71" s="22"/>
    </row>
    <row r="72" spans="2:6" ht="15.75" customHeight="1">
      <c r="B72" s="22"/>
      <c r="C72" s="22"/>
      <c r="D72" s="22"/>
      <c r="E72" s="22"/>
      <c r="F72" s="22"/>
    </row>
    <row r="73" spans="2:6" ht="15.75" customHeight="1">
      <c r="B73" s="22"/>
      <c r="C73" s="22"/>
      <c r="D73" s="22"/>
      <c r="E73" s="22"/>
      <c r="F73" s="22"/>
    </row>
    <row r="74" spans="2:6" ht="15.75" customHeight="1">
      <c r="B74" s="22"/>
      <c r="C74" s="22"/>
      <c r="D74" s="22"/>
      <c r="E74" s="22"/>
      <c r="F74" s="22"/>
    </row>
    <row r="75" spans="2:6" ht="15.75" customHeight="1">
      <c r="B75" s="22"/>
      <c r="C75" s="22"/>
      <c r="D75" s="22"/>
      <c r="E75" s="22"/>
      <c r="F75" s="22"/>
    </row>
    <row r="76" spans="2:6" ht="15.75" customHeight="1">
      <c r="B76" s="22"/>
      <c r="C76" s="22"/>
      <c r="D76" s="22"/>
      <c r="E76" s="22"/>
      <c r="F76" s="22"/>
    </row>
    <row r="77" spans="2:6" ht="15.75" customHeight="1">
      <c r="B77" s="22"/>
      <c r="C77" s="22"/>
      <c r="D77" s="22"/>
      <c r="E77" s="22"/>
      <c r="F77" s="22"/>
    </row>
    <row r="78" spans="2:6" ht="15.75" customHeight="1">
      <c r="B78" s="22"/>
      <c r="C78" s="22"/>
      <c r="D78" s="22"/>
      <c r="E78" s="22"/>
      <c r="F78" s="22"/>
    </row>
    <row r="79" spans="2:6" ht="15.75" customHeight="1">
      <c r="B79" s="22"/>
      <c r="C79" s="22"/>
      <c r="D79" s="22"/>
      <c r="E79" s="22"/>
      <c r="F79" s="22"/>
    </row>
    <row r="80" spans="2:6" ht="15.75" customHeight="1">
      <c r="B80" s="22"/>
      <c r="C80" s="22"/>
      <c r="D80" s="22"/>
      <c r="E80" s="22"/>
      <c r="F80" s="22"/>
    </row>
    <row r="81" spans="2:6" ht="15.75" customHeight="1">
      <c r="B81" s="22"/>
      <c r="C81" s="22"/>
      <c r="D81" s="22"/>
      <c r="E81" s="22"/>
      <c r="F81" s="22"/>
    </row>
    <row r="82" spans="2:6" ht="12.5">
      <c r="B82" s="22"/>
      <c r="C82" s="22"/>
      <c r="D82" s="22"/>
      <c r="E82" s="22"/>
      <c r="F82" s="22"/>
    </row>
    <row r="83" spans="2:6" ht="12.5">
      <c r="B83" s="22"/>
      <c r="C83" s="22"/>
      <c r="D83" s="22"/>
      <c r="E83" s="22"/>
      <c r="F83" s="22"/>
    </row>
    <row r="84" spans="2:6" ht="12.5">
      <c r="B84" s="22"/>
      <c r="C84" s="22"/>
      <c r="D84" s="22"/>
      <c r="E84" s="22"/>
      <c r="F84" s="22"/>
    </row>
    <row r="85" spans="2:6" ht="12.5">
      <c r="B85" s="22"/>
      <c r="C85" s="22"/>
      <c r="D85" s="22"/>
      <c r="E85" s="22"/>
      <c r="F85" s="22"/>
    </row>
    <row r="86" spans="2:6" ht="12.5">
      <c r="B86" s="22"/>
      <c r="C86" s="22"/>
      <c r="D86" s="22"/>
      <c r="E86" s="22"/>
      <c r="F86" s="22"/>
    </row>
    <row r="87" spans="2:6" ht="12.5">
      <c r="B87" s="22"/>
      <c r="C87" s="22"/>
      <c r="D87" s="22"/>
      <c r="E87" s="22"/>
      <c r="F87" s="22"/>
    </row>
    <row r="88" spans="2:6" ht="12.5">
      <c r="B88" s="22"/>
      <c r="C88" s="22"/>
      <c r="D88" s="22"/>
      <c r="E88" s="22"/>
      <c r="F88" s="22"/>
    </row>
    <row r="89" spans="2:6" ht="12.5">
      <c r="B89" s="22"/>
      <c r="C89" s="22"/>
      <c r="D89" s="22"/>
      <c r="E89" s="22"/>
      <c r="F89" s="22"/>
    </row>
    <row r="90" spans="2:6" ht="12.5">
      <c r="B90" s="22"/>
      <c r="C90" s="22"/>
      <c r="D90" s="22"/>
      <c r="E90" s="22"/>
      <c r="F90" s="22"/>
    </row>
    <row r="91" spans="2:6" ht="12.5">
      <c r="B91" s="22"/>
      <c r="C91" s="22"/>
      <c r="D91" s="22"/>
      <c r="E91" s="22"/>
      <c r="F91" s="22"/>
    </row>
    <row r="92" spans="2:6" ht="12.5">
      <c r="B92" s="22"/>
      <c r="C92" s="22"/>
      <c r="D92" s="22"/>
      <c r="E92" s="22"/>
      <c r="F92" s="22"/>
    </row>
    <row r="93" spans="2:6" ht="12.5">
      <c r="B93" s="22"/>
      <c r="C93" s="22"/>
      <c r="D93" s="22"/>
      <c r="E93" s="22"/>
      <c r="F93" s="22"/>
    </row>
    <row r="94" spans="2:6" ht="12.5">
      <c r="B94" s="22"/>
      <c r="C94" s="22"/>
      <c r="D94" s="22"/>
      <c r="E94" s="22"/>
      <c r="F94" s="22"/>
    </row>
    <row r="95" spans="2:6" ht="12.5">
      <c r="B95" s="22"/>
      <c r="C95" s="22"/>
      <c r="D95" s="22"/>
      <c r="E95" s="22"/>
      <c r="F95" s="22"/>
    </row>
    <row r="96" spans="2:6" ht="12.5">
      <c r="B96" s="22"/>
      <c r="C96" s="22"/>
      <c r="D96" s="22"/>
      <c r="E96" s="22"/>
      <c r="F96" s="22"/>
    </row>
    <row r="97" spans="2:6" ht="12.5">
      <c r="B97" s="22"/>
      <c r="C97" s="22"/>
      <c r="D97" s="22"/>
      <c r="E97" s="22"/>
      <c r="F97" s="22"/>
    </row>
    <row r="98" spans="2:6" ht="12.5">
      <c r="B98" s="22"/>
      <c r="C98" s="22"/>
      <c r="D98" s="22"/>
      <c r="E98" s="22"/>
      <c r="F98" s="22"/>
    </row>
    <row r="99" spans="2:6" ht="12.5">
      <c r="B99" s="22"/>
      <c r="C99" s="22"/>
      <c r="D99" s="22"/>
      <c r="E99" s="22"/>
      <c r="F99" s="22"/>
    </row>
    <row r="100" spans="2:6" ht="12.5">
      <c r="B100" s="22"/>
      <c r="C100" s="22"/>
      <c r="D100" s="22"/>
      <c r="E100" s="22"/>
      <c r="F100" s="22"/>
    </row>
    <row r="101" spans="2:6" ht="12.5">
      <c r="B101" s="22"/>
      <c r="C101" s="22"/>
      <c r="D101" s="22"/>
      <c r="E101" s="22"/>
      <c r="F101" s="22"/>
    </row>
    <row r="102" spans="2:6" ht="12.5">
      <c r="B102" s="22"/>
      <c r="C102" s="22"/>
      <c r="D102" s="22"/>
      <c r="E102" s="22"/>
      <c r="F102" s="22"/>
    </row>
    <row r="103" spans="2:6" ht="12.5">
      <c r="B103" s="22"/>
      <c r="C103" s="22"/>
      <c r="D103" s="22"/>
      <c r="E103" s="22"/>
      <c r="F103" s="22"/>
    </row>
    <row r="104" spans="2:6" ht="12.5">
      <c r="B104" s="22"/>
      <c r="C104" s="22"/>
      <c r="D104" s="22"/>
      <c r="E104" s="22"/>
      <c r="F104" s="22"/>
    </row>
    <row r="105" spans="2:6" ht="12.5">
      <c r="B105" s="22"/>
      <c r="C105" s="22"/>
      <c r="D105" s="22"/>
      <c r="E105" s="22"/>
      <c r="F105" s="22"/>
    </row>
    <row r="106" spans="2:6" ht="12.5">
      <c r="B106" s="22"/>
      <c r="C106" s="22"/>
      <c r="D106" s="22"/>
      <c r="E106" s="22"/>
      <c r="F106" s="22"/>
    </row>
    <row r="107" spans="2:6" ht="12.5">
      <c r="B107" s="22"/>
      <c r="C107" s="22"/>
      <c r="D107" s="22"/>
      <c r="E107" s="22"/>
      <c r="F107" s="22"/>
    </row>
    <row r="108" spans="2:6" ht="12.5">
      <c r="B108" s="22"/>
      <c r="C108" s="22"/>
      <c r="D108" s="22"/>
      <c r="E108" s="22"/>
      <c r="F108" s="22"/>
    </row>
    <row r="109" spans="2:6" ht="12.5">
      <c r="B109" s="22"/>
      <c r="C109" s="22"/>
      <c r="D109" s="22"/>
      <c r="E109" s="22"/>
      <c r="F109" s="22"/>
    </row>
    <row r="110" spans="2:6" ht="12.5">
      <c r="B110" s="22"/>
      <c r="C110" s="22"/>
      <c r="D110" s="22"/>
      <c r="E110" s="22"/>
      <c r="F110" s="22"/>
    </row>
    <row r="111" spans="2:6" ht="12.5">
      <c r="B111" s="22"/>
      <c r="C111" s="22"/>
      <c r="D111" s="22"/>
      <c r="E111" s="22"/>
      <c r="F111" s="22"/>
    </row>
    <row r="112" spans="2:6" ht="12.5">
      <c r="B112" s="22"/>
      <c r="C112" s="22"/>
      <c r="D112" s="22"/>
      <c r="E112" s="22"/>
      <c r="F112" s="22"/>
    </row>
    <row r="113" spans="2:6" ht="12.5">
      <c r="B113" s="22"/>
      <c r="C113" s="22"/>
      <c r="D113" s="22"/>
      <c r="E113" s="22"/>
      <c r="F113" s="22"/>
    </row>
    <row r="114" spans="2:6" ht="12.5">
      <c r="B114" s="22"/>
      <c r="C114" s="22"/>
      <c r="D114" s="22"/>
      <c r="E114" s="22"/>
      <c r="F114" s="22"/>
    </row>
    <row r="115" spans="2:6" ht="12.5">
      <c r="B115" s="22"/>
      <c r="C115" s="22"/>
      <c r="D115" s="22"/>
      <c r="E115" s="22"/>
      <c r="F115" s="22"/>
    </row>
    <row r="116" spans="2:6" ht="12.5">
      <c r="B116" s="22"/>
      <c r="C116" s="22"/>
      <c r="D116" s="22"/>
      <c r="E116" s="22"/>
      <c r="F116" s="22"/>
    </row>
    <row r="117" spans="2:6" ht="12.5">
      <c r="B117" s="22"/>
      <c r="C117" s="22"/>
      <c r="D117" s="22"/>
      <c r="E117" s="22"/>
      <c r="F117" s="22"/>
    </row>
    <row r="118" spans="2:6" ht="12.5">
      <c r="B118" s="22"/>
      <c r="C118" s="22"/>
      <c r="D118" s="22"/>
      <c r="E118" s="22"/>
      <c r="F118" s="22"/>
    </row>
    <row r="119" spans="2:6" ht="12.5">
      <c r="B119" s="22"/>
      <c r="C119" s="22"/>
      <c r="D119" s="22"/>
      <c r="E119" s="22"/>
      <c r="F119" s="22"/>
    </row>
    <row r="120" spans="2:6" ht="12.5">
      <c r="B120" s="22"/>
      <c r="C120" s="22"/>
      <c r="D120" s="22"/>
      <c r="E120" s="22"/>
      <c r="F120" s="22"/>
    </row>
    <row r="121" spans="2:6" ht="12.5">
      <c r="B121" s="22"/>
      <c r="C121" s="22"/>
      <c r="D121" s="22"/>
      <c r="E121" s="22"/>
      <c r="F121" s="22"/>
    </row>
    <row r="122" spans="2:6" ht="12.5">
      <c r="B122" s="22"/>
      <c r="C122" s="22"/>
      <c r="D122" s="22"/>
      <c r="E122" s="22"/>
      <c r="F122" s="22"/>
    </row>
    <row r="123" spans="2:6" ht="12.5">
      <c r="B123" s="22"/>
      <c r="C123" s="22"/>
      <c r="D123" s="22"/>
      <c r="E123" s="22"/>
      <c r="F123" s="22"/>
    </row>
    <row r="124" spans="2:6" ht="12.5">
      <c r="B124" s="22"/>
      <c r="C124" s="22"/>
      <c r="D124" s="22"/>
      <c r="E124" s="22"/>
      <c r="F124" s="22"/>
    </row>
    <row r="125" spans="2:6" ht="12.5">
      <c r="B125" s="22"/>
      <c r="C125" s="22"/>
      <c r="D125" s="22"/>
      <c r="E125" s="22"/>
      <c r="F125" s="22"/>
    </row>
    <row r="126" spans="2:6" ht="12.5">
      <c r="B126" s="22"/>
      <c r="C126" s="22"/>
      <c r="D126" s="22"/>
      <c r="E126" s="22"/>
      <c r="F126" s="22"/>
    </row>
    <row r="127" spans="2:6" ht="12.5">
      <c r="B127" s="22"/>
      <c r="C127" s="22"/>
      <c r="D127" s="22"/>
      <c r="E127" s="22"/>
      <c r="F127" s="22"/>
    </row>
    <row r="128" spans="2:6" ht="12.5">
      <c r="B128" s="22"/>
      <c r="C128" s="22"/>
      <c r="D128" s="22"/>
      <c r="E128" s="22"/>
      <c r="F128" s="22"/>
    </row>
    <row r="129" spans="2:6" ht="12.5">
      <c r="B129" s="22"/>
      <c r="C129" s="22"/>
      <c r="D129" s="22"/>
      <c r="E129" s="22"/>
      <c r="F129" s="22"/>
    </row>
    <row r="130" spans="2:6" ht="12.5">
      <c r="B130" s="22"/>
      <c r="C130" s="22"/>
      <c r="D130" s="22"/>
      <c r="E130" s="22"/>
      <c r="F130" s="22"/>
    </row>
    <row r="131" spans="2:6" ht="12.5">
      <c r="B131" s="22"/>
      <c r="C131" s="22"/>
      <c r="D131" s="22"/>
      <c r="E131" s="22"/>
      <c r="F131" s="22"/>
    </row>
    <row r="132" spans="2:6" ht="12.5">
      <c r="B132" s="22"/>
      <c r="C132" s="22"/>
      <c r="D132" s="22"/>
      <c r="E132" s="22"/>
      <c r="F132" s="22"/>
    </row>
    <row r="133" spans="2:6" ht="12.5">
      <c r="B133" s="22"/>
      <c r="C133" s="22"/>
      <c r="D133" s="22"/>
      <c r="E133" s="22"/>
      <c r="F133" s="22"/>
    </row>
    <row r="134" spans="2:6" ht="12.5">
      <c r="B134" s="22"/>
      <c r="C134" s="22"/>
      <c r="D134" s="22"/>
      <c r="E134" s="22"/>
      <c r="F134" s="22"/>
    </row>
    <row r="135" spans="2:6" ht="12.5">
      <c r="B135" s="22"/>
      <c r="C135" s="22"/>
      <c r="D135" s="22"/>
      <c r="E135" s="22"/>
      <c r="F135" s="22"/>
    </row>
    <row r="136" spans="2:6" ht="12.5">
      <c r="B136" s="22"/>
      <c r="C136" s="22"/>
      <c r="D136" s="22"/>
      <c r="E136" s="22"/>
      <c r="F136" s="22"/>
    </row>
    <row r="137" spans="2:6" ht="12.5">
      <c r="B137" s="22"/>
      <c r="C137" s="22"/>
      <c r="D137" s="22"/>
      <c r="E137" s="22"/>
      <c r="F137" s="22"/>
    </row>
    <row r="138" spans="2:6" ht="12.5">
      <c r="B138" s="22"/>
      <c r="C138" s="22"/>
      <c r="D138" s="22"/>
      <c r="E138" s="22"/>
      <c r="F138" s="22"/>
    </row>
    <row r="139" spans="2:6" ht="12.5">
      <c r="B139" s="22"/>
      <c r="C139" s="22"/>
      <c r="D139" s="22"/>
      <c r="E139" s="22"/>
      <c r="F139" s="22"/>
    </row>
    <row r="140" spans="2:6" ht="12.5">
      <c r="B140" s="22"/>
      <c r="C140" s="22"/>
      <c r="D140" s="22"/>
      <c r="E140" s="22"/>
      <c r="F140" s="22"/>
    </row>
    <row r="141" spans="2:6" ht="12.5">
      <c r="B141" s="22"/>
      <c r="C141" s="22"/>
      <c r="D141" s="22"/>
      <c r="E141" s="22"/>
      <c r="F141" s="22"/>
    </row>
    <row r="142" spans="2:6" ht="12.5">
      <c r="B142" s="22"/>
      <c r="C142" s="22"/>
      <c r="D142" s="22"/>
      <c r="E142" s="22"/>
      <c r="F142" s="22"/>
    </row>
    <row r="143" spans="2:6" ht="12.5">
      <c r="B143" s="22"/>
      <c r="C143" s="22"/>
      <c r="D143" s="22"/>
      <c r="E143" s="22"/>
      <c r="F143" s="22"/>
    </row>
    <row r="144" spans="2:6" ht="12.5">
      <c r="B144" s="22"/>
      <c r="C144" s="22"/>
      <c r="D144" s="22"/>
      <c r="E144" s="22"/>
      <c r="F144" s="22"/>
    </row>
    <row r="145" spans="2:6" ht="12.5">
      <c r="B145" s="22"/>
      <c r="C145" s="22"/>
      <c r="D145" s="22"/>
      <c r="E145" s="22"/>
      <c r="F145" s="22"/>
    </row>
    <row r="146" spans="2:6" ht="12.5">
      <c r="B146" s="22"/>
      <c r="C146" s="22"/>
      <c r="D146" s="22"/>
      <c r="E146" s="22"/>
      <c r="F146" s="22"/>
    </row>
    <row r="147" spans="2:6" ht="12.5">
      <c r="B147" s="22"/>
      <c r="C147" s="22"/>
      <c r="D147" s="22"/>
      <c r="E147" s="22"/>
      <c r="F147" s="22"/>
    </row>
    <row r="148" spans="2:6" ht="12.5">
      <c r="B148" s="22"/>
      <c r="C148" s="22"/>
      <c r="D148" s="22"/>
      <c r="E148" s="22"/>
      <c r="F148" s="22"/>
    </row>
    <row r="149" spans="2:6" ht="12.5">
      <c r="B149" s="22"/>
      <c r="C149" s="22"/>
      <c r="D149" s="22"/>
      <c r="E149" s="22"/>
      <c r="F149" s="22"/>
    </row>
    <row r="150" spans="2:6" ht="12.5">
      <c r="B150" s="22"/>
      <c r="C150" s="22"/>
      <c r="D150" s="22"/>
      <c r="E150" s="22"/>
      <c r="F150" s="22"/>
    </row>
    <row r="151" spans="2:6" ht="12.5">
      <c r="B151" s="22"/>
      <c r="C151" s="22"/>
      <c r="D151" s="22"/>
      <c r="E151" s="22"/>
      <c r="F151" s="22"/>
    </row>
    <row r="152" spans="2:6" ht="12.5">
      <c r="B152" s="22"/>
      <c r="C152" s="22"/>
      <c r="D152" s="22"/>
      <c r="E152" s="22"/>
      <c r="F152" s="22"/>
    </row>
    <row r="153" spans="2:6" ht="12.5">
      <c r="B153" s="22"/>
      <c r="C153" s="22"/>
      <c r="D153" s="22"/>
      <c r="E153" s="22"/>
      <c r="F153" s="22"/>
    </row>
    <row r="154" spans="2:6" ht="12.5">
      <c r="B154" s="22"/>
      <c r="C154" s="22"/>
      <c r="D154" s="22"/>
      <c r="E154" s="22"/>
      <c r="F154" s="22"/>
    </row>
    <row r="155" spans="2:6" ht="12.5">
      <c r="B155" s="22"/>
      <c r="C155" s="22"/>
      <c r="D155" s="22"/>
      <c r="E155" s="22"/>
      <c r="F155" s="22"/>
    </row>
    <row r="156" spans="2:6" ht="12.5">
      <c r="B156" s="22"/>
      <c r="C156" s="22"/>
      <c r="D156" s="22"/>
      <c r="E156" s="22"/>
      <c r="F156" s="22"/>
    </row>
    <row r="157" spans="2:6" ht="12.5">
      <c r="B157" s="22"/>
      <c r="C157" s="22"/>
      <c r="D157" s="22"/>
      <c r="E157" s="22"/>
      <c r="F157" s="22"/>
    </row>
    <row r="158" spans="2:6" ht="12.5">
      <c r="B158" s="22"/>
      <c r="C158" s="22"/>
      <c r="D158" s="22"/>
      <c r="E158" s="22"/>
      <c r="F158" s="22"/>
    </row>
    <row r="159" spans="2:6" ht="12.5">
      <c r="B159" s="22"/>
      <c r="C159" s="22"/>
      <c r="D159" s="22"/>
      <c r="E159" s="22"/>
      <c r="F159" s="22"/>
    </row>
    <row r="160" spans="2:6" ht="12.5">
      <c r="B160" s="22"/>
      <c r="C160" s="22"/>
      <c r="D160" s="22"/>
      <c r="E160" s="22"/>
      <c r="F160" s="22"/>
    </row>
    <row r="161" spans="2:6" ht="12.5">
      <c r="B161" s="22"/>
      <c r="C161" s="22"/>
      <c r="D161" s="22"/>
      <c r="E161" s="22"/>
      <c r="F161" s="22"/>
    </row>
    <row r="162" spans="2:6" ht="12.5">
      <c r="B162" s="22"/>
      <c r="C162" s="22"/>
      <c r="D162" s="22"/>
      <c r="E162" s="22"/>
      <c r="F162" s="22"/>
    </row>
    <row r="163" spans="2:6" ht="12.5">
      <c r="B163" s="22"/>
      <c r="C163" s="22"/>
      <c r="D163" s="22"/>
      <c r="E163" s="22"/>
      <c r="F163" s="22"/>
    </row>
    <row r="164" spans="2:6" ht="12.5">
      <c r="B164" s="22"/>
      <c r="C164" s="22"/>
      <c r="D164" s="22"/>
      <c r="E164" s="22"/>
      <c r="F164" s="22"/>
    </row>
    <row r="165" spans="2:6" ht="12.5">
      <c r="B165" s="22"/>
      <c r="C165" s="22"/>
      <c r="D165" s="22"/>
      <c r="E165" s="22"/>
      <c r="F165" s="22"/>
    </row>
    <row r="166" spans="2:6" ht="12.5">
      <c r="B166" s="22"/>
      <c r="C166" s="22"/>
      <c r="D166" s="22"/>
      <c r="E166" s="22"/>
      <c r="F166" s="22"/>
    </row>
    <row r="167" spans="2:6" ht="12.5">
      <c r="B167" s="22"/>
      <c r="C167" s="22"/>
      <c r="D167" s="22"/>
      <c r="E167" s="22"/>
      <c r="F167" s="22"/>
    </row>
    <row r="168" spans="2:6" ht="12.5">
      <c r="B168" s="22"/>
      <c r="C168" s="22"/>
      <c r="D168" s="22"/>
      <c r="E168" s="22"/>
      <c r="F168" s="22"/>
    </row>
    <row r="169" spans="2:6" ht="12.5">
      <c r="B169" s="22"/>
      <c r="C169" s="22"/>
      <c r="D169" s="22"/>
      <c r="E169" s="22"/>
      <c r="F169" s="22"/>
    </row>
    <row r="170" spans="2:6" ht="12.5">
      <c r="B170" s="22"/>
      <c r="C170" s="22"/>
      <c r="D170" s="22"/>
      <c r="E170" s="22"/>
      <c r="F170" s="22"/>
    </row>
    <row r="171" spans="2:6" ht="12.5">
      <c r="B171" s="22"/>
      <c r="C171" s="22"/>
      <c r="D171" s="22"/>
      <c r="E171" s="22"/>
      <c r="F171" s="22"/>
    </row>
    <row r="172" spans="2:6" ht="12.5">
      <c r="B172" s="22"/>
      <c r="C172" s="22"/>
      <c r="D172" s="22"/>
      <c r="E172" s="22"/>
      <c r="F172" s="22"/>
    </row>
    <row r="173" spans="2:6" ht="12.5">
      <c r="B173" s="22"/>
      <c r="C173" s="22"/>
      <c r="D173" s="22"/>
      <c r="E173" s="22"/>
      <c r="F173" s="22"/>
    </row>
    <row r="174" spans="2:6" ht="12.5">
      <c r="B174" s="22"/>
      <c r="C174" s="22"/>
      <c r="D174" s="22"/>
      <c r="E174" s="22"/>
      <c r="F174" s="22"/>
    </row>
    <row r="175" spans="2:6" ht="12.5">
      <c r="B175" s="22"/>
      <c r="C175" s="22"/>
      <c r="D175" s="22"/>
      <c r="E175" s="22"/>
      <c r="F175" s="22"/>
    </row>
    <row r="176" spans="2:6" ht="12.5">
      <c r="B176" s="22"/>
      <c r="C176" s="22"/>
      <c r="D176" s="22"/>
      <c r="E176" s="22"/>
      <c r="F176" s="22"/>
    </row>
    <row r="177" spans="2:6" ht="12.5">
      <c r="B177" s="22"/>
      <c r="C177" s="22"/>
      <c r="D177" s="22"/>
      <c r="E177" s="22"/>
      <c r="F177" s="22"/>
    </row>
    <row r="178" spans="2:6" ht="12.5">
      <c r="B178" s="22"/>
      <c r="C178" s="22"/>
      <c r="D178" s="22"/>
      <c r="E178" s="22"/>
      <c r="F178" s="22"/>
    </row>
    <row r="179" spans="2:6" ht="12.5">
      <c r="B179" s="22"/>
      <c r="C179" s="22"/>
      <c r="D179" s="22"/>
      <c r="E179" s="22"/>
      <c r="F179" s="22"/>
    </row>
    <row r="180" spans="2:6" ht="12.5">
      <c r="B180" s="22"/>
      <c r="C180" s="22"/>
      <c r="D180" s="22"/>
      <c r="E180" s="22"/>
      <c r="F180" s="22"/>
    </row>
    <row r="181" spans="2:6" ht="12.5">
      <c r="B181" s="22"/>
      <c r="C181" s="22"/>
      <c r="D181" s="22"/>
      <c r="E181" s="22"/>
      <c r="F181" s="22"/>
    </row>
    <row r="182" spans="2:6" ht="12.5">
      <c r="B182" s="22"/>
      <c r="C182" s="22"/>
      <c r="D182" s="22"/>
      <c r="E182" s="22"/>
      <c r="F182" s="22"/>
    </row>
    <row r="183" spans="2:6" ht="12.5">
      <c r="B183" s="22"/>
      <c r="C183" s="22"/>
      <c r="D183" s="22"/>
      <c r="E183" s="22"/>
      <c r="F183" s="22"/>
    </row>
    <row r="184" spans="2:6" ht="12.5">
      <c r="B184" s="22"/>
      <c r="C184" s="22"/>
      <c r="D184" s="22"/>
      <c r="E184" s="22"/>
      <c r="F184" s="22"/>
    </row>
    <row r="185" spans="2:6" ht="12.5">
      <c r="B185" s="22"/>
      <c r="C185" s="22"/>
      <c r="D185" s="22"/>
      <c r="E185" s="22"/>
      <c r="F185" s="22"/>
    </row>
    <row r="186" spans="2:6" ht="12.5">
      <c r="B186" s="22"/>
      <c r="C186" s="22"/>
      <c r="D186" s="22"/>
      <c r="E186" s="22"/>
      <c r="F186" s="22"/>
    </row>
    <row r="187" spans="2:6" ht="12.5">
      <c r="B187" s="22"/>
      <c r="C187" s="22"/>
      <c r="D187" s="22"/>
      <c r="E187" s="22"/>
      <c r="F187" s="22"/>
    </row>
    <row r="188" spans="2:6" ht="12.5">
      <c r="B188" s="22"/>
      <c r="C188" s="22"/>
      <c r="D188" s="22"/>
      <c r="E188" s="22"/>
      <c r="F188" s="22"/>
    </row>
    <row r="189" spans="2:6" ht="12.5">
      <c r="B189" s="22"/>
      <c r="C189" s="22"/>
      <c r="D189" s="22"/>
      <c r="E189" s="22"/>
      <c r="F189" s="22"/>
    </row>
    <row r="190" spans="2:6" ht="12.5">
      <c r="B190" s="22"/>
      <c r="C190" s="22"/>
      <c r="D190" s="22"/>
      <c r="E190" s="22"/>
      <c r="F190" s="22"/>
    </row>
    <row r="191" spans="2:6" ht="12.5">
      <c r="B191" s="22"/>
      <c r="C191" s="22"/>
      <c r="D191" s="22"/>
      <c r="E191" s="22"/>
      <c r="F191" s="22"/>
    </row>
    <row r="192" spans="2:6" ht="12.5">
      <c r="B192" s="22"/>
      <c r="C192" s="22"/>
      <c r="D192" s="22"/>
      <c r="E192" s="22"/>
      <c r="F192" s="22"/>
    </row>
    <row r="193" spans="2:6" ht="12.5">
      <c r="B193" s="22"/>
      <c r="C193" s="22"/>
      <c r="D193" s="22"/>
      <c r="E193" s="22"/>
      <c r="F193" s="22"/>
    </row>
    <row r="194" spans="2:6" ht="12.5">
      <c r="B194" s="22"/>
      <c r="C194" s="22"/>
      <c r="D194" s="22"/>
      <c r="E194" s="22"/>
      <c r="F194" s="22"/>
    </row>
    <row r="195" spans="2:6" ht="12.5">
      <c r="B195" s="22"/>
      <c r="C195" s="22"/>
      <c r="D195" s="22"/>
      <c r="E195" s="22"/>
      <c r="F195" s="22"/>
    </row>
    <row r="196" spans="2:6" ht="12.5">
      <c r="B196" s="22"/>
      <c r="C196" s="22"/>
      <c r="D196" s="22"/>
      <c r="E196" s="22"/>
      <c r="F196" s="22"/>
    </row>
    <row r="197" spans="2:6" ht="12.5">
      <c r="B197" s="22"/>
      <c r="C197" s="22"/>
      <c r="D197" s="22"/>
      <c r="E197" s="22"/>
      <c r="F197" s="22"/>
    </row>
    <row r="198" spans="2:6" ht="12.5">
      <c r="B198" s="22"/>
      <c r="C198" s="22"/>
      <c r="D198" s="22"/>
      <c r="E198" s="22"/>
      <c r="F198" s="22"/>
    </row>
    <row r="199" spans="2:6" ht="12.5">
      <c r="B199" s="22"/>
      <c r="C199" s="22"/>
      <c r="D199" s="22"/>
      <c r="E199" s="22"/>
      <c r="F199" s="22"/>
    </row>
    <row r="200" spans="2:6" ht="12.5">
      <c r="B200" s="22"/>
      <c r="C200" s="22"/>
      <c r="D200" s="22"/>
      <c r="E200" s="22"/>
      <c r="F200" s="22"/>
    </row>
    <row r="201" spans="2:6" ht="12.5">
      <c r="B201" s="22"/>
      <c r="C201" s="22"/>
      <c r="D201" s="22"/>
      <c r="E201" s="22"/>
      <c r="F201" s="22"/>
    </row>
    <row r="202" spans="2:6" ht="12.5">
      <c r="B202" s="22"/>
      <c r="C202" s="22"/>
      <c r="D202" s="22"/>
      <c r="E202" s="22"/>
      <c r="F202" s="22"/>
    </row>
    <row r="203" spans="2:6" ht="12.5">
      <c r="B203" s="22"/>
      <c r="C203" s="22"/>
      <c r="D203" s="22"/>
      <c r="E203" s="22"/>
      <c r="F203" s="22"/>
    </row>
    <row r="204" spans="2:6" ht="12.5">
      <c r="B204" s="22"/>
      <c r="C204" s="22"/>
      <c r="D204" s="22"/>
      <c r="E204" s="22"/>
      <c r="F204" s="22"/>
    </row>
    <row r="205" spans="2:6" ht="12.5">
      <c r="B205" s="22"/>
      <c r="C205" s="22"/>
      <c r="D205" s="22"/>
      <c r="E205" s="22"/>
      <c r="F205" s="22"/>
    </row>
    <row r="206" spans="2:6" ht="12.5">
      <c r="B206" s="22"/>
      <c r="C206" s="22"/>
      <c r="D206" s="22"/>
      <c r="E206" s="22"/>
      <c r="F206" s="22"/>
    </row>
    <row r="207" spans="2:6" ht="12.5">
      <c r="B207" s="22"/>
      <c r="C207" s="22"/>
      <c r="D207" s="22"/>
      <c r="E207" s="22"/>
      <c r="F207" s="22"/>
    </row>
    <row r="208" spans="2:6" ht="12.5">
      <c r="B208" s="22"/>
      <c r="C208" s="22"/>
      <c r="D208" s="22"/>
      <c r="E208" s="22"/>
      <c r="F208" s="22"/>
    </row>
    <row r="209" spans="2:6" ht="12.5">
      <c r="B209" s="22"/>
      <c r="C209" s="22"/>
      <c r="D209" s="22"/>
      <c r="E209" s="22"/>
      <c r="F209" s="22"/>
    </row>
    <row r="210" spans="2:6" ht="12.5">
      <c r="B210" s="22"/>
      <c r="C210" s="22"/>
      <c r="D210" s="22"/>
      <c r="E210" s="22"/>
      <c r="F210" s="22"/>
    </row>
    <row r="211" spans="2:6" ht="12.5">
      <c r="B211" s="22"/>
      <c r="C211" s="22"/>
      <c r="D211" s="22"/>
      <c r="E211" s="22"/>
      <c r="F211" s="22"/>
    </row>
    <row r="212" spans="2:6" ht="12.5">
      <c r="B212" s="22"/>
      <c r="C212" s="22"/>
      <c r="D212" s="22"/>
      <c r="E212" s="22"/>
      <c r="F212" s="22"/>
    </row>
    <row r="213" spans="2:6" ht="12.5">
      <c r="B213" s="22"/>
      <c r="C213" s="22"/>
      <c r="D213" s="22"/>
      <c r="E213" s="22"/>
      <c r="F213" s="22"/>
    </row>
    <row r="214" spans="2:6" ht="12.5">
      <c r="B214" s="22"/>
      <c r="C214" s="22"/>
      <c r="D214" s="22"/>
      <c r="E214" s="22"/>
      <c r="F214" s="22"/>
    </row>
    <row r="215" spans="2:6" ht="12.5">
      <c r="B215" s="22"/>
      <c r="C215" s="22"/>
      <c r="D215" s="22"/>
      <c r="E215" s="22"/>
      <c r="F215" s="22"/>
    </row>
    <row r="216" spans="2:6" ht="12.5">
      <c r="B216" s="22"/>
      <c r="C216" s="22"/>
      <c r="D216" s="22"/>
      <c r="E216" s="22"/>
      <c r="F216" s="22"/>
    </row>
    <row r="217" spans="2:6" ht="12.5">
      <c r="B217" s="22"/>
      <c r="C217" s="22"/>
      <c r="D217" s="22"/>
      <c r="E217" s="22"/>
      <c r="F217" s="22"/>
    </row>
    <row r="218" spans="2:6" ht="12.5">
      <c r="B218" s="22"/>
      <c r="C218" s="22"/>
      <c r="D218" s="22"/>
      <c r="E218" s="22"/>
      <c r="F218" s="22"/>
    </row>
    <row r="219" spans="2:6" ht="12.5">
      <c r="B219" s="22"/>
      <c r="C219" s="22"/>
      <c r="D219" s="22"/>
      <c r="E219" s="22"/>
      <c r="F219" s="22"/>
    </row>
    <row r="220" spans="2:6" ht="12.5">
      <c r="B220" s="22"/>
      <c r="C220" s="22"/>
      <c r="D220" s="22"/>
      <c r="E220" s="22"/>
      <c r="F220" s="22"/>
    </row>
    <row r="221" spans="2:6" ht="12.5">
      <c r="B221" s="22"/>
      <c r="C221" s="22"/>
      <c r="D221" s="22"/>
      <c r="E221" s="22"/>
      <c r="F221" s="22"/>
    </row>
    <row r="222" spans="2:6" ht="12.5">
      <c r="B222" s="22"/>
      <c r="C222" s="22"/>
      <c r="D222" s="22"/>
      <c r="E222" s="22"/>
      <c r="F222" s="22"/>
    </row>
    <row r="223" spans="2:6" ht="12.5">
      <c r="B223" s="22"/>
      <c r="C223" s="22"/>
      <c r="D223" s="22"/>
      <c r="E223" s="22"/>
      <c r="F223" s="22"/>
    </row>
    <row r="224" spans="2:6" ht="12.5">
      <c r="B224" s="22"/>
      <c r="C224" s="22"/>
      <c r="D224" s="22"/>
      <c r="E224" s="22"/>
      <c r="F224" s="22"/>
    </row>
    <row r="225" spans="2:6" ht="12.5">
      <c r="B225" s="22"/>
      <c r="C225" s="22"/>
      <c r="D225" s="22"/>
      <c r="E225" s="22"/>
      <c r="F225" s="22"/>
    </row>
    <row r="226" spans="2:6" ht="12.5">
      <c r="B226" s="22"/>
      <c r="C226" s="22"/>
      <c r="D226" s="22"/>
      <c r="E226" s="22"/>
      <c r="F226" s="22"/>
    </row>
    <row r="227" spans="2:6" ht="12.5">
      <c r="B227" s="22"/>
      <c r="C227" s="22"/>
      <c r="D227" s="22"/>
      <c r="E227" s="22"/>
      <c r="F227" s="22"/>
    </row>
    <row r="228" spans="2:6" ht="12.5">
      <c r="B228" s="22"/>
      <c r="C228" s="22"/>
      <c r="D228" s="22"/>
      <c r="E228" s="22"/>
      <c r="F228" s="22"/>
    </row>
    <row r="229" spans="2:6" ht="12.5">
      <c r="B229" s="22"/>
      <c r="C229" s="22"/>
      <c r="D229" s="22"/>
      <c r="E229" s="22"/>
      <c r="F229" s="22"/>
    </row>
    <row r="230" spans="2:6" ht="12.5">
      <c r="B230" s="22"/>
      <c r="C230" s="22"/>
      <c r="D230" s="22"/>
      <c r="E230" s="22"/>
      <c r="F230" s="22"/>
    </row>
    <row r="231" spans="2:6" ht="12.5">
      <c r="B231" s="22"/>
      <c r="C231" s="22"/>
      <c r="D231" s="22"/>
      <c r="E231" s="22"/>
      <c r="F231" s="22"/>
    </row>
    <row r="232" spans="2:6" ht="12.5">
      <c r="B232" s="22"/>
      <c r="C232" s="22"/>
      <c r="D232" s="22"/>
      <c r="E232" s="22"/>
      <c r="F232" s="22"/>
    </row>
    <row r="233" spans="2:6" ht="12.5">
      <c r="B233" s="22"/>
      <c r="C233" s="22"/>
      <c r="D233" s="22"/>
      <c r="E233" s="22"/>
      <c r="F233" s="22"/>
    </row>
    <row r="234" spans="2:6" ht="12.5">
      <c r="B234" s="22"/>
      <c r="C234" s="22"/>
      <c r="D234" s="22"/>
      <c r="E234" s="22"/>
      <c r="F234" s="22"/>
    </row>
    <row r="235" spans="2:6" ht="12.5">
      <c r="B235" s="22"/>
      <c r="C235" s="22"/>
      <c r="D235" s="22"/>
      <c r="E235" s="22"/>
      <c r="F235" s="22"/>
    </row>
    <row r="236" spans="2:6" ht="12.5">
      <c r="B236" s="22"/>
      <c r="C236" s="22"/>
      <c r="D236" s="22"/>
      <c r="E236" s="22"/>
      <c r="F236" s="22"/>
    </row>
    <row r="237" spans="2:6" ht="12.5">
      <c r="B237" s="22"/>
      <c r="C237" s="22"/>
      <c r="D237" s="22"/>
      <c r="E237" s="22"/>
      <c r="F237" s="22"/>
    </row>
    <row r="238" spans="2:6" ht="12.5">
      <c r="B238" s="22"/>
      <c r="C238" s="22"/>
      <c r="D238" s="22"/>
      <c r="E238" s="22"/>
      <c r="F238" s="22"/>
    </row>
    <row r="239" spans="2:6" ht="12.5">
      <c r="B239" s="22"/>
      <c r="C239" s="22"/>
      <c r="D239" s="22"/>
      <c r="E239" s="22"/>
      <c r="F239" s="22"/>
    </row>
    <row r="240" spans="2:6" ht="12.5">
      <c r="B240" s="22"/>
      <c r="C240" s="22"/>
      <c r="D240" s="22"/>
      <c r="E240" s="22"/>
      <c r="F240" s="22"/>
    </row>
    <row r="241" spans="2:6" ht="12.5">
      <c r="B241" s="22"/>
      <c r="C241" s="22"/>
      <c r="D241" s="22"/>
      <c r="E241" s="22"/>
      <c r="F241" s="22"/>
    </row>
    <row r="242" spans="2:6" ht="12.5">
      <c r="B242" s="22"/>
      <c r="C242" s="22"/>
      <c r="D242" s="22"/>
      <c r="E242" s="22"/>
      <c r="F242" s="22"/>
    </row>
    <row r="243" spans="2:6" ht="12.5">
      <c r="B243" s="22"/>
      <c r="C243" s="22"/>
      <c r="D243" s="22"/>
      <c r="E243" s="22"/>
      <c r="F243" s="22"/>
    </row>
    <row r="244" spans="2:6" ht="12.5">
      <c r="B244" s="22"/>
      <c r="C244" s="22"/>
      <c r="D244" s="22"/>
      <c r="E244" s="22"/>
      <c r="F244" s="22"/>
    </row>
    <row r="245" spans="2:6" ht="12.5">
      <c r="B245" s="22"/>
      <c r="C245" s="22"/>
      <c r="D245" s="22"/>
      <c r="E245" s="22"/>
      <c r="F245" s="22"/>
    </row>
    <row r="246" spans="2:6" ht="12.5">
      <c r="B246" s="22"/>
      <c r="C246" s="22"/>
      <c r="D246" s="22"/>
      <c r="E246" s="22"/>
      <c r="F246" s="22"/>
    </row>
    <row r="247" spans="2:6" ht="12.5">
      <c r="B247" s="22"/>
      <c r="C247" s="22"/>
      <c r="D247" s="22"/>
      <c r="E247" s="22"/>
      <c r="F247" s="22"/>
    </row>
    <row r="248" spans="2:6" ht="12.5">
      <c r="B248" s="22"/>
      <c r="C248" s="22"/>
      <c r="D248" s="22"/>
      <c r="E248" s="22"/>
      <c r="F248" s="22"/>
    </row>
    <row r="249" spans="2:6" ht="12.5">
      <c r="B249" s="22"/>
      <c r="C249" s="22"/>
      <c r="D249" s="22"/>
      <c r="E249" s="22"/>
      <c r="F249" s="22"/>
    </row>
    <row r="250" spans="2:6" ht="12.5">
      <c r="B250" s="22"/>
      <c r="C250" s="22"/>
      <c r="D250" s="22"/>
      <c r="E250" s="22"/>
      <c r="F250" s="22"/>
    </row>
    <row r="251" spans="2:6" ht="12.5">
      <c r="B251" s="22"/>
      <c r="C251" s="22"/>
      <c r="D251" s="22"/>
      <c r="E251" s="22"/>
      <c r="F251" s="22"/>
    </row>
    <row r="252" spans="2:6" ht="12.5">
      <c r="B252" s="22"/>
      <c r="C252" s="22"/>
      <c r="D252" s="22"/>
      <c r="E252" s="22"/>
      <c r="F252" s="22"/>
    </row>
    <row r="253" spans="2:6" ht="12.5">
      <c r="B253" s="22"/>
      <c r="C253" s="22"/>
      <c r="D253" s="22"/>
      <c r="E253" s="22"/>
      <c r="F253" s="22"/>
    </row>
    <row r="254" spans="2:6" ht="12.5">
      <c r="B254" s="22"/>
      <c r="C254" s="22"/>
      <c r="D254" s="22"/>
      <c r="E254" s="22"/>
      <c r="F254" s="22"/>
    </row>
    <row r="255" spans="2:6" ht="12.5">
      <c r="B255" s="22"/>
      <c r="C255" s="22"/>
      <c r="D255" s="22"/>
      <c r="E255" s="22"/>
      <c r="F255" s="22"/>
    </row>
    <row r="256" spans="2:6" ht="12.5">
      <c r="B256" s="22"/>
      <c r="C256" s="22"/>
      <c r="D256" s="22"/>
      <c r="E256" s="22"/>
      <c r="F256" s="22"/>
    </row>
    <row r="257" spans="2:6" ht="12.5">
      <c r="B257" s="22"/>
      <c r="C257" s="22"/>
      <c r="D257" s="22"/>
      <c r="E257" s="22"/>
      <c r="F257" s="22"/>
    </row>
    <row r="258" spans="2:6" ht="12.5">
      <c r="B258" s="22"/>
      <c r="C258" s="22"/>
      <c r="D258" s="22"/>
      <c r="E258" s="22"/>
      <c r="F258" s="22"/>
    </row>
    <row r="259" spans="2:6" ht="12.5">
      <c r="B259" s="22"/>
      <c r="C259" s="22"/>
      <c r="D259" s="22"/>
      <c r="E259" s="22"/>
      <c r="F259" s="22"/>
    </row>
    <row r="260" spans="2:6" ht="12.5">
      <c r="B260" s="22"/>
      <c r="C260" s="22"/>
      <c r="D260" s="22"/>
      <c r="E260" s="22"/>
      <c r="F260" s="22"/>
    </row>
    <row r="261" spans="2:6" ht="12.5">
      <c r="B261" s="22"/>
      <c r="C261" s="22"/>
      <c r="D261" s="22"/>
      <c r="E261" s="22"/>
      <c r="F261" s="22"/>
    </row>
    <row r="262" spans="2:6" ht="12.5">
      <c r="B262" s="22"/>
      <c r="C262" s="22"/>
      <c r="D262" s="22"/>
      <c r="E262" s="22"/>
      <c r="F262" s="22"/>
    </row>
    <row r="263" spans="2:6" ht="12.5">
      <c r="B263" s="22"/>
      <c r="C263" s="22"/>
      <c r="D263" s="22"/>
      <c r="E263" s="22"/>
      <c r="F263" s="22"/>
    </row>
    <row r="264" spans="2:6" ht="12.5">
      <c r="B264" s="22"/>
      <c r="C264" s="22"/>
      <c r="D264" s="22"/>
      <c r="E264" s="22"/>
      <c r="F264" s="22"/>
    </row>
    <row r="265" spans="2:6" ht="12.5">
      <c r="B265" s="22"/>
      <c r="C265" s="22"/>
      <c r="D265" s="22"/>
      <c r="E265" s="22"/>
      <c r="F265" s="22"/>
    </row>
    <row r="266" spans="2:6" ht="12.5">
      <c r="B266" s="22"/>
      <c r="C266" s="22"/>
      <c r="D266" s="22"/>
      <c r="E266" s="22"/>
      <c r="F266" s="22"/>
    </row>
    <row r="267" spans="2:6" ht="12.5">
      <c r="B267" s="22"/>
      <c r="C267" s="22"/>
      <c r="D267" s="22"/>
      <c r="E267" s="22"/>
      <c r="F267" s="22"/>
    </row>
    <row r="268" spans="2:6" ht="12.5">
      <c r="B268" s="22"/>
      <c r="C268" s="22"/>
      <c r="D268" s="22"/>
      <c r="E268" s="22"/>
      <c r="F268" s="22"/>
    </row>
    <row r="269" spans="2:6" ht="12.5">
      <c r="B269" s="22"/>
      <c r="C269" s="22"/>
      <c r="D269" s="22"/>
      <c r="E269" s="22"/>
      <c r="F269" s="22"/>
    </row>
    <row r="270" spans="2:6" ht="12.5">
      <c r="B270" s="22"/>
      <c r="C270" s="22"/>
      <c r="D270" s="22"/>
      <c r="E270" s="22"/>
      <c r="F270" s="22"/>
    </row>
    <row r="271" spans="2:6" ht="12.5">
      <c r="B271" s="22"/>
      <c r="C271" s="22"/>
      <c r="D271" s="22"/>
      <c r="E271" s="22"/>
      <c r="F271" s="22"/>
    </row>
    <row r="272" spans="2:6" ht="12.5">
      <c r="B272" s="22"/>
      <c r="C272" s="22"/>
      <c r="D272" s="22"/>
      <c r="E272" s="22"/>
      <c r="F272" s="22"/>
    </row>
    <row r="273" spans="2:6" ht="12.5">
      <c r="B273" s="22"/>
      <c r="C273" s="22"/>
      <c r="D273" s="22"/>
      <c r="E273" s="22"/>
      <c r="F273" s="22"/>
    </row>
    <row r="274" spans="2:6" ht="12.5">
      <c r="B274" s="22"/>
      <c r="C274" s="22"/>
      <c r="D274" s="22"/>
      <c r="E274" s="22"/>
      <c r="F274" s="22"/>
    </row>
    <row r="275" spans="2:6" ht="12.5">
      <c r="B275" s="22"/>
      <c r="C275" s="22"/>
      <c r="D275" s="22"/>
      <c r="E275" s="22"/>
      <c r="F275" s="22"/>
    </row>
    <row r="276" spans="2:6" ht="12.5">
      <c r="B276" s="22"/>
      <c r="C276" s="22"/>
      <c r="D276" s="22"/>
      <c r="E276" s="22"/>
      <c r="F276" s="22"/>
    </row>
    <row r="277" spans="2:6" ht="12.5">
      <c r="B277" s="22"/>
      <c r="C277" s="22"/>
      <c r="D277" s="22"/>
      <c r="E277" s="22"/>
      <c r="F277" s="22"/>
    </row>
    <row r="278" spans="2:6" ht="12.5">
      <c r="B278" s="22"/>
      <c r="C278" s="22"/>
      <c r="D278" s="22"/>
      <c r="E278" s="22"/>
      <c r="F278" s="22"/>
    </row>
    <row r="279" spans="2:6" ht="12.5">
      <c r="B279" s="22"/>
      <c r="C279" s="22"/>
      <c r="D279" s="22"/>
      <c r="E279" s="22"/>
      <c r="F279" s="22"/>
    </row>
    <row r="280" spans="2:6" ht="12.5">
      <c r="B280" s="22"/>
      <c r="C280" s="22"/>
      <c r="D280" s="22"/>
      <c r="E280" s="22"/>
      <c r="F280" s="22"/>
    </row>
    <row r="281" spans="2:6" ht="12.5">
      <c r="B281" s="22"/>
      <c r="C281" s="22"/>
      <c r="D281" s="22"/>
      <c r="E281" s="22"/>
      <c r="F281" s="22"/>
    </row>
    <row r="282" spans="2:6" ht="12.5">
      <c r="B282" s="22"/>
      <c r="C282" s="22"/>
      <c r="D282" s="22"/>
      <c r="E282" s="22"/>
      <c r="F282" s="22"/>
    </row>
    <row r="283" spans="2:6" ht="12.5">
      <c r="B283" s="22"/>
      <c r="C283" s="22"/>
      <c r="D283" s="22"/>
      <c r="E283" s="22"/>
      <c r="F283" s="22"/>
    </row>
    <row r="284" spans="2:6" ht="12.5">
      <c r="B284" s="22"/>
      <c r="C284" s="22"/>
      <c r="D284" s="22"/>
      <c r="E284" s="22"/>
      <c r="F284" s="22"/>
    </row>
    <row r="285" spans="2:6" ht="12.5">
      <c r="B285" s="22"/>
      <c r="C285" s="22"/>
      <c r="D285" s="22"/>
      <c r="E285" s="22"/>
      <c r="F285" s="22"/>
    </row>
    <row r="286" spans="2:6" ht="12.5">
      <c r="B286" s="22"/>
      <c r="C286" s="22"/>
      <c r="D286" s="22"/>
      <c r="E286" s="22"/>
      <c r="F286" s="22"/>
    </row>
    <row r="287" spans="2:6" ht="12.5">
      <c r="B287" s="22"/>
      <c r="C287" s="22"/>
      <c r="D287" s="22"/>
      <c r="E287" s="22"/>
      <c r="F287" s="22"/>
    </row>
    <row r="288" spans="2:6" ht="12.5">
      <c r="B288" s="22"/>
      <c r="C288" s="22"/>
      <c r="D288" s="22"/>
      <c r="E288" s="22"/>
      <c r="F288" s="22"/>
    </row>
    <row r="289" spans="2:6" ht="12.5">
      <c r="B289" s="22"/>
      <c r="C289" s="22"/>
      <c r="D289" s="22"/>
      <c r="E289" s="22"/>
      <c r="F289" s="22"/>
    </row>
    <row r="290" spans="2:6" ht="12.5">
      <c r="B290" s="22"/>
      <c r="C290" s="22"/>
      <c r="D290" s="22"/>
      <c r="E290" s="22"/>
      <c r="F290" s="22"/>
    </row>
    <row r="291" spans="2:6" ht="12.5">
      <c r="B291" s="22"/>
      <c r="C291" s="22"/>
      <c r="D291" s="22"/>
      <c r="E291" s="22"/>
      <c r="F291" s="22"/>
    </row>
    <row r="292" spans="2:6" ht="12.5">
      <c r="B292" s="22"/>
      <c r="C292" s="22"/>
      <c r="D292" s="22"/>
      <c r="E292" s="22"/>
      <c r="F292" s="22"/>
    </row>
    <row r="293" spans="2:6" ht="12.5">
      <c r="B293" s="22"/>
      <c r="C293" s="22"/>
      <c r="D293" s="22"/>
      <c r="E293" s="22"/>
      <c r="F293" s="22"/>
    </row>
    <row r="294" spans="2:6" ht="12.5">
      <c r="B294" s="22"/>
      <c r="C294" s="22"/>
      <c r="D294" s="22"/>
      <c r="E294" s="22"/>
      <c r="F294" s="22"/>
    </row>
    <row r="295" spans="2:6" ht="12.5">
      <c r="B295" s="22"/>
      <c r="C295" s="22"/>
      <c r="D295" s="22"/>
      <c r="E295" s="22"/>
      <c r="F295" s="22"/>
    </row>
    <row r="296" spans="2:6" ht="12.5">
      <c r="B296" s="22"/>
      <c r="C296" s="22"/>
      <c r="D296" s="22"/>
      <c r="E296" s="22"/>
      <c r="F296" s="22"/>
    </row>
    <row r="297" spans="2:6" ht="12.5">
      <c r="B297" s="22"/>
      <c r="C297" s="22"/>
      <c r="D297" s="22"/>
      <c r="E297" s="22"/>
      <c r="F297" s="22"/>
    </row>
    <row r="298" spans="2:6" ht="12.5">
      <c r="B298" s="22"/>
      <c r="C298" s="22"/>
      <c r="D298" s="22"/>
      <c r="E298" s="22"/>
      <c r="F298" s="22"/>
    </row>
    <row r="299" spans="2:6" ht="12.5">
      <c r="B299" s="22"/>
      <c r="C299" s="22"/>
      <c r="D299" s="22"/>
      <c r="E299" s="22"/>
      <c r="F299" s="22"/>
    </row>
    <row r="300" spans="2:6" ht="12.5">
      <c r="B300" s="22"/>
      <c r="C300" s="22"/>
      <c r="D300" s="22"/>
      <c r="E300" s="22"/>
      <c r="F300" s="22"/>
    </row>
    <row r="301" spans="2:6" ht="12.5">
      <c r="B301" s="22"/>
      <c r="C301" s="22"/>
      <c r="D301" s="22"/>
      <c r="E301" s="22"/>
      <c r="F301" s="22"/>
    </row>
    <row r="302" spans="2:6" ht="12.5">
      <c r="B302" s="22"/>
      <c r="C302" s="22"/>
      <c r="D302" s="22"/>
      <c r="E302" s="22"/>
      <c r="F302" s="22"/>
    </row>
    <row r="303" spans="2:6" ht="12.5">
      <c r="B303" s="22"/>
      <c r="C303" s="22"/>
      <c r="D303" s="22"/>
      <c r="E303" s="22"/>
      <c r="F303" s="22"/>
    </row>
    <row r="304" spans="2:6" ht="12.5">
      <c r="B304" s="22"/>
      <c r="C304" s="22"/>
      <c r="D304" s="22"/>
      <c r="E304" s="22"/>
      <c r="F304" s="22"/>
    </row>
    <row r="305" spans="2:6" ht="12.5">
      <c r="B305" s="22"/>
      <c r="C305" s="22"/>
      <c r="D305" s="22"/>
      <c r="E305" s="22"/>
      <c r="F305" s="22"/>
    </row>
    <row r="306" spans="2:6" ht="12.5">
      <c r="B306" s="22"/>
      <c r="C306" s="22"/>
      <c r="D306" s="22"/>
      <c r="E306" s="22"/>
      <c r="F306" s="22"/>
    </row>
    <row r="307" spans="2:6" ht="12.5">
      <c r="B307" s="22"/>
      <c r="C307" s="22"/>
      <c r="D307" s="22"/>
      <c r="E307" s="22"/>
      <c r="F307" s="22"/>
    </row>
    <row r="308" spans="2:6" ht="12.5">
      <c r="B308" s="22"/>
      <c r="C308" s="22"/>
      <c r="D308" s="22"/>
      <c r="E308" s="22"/>
      <c r="F308" s="22"/>
    </row>
    <row r="309" spans="2:6" ht="12.5">
      <c r="B309" s="22"/>
      <c r="C309" s="22"/>
      <c r="D309" s="22"/>
      <c r="E309" s="22"/>
      <c r="F309" s="22"/>
    </row>
    <row r="310" spans="2:6" ht="12.5">
      <c r="B310" s="22"/>
      <c r="C310" s="22"/>
      <c r="D310" s="22"/>
      <c r="E310" s="22"/>
      <c r="F310" s="22"/>
    </row>
    <row r="311" spans="2:6" ht="12.5">
      <c r="B311" s="22"/>
      <c r="C311" s="22"/>
      <c r="D311" s="22"/>
      <c r="E311" s="22"/>
      <c r="F311" s="22"/>
    </row>
    <row r="312" spans="2:6" ht="12.5">
      <c r="B312" s="22"/>
      <c r="C312" s="22"/>
      <c r="D312" s="22"/>
      <c r="E312" s="22"/>
      <c r="F312" s="22"/>
    </row>
    <row r="313" spans="2:6" ht="12.5">
      <c r="B313" s="22"/>
      <c r="C313" s="22"/>
      <c r="D313" s="22"/>
      <c r="E313" s="22"/>
      <c r="F313" s="22"/>
    </row>
    <row r="314" spans="2:6" ht="12.5">
      <c r="B314" s="22"/>
      <c r="C314" s="22"/>
      <c r="D314" s="22"/>
      <c r="E314" s="22"/>
      <c r="F314" s="22"/>
    </row>
    <row r="315" spans="2:6" ht="12.5">
      <c r="B315" s="22"/>
      <c r="C315" s="22"/>
      <c r="D315" s="22"/>
      <c r="E315" s="22"/>
      <c r="F315" s="22"/>
    </row>
    <row r="316" spans="2:6" ht="12.5">
      <c r="B316" s="22"/>
      <c r="C316" s="22"/>
      <c r="D316" s="22"/>
      <c r="E316" s="22"/>
      <c r="F316" s="22"/>
    </row>
    <row r="317" spans="2:6" ht="12.5">
      <c r="B317" s="22"/>
      <c r="C317" s="22"/>
      <c r="D317" s="22"/>
      <c r="E317" s="22"/>
      <c r="F317" s="22"/>
    </row>
    <row r="318" spans="2:6" ht="12.5">
      <c r="B318" s="22"/>
      <c r="C318" s="22"/>
      <c r="D318" s="22"/>
      <c r="E318" s="22"/>
      <c r="F318" s="22"/>
    </row>
    <row r="319" spans="2:6" ht="12.5">
      <c r="B319" s="22"/>
      <c r="C319" s="22"/>
      <c r="D319" s="22"/>
      <c r="E319" s="22"/>
      <c r="F319" s="22"/>
    </row>
    <row r="320" spans="2:6" ht="12.5">
      <c r="B320" s="22"/>
      <c r="C320" s="22"/>
      <c r="D320" s="22"/>
      <c r="E320" s="22"/>
      <c r="F320" s="22"/>
    </row>
    <row r="321" spans="2:6" ht="12.5">
      <c r="B321" s="22"/>
      <c r="C321" s="22"/>
      <c r="D321" s="22"/>
      <c r="E321" s="22"/>
      <c r="F321" s="22"/>
    </row>
    <row r="322" spans="2:6" ht="12.5">
      <c r="B322" s="22"/>
      <c r="C322" s="22"/>
      <c r="D322" s="22"/>
      <c r="E322" s="22"/>
      <c r="F322" s="22"/>
    </row>
    <row r="323" spans="2:6" ht="12.5">
      <c r="B323" s="22"/>
      <c r="C323" s="22"/>
      <c r="D323" s="22"/>
      <c r="E323" s="22"/>
      <c r="F323" s="22"/>
    </row>
    <row r="324" spans="2:6" ht="12.5">
      <c r="B324" s="22"/>
      <c r="C324" s="22"/>
      <c r="D324" s="22"/>
      <c r="E324" s="22"/>
      <c r="F324" s="22"/>
    </row>
    <row r="325" spans="2:6" ht="12.5">
      <c r="B325" s="22"/>
      <c r="C325" s="22"/>
      <c r="D325" s="22"/>
      <c r="E325" s="22"/>
      <c r="F325" s="22"/>
    </row>
    <row r="326" spans="2:6" ht="12.5">
      <c r="B326" s="22"/>
      <c r="C326" s="22"/>
      <c r="D326" s="22"/>
      <c r="E326" s="22"/>
      <c r="F326" s="22"/>
    </row>
    <row r="327" spans="2:6" ht="12.5">
      <c r="B327" s="22"/>
      <c r="C327" s="22"/>
      <c r="D327" s="22"/>
      <c r="E327" s="22"/>
      <c r="F327" s="22"/>
    </row>
    <row r="328" spans="2:6" ht="12.5">
      <c r="B328" s="22"/>
      <c r="C328" s="22"/>
      <c r="D328" s="22"/>
      <c r="E328" s="22"/>
      <c r="F328" s="22"/>
    </row>
    <row r="329" spans="2:6" ht="12.5">
      <c r="B329" s="22"/>
      <c r="C329" s="22"/>
      <c r="D329" s="22"/>
      <c r="E329" s="22"/>
      <c r="F329" s="22"/>
    </row>
    <row r="330" spans="2:6" ht="12.5">
      <c r="B330" s="22"/>
      <c r="C330" s="22"/>
      <c r="D330" s="22"/>
      <c r="E330" s="22"/>
      <c r="F330" s="22"/>
    </row>
    <row r="331" spans="2:6" ht="12.5">
      <c r="B331" s="22"/>
      <c r="C331" s="22"/>
      <c r="D331" s="22"/>
      <c r="E331" s="22"/>
      <c r="F331" s="22"/>
    </row>
    <row r="332" spans="2:6" ht="12.5">
      <c r="B332" s="22"/>
      <c r="C332" s="22"/>
      <c r="D332" s="22"/>
      <c r="E332" s="22"/>
      <c r="F332" s="22"/>
    </row>
    <row r="333" spans="2:6" ht="12.5">
      <c r="B333" s="22"/>
      <c r="C333" s="22"/>
      <c r="D333" s="22"/>
      <c r="E333" s="22"/>
      <c r="F333" s="22"/>
    </row>
    <row r="334" spans="2:6" ht="12.5">
      <c r="B334" s="22"/>
      <c r="C334" s="22"/>
      <c r="D334" s="22"/>
      <c r="E334" s="22"/>
      <c r="F334" s="22"/>
    </row>
    <row r="335" spans="2:6" ht="12.5">
      <c r="B335" s="22"/>
      <c r="C335" s="22"/>
      <c r="D335" s="22"/>
      <c r="E335" s="22"/>
      <c r="F335" s="22"/>
    </row>
    <row r="336" spans="2:6" ht="12.5">
      <c r="B336" s="22"/>
      <c r="C336" s="22"/>
      <c r="D336" s="22"/>
      <c r="E336" s="22"/>
      <c r="F336" s="22"/>
    </row>
    <row r="337" spans="2:6" ht="12.5">
      <c r="B337" s="22"/>
      <c r="C337" s="22"/>
      <c r="D337" s="22"/>
      <c r="E337" s="22"/>
      <c r="F337" s="22"/>
    </row>
    <row r="338" spans="2:6" ht="12.5">
      <c r="B338" s="22"/>
      <c r="C338" s="22"/>
      <c r="D338" s="22"/>
      <c r="E338" s="22"/>
      <c r="F338" s="22"/>
    </row>
    <row r="339" spans="2:6" ht="12.5">
      <c r="B339" s="22"/>
      <c r="C339" s="22"/>
      <c r="D339" s="22"/>
      <c r="E339" s="22"/>
      <c r="F339" s="22"/>
    </row>
    <row r="340" spans="2:6" ht="12.5">
      <c r="B340" s="22"/>
      <c r="C340" s="22"/>
      <c r="D340" s="22"/>
      <c r="E340" s="22"/>
      <c r="F340" s="22"/>
    </row>
    <row r="341" spans="2:6" ht="12.5">
      <c r="B341" s="22"/>
      <c r="C341" s="22"/>
      <c r="D341" s="22"/>
      <c r="E341" s="22"/>
      <c r="F341" s="22"/>
    </row>
    <row r="342" spans="2:6" ht="12.5">
      <c r="B342" s="22"/>
      <c r="C342" s="22"/>
      <c r="D342" s="22"/>
      <c r="E342" s="22"/>
      <c r="F342" s="22"/>
    </row>
    <row r="343" spans="2:6" ht="12.5">
      <c r="B343" s="22"/>
      <c r="C343" s="22"/>
      <c r="D343" s="22"/>
      <c r="E343" s="22"/>
      <c r="F343" s="22"/>
    </row>
    <row r="344" spans="2:6" ht="12.5">
      <c r="B344" s="22"/>
      <c r="C344" s="22"/>
      <c r="D344" s="22"/>
      <c r="E344" s="22"/>
      <c r="F344" s="22"/>
    </row>
    <row r="345" spans="2:6" ht="12.5">
      <c r="B345" s="22"/>
      <c r="C345" s="22"/>
      <c r="D345" s="22"/>
      <c r="E345" s="22"/>
      <c r="F345" s="22"/>
    </row>
    <row r="346" spans="2:6" ht="12.5">
      <c r="B346" s="22"/>
      <c r="C346" s="22"/>
      <c r="D346" s="22"/>
      <c r="E346" s="22"/>
      <c r="F346" s="22"/>
    </row>
    <row r="347" spans="2:6" ht="12.5">
      <c r="B347" s="22"/>
      <c r="C347" s="22"/>
      <c r="D347" s="22"/>
      <c r="E347" s="22"/>
      <c r="F347" s="22"/>
    </row>
    <row r="348" spans="2:6" ht="12.5">
      <c r="B348" s="22"/>
      <c r="C348" s="22"/>
      <c r="D348" s="22"/>
      <c r="E348" s="22"/>
      <c r="F348" s="22"/>
    </row>
    <row r="349" spans="2:6" ht="12.5">
      <c r="B349" s="22"/>
      <c r="C349" s="22"/>
      <c r="D349" s="22"/>
      <c r="E349" s="22"/>
      <c r="F349" s="22"/>
    </row>
    <row r="350" spans="2:6" ht="12.5">
      <c r="B350" s="22"/>
      <c r="C350" s="22"/>
      <c r="D350" s="22"/>
      <c r="E350" s="22"/>
      <c r="F350" s="22"/>
    </row>
    <row r="351" spans="2:6" ht="12.5">
      <c r="B351" s="22"/>
      <c r="C351" s="22"/>
      <c r="D351" s="22"/>
      <c r="E351" s="22"/>
      <c r="F351" s="22"/>
    </row>
    <row r="352" spans="2:6" ht="12.5">
      <c r="B352" s="22"/>
      <c r="C352" s="22"/>
      <c r="D352" s="22"/>
      <c r="E352" s="22"/>
      <c r="F352" s="22"/>
    </row>
    <row r="353" spans="2:6" ht="12.5">
      <c r="B353" s="22"/>
      <c r="C353" s="22"/>
      <c r="D353" s="22"/>
      <c r="E353" s="22"/>
      <c r="F353" s="22"/>
    </row>
    <row r="354" spans="2:6" ht="12.5">
      <c r="B354" s="22"/>
      <c r="C354" s="22"/>
      <c r="D354" s="22"/>
      <c r="E354" s="22"/>
      <c r="F354" s="22"/>
    </row>
    <row r="355" spans="2:6" ht="12.5">
      <c r="B355" s="22"/>
      <c r="C355" s="22"/>
      <c r="D355" s="22"/>
      <c r="E355" s="22"/>
      <c r="F355" s="22"/>
    </row>
    <row r="356" spans="2:6" ht="12.5">
      <c r="B356" s="22"/>
      <c r="C356" s="22"/>
      <c r="D356" s="22"/>
      <c r="E356" s="22"/>
      <c r="F356" s="22"/>
    </row>
    <row r="357" spans="2:6" ht="12.5">
      <c r="B357" s="22"/>
      <c r="C357" s="22"/>
      <c r="D357" s="22"/>
      <c r="E357" s="22"/>
      <c r="F357" s="22"/>
    </row>
    <row r="358" spans="2:6" ht="12.5">
      <c r="B358" s="22"/>
      <c r="C358" s="22"/>
      <c r="D358" s="22"/>
      <c r="E358" s="22"/>
      <c r="F358" s="22"/>
    </row>
    <row r="359" spans="2:6" ht="12.5">
      <c r="B359" s="22"/>
      <c r="C359" s="22"/>
      <c r="D359" s="22"/>
      <c r="E359" s="22"/>
      <c r="F359" s="22"/>
    </row>
    <row r="360" spans="2:6" ht="12.5">
      <c r="B360" s="22"/>
      <c r="C360" s="22"/>
      <c r="D360" s="22"/>
      <c r="E360" s="22"/>
      <c r="F360" s="22"/>
    </row>
    <row r="361" spans="2:6" ht="12.5">
      <c r="B361" s="22"/>
      <c r="C361" s="22"/>
      <c r="D361" s="22"/>
      <c r="E361" s="22"/>
      <c r="F361" s="22"/>
    </row>
    <row r="362" spans="2:6" ht="12.5">
      <c r="B362" s="22"/>
      <c r="C362" s="22"/>
      <c r="D362" s="22"/>
      <c r="E362" s="22"/>
      <c r="F362" s="22"/>
    </row>
    <row r="363" spans="2:6" ht="12.5">
      <c r="B363" s="22"/>
      <c r="C363" s="22"/>
      <c r="D363" s="22"/>
      <c r="E363" s="22"/>
      <c r="F363" s="22"/>
    </row>
    <row r="364" spans="2:6" ht="12.5">
      <c r="B364" s="22"/>
      <c r="C364" s="22"/>
      <c r="D364" s="22"/>
      <c r="E364" s="22"/>
      <c r="F364" s="22"/>
    </row>
    <row r="365" spans="2:6" ht="12.5">
      <c r="B365" s="22"/>
      <c r="C365" s="22"/>
      <c r="D365" s="22"/>
      <c r="E365" s="22"/>
      <c r="F365" s="22"/>
    </row>
    <row r="366" spans="2:6" ht="12.5">
      <c r="B366" s="22"/>
      <c r="C366" s="22"/>
      <c r="D366" s="22"/>
      <c r="E366" s="22"/>
      <c r="F366" s="22"/>
    </row>
    <row r="367" spans="2:6" ht="12.5">
      <c r="B367" s="22"/>
      <c r="C367" s="22"/>
      <c r="D367" s="22"/>
      <c r="E367" s="22"/>
      <c r="F367" s="22"/>
    </row>
    <row r="368" spans="2:6" ht="12.5">
      <c r="B368" s="22"/>
      <c r="C368" s="22"/>
      <c r="D368" s="22"/>
      <c r="E368" s="22"/>
      <c r="F368" s="22"/>
    </row>
    <row r="369" spans="2:6" ht="12.5">
      <c r="B369" s="22"/>
      <c r="C369" s="22"/>
      <c r="D369" s="22"/>
      <c r="E369" s="22"/>
      <c r="F369" s="22"/>
    </row>
    <row r="370" spans="2:6" ht="12.5">
      <c r="B370" s="22"/>
      <c r="C370" s="22"/>
      <c r="D370" s="22"/>
      <c r="E370" s="22"/>
      <c r="F370" s="22"/>
    </row>
    <row r="371" spans="2:6" ht="12.5">
      <c r="B371" s="22"/>
      <c r="C371" s="22"/>
      <c r="D371" s="22"/>
      <c r="E371" s="22"/>
      <c r="F371" s="22"/>
    </row>
    <row r="372" spans="2:6" ht="12.5">
      <c r="B372" s="22"/>
      <c r="C372" s="22"/>
      <c r="D372" s="22"/>
      <c r="E372" s="22"/>
      <c r="F372" s="22"/>
    </row>
    <row r="373" spans="2:6" ht="12.5">
      <c r="B373" s="22"/>
      <c r="C373" s="22"/>
      <c r="D373" s="22"/>
      <c r="E373" s="22"/>
      <c r="F373" s="22"/>
    </row>
    <row r="374" spans="2:6" ht="12.5">
      <c r="B374" s="22"/>
      <c r="C374" s="22"/>
      <c r="D374" s="22"/>
      <c r="E374" s="22"/>
      <c r="F374" s="22"/>
    </row>
    <row r="375" spans="2:6" ht="12.5">
      <c r="B375" s="22"/>
      <c r="C375" s="22"/>
      <c r="D375" s="22"/>
      <c r="E375" s="22"/>
      <c r="F375" s="22"/>
    </row>
    <row r="376" spans="2:6" ht="12.5">
      <c r="B376" s="22"/>
      <c r="C376" s="22"/>
      <c r="D376" s="22"/>
      <c r="E376" s="22"/>
      <c r="F376" s="22"/>
    </row>
    <row r="377" spans="2:6" ht="12.5">
      <c r="B377" s="22"/>
      <c r="C377" s="22"/>
      <c r="D377" s="22"/>
      <c r="E377" s="22"/>
      <c r="F377" s="22"/>
    </row>
    <row r="378" spans="2:6" ht="12.5">
      <c r="B378" s="22"/>
      <c r="C378" s="22"/>
      <c r="D378" s="22"/>
      <c r="E378" s="22"/>
      <c r="F378" s="22"/>
    </row>
    <row r="379" spans="2:6" ht="12.5">
      <c r="B379" s="22"/>
      <c r="C379" s="22"/>
      <c r="D379" s="22"/>
      <c r="E379" s="22"/>
      <c r="F379" s="22"/>
    </row>
    <row r="380" spans="2:6" ht="12.5">
      <c r="B380" s="22"/>
      <c r="C380" s="22"/>
      <c r="D380" s="22"/>
      <c r="E380" s="22"/>
      <c r="F380" s="22"/>
    </row>
    <row r="381" spans="2:6" ht="12.5">
      <c r="B381" s="22"/>
      <c r="C381" s="22"/>
      <c r="D381" s="22"/>
      <c r="E381" s="22"/>
      <c r="F381" s="22"/>
    </row>
    <row r="382" spans="2:6" ht="12.5">
      <c r="B382" s="22"/>
      <c r="C382" s="22"/>
      <c r="D382" s="22"/>
      <c r="E382" s="22"/>
      <c r="F382" s="22"/>
    </row>
    <row r="383" spans="2:6" ht="12.5">
      <c r="B383" s="22"/>
      <c r="C383" s="22"/>
      <c r="D383" s="22"/>
      <c r="E383" s="22"/>
      <c r="F383" s="22"/>
    </row>
    <row r="384" spans="2:6" ht="12.5">
      <c r="B384" s="22"/>
      <c r="C384" s="22"/>
      <c r="D384" s="22"/>
      <c r="E384" s="22"/>
      <c r="F384" s="22"/>
    </row>
    <row r="385" spans="2:6" ht="12.5">
      <c r="B385" s="22"/>
      <c r="C385" s="22"/>
      <c r="D385" s="22"/>
      <c r="E385" s="22"/>
      <c r="F385" s="22"/>
    </row>
    <row r="386" spans="2:6" ht="12.5">
      <c r="B386" s="22"/>
      <c r="C386" s="22"/>
      <c r="D386" s="22"/>
      <c r="E386" s="22"/>
      <c r="F386" s="22"/>
    </row>
    <row r="387" spans="2:6" ht="12.5">
      <c r="B387" s="22"/>
      <c r="C387" s="22"/>
      <c r="D387" s="22"/>
      <c r="E387" s="22"/>
      <c r="F387" s="22"/>
    </row>
    <row r="388" spans="2:6" ht="12.5">
      <c r="B388" s="22"/>
      <c r="C388" s="22"/>
      <c r="D388" s="22"/>
      <c r="E388" s="22"/>
      <c r="F388" s="22"/>
    </row>
    <row r="389" spans="2:6" ht="12.5">
      <c r="B389" s="22"/>
      <c r="C389" s="22"/>
      <c r="D389" s="22"/>
      <c r="E389" s="22"/>
      <c r="F389" s="22"/>
    </row>
    <row r="390" spans="2:6" ht="12.5">
      <c r="B390" s="22"/>
      <c r="C390" s="22"/>
      <c r="D390" s="22"/>
      <c r="E390" s="22"/>
      <c r="F390" s="22"/>
    </row>
    <row r="391" spans="2:6" ht="12.5">
      <c r="B391" s="22"/>
      <c r="C391" s="22"/>
      <c r="D391" s="22"/>
      <c r="E391" s="22"/>
      <c r="F391" s="22"/>
    </row>
    <row r="392" spans="2:6" ht="12.5">
      <c r="B392" s="22"/>
      <c r="C392" s="22"/>
      <c r="D392" s="22"/>
      <c r="E392" s="22"/>
      <c r="F392" s="22"/>
    </row>
    <row r="393" spans="2:6" ht="12.5">
      <c r="B393" s="22"/>
      <c r="C393" s="22"/>
      <c r="D393" s="22"/>
      <c r="E393" s="22"/>
      <c r="F393" s="22"/>
    </row>
    <row r="394" spans="2:6" ht="12.5">
      <c r="B394" s="22"/>
      <c r="C394" s="22"/>
      <c r="D394" s="22"/>
      <c r="E394" s="22"/>
      <c r="F394" s="22"/>
    </row>
    <row r="395" spans="2:6" ht="12.5">
      <c r="B395" s="22"/>
      <c r="C395" s="22"/>
      <c r="D395" s="22"/>
      <c r="E395" s="22"/>
      <c r="F395" s="22"/>
    </row>
    <row r="396" spans="2:6" ht="12.5">
      <c r="B396" s="22"/>
      <c r="C396" s="22"/>
      <c r="D396" s="22"/>
      <c r="E396" s="22"/>
      <c r="F396" s="22"/>
    </row>
    <row r="397" spans="2:6" ht="12.5">
      <c r="B397" s="22"/>
      <c r="C397" s="22"/>
      <c r="D397" s="22"/>
      <c r="E397" s="22"/>
      <c r="F397" s="22"/>
    </row>
    <row r="398" spans="2:6" ht="12.5">
      <c r="B398" s="22"/>
      <c r="C398" s="22"/>
      <c r="D398" s="22"/>
      <c r="E398" s="22"/>
      <c r="F398" s="22"/>
    </row>
    <row r="399" spans="2:6" ht="12.5">
      <c r="B399" s="22"/>
      <c r="C399" s="22"/>
      <c r="D399" s="22"/>
      <c r="E399" s="22"/>
      <c r="F399" s="22"/>
    </row>
    <row r="400" spans="2:6" ht="12.5">
      <c r="B400" s="22"/>
      <c r="C400" s="22"/>
      <c r="D400" s="22"/>
      <c r="E400" s="22"/>
      <c r="F400" s="22"/>
    </row>
    <row r="401" spans="2:6" ht="12.5">
      <c r="B401" s="22"/>
      <c r="C401" s="22"/>
      <c r="D401" s="22"/>
      <c r="E401" s="22"/>
      <c r="F401" s="22"/>
    </row>
    <row r="402" spans="2:6" ht="12.5">
      <c r="B402" s="22"/>
      <c r="C402" s="22"/>
      <c r="D402" s="22"/>
      <c r="E402" s="22"/>
      <c r="F402" s="22"/>
    </row>
    <row r="403" spans="2:6" ht="12.5">
      <c r="B403" s="22"/>
      <c r="C403" s="22"/>
      <c r="D403" s="22"/>
      <c r="E403" s="22"/>
      <c r="F403" s="22"/>
    </row>
    <row r="404" spans="2:6" ht="12.5">
      <c r="B404" s="22"/>
      <c r="C404" s="22"/>
      <c r="D404" s="22"/>
      <c r="E404" s="22"/>
      <c r="F404" s="22"/>
    </row>
    <row r="405" spans="2:6" ht="12.5">
      <c r="B405" s="22"/>
      <c r="C405" s="22"/>
      <c r="D405" s="22"/>
      <c r="E405" s="22"/>
      <c r="F405" s="22"/>
    </row>
    <row r="406" spans="2:6" ht="12.5">
      <c r="B406" s="22"/>
      <c r="C406" s="22"/>
      <c r="D406" s="22"/>
      <c r="E406" s="22"/>
      <c r="F406" s="22"/>
    </row>
    <row r="407" spans="2:6" ht="12.5">
      <c r="B407" s="22"/>
      <c r="C407" s="22"/>
      <c r="D407" s="22"/>
      <c r="E407" s="22"/>
      <c r="F407" s="22"/>
    </row>
    <row r="408" spans="2:6" ht="12.5">
      <c r="B408" s="22"/>
      <c r="C408" s="22"/>
      <c r="D408" s="22"/>
      <c r="E408" s="22"/>
      <c r="F408" s="22"/>
    </row>
    <row r="409" spans="2:6" ht="12.5">
      <c r="B409" s="22"/>
      <c r="C409" s="22"/>
      <c r="D409" s="22"/>
      <c r="E409" s="22"/>
      <c r="F409" s="22"/>
    </row>
    <row r="410" spans="2:6" ht="12.5">
      <c r="B410" s="22"/>
      <c r="C410" s="22"/>
      <c r="D410" s="22"/>
      <c r="E410" s="22"/>
      <c r="F410" s="22"/>
    </row>
    <row r="411" spans="2:6" ht="12.5">
      <c r="B411" s="22"/>
      <c r="C411" s="22"/>
      <c r="D411" s="22"/>
      <c r="E411" s="22"/>
      <c r="F411" s="22"/>
    </row>
    <row r="412" spans="2:6" ht="12.5">
      <c r="B412" s="22"/>
      <c r="C412" s="22"/>
      <c r="D412" s="22"/>
      <c r="E412" s="22"/>
      <c r="F412" s="22"/>
    </row>
    <row r="413" spans="2:6" ht="12.5">
      <c r="B413" s="22"/>
      <c r="C413" s="22"/>
      <c r="D413" s="22"/>
      <c r="E413" s="22"/>
      <c r="F413" s="22"/>
    </row>
    <row r="414" spans="2:6" ht="12.5">
      <c r="B414" s="22"/>
      <c r="C414" s="22"/>
      <c r="D414" s="22"/>
      <c r="E414" s="22"/>
      <c r="F414" s="22"/>
    </row>
    <row r="415" spans="2:6" ht="12.5">
      <c r="B415" s="22"/>
      <c r="C415" s="22"/>
      <c r="D415" s="22"/>
      <c r="E415" s="22"/>
      <c r="F415" s="22"/>
    </row>
    <row r="416" spans="2:6" ht="12.5">
      <c r="B416" s="22"/>
      <c r="C416" s="22"/>
      <c r="D416" s="22"/>
      <c r="E416" s="22"/>
      <c r="F416" s="22"/>
    </row>
    <row r="417" spans="2:6" ht="12.5">
      <c r="B417" s="22"/>
      <c r="C417" s="22"/>
      <c r="D417" s="22"/>
      <c r="E417" s="22"/>
      <c r="F417" s="22"/>
    </row>
    <row r="418" spans="2:6" ht="12.5">
      <c r="B418" s="22"/>
      <c r="C418" s="22"/>
      <c r="D418" s="22"/>
      <c r="E418" s="22"/>
      <c r="F418" s="22"/>
    </row>
    <row r="419" spans="2:6" ht="12.5">
      <c r="B419" s="22"/>
      <c r="C419" s="22"/>
      <c r="D419" s="22"/>
      <c r="E419" s="22"/>
      <c r="F419" s="22"/>
    </row>
    <row r="420" spans="2:6" ht="12.5">
      <c r="B420" s="22"/>
      <c r="C420" s="22"/>
      <c r="D420" s="22"/>
      <c r="E420" s="22"/>
      <c r="F420" s="22"/>
    </row>
    <row r="421" spans="2:6" ht="12.5">
      <c r="B421" s="22"/>
      <c r="C421" s="22"/>
      <c r="D421" s="22"/>
      <c r="E421" s="22"/>
      <c r="F421" s="22"/>
    </row>
    <row r="422" spans="2:6" ht="12.5">
      <c r="B422" s="22"/>
      <c r="C422" s="22"/>
      <c r="D422" s="22"/>
      <c r="E422" s="22"/>
      <c r="F422" s="22"/>
    </row>
    <row r="423" spans="2:6" ht="12.5">
      <c r="B423" s="22"/>
      <c r="C423" s="22"/>
      <c r="D423" s="22"/>
      <c r="E423" s="22"/>
      <c r="F423" s="22"/>
    </row>
    <row r="424" spans="2:6" ht="12.5">
      <c r="B424" s="22"/>
      <c r="C424" s="22"/>
      <c r="D424" s="22"/>
      <c r="E424" s="22"/>
      <c r="F424" s="22"/>
    </row>
    <row r="425" spans="2:6" ht="12.5">
      <c r="B425" s="22"/>
      <c r="C425" s="22"/>
      <c r="D425" s="22"/>
      <c r="E425" s="22"/>
      <c r="F425" s="22"/>
    </row>
    <row r="426" spans="2:6" ht="12.5">
      <c r="B426" s="22"/>
      <c r="C426" s="22"/>
      <c r="D426" s="22"/>
      <c r="E426" s="22"/>
      <c r="F426" s="22"/>
    </row>
    <row r="427" spans="2:6" ht="12.5">
      <c r="B427" s="22"/>
      <c r="C427" s="22"/>
      <c r="D427" s="22"/>
      <c r="E427" s="22"/>
      <c r="F427" s="22"/>
    </row>
    <row r="428" spans="2:6" ht="12.5">
      <c r="B428" s="22"/>
      <c r="C428" s="22"/>
      <c r="D428" s="22"/>
      <c r="E428" s="22"/>
      <c r="F428" s="22"/>
    </row>
    <row r="429" spans="2:6" ht="12.5">
      <c r="B429" s="22"/>
      <c r="C429" s="22"/>
      <c r="D429" s="22"/>
      <c r="E429" s="22"/>
      <c r="F429" s="22"/>
    </row>
    <row r="430" spans="2:6" ht="12.5">
      <c r="B430" s="22"/>
      <c r="C430" s="22"/>
      <c r="D430" s="22"/>
      <c r="E430" s="22"/>
      <c r="F430" s="22"/>
    </row>
    <row r="431" spans="2:6" ht="12.5">
      <c r="B431" s="22"/>
      <c r="C431" s="22"/>
      <c r="D431" s="22"/>
      <c r="E431" s="22"/>
      <c r="F431" s="22"/>
    </row>
    <row r="432" spans="2:6" ht="12.5">
      <c r="B432" s="22"/>
      <c r="C432" s="22"/>
      <c r="D432" s="22"/>
      <c r="E432" s="22"/>
      <c r="F432" s="22"/>
    </row>
    <row r="433" spans="2:6" ht="12.5">
      <c r="B433" s="22"/>
      <c r="C433" s="22"/>
      <c r="D433" s="22"/>
      <c r="E433" s="22"/>
      <c r="F433" s="22"/>
    </row>
    <row r="434" spans="2:6" ht="12.5">
      <c r="B434" s="22"/>
      <c r="C434" s="22"/>
      <c r="D434" s="22"/>
      <c r="E434" s="22"/>
      <c r="F434" s="22"/>
    </row>
    <row r="435" spans="2:6" ht="12.5">
      <c r="B435" s="22"/>
      <c r="C435" s="22"/>
      <c r="D435" s="22"/>
      <c r="E435" s="22"/>
      <c r="F435" s="22"/>
    </row>
    <row r="436" spans="2:6" ht="12.5">
      <c r="B436" s="22"/>
      <c r="C436" s="22"/>
      <c r="D436" s="22"/>
      <c r="E436" s="22"/>
      <c r="F436" s="22"/>
    </row>
    <row r="437" spans="2:6" ht="12.5">
      <c r="B437" s="22"/>
      <c r="C437" s="22"/>
      <c r="D437" s="22"/>
      <c r="E437" s="22"/>
      <c r="F437" s="22"/>
    </row>
    <row r="438" spans="2:6" ht="12.5">
      <c r="B438" s="22"/>
      <c r="C438" s="22"/>
      <c r="D438" s="22"/>
      <c r="E438" s="22"/>
      <c r="F438" s="22"/>
    </row>
    <row r="439" spans="2:6" ht="12.5">
      <c r="B439" s="22"/>
      <c r="C439" s="22"/>
      <c r="D439" s="22"/>
      <c r="E439" s="22"/>
      <c r="F439" s="22"/>
    </row>
    <row r="440" spans="2:6" ht="12.5">
      <c r="B440" s="22"/>
      <c r="C440" s="22"/>
      <c r="D440" s="22"/>
      <c r="E440" s="22"/>
      <c r="F440" s="22"/>
    </row>
    <row r="441" spans="2:6" ht="12.5">
      <c r="B441" s="22"/>
      <c r="C441" s="22"/>
      <c r="D441" s="22"/>
      <c r="E441" s="22"/>
      <c r="F441" s="22"/>
    </row>
    <row r="442" spans="2:6" ht="12.5">
      <c r="B442" s="22"/>
      <c r="C442" s="22"/>
      <c r="D442" s="22"/>
      <c r="E442" s="22"/>
      <c r="F442" s="22"/>
    </row>
    <row r="443" spans="2:6" ht="12.5">
      <c r="B443" s="22"/>
      <c r="C443" s="22"/>
      <c r="D443" s="22"/>
      <c r="E443" s="22"/>
      <c r="F443" s="22"/>
    </row>
    <row r="444" spans="2:6" ht="12.5">
      <c r="B444" s="22"/>
      <c r="C444" s="22"/>
      <c r="D444" s="22"/>
      <c r="E444" s="22"/>
      <c r="F444" s="22"/>
    </row>
    <row r="445" spans="2:6" ht="12.5">
      <c r="B445" s="22"/>
      <c r="C445" s="22"/>
      <c r="D445" s="22"/>
      <c r="E445" s="22"/>
      <c r="F445" s="22"/>
    </row>
    <row r="446" spans="2:6" ht="12.5">
      <c r="B446" s="22"/>
      <c r="C446" s="22"/>
      <c r="D446" s="22"/>
      <c r="E446" s="22"/>
      <c r="F446" s="22"/>
    </row>
    <row r="447" spans="2:6" ht="12.5">
      <c r="B447" s="22"/>
      <c r="C447" s="22"/>
      <c r="D447" s="22"/>
      <c r="E447" s="22"/>
      <c r="F447" s="22"/>
    </row>
    <row r="448" spans="2:6" ht="12.5">
      <c r="B448" s="22"/>
      <c r="C448" s="22"/>
      <c r="D448" s="22"/>
      <c r="E448" s="22"/>
      <c r="F448" s="22"/>
    </row>
    <row r="449" spans="2:6" ht="12.5">
      <c r="B449" s="22"/>
      <c r="C449" s="22"/>
      <c r="D449" s="22"/>
      <c r="E449" s="22"/>
      <c r="F449" s="22"/>
    </row>
    <row r="450" spans="2:6" ht="12.5">
      <c r="B450" s="22"/>
      <c r="C450" s="22"/>
      <c r="D450" s="22"/>
      <c r="E450" s="22"/>
      <c r="F450" s="22"/>
    </row>
    <row r="451" spans="2:6" ht="12.5">
      <c r="B451" s="22"/>
      <c r="C451" s="22"/>
      <c r="D451" s="22"/>
      <c r="E451" s="22"/>
      <c r="F451" s="22"/>
    </row>
    <row r="452" spans="2:6" ht="12.5">
      <c r="B452" s="22"/>
      <c r="C452" s="22"/>
      <c r="D452" s="22"/>
      <c r="E452" s="22"/>
      <c r="F452" s="22"/>
    </row>
    <row r="453" spans="2:6" ht="12.5">
      <c r="B453" s="22"/>
      <c r="C453" s="22"/>
      <c r="D453" s="22"/>
      <c r="E453" s="22"/>
      <c r="F453" s="22"/>
    </row>
    <row r="454" spans="2:6" ht="12.5">
      <c r="B454" s="22"/>
      <c r="C454" s="22"/>
      <c r="D454" s="22"/>
      <c r="E454" s="22"/>
      <c r="F454" s="22"/>
    </row>
    <row r="455" spans="2:6" ht="12.5">
      <c r="B455" s="22"/>
      <c r="C455" s="22"/>
      <c r="D455" s="22"/>
      <c r="E455" s="22"/>
      <c r="F455" s="22"/>
    </row>
    <row r="456" spans="2:6" ht="12.5">
      <c r="B456" s="22"/>
      <c r="C456" s="22"/>
      <c r="D456" s="22"/>
      <c r="E456" s="22"/>
      <c r="F456" s="22"/>
    </row>
    <row r="457" spans="2:6" ht="12.5">
      <c r="B457" s="22"/>
      <c r="C457" s="22"/>
      <c r="D457" s="22"/>
      <c r="E457" s="22"/>
      <c r="F457" s="22"/>
    </row>
    <row r="458" spans="2:6" ht="12.5">
      <c r="B458" s="22"/>
      <c r="C458" s="22"/>
      <c r="D458" s="22"/>
      <c r="E458" s="22"/>
      <c r="F458" s="22"/>
    </row>
    <row r="459" spans="2:6" ht="12.5">
      <c r="B459" s="22"/>
      <c r="C459" s="22"/>
      <c r="D459" s="22"/>
      <c r="E459" s="22"/>
      <c r="F459" s="22"/>
    </row>
    <row r="460" spans="2:6" ht="12.5">
      <c r="B460" s="22"/>
      <c r="C460" s="22"/>
      <c r="D460" s="22"/>
      <c r="E460" s="22"/>
      <c r="F460" s="22"/>
    </row>
    <row r="461" spans="2:6" ht="12.5">
      <c r="B461" s="22"/>
      <c r="C461" s="22"/>
      <c r="D461" s="22"/>
      <c r="E461" s="22"/>
      <c r="F461" s="22"/>
    </row>
    <row r="462" spans="2:6" ht="12.5">
      <c r="B462" s="22"/>
      <c r="C462" s="22"/>
      <c r="D462" s="22"/>
      <c r="E462" s="22"/>
      <c r="F462" s="22"/>
    </row>
    <row r="463" spans="2:6" ht="12.5">
      <c r="B463" s="22"/>
      <c r="C463" s="22"/>
      <c r="D463" s="22"/>
      <c r="E463" s="22"/>
      <c r="F463" s="22"/>
    </row>
    <row r="464" spans="2:6" ht="12.5">
      <c r="B464" s="22"/>
      <c r="C464" s="22"/>
      <c r="D464" s="22"/>
      <c r="E464" s="22"/>
      <c r="F464" s="22"/>
    </row>
    <row r="465" spans="2:6" ht="12.5">
      <c r="B465" s="22"/>
      <c r="C465" s="22"/>
      <c r="D465" s="22"/>
      <c r="E465" s="22"/>
      <c r="F465" s="22"/>
    </row>
    <row r="466" spans="2:6" ht="12.5">
      <c r="B466" s="22"/>
      <c r="C466" s="22"/>
      <c r="D466" s="22"/>
      <c r="E466" s="22"/>
      <c r="F466" s="22"/>
    </row>
    <row r="467" spans="2:6" ht="12.5">
      <c r="B467" s="22"/>
      <c r="C467" s="22"/>
      <c r="D467" s="22"/>
      <c r="E467" s="22"/>
      <c r="F467" s="22"/>
    </row>
    <row r="468" spans="2:6" ht="12.5">
      <c r="B468" s="22"/>
      <c r="C468" s="22"/>
      <c r="D468" s="22"/>
      <c r="E468" s="22"/>
      <c r="F468" s="22"/>
    </row>
    <row r="469" spans="2:6" ht="12.5">
      <c r="B469" s="22"/>
      <c r="C469" s="22"/>
      <c r="D469" s="22"/>
      <c r="E469" s="22"/>
      <c r="F469" s="22"/>
    </row>
    <row r="470" spans="2:6" ht="12.5">
      <c r="B470" s="22"/>
      <c r="C470" s="22"/>
      <c r="D470" s="22"/>
      <c r="E470" s="22"/>
      <c r="F470" s="22"/>
    </row>
    <row r="471" spans="2:6" ht="12.5">
      <c r="B471" s="22"/>
      <c r="C471" s="22"/>
      <c r="D471" s="22"/>
      <c r="E471" s="22"/>
      <c r="F471" s="22"/>
    </row>
    <row r="472" spans="2:6" ht="12.5">
      <c r="B472" s="22"/>
      <c r="C472" s="22"/>
      <c r="D472" s="22"/>
      <c r="E472" s="22"/>
      <c r="F472" s="22"/>
    </row>
    <row r="473" spans="2:6" ht="12.5">
      <c r="B473" s="22"/>
      <c r="C473" s="22"/>
      <c r="D473" s="22"/>
      <c r="E473" s="22"/>
      <c r="F473" s="22"/>
    </row>
    <row r="474" spans="2:6" ht="12.5">
      <c r="B474" s="22"/>
      <c r="C474" s="22"/>
      <c r="D474" s="22"/>
      <c r="E474" s="22"/>
      <c r="F474" s="22"/>
    </row>
    <row r="475" spans="2:6" ht="12.5">
      <c r="B475" s="22"/>
      <c r="C475" s="22"/>
      <c r="D475" s="22"/>
      <c r="E475" s="22"/>
      <c r="F475" s="22"/>
    </row>
    <row r="476" spans="2:6" ht="12.5">
      <c r="B476" s="22"/>
      <c r="C476" s="22"/>
      <c r="D476" s="22"/>
      <c r="E476" s="22"/>
      <c r="F476" s="22"/>
    </row>
    <row r="477" spans="2:6" ht="12.5">
      <c r="B477" s="22"/>
      <c r="C477" s="22"/>
      <c r="D477" s="22"/>
      <c r="E477" s="22"/>
      <c r="F477" s="22"/>
    </row>
    <row r="478" spans="2:6" ht="12.5">
      <c r="B478" s="22"/>
      <c r="C478" s="22"/>
      <c r="D478" s="22"/>
      <c r="E478" s="22"/>
      <c r="F478" s="22"/>
    </row>
    <row r="479" spans="2:6" ht="12.5">
      <c r="B479" s="22"/>
      <c r="C479" s="22"/>
      <c r="D479" s="22"/>
      <c r="E479" s="22"/>
      <c r="F479" s="22"/>
    </row>
    <row r="480" spans="2:6" ht="12.5">
      <c r="B480" s="22"/>
      <c r="C480" s="22"/>
      <c r="D480" s="22"/>
      <c r="E480" s="22"/>
      <c r="F480" s="22"/>
    </row>
    <row r="481" spans="2:6" ht="12.5">
      <c r="B481" s="22"/>
      <c r="C481" s="22"/>
      <c r="D481" s="22"/>
      <c r="E481" s="22"/>
      <c r="F481" s="22"/>
    </row>
    <row r="482" spans="2:6" ht="12.5">
      <c r="B482" s="22"/>
      <c r="C482" s="22"/>
      <c r="D482" s="22"/>
      <c r="E482" s="22"/>
      <c r="F482" s="22"/>
    </row>
    <row r="483" spans="2:6" ht="12.5">
      <c r="B483" s="22"/>
      <c r="C483" s="22"/>
      <c r="D483" s="22"/>
      <c r="E483" s="22"/>
      <c r="F483" s="22"/>
    </row>
    <row r="484" spans="2:6" ht="12.5">
      <c r="B484" s="22"/>
      <c r="C484" s="22"/>
      <c r="D484" s="22"/>
      <c r="E484" s="22"/>
      <c r="F484" s="22"/>
    </row>
    <row r="485" spans="2:6" ht="12.5">
      <c r="B485" s="22"/>
      <c r="C485" s="22"/>
      <c r="D485" s="22"/>
      <c r="E485" s="22"/>
      <c r="F485" s="22"/>
    </row>
    <row r="486" spans="2:6" ht="12.5">
      <c r="B486" s="22"/>
      <c r="C486" s="22"/>
      <c r="D486" s="22"/>
      <c r="E486" s="22"/>
      <c r="F486" s="22"/>
    </row>
    <row r="487" spans="2:6" ht="12.5">
      <c r="B487" s="22"/>
      <c r="C487" s="22"/>
      <c r="D487" s="22"/>
      <c r="E487" s="22"/>
      <c r="F487" s="22"/>
    </row>
    <row r="488" spans="2:6" ht="12.5">
      <c r="B488" s="22"/>
      <c r="C488" s="22"/>
      <c r="D488" s="22"/>
      <c r="E488" s="22"/>
      <c r="F488" s="22"/>
    </row>
    <row r="489" spans="2:6" ht="12.5">
      <c r="B489" s="22"/>
      <c r="C489" s="22"/>
      <c r="D489" s="22"/>
      <c r="E489" s="22"/>
      <c r="F489" s="22"/>
    </row>
    <row r="490" spans="2:6" ht="12.5">
      <c r="B490" s="22"/>
      <c r="C490" s="22"/>
      <c r="D490" s="22"/>
      <c r="E490" s="22"/>
      <c r="F490" s="22"/>
    </row>
    <row r="491" spans="2:6" ht="12.5">
      <c r="B491" s="22"/>
      <c r="C491" s="22"/>
      <c r="D491" s="22"/>
      <c r="E491" s="22"/>
      <c r="F491" s="22"/>
    </row>
    <row r="492" spans="2:6" ht="12.5">
      <c r="B492" s="22"/>
      <c r="C492" s="22"/>
      <c r="D492" s="22"/>
      <c r="E492" s="22"/>
      <c r="F492" s="22"/>
    </row>
    <row r="493" spans="2:6" ht="12.5">
      <c r="B493" s="22"/>
      <c r="C493" s="22"/>
      <c r="D493" s="22"/>
      <c r="E493" s="22"/>
      <c r="F493" s="22"/>
    </row>
    <row r="494" spans="2:6" ht="12.5">
      <c r="B494" s="22"/>
      <c r="C494" s="22"/>
      <c r="D494" s="22"/>
      <c r="E494" s="22"/>
      <c r="F494" s="22"/>
    </row>
    <row r="495" spans="2:6" ht="12.5">
      <c r="B495" s="22"/>
      <c r="C495" s="22"/>
      <c r="D495" s="22"/>
      <c r="E495" s="22"/>
      <c r="F495" s="22"/>
    </row>
    <row r="496" spans="2:6" ht="12.5">
      <c r="B496" s="22"/>
      <c r="C496" s="22"/>
      <c r="D496" s="22"/>
      <c r="E496" s="22"/>
      <c r="F496" s="22"/>
    </row>
    <row r="497" spans="2:6" ht="12.5">
      <c r="B497" s="22"/>
      <c r="C497" s="22"/>
      <c r="D497" s="22"/>
      <c r="E497" s="22"/>
      <c r="F497" s="22"/>
    </row>
    <row r="498" spans="2:6" ht="12.5">
      <c r="B498" s="22"/>
      <c r="C498" s="22"/>
      <c r="D498" s="22"/>
      <c r="E498" s="22"/>
      <c r="F498" s="22"/>
    </row>
    <row r="499" spans="2:6" ht="12.5">
      <c r="B499" s="22"/>
      <c r="C499" s="22"/>
      <c r="D499" s="22"/>
      <c r="E499" s="22"/>
      <c r="F499" s="22"/>
    </row>
    <row r="500" spans="2:6" ht="12.5">
      <c r="B500" s="22"/>
      <c r="C500" s="22"/>
      <c r="D500" s="22"/>
      <c r="E500" s="22"/>
      <c r="F500" s="22"/>
    </row>
    <row r="501" spans="2:6" ht="12.5">
      <c r="B501" s="22"/>
      <c r="C501" s="22"/>
      <c r="D501" s="22"/>
      <c r="E501" s="22"/>
      <c r="F501" s="22"/>
    </row>
    <row r="502" spans="2:6" ht="12.5">
      <c r="B502" s="22"/>
      <c r="C502" s="22"/>
      <c r="D502" s="22"/>
      <c r="E502" s="22"/>
      <c r="F502" s="22"/>
    </row>
    <row r="503" spans="2:6" ht="12.5">
      <c r="B503" s="22"/>
      <c r="C503" s="22"/>
      <c r="D503" s="22"/>
      <c r="E503" s="22"/>
      <c r="F503" s="22"/>
    </row>
    <row r="504" spans="2:6" ht="12.5">
      <c r="B504" s="22"/>
      <c r="C504" s="22"/>
      <c r="D504" s="22"/>
      <c r="E504" s="22"/>
      <c r="F504" s="22"/>
    </row>
    <row r="505" spans="2:6" ht="12.5">
      <c r="B505" s="22"/>
      <c r="C505" s="22"/>
      <c r="D505" s="22"/>
      <c r="E505" s="22"/>
      <c r="F505" s="22"/>
    </row>
    <row r="506" spans="2:6" ht="12.5">
      <c r="B506" s="22"/>
      <c r="C506" s="22"/>
      <c r="D506" s="22"/>
      <c r="E506" s="22"/>
      <c r="F506" s="22"/>
    </row>
    <row r="507" spans="2:6" ht="12.5">
      <c r="B507" s="22"/>
      <c r="C507" s="22"/>
      <c r="D507" s="22"/>
      <c r="E507" s="22"/>
      <c r="F507" s="22"/>
    </row>
    <row r="508" spans="2:6" ht="12.5">
      <c r="B508" s="22"/>
      <c r="C508" s="22"/>
      <c r="D508" s="22"/>
      <c r="E508" s="22"/>
      <c r="F508" s="22"/>
    </row>
    <row r="509" spans="2:6" ht="12.5">
      <c r="B509" s="22"/>
      <c r="C509" s="22"/>
      <c r="D509" s="22"/>
      <c r="E509" s="22"/>
      <c r="F509" s="22"/>
    </row>
    <row r="510" spans="2:6" ht="12.5">
      <c r="B510" s="22"/>
      <c r="C510" s="22"/>
      <c r="D510" s="22"/>
      <c r="E510" s="22"/>
      <c r="F510" s="22"/>
    </row>
    <row r="511" spans="2:6" ht="12.5">
      <c r="B511" s="22"/>
      <c r="C511" s="22"/>
      <c r="D511" s="22"/>
      <c r="E511" s="22"/>
      <c r="F511" s="22"/>
    </row>
    <row r="512" spans="2:6" ht="12.5">
      <c r="B512" s="22"/>
      <c r="C512" s="22"/>
      <c r="D512" s="22"/>
      <c r="E512" s="22"/>
      <c r="F512" s="22"/>
    </row>
    <row r="513" spans="2:6" ht="12.5">
      <c r="B513" s="22"/>
      <c r="C513" s="22"/>
      <c r="D513" s="22"/>
      <c r="E513" s="22"/>
      <c r="F513" s="22"/>
    </row>
    <row r="514" spans="2:6" ht="12.5">
      <c r="B514" s="22"/>
      <c r="C514" s="22"/>
      <c r="D514" s="22"/>
      <c r="E514" s="22"/>
      <c r="F514" s="22"/>
    </row>
    <row r="515" spans="2:6" ht="12.5">
      <c r="B515" s="22"/>
      <c r="C515" s="22"/>
      <c r="D515" s="22"/>
      <c r="E515" s="22"/>
      <c r="F515" s="22"/>
    </row>
    <row r="516" spans="2:6" ht="12.5">
      <c r="B516" s="22"/>
      <c r="C516" s="22"/>
      <c r="D516" s="22"/>
      <c r="E516" s="22"/>
      <c r="F516" s="22"/>
    </row>
    <row r="517" spans="2:6" ht="12.5">
      <c r="B517" s="22"/>
      <c r="C517" s="22"/>
      <c r="D517" s="22"/>
      <c r="E517" s="22"/>
      <c r="F517" s="22"/>
    </row>
    <row r="518" spans="2:6" ht="12.5">
      <c r="B518" s="22"/>
      <c r="C518" s="22"/>
      <c r="D518" s="22"/>
      <c r="E518" s="22"/>
      <c r="F518" s="22"/>
    </row>
    <row r="519" spans="2:6" ht="12.5">
      <c r="B519" s="22"/>
      <c r="C519" s="22"/>
      <c r="D519" s="22"/>
      <c r="E519" s="22"/>
      <c r="F519" s="22"/>
    </row>
    <row r="520" spans="2:6" ht="12.5">
      <c r="B520" s="22"/>
      <c r="C520" s="22"/>
      <c r="D520" s="22"/>
      <c r="E520" s="22"/>
      <c r="F520" s="22"/>
    </row>
    <row r="521" spans="2:6" ht="12.5">
      <c r="B521" s="22"/>
      <c r="C521" s="22"/>
      <c r="D521" s="22"/>
      <c r="E521" s="22"/>
      <c r="F521" s="22"/>
    </row>
    <row r="522" spans="2:6" ht="12.5">
      <c r="B522" s="22"/>
      <c r="C522" s="22"/>
      <c r="D522" s="22"/>
      <c r="E522" s="22"/>
      <c r="F522" s="22"/>
    </row>
    <row r="523" spans="2:6" ht="12.5">
      <c r="B523" s="22"/>
      <c r="C523" s="22"/>
      <c r="D523" s="22"/>
      <c r="E523" s="22"/>
      <c r="F523" s="22"/>
    </row>
    <row r="524" spans="2:6" ht="12.5">
      <c r="B524" s="22"/>
      <c r="C524" s="22"/>
      <c r="D524" s="22"/>
      <c r="E524" s="22"/>
      <c r="F524" s="22"/>
    </row>
    <row r="525" spans="2:6" ht="12.5">
      <c r="B525" s="22"/>
      <c r="C525" s="22"/>
      <c r="D525" s="22"/>
      <c r="E525" s="22"/>
      <c r="F525" s="22"/>
    </row>
    <row r="526" spans="2:6" ht="12.5">
      <c r="B526" s="22"/>
      <c r="C526" s="22"/>
      <c r="D526" s="22"/>
      <c r="E526" s="22"/>
      <c r="F526" s="22"/>
    </row>
    <row r="527" spans="2:6" ht="12.5">
      <c r="B527" s="22"/>
      <c r="C527" s="22"/>
      <c r="D527" s="22"/>
      <c r="E527" s="22"/>
      <c r="F527" s="22"/>
    </row>
    <row r="528" spans="2:6" ht="12.5">
      <c r="B528" s="22"/>
      <c r="C528" s="22"/>
      <c r="D528" s="22"/>
      <c r="E528" s="22"/>
      <c r="F528" s="22"/>
    </row>
    <row r="529" spans="2:6" ht="12.5">
      <c r="B529" s="22"/>
      <c r="C529" s="22"/>
      <c r="D529" s="22"/>
      <c r="E529" s="22"/>
      <c r="F529" s="22"/>
    </row>
    <row r="530" spans="2:6" ht="12.5">
      <c r="B530" s="22"/>
      <c r="C530" s="22"/>
      <c r="D530" s="22"/>
      <c r="E530" s="22"/>
      <c r="F530" s="22"/>
    </row>
    <row r="531" spans="2:6" ht="12.5">
      <c r="B531" s="22"/>
      <c r="C531" s="22"/>
      <c r="D531" s="22"/>
      <c r="E531" s="22"/>
      <c r="F531" s="22"/>
    </row>
    <row r="532" spans="2:6" ht="12.5">
      <c r="B532" s="22"/>
      <c r="C532" s="22"/>
      <c r="D532" s="22"/>
      <c r="E532" s="22"/>
      <c r="F532" s="22"/>
    </row>
    <row r="533" spans="2:6" ht="12.5">
      <c r="B533" s="22"/>
      <c r="C533" s="22"/>
      <c r="D533" s="22"/>
      <c r="E533" s="22"/>
      <c r="F533" s="22"/>
    </row>
    <row r="534" spans="2:6" ht="12.5">
      <c r="B534" s="22"/>
      <c r="C534" s="22"/>
      <c r="D534" s="22"/>
      <c r="E534" s="22"/>
      <c r="F534" s="22"/>
    </row>
    <row r="535" spans="2:6" ht="12.5">
      <c r="B535" s="22"/>
      <c r="C535" s="22"/>
      <c r="D535" s="22"/>
      <c r="E535" s="22"/>
      <c r="F535" s="22"/>
    </row>
    <row r="536" spans="2:6" ht="12.5">
      <c r="B536" s="22"/>
      <c r="C536" s="22"/>
      <c r="D536" s="22"/>
      <c r="E536" s="22"/>
      <c r="F536" s="22"/>
    </row>
    <row r="537" spans="2:6" ht="12.5">
      <c r="B537" s="22"/>
      <c r="C537" s="22"/>
      <c r="D537" s="22"/>
      <c r="E537" s="22"/>
      <c r="F537" s="22"/>
    </row>
    <row r="538" spans="2:6" ht="12.5">
      <c r="B538" s="22"/>
      <c r="C538" s="22"/>
      <c r="D538" s="22"/>
      <c r="E538" s="22"/>
      <c r="F538" s="22"/>
    </row>
    <row r="539" spans="2:6" ht="12.5">
      <c r="B539" s="22"/>
      <c r="C539" s="22"/>
      <c r="D539" s="22"/>
      <c r="E539" s="22"/>
      <c r="F539" s="22"/>
    </row>
    <row r="540" spans="2:6" ht="12.5">
      <c r="B540" s="22"/>
      <c r="C540" s="22"/>
      <c r="D540" s="22"/>
      <c r="E540" s="22"/>
      <c r="F540" s="22"/>
    </row>
    <row r="541" spans="2:6" ht="12.5">
      <c r="B541" s="22"/>
      <c r="C541" s="22"/>
      <c r="D541" s="22"/>
      <c r="E541" s="22"/>
      <c r="F541" s="22"/>
    </row>
    <row r="542" spans="2:6" ht="12.5">
      <c r="B542" s="22"/>
      <c r="C542" s="22"/>
      <c r="D542" s="22"/>
      <c r="E542" s="22"/>
      <c r="F542" s="22"/>
    </row>
    <row r="543" spans="2:6" ht="12.5">
      <c r="B543" s="22"/>
      <c r="C543" s="22"/>
      <c r="D543" s="22"/>
      <c r="E543" s="22"/>
      <c r="F543" s="22"/>
    </row>
    <row r="544" spans="2:6" ht="12.5">
      <c r="B544" s="22"/>
      <c r="C544" s="22"/>
      <c r="D544" s="22"/>
      <c r="E544" s="22"/>
      <c r="F544" s="22"/>
    </row>
    <row r="545" spans="2:6" ht="12.5">
      <c r="B545" s="22"/>
      <c r="C545" s="22"/>
      <c r="D545" s="22"/>
      <c r="E545" s="22"/>
      <c r="F545" s="22"/>
    </row>
    <row r="546" spans="2:6" ht="12.5">
      <c r="B546" s="22"/>
      <c r="C546" s="22"/>
      <c r="D546" s="22"/>
      <c r="E546" s="22"/>
      <c r="F546" s="22"/>
    </row>
    <row r="547" spans="2:6" ht="12.5">
      <c r="B547" s="22"/>
      <c r="C547" s="22"/>
      <c r="D547" s="22"/>
      <c r="E547" s="22"/>
      <c r="F547" s="22"/>
    </row>
    <row r="548" spans="2:6" ht="12.5">
      <c r="B548" s="22"/>
      <c r="C548" s="22"/>
      <c r="D548" s="22"/>
      <c r="E548" s="22"/>
      <c r="F548" s="22"/>
    </row>
    <row r="549" spans="2:6" ht="12.5">
      <c r="B549" s="22"/>
      <c r="C549" s="22"/>
      <c r="D549" s="22"/>
      <c r="E549" s="22"/>
      <c r="F549" s="22"/>
    </row>
    <row r="550" spans="2:6" ht="12.5">
      <c r="B550" s="22"/>
      <c r="C550" s="22"/>
      <c r="D550" s="22"/>
      <c r="E550" s="22"/>
      <c r="F550" s="22"/>
    </row>
    <row r="551" spans="2:6" ht="12.5">
      <c r="B551" s="22"/>
      <c r="C551" s="22"/>
      <c r="D551" s="22"/>
      <c r="E551" s="22"/>
      <c r="F551" s="22"/>
    </row>
    <row r="552" spans="2:6" ht="12.5">
      <c r="B552" s="22"/>
      <c r="C552" s="22"/>
      <c r="D552" s="22"/>
      <c r="E552" s="22"/>
      <c r="F552" s="22"/>
    </row>
    <row r="553" spans="2:6" ht="12.5">
      <c r="B553" s="22"/>
      <c r="C553" s="22"/>
      <c r="D553" s="22"/>
      <c r="E553" s="22"/>
      <c r="F553" s="22"/>
    </row>
    <row r="554" spans="2:6" ht="12.5">
      <c r="B554" s="22"/>
      <c r="C554" s="22"/>
      <c r="D554" s="22"/>
      <c r="E554" s="22"/>
      <c r="F554" s="22"/>
    </row>
    <row r="555" spans="2:6" ht="12.5">
      <c r="B555" s="22"/>
      <c r="C555" s="22"/>
      <c r="D555" s="22"/>
      <c r="E555" s="22"/>
      <c r="F555" s="22"/>
    </row>
    <row r="556" spans="2:6" ht="12.5">
      <c r="B556" s="22"/>
      <c r="C556" s="22"/>
      <c r="D556" s="22"/>
      <c r="E556" s="22"/>
      <c r="F556" s="22"/>
    </row>
    <row r="557" spans="2:6" ht="12.5">
      <c r="B557" s="22"/>
      <c r="C557" s="22"/>
      <c r="D557" s="22"/>
      <c r="E557" s="22"/>
      <c r="F557" s="22"/>
    </row>
    <row r="558" spans="2:6" ht="12.5">
      <c r="B558" s="22"/>
      <c r="C558" s="22"/>
      <c r="D558" s="22"/>
      <c r="E558" s="22"/>
      <c r="F558" s="22"/>
    </row>
    <row r="559" spans="2:6" ht="12.5">
      <c r="B559" s="22"/>
      <c r="C559" s="22"/>
      <c r="D559" s="22"/>
      <c r="E559" s="22"/>
      <c r="F559" s="22"/>
    </row>
    <row r="560" spans="2:6" ht="12.5">
      <c r="B560" s="22"/>
      <c r="C560" s="22"/>
      <c r="D560" s="22"/>
      <c r="E560" s="22"/>
      <c r="F560" s="22"/>
    </row>
    <row r="561" spans="2:6" ht="12.5">
      <c r="B561" s="22"/>
      <c r="C561" s="22"/>
      <c r="D561" s="22"/>
      <c r="E561" s="22"/>
      <c r="F561" s="22"/>
    </row>
    <row r="562" spans="2:6" ht="12.5">
      <c r="B562" s="22"/>
      <c r="C562" s="22"/>
      <c r="D562" s="22"/>
      <c r="E562" s="22"/>
      <c r="F562" s="22"/>
    </row>
    <row r="563" spans="2:6" ht="12.5">
      <c r="B563" s="22"/>
      <c r="C563" s="22"/>
      <c r="D563" s="22"/>
      <c r="E563" s="22"/>
      <c r="F563" s="22"/>
    </row>
    <row r="564" spans="2:6" ht="12.5">
      <c r="B564" s="22"/>
      <c r="C564" s="22"/>
      <c r="D564" s="22"/>
      <c r="E564" s="22"/>
      <c r="F564" s="22"/>
    </row>
    <row r="565" spans="2:6" ht="12.5">
      <c r="B565" s="22"/>
      <c r="C565" s="22"/>
      <c r="D565" s="22"/>
      <c r="E565" s="22"/>
      <c r="F565" s="22"/>
    </row>
    <row r="566" spans="2:6" ht="12.5">
      <c r="B566" s="22"/>
      <c r="C566" s="22"/>
      <c r="D566" s="22"/>
      <c r="E566" s="22"/>
      <c r="F566" s="22"/>
    </row>
    <row r="567" spans="2:6" ht="12.5">
      <c r="B567" s="22"/>
      <c r="C567" s="22"/>
      <c r="D567" s="22"/>
      <c r="E567" s="22"/>
      <c r="F567" s="22"/>
    </row>
    <row r="568" spans="2:6" ht="12.5">
      <c r="B568" s="22"/>
      <c r="C568" s="22"/>
      <c r="D568" s="22"/>
      <c r="E568" s="22"/>
      <c r="F568" s="22"/>
    </row>
    <row r="569" spans="2:6" ht="12.5">
      <c r="B569" s="22"/>
      <c r="C569" s="22"/>
      <c r="D569" s="22"/>
      <c r="E569" s="22"/>
      <c r="F569" s="22"/>
    </row>
    <row r="570" spans="2:6" ht="12.5">
      <c r="B570" s="22"/>
      <c r="C570" s="22"/>
      <c r="D570" s="22"/>
      <c r="E570" s="22"/>
      <c r="F570" s="22"/>
    </row>
    <row r="571" spans="2:6" ht="12.5">
      <c r="B571" s="22"/>
      <c r="C571" s="22"/>
      <c r="D571" s="22"/>
      <c r="E571" s="22"/>
      <c r="F571" s="22"/>
    </row>
    <row r="572" spans="2:6" ht="12.5">
      <c r="B572" s="22"/>
      <c r="C572" s="22"/>
      <c r="D572" s="22"/>
      <c r="E572" s="22"/>
      <c r="F572" s="22"/>
    </row>
    <row r="573" spans="2:6" ht="12.5">
      <c r="B573" s="22"/>
      <c r="C573" s="22"/>
      <c r="D573" s="22"/>
      <c r="E573" s="22"/>
      <c r="F573" s="22"/>
    </row>
    <row r="574" spans="2:6" ht="12.5">
      <c r="B574" s="22"/>
      <c r="C574" s="22"/>
      <c r="D574" s="22"/>
      <c r="E574" s="22"/>
      <c r="F574" s="22"/>
    </row>
    <row r="575" spans="2:6" ht="12.5">
      <c r="B575" s="22"/>
      <c r="C575" s="22"/>
      <c r="D575" s="22"/>
      <c r="E575" s="22"/>
      <c r="F575" s="22"/>
    </row>
    <row r="576" spans="2:6" ht="12.5">
      <c r="B576" s="22"/>
      <c r="C576" s="22"/>
      <c r="D576" s="22"/>
      <c r="E576" s="22"/>
      <c r="F576" s="22"/>
    </row>
    <row r="577" spans="2:6" ht="12.5">
      <c r="B577" s="22"/>
      <c r="C577" s="22"/>
      <c r="D577" s="22"/>
      <c r="E577" s="22"/>
      <c r="F577" s="22"/>
    </row>
    <row r="578" spans="2:6" ht="12.5">
      <c r="B578" s="22"/>
      <c r="C578" s="22"/>
      <c r="D578" s="22"/>
      <c r="E578" s="22"/>
      <c r="F578" s="22"/>
    </row>
    <row r="579" spans="2:6" ht="12.5">
      <c r="B579" s="22"/>
      <c r="C579" s="22"/>
      <c r="D579" s="22"/>
      <c r="E579" s="22"/>
      <c r="F579" s="22"/>
    </row>
    <row r="580" spans="2:6" ht="12.5">
      <c r="B580" s="22"/>
      <c r="C580" s="22"/>
      <c r="D580" s="22"/>
      <c r="E580" s="22"/>
      <c r="F580" s="22"/>
    </row>
    <row r="581" spans="2:6" ht="12.5">
      <c r="B581" s="22"/>
      <c r="C581" s="22"/>
      <c r="D581" s="22"/>
      <c r="E581" s="22"/>
      <c r="F581" s="22"/>
    </row>
    <row r="582" spans="2:6" ht="12.5">
      <c r="B582" s="22"/>
      <c r="C582" s="22"/>
      <c r="D582" s="22"/>
      <c r="E582" s="22"/>
      <c r="F582" s="22"/>
    </row>
    <row r="583" spans="2:6" ht="12.5">
      <c r="B583" s="22"/>
      <c r="C583" s="22"/>
      <c r="D583" s="22"/>
      <c r="E583" s="22"/>
      <c r="F583" s="22"/>
    </row>
    <row r="584" spans="2:6" ht="12.5">
      <c r="B584" s="22"/>
      <c r="C584" s="22"/>
      <c r="D584" s="22"/>
      <c r="E584" s="22"/>
      <c r="F584" s="22"/>
    </row>
    <row r="585" spans="2:6" ht="12.5">
      <c r="B585" s="22"/>
      <c r="C585" s="22"/>
      <c r="D585" s="22"/>
      <c r="E585" s="22"/>
      <c r="F585" s="22"/>
    </row>
    <row r="586" spans="2:6" ht="12.5">
      <c r="B586" s="22"/>
      <c r="C586" s="22"/>
      <c r="D586" s="22"/>
      <c r="E586" s="22"/>
      <c r="F586" s="22"/>
    </row>
    <row r="587" spans="2:6" ht="12.5">
      <c r="B587" s="22"/>
      <c r="C587" s="22"/>
      <c r="D587" s="22"/>
      <c r="E587" s="22"/>
      <c r="F587" s="22"/>
    </row>
    <row r="588" spans="2:6" ht="12.5">
      <c r="B588" s="22"/>
      <c r="C588" s="22"/>
      <c r="D588" s="22"/>
      <c r="E588" s="22"/>
      <c r="F588" s="22"/>
    </row>
    <row r="589" spans="2:6" ht="12.5">
      <c r="B589" s="22"/>
      <c r="C589" s="22"/>
      <c r="D589" s="22"/>
      <c r="E589" s="22"/>
      <c r="F589" s="22"/>
    </row>
    <row r="590" spans="2:6" ht="12.5">
      <c r="B590" s="22"/>
      <c r="C590" s="22"/>
      <c r="D590" s="22"/>
      <c r="E590" s="22"/>
      <c r="F590" s="22"/>
    </row>
    <row r="591" spans="2:6" ht="12.5">
      <c r="B591" s="22"/>
      <c r="C591" s="22"/>
      <c r="D591" s="22"/>
      <c r="E591" s="22"/>
      <c r="F591" s="22"/>
    </row>
    <row r="592" spans="2:6" ht="12.5">
      <c r="B592" s="22"/>
      <c r="C592" s="22"/>
      <c r="D592" s="22"/>
      <c r="E592" s="22"/>
      <c r="F592" s="22"/>
    </row>
    <row r="593" spans="2:6" ht="12.5">
      <c r="B593" s="22"/>
      <c r="C593" s="22"/>
      <c r="D593" s="22"/>
      <c r="E593" s="22"/>
      <c r="F593" s="22"/>
    </row>
    <row r="594" spans="2:6" ht="12.5">
      <c r="B594" s="22"/>
      <c r="C594" s="22"/>
      <c r="D594" s="22"/>
      <c r="E594" s="22"/>
      <c r="F594" s="22"/>
    </row>
    <row r="595" spans="2:6" ht="12.5">
      <c r="B595" s="22"/>
      <c r="C595" s="22"/>
      <c r="D595" s="22"/>
      <c r="E595" s="22"/>
      <c r="F595" s="22"/>
    </row>
    <row r="596" spans="2:6" ht="12.5">
      <c r="B596" s="22"/>
      <c r="C596" s="22"/>
      <c r="D596" s="22"/>
      <c r="E596" s="22"/>
      <c r="F596" s="22"/>
    </row>
    <row r="597" spans="2:6" ht="12.5">
      <c r="B597" s="22"/>
      <c r="C597" s="22"/>
      <c r="D597" s="22"/>
      <c r="E597" s="22"/>
      <c r="F597" s="22"/>
    </row>
    <row r="598" spans="2:6" ht="12.5">
      <c r="B598" s="22"/>
      <c r="C598" s="22"/>
      <c r="D598" s="22"/>
      <c r="E598" s="22"/>
      <c r="F598" s="22"/>
    </row>
    <row r="599" spans="2:6" ht="12.5">
      <c r="B599" s="22"/>
      <c r="C599" s="22"/>
      <c r="D599" s="22"/>
      <c r="E599" s="22"/>
      <c r="F599" s="22"/>
    </row>
    <row r="600" spans="2:6" ht="12.5">
      <c r="B600" s="22"/>
      <c r="C600" s="22"/>
      <c r="D600" s="22"/>
      <c r="E600" s="22"/>
      <c r="F600" s="22"/>
    </row>
    <row r="601" spans="2:6" ht="12.5">
      <c r="B601" s="22"/>
      <c r="C601" s="22"/>
      <c r="D601" s="22"/>
      <c r="E601" s="22"/>
      <c r="F601" s="22"/>
    </row>
    <row r="602" spans="2:6" ht="12.5">
      <c r="B602" s="22"/>
      <c r="C602" s="22"/>
      <c r="D602" s="22"/>
      <c r="E602" s="22"/>
      <c r="F602" s="22"/>
    </row>
    <row r="603" spans="2:6" ht="12.5">
      <c r="B603" s="22"/>
      <c r="C603" s="22"/>
      <c r="D603" s="22"/>
      <c r="E603" s="22"/>
      <c r="F603" s="22"/>
    </row>
    <row r="604" spans="2:6" ht="12.5">
      <c r="B604" s="22"/>
      <c r="C604" s="22"/>
      <c r="D604" s="22"/>
      <c r="E604" s="22"/>
      <c r="F604" s="22"/>
    </row>
    <row r="605" spans="2:6" ht="12.5">
      <c r="B605" s="22"/>
      <c r="C605" s="22"/>
      <c r="D605" s="22"/>
      <c r="E605" s="22"/>
      <c r="F605" s="22"/>
    </row>
    <row r="606" spans="2:6" ht="12.5">
      <c r="B606" s="22"/>
      <c r="C606" s="22"/>
      <c r="D606" s="22"/>
      <c r="E606" s="22"/>
      <c r="F606" s="22"/>
    </row>
    <row r="607" spans="2:6" ht="12.5">
      <c r="B607" s="22"/>
      <c r="C607" s="22"/>
      <c r="D607" s="22"/>
      <c r="E607" s="22"/>
      <c r="F607" s="22"/>
    </row>
    <row r="608" spans="2:6" ht="12.5">
      <c r="B608" s="22"/>
      <c r="C608" s="22"/>
      <c r="D608" s="22"/>
      <c r="E608" s="22"/>
      <c r="F608" s="22"/>
    </row>
    <row r="609" spans="2:6" ht="12.5">
      <c r="B609" s="22"/>
      <c r="C609" s="22"/>
      <c r="D609" s="22"/>
      <c r="E609" s="22"/>
      <c r="F609" s="22"/>
    </row>
    <row r="610" spans="2:6" ht="12.5">
      <c r="B610" s="22"/>
      <c r="C610" s="22"/>
      <c r="D610" s="22"/>
      <c r="E610" s="22"/>
      <c r="F610" s="22"/>
    </row>
    <row r="611" spans="2:6" ht="12.5">
      <c r="B611" s="22"/>
      <c r="C611" s="22"/>
      <c r="D611" s="22"/>
      <c r="E611" s="22"/>
      <c r="F611" s="22"/>
    </row>
    <row r="612" spans="2:6" ht="12.5">
      <c r="B612" s="22"/>
      <c r="C612" s="22"/>
      <c r="D612" s="22"/>
      <c r="E612" s="22"/>
      <c r="F612" s="22"/>
    </row>
    <row r="613" spans="2:6" ht="12.5">
      <c r="B613" s="22"/>
      <c r="C613" s="22"/>
      <c r="D613" s="22"/>
      <c r="E613" s="22"/>
      <c r="F613" s="22"/>
    </row>
    <row r="614" spans="2:6" ht="12.5">
      <c r="B614" s="22"/>
      <c r="C614" s="22"/>
      <c r="D614" s="22"/>
      <c r="E614" s="22"/>
      <c r="F614" s="22"/>
    </row>
    <row r="615" spans="2:6" ht="12.5">
      <c r="B615" s="22"/>
      <c r="C615" s="22"/>
      <c r="D615" s="22"/>
      <c r="E615" s="22"/>
      <c r="F615" s="22"/>
    </row>
    <row r="616" spans="2:6" ht="12.5">
      <c r="B616" s="22"/>
      <c r="C616" s="22"/>
      <c r="D616" s="22"/>
      <c r="E616" s="22"/>
      <c r="F616" s="22"/>
    </row>
    <row r="617" spans="2:6" ht="12.5">
      <c r="B617" s="22"/>
      <c r="C617" s="22"/>
      <c r="D617" s="22"/>
      <c r="E617" s="22"/>
      <c r="F617" s="22"/>
    </row>
    <row r="618" spans="2:6" ht="12.5">
      <c r="B618" s="22"/>
      <c r="C618" s="22"/>
      <c r="D618" s="22"/>
      <c r="E618" s="22"/>
      <c r="F618" s="22"/>
    </row>
    <row r="619" spans="2:6" ht="12.5">
      <c r="B619" s="22"/>
      <c r="C619" s="22"/>
      <c r="D619" s="22"/>
      <c r="E619" s="22"/>
      <c r="F619" s="22"/>
    </row>
    <row r="620" spans="2:6" ht="12.5">
      <c r="B620" s="22"/>
      <c r="C620" s="22"/>
      <c r="D620" s="22"/>
      <c r="E620" s="22"/>
      <c r="F620" s="22"/>
    </row>
    <row r="621" spans="2:6" ht="12.5">
      <c r="B621" s="22"/>
      <c r="C621" s="22"/>
      <c r="D621" s="22"/>
      <c r="E621" s="22"/>
      <c r="F621" s="22"/>
    </row>
    <row r="622" spans="2:6" ht="12.5">
      <c r="B622" s="22"/>
      <c r="C622" s="22"/>
      <c r="D622" s="22"/>
      <c r="E622" s="22"/>
      <c r="F622" s="22"/>
    </row>
    <row r="623" spans="2:6" ht="12.5">
      <c r="B623" s="22"/>
      <c r="C623" s="22"/>
      <c r="D623" s="22"/>
      <c r="E623" s="22"/>
      <c r="F623" s="22"/>
    </row>
    <row r="624" spans="2:6" ht="12.5">
      <c r="B624" s="22"/>
      <c r="C624" s="22"/>
      <c r="D624" s="22"/>
      <c r="E624" s="22"/>
      <c r="F624" s="22"/>
    </row>
    <row r="625" spans="2:6" ht="12.5">
      <c r="B625" s="22"/>
      <c r="C625" s="22"/>
      <c r="D625" s="22"/>
      <c r="E625" s="22"/>
      <c r="F625" s="22"/>
    </row>
    <row r="626" spans="2:6" ht="12.5">
      <c r="B626" s="22"/>
      <c r="C626" s="22"/>
      <c r="D626" s="22"/>
      <c r="E626" s="22"/>
      <c r="F626" s="22"/>
    </row>
    <row r="627" spans="2:6" ht="12.5">
      <c r="B627" s="22"/>
      <c r="C627" s="22"/>
      <c r="D627" s="22"/>
      <c r="E627" s="22"/>
      <c r="F627" s="22"/>
    </row>
    <row r="628" spans="2:6" ht="12.5">
      <c r="B628" s="22"/>
      <c r="C628" s="22"/>
      <c r="D628" s="22"/>
      <c r="E628" s="22"/>
      <c r="F628" s="22"/>
    </row>
    <row r="629" spans="2:6" ht="12.5">
      <c r="B629" s="22"/>
      <c r="C629" s="22"/>
      <c r="D629" s="22"/>
      <c r="E629" s="22"/>
      <c r="F629" s="22"/>
    </row>
    <row r="630" spans="2:6" ht="12.5">
      <c r="B630" s="22"/>
      <c r="C630" s="22"/>
      <c r="D630" s="22"/>
      <c r="E630" s="22"/>
      <c r="F630" s="22"/>
    </row>
    <row r="631" spans="2:6" ht="12.5">
      <c r="B631" s="22"/>
      <c r="C631" s="22"/>
      <c r="D631" s="22"/>
      <c r="E631" s="22"/>
      <c r="F631" s="22"/>
    </row>
    <row r="632" spans="2:6" ht="12.5">
      <c r="B632" s="22"/>
      <c r="C632" s="22"/>
      <c r="D632" s="22"/>
      <c r="E632" s="22"/>
      <c r="F632" s="22"/>
    </row>
    <row r="633" spans="2:6" ht="12.5">
      <c r="B633" s="22"/>
      <c r="C633" s="22"/>
      <c r="D633" s="22"/>
      <c r="E633" s="22"/>
      <c r="F633" s="22"/>
    </row>
    <row r="634" spans="2:6" ht="12.5">
      <c r="B634" s="22"/>
      <c r="C634" s="22"/>
      <c r="D634" s="22"/>
      <c r="E634" s="22"/>
      <c r="F634" s="22"/>
    </row>
    <row r="635" spans="2:6" ht="12.5">
      <c r="B635" s="22"/>
      <c r="C635" s="22"/>
      <c r="D635" s="22"/>
      <c r="E635" s="22"/>
      <c r="F635" s="22"/>
    </row>
    <row r="636" spans="2:6" ht="12.5">
      <c r="B636" s="22"/>
      <c r="C636" s="22"/>
      <c r="D636" s="22"/>
      <c r="E636" s="22"/>
      <c r="F636" s="22"/>
    </row>
    <row r="637" spans="2:6" ht="12.5">
      <c r="B637" s="22"/>
      <c r="C637" s="22"/>
      <c r="D637" s="22"/>
      <c r="E637" s="22"/>
      <c r="F637" s="22"/>
    </row>
    <row r="638" spans="2:6" ht="12.5">
      <c r="B638" s="22"/>
      <c r="C638" s="22"/>
      <c r="D638" s="22"/>
      <c r="E638" s="22"/>
      <c r="F638" s="22"/>
    </row>
    <row r="639" spans="2:6" ht="12.5">
      <c r="B639" s="22"/>
      <c r="C639" s="22"/>
      <c r="D639" s="22"/>
      <c r="E639" s="22"/>
      <c r="F639" s="22"/>
    </row>
    <row r="640" spans="2:6" ht="12.5">
      <c r="B640" s="22"/>
      <c r="C640" s="22"/>
      <c r="D640" s="22"/>
      <c r="E640" s="22"/>
      <c r="F640" s="22"/>
    </row>
    <row r="641" spans="2:6" ht="12.5">
      <c r="B641" s="22"/>
      <c r="C641" s="22"/>
      <c r="D641" s="22"/>
      <c r="E641" s="22"/>
      <c r="F641" s="22"/>
    </row>
    <row r="642" spans="2:6" ht="12.5">
      <c r="B642" s="22"/>
      <c r="C642" s="22"/>
      <c r="D642" s="22"/>
      <c r="E642" s="22"/>
      <c r="F642" s="22"/>
    </row>
    <row r="643" spans="2:6" ht="12.5">
      <c r="B643" s="22"/>
      <c r="C643" s="22"/>
      <c r="D643" s="22"/>
      <c r="E643" s="22"/>
      <c r="F643" s="22"/>
    </row>
    <row r="644" spans="2:6" ht="12.5">
      <c r="B644" s="22"/>
      <c r="C644" s="22"/>
      <c r="D644" s="22"/>
      <c r="E644" s="22"/>
      <c r="F644" s="22"/>
    </row>
    <row r="645" spans="2:6" ht="12.5">
      <c r="B645" s="22"/>
      <c r="C645" s="22"/>
      <c r="D645" s="22"/>
      <c r="E645" s="22"/>
      <c r="F645" s="22"/>
    </row>
    <row r="646" spans="2:6" ht="12.5">
      <c r="B646" s="22"/>
      <c r="C646" s="22"/>
      <c r="D646" s="22"/>
      <c r="E646" s="22"/>
      <c r="F646" s="22"/>
    </row>
    <row r="647" spans="2:6" ht="12.5">
      <c r="B647" s="22"/>
      <c r="C647" s="22"/>
      <c r="D647" s="22"/>
      <c r="E647" s="22"/>
      <c r="F647" s="22"/>
    </row>
    <row r="648" spans="2:6" ht="12.5">
      <c r="B648" s="22"/>
      <c r="C648" s="22"/>
      <c r="D648" s="22"/>
      <c r="E648" s="22"/>
      <c r="F648" s="22"/>
    </row>
    <row r="649" spans="2:6" ht="12.5">
      <c r="B649" s="22"/>
      <c r="C649" s="22"/>
      <c r="D649" s="22"/>
      <c r="E649" s="22"/>
      <c r="F649" s="22"/>
    </row>
    <row r="650" spans="2:6" ht="12.5">
      <c r="B650" s="22"/>
      <c r="C650" s="22"/>
      <c r="D650" s="22"/>
      <c r="E650" s="22"/>
      <c r="F650" s="22"/>
    </row>
    <row r="651" spans="2:6" ht="12.5">
      <c r="B651" s="22"/>
      <c r="C651" s="22"/>
      <c r="D651" s="22"/>
      <c r="E651" s="22"/>
      <c r="F651" s="22"/>
    </row>
    <row r="652" spans="2:6" ht="12.5">
      <c r="B652" s="22"/>
      <c r="C652" s="22"/>
      <c r="D652" s="22"/>
      <c r="E652" s="22"/>
      <c r="F652" s="22"/>
    </row>
    <row r="653" spans="2:6" ht="12.5">
      <c r="B653" s="22"/>
      <c r="C653" s="22"/>
      <c r="D653" s="22"/>
      <c r="E653" s="22"/>
      <c r="F653" s="22"/>
    </row>
    <row r="654" spans="2:6" ht="12.5">
      <c r="B654" s="22"/>
      <c r="C654" s="22"/>
      <c r="D654" s="22"/>
      <c r="E654" s="22"/>
      <c r="F654" s="22"/>
    </row>
    <row r="655" spans="2:6" ht="12.5">
      <c r="B655" s="22"/>
      <c r="C655" s="22"/>
      <c r="D655" s="22"/>
      <c r="E655" s="22"/>
      <c r="F655" s="22"/>
    </row>
    <row r="656" spans="2:6" ht="12.5">
      <c r="B656" s="22"/>
      <c r="C656" s="22"/>
      <c r="D656" s="22"/>
      <c r="E656" s="22"/>
      <c r="F656" s="22"/>
    </row>
    <row r="657" spans="2:6" ht="12.5">
      <c r="B657" s="22"/>
      <c r="C657" s="22"/>
      <c r="D657" s="22"/>
      <c r="E657" s="22"/>
      <c r="F657" s="22"/>
    </row>
    <row r="658" spans="2:6" ht="12.5">
      <c r="B658" s="22"/>
      <c r="C658" s="22"/>
      <c r="D658" s="22"/>
      <c r="E658" s="22"/>
      <c r="F658" s="22"/>
    </row>
    <row r="659" spans="2:6" ht="12.5">
      <c r="B659" s="22"/>
      <c r="C659" s="22"/>
      <c r="D659" s="22"/>
      <c r="E659" s="22"/>
      <c r="F659" s="22"/>
    </row>
    <row r="660" spans="2:6" ht="12.5">
      <c r="B660" s="22"/>
      <c r="C660" s="22"/>
      <c r="D660" s="22"/>
      <c r="E660" s="22"/>
      <c r="F660" s="22"/>
    </row>
    <row r="661" spans="2:6" ht="12.5">
      <c r="B661" s="22"/>
      <c r="C661" s="22"/>
      <c r="D661" s="22"/>
      <c r="E661" s="22"/>
      <c r="F661" s="22"/>
    </row>
    <row r="662" spans="2:6" ht="12.5">
      <c r="B662" s="22"/>
      <c r="C662" s="22"/>
      <c r="D662" s="22"/>
      <c r="E662" s="22"/>
      <c r="F662" s="22"/>
    </row>
    <row r="663" spans="2:6" ht="12.5">
      <c r="B663" s="22"/>
      <c r="C663" s="22"/>
      <c r="D663" s="22"/>
      <c r="E663" s="22"/>
      <c r="F663" s="22"/>
    </row>
    <row r="664" spans="2:6" ht="12.5">
      <c r="B664" s="22"/>
      <c r="C664" s="22"/>
      <c r="D664" s="22"/>
      <c r="E664" s="22"/>
      <c r="F664" s="22"/>
    </row>
    <row r="665" spans="2:6" ht="12.5">
      <c r="B665" s="22"/>
      <c r="C665" s="22"/>
      <c r="D665" s="22"/>
      <c r="E665" s="22"/>
      <c r="F665" s="22"/>
    </row>
    <row r="666" spans="2:6" ht="12.5">
      <c r="B666" s="22"/>
      <c r="C666" s="22"/>
      <c r="D666" s="22"/>
      <c r="E666" s="22"/>
      <c r="F666" s="22"/>
    </row>
    <row r="667" spans="2:6" ht="12.5">
      <c r="B667" s="22"/>
      <c r="C667" s="22"/>
      <c r="D667" s="22"/>
      <c r="E667" s="22"/>
      <c r="F667" s="22"/>
    </row>
    <row r="668" spans="2:6" ht="12.5">
      <c r="B668" s="22"/>
      <c r="C668" s="22"/>
      <c r="D668" s="22"/>
      <c r="E668" s="22"/>
      <c r="F668" s="22"/>
    </row>
    <row r="669" spans="2:6" ht="12.5">
      <c r="B669" s="22"/>
      <c r="C669" s="22"/>
      <c r="D669" s="22"/>
      <c r="E669" s="22"/>
      <c r="F669" s="22"/>
    </row>
    <row r="670" spans="2:6" ht="12.5">
      <c r="B670" s="22"/>
      <c r="C670" s="22"/>
      <c r="D670" s="22"/>
      <c r="E670" s="22"/>
      <c r="F670" s="22"/>
    </row>
    <row r="671" spans="2:6" ht="12.5">
      <c r="B671" s="22"/>
      <c r="C671" s="22"/>
      <c r="D671" s="22"/>
      <c r="E671" s="22"/>
      <c r="F671" s="22"/>
    </row>
    <row r="672" spans="2:6" ht="12.5">
      <c r="B672" s="22"/>
      <c r="C672" s="22"/>
      <c r="D672" s="22"/>
      <c r="E672" s="22"/>
      <c r="F672" s="22"/>
    </row>
    <row r="673" spans="2:6" ht="12.5">
      <c r="B673" s="22"/>
      <c r="C673" s="22"/>
      <c r="D673" s="22"/>
      <c r="E673" s="22"/>
      <c r="F673" s="22"/>
    </row>
    <row r="674" spans="2:6" ht="12.5">
      <c r="B674" s="22"/>
      <c r="C674" s="22"/>
      <c r="D674" s="22"/>
      <c r="E674" s="22"/>
      <c r="F674" s="22"/>
    </row>
    <row r="675" spans="2:6" ht="12.5">
      <c r="B675" s="22"/>
      <c r="C675" s="22"/>
      <c r="D675" s="22"/>
      <c r="E675" s="22"/>
      <c r="F675" s="22"/>
    </row>
    <row r="676" spans="2:6" ht="12.5">
      <c r="B676" s="22"/>
      <c r="C676" s="22"/>
      <c r="D676" s="22"/>
      <c r="E676" s="22"/>
      <c r="F676" s="22"/>
    </row>
    <row r="677" spans="2:6" ht="12.5">
      <c r="B677" s="22"/>
      <c r="C677" s="22"/>
      <c r="D677" s="22"/>
      <c r="E677" s="22"/>
      <c r="F677" s="22"/>
    </row>
    <row r="678" spans="2:6" ht="12.5">
      <c r="B678" s="22"/>
      <c r="C678" s="22"/>
      <c r="D678" s="22"/>
      <c r="E678" s="22"/>
      <c r="F678" s="22"/>
    </row>
    <row r="679" spans="2:6" ht="12.5">
      <c r="B679" s="22"/>
      <c r="C679" s="22"/>
      <c r="D679" s="22"/>
      <c r="E679" s="22"/>
      <c r="F679" s="22"/>
    </row>
    <row r="680" spans="2:6" ht="12.5">
      <c r="B680" s="22"/>
      <c r="C680" s="22"/>
      <c r="D680" s="22"/>
      <c r="E680" s="22"/>
      <c r="F680" s="22"/>
    </row>
    <row r="681" spans="2:6" ht="12.5">
      <c r="B681" s="22"/>
      <c r="C681" s="22"/>
      <c r="D681" s="22"/>
      <c r="E681" s="22"/>
      <c r="F681" s="22"/>
    </row>
    <row r="682" spans="2:6" ht="12.5">
      <c r="B682" s="22"/>
      <c r="C682" s="22"/>
      <c r="D682" s="22"/>
      <c r="E682" s="22"/>
      <c r="F682" s="22"/>
    </row>
    <row r="683" spans="2:6" ht="12.5">
      <c r="B683" s="22"/>
      <c r="C683" s="22"/>
      <c r="D683" s="22"/>
      <c r="E683" s="22"/>
      <c r="F683" s="22"/>
    </row>
    <row r="684" spans="2:6" ht="12.5">
      <c r="B684" s="22"/>
      <c r="C684" s="22"/>
      <c r="D684" s="22"/>
      <c r="E684" s="22"/>
      <c r="F684" s="22"/>
    </row>
    <row r="685" spans="2:6" ht="12.5">
      <c r="B685" s="22"/>
      <c r="C685" s="22"/>
      <c r="D685" s="22"/>
      <c r="E685" s="22"/>
      <c r="F685" s="22"/>
    </row>
    <row r="686" spans="2:6" ht="12.5">
      <c r="B686" s="22"/>
      <c r="C686" s="22"/>
      <c r="D686" s="22"/>
      <c r="E686" s="22"/>
      <c r="F686" s="22"/>
    </row>
    <row r="687" spans="2:6" ht="12.5">
      <c r="B687" s="22"/>
      <c r="C687" s="22"/>
      <c r="D687" s="22"/>
      <c r="E687" s="22"/>
      <c r="F687" s="22"/>
    </row>
    <row r="688" spans="2:6" ht="12.5">
      <c r="B688" s="22"/>
      <c r="C688" s="22"/>
      <c r="D688" s="22"/>
      <c r="E688" s="22"/>
      <c r="F688" s="22"/>
    </row>
    <row r="689" spans="2:6" ht="12.5">
      <c r="B689" s="22"/>
      <c r="C689" s="22"/>
      <c r="D689" s="22"/>
      <c r="E689" s="22"/>
      <c r="F689" s="22"/>
    </row>
    <row r="690" spans="2:6" ht="12.5">
      <c r="B690" s="22"/>
      <c r="C690" s="22"/>
      <c r="D690" s="22"/>
      <c r="E690" s="22"/>
      <c r="F690" s="22"/>
    </row>
    <row r="691" spans="2:6" ht="12.5">
      <c r="B691" s="22"/>
      <c r="C691" s="22"/>
      <c r="D691" s="22"/>
      <c r="E691" s="22"/>
      <c r="F691" s="22"/>
    </row>
    <row r="692" spans="2:6" ht="12.5">
      <c r="B692" s="22"/>
      <c r="C692" s="22"/>
      <c r="D692" s="22"/>
      <c r="E692" s="22"/>
      <c r="F692" s="22"/>
    </row>
    <row r="693" spans="2:6" ht="12.5">
      <c r="B693" s="22"/>
      <c r="C693" s="22"/>
      <c r="D693" s="22"/>
      <c r="E693" s="22"/>
      <c r="F693" s="22"/>
    </row>
    <row r="694" spans="2:6" ht="12.5">
      <c r="B694" s="22"/>
      <c r="C694" s="22"/>
      <c r="D694" s="22"/>
      <c r="E694" s="22"/>
      <c r="F694" s="22"/>
    </row>
    <row r="695" spans="2:6" ht="12.5">
      <c r="B695" s="22"/>
      <c r="C695" s="22"/>
      <c r="D695" s="22"/>
      <c r="E695" s="22"/>
      <c r="F695" s="22"/>
    </row>
    <row r="696" spans="2:6" ht="12.5">
      <c r="B696" s="22"/>
      <c r="C696" s="22"/>
      <c r="D696" s="22"/>
      <c r="E696" s="22"/>
      <c r="F696" s="22"/>
    </row>
    <row r="697" spans="2:6" ht="12.5">
      <c r="B697" s="22"/>
      <c r="C697" s="22"/>
      <c r="D697" s="22"/>
      <c r="E697" s="22"/>
      <c r="F697" s="22"/>
    </row>
    <row r="698" spans="2:6" ht="12.5">
      <c r="B698" s="22"/>
      <c r="C698" s="22"/>
      <c r="D698" s="22"/>
      <c r="E698" s="22"/>
      <c r="F698" s="22"/>
    </row>
    <row r="699" spans="2:6" ht="12.5">
      <c r="B699" s="22"/>
      <c r="C699" s="22"/>
      <c r="D699" s="22"/>
      <c r="E699" s="22"/>
      <c r="F699" s="22"/>
    </row>
    <row r="700" spans="2:6" ht="12.5">
      <c r="B700" s="22"/>
      <c r="C700" s="22"/>
      <c r="D700" s="22"/>
      <c r="E700" s="22"/>
      <c r="F700" s="22"/>
    </row>
    <row r="701" spans="2:6" ht="12.5">
      <c r="B701" s="22"/>
      <c r="C701" s="22"/>
      <c r="D701" s="22"/>
      <c r="E701" s="22"/>
      <c r="F701" s="22"/>
    </row>
    <row r="702" spans="2:6" ht="12.5">
      <c r="B702" s="22"/>
      <c r="C702" s="22"/>
      <c r="D702" s="22"/>
      <c r="E702" s="22"/>
      <c r="F702" s="22"/>
    </row>
    <row r="703" spans="2:6" ht="12.5">
      <c r="B703" s="22"/>
      <c r="C703" s="22"/>
      <c r="D703" s="22"/>
      <c r="E703" s="22"/>
      <c r="F703" s="22"/>
    </row>
    <row r="704" spans="2:6" ht="12.5">
      <c r="B704" s="22"/>
      <c r="C704" s="22"/>
      <c r="D704" s="22"/>
      <c r="E704" s="22"/>
      <c r="F704" s="22"/>
    </row>
    <row r="705" spans="2:6" ht="12.5">
      <c r="B705" s="22"/>
      <c r="C705" s="22"/>
      <c r="D705" s="22"/>
      <c r="E705" s="22"/>
      <c r="F705" s="22"/>
    </row>
    <row r="706" spans="2:6" ht="12.5">
      <c r="B706" s="22"/>
      <c r="C706" s="22"/>
      <c r="D706" s="22"/>
      <c r="E706" s="22"/>
      <c r="F706" s="22"/>
    </row>
    <row r="707" spans="2:6" ht="12.5">
      <c r="B707" s="22"/>
      <c r="C707" s="22"/>
      <c r="D707" s="22"/>
      <c r="E707" s="22"/>
      <c r="F707" s="22"/>
    </row>
    <row r="708" spans="2:6" ht="12.5">
      <c r="B708" s="22"/>
      <c r="C708" s="22"/>
      <c r="D708" s="22"/>
      <c r="E708" s="22"/>
      <c r="F708" s="22"/>
    </row>
    <row r="709" spans="2:6" ht="12.5">
      <c r="B709" s="22"/>
      <c r="C709" s="22"/>
      <c r="D709" s="22"/>
      <c r="E709" s="22"/>
      <c r="F709" s="22"/>
    </row>
    <row r="710" spans="2:6" ht="12.5">
      <c r="B710" s="22"/>
      <c r="C710" s="22"/>
      <c r="D710" s="22"/>
      <c r="E710" s="22"/>
      <c r="F710" s="22"/>
    </row>
    <row r="711" spans="2:6" ht="12.5">
      <c r="B711" s="22"/>
      <c r="C711" s="22"/>
      <c r="D711" s="22"/>
      <c r="E711" s="22"/>
      <c r="F711" s="22"/>
    </row>
    <row r="712" spans="2:6" ht="12.5">
      <c r="B712" s="22"/>
      <c r="C712" s="22"/>
      <c r="D712" s="22"/>
      <c r="E712" s="22"/>
      <c r="F712" s="22"/>
    </row>
    <row r="713" spans="2:6" ht="12.5">
      <c r="B713" s="22"/>
      <c r="C713" s="22"/>
      <c r="D713" s="22"/>
      <c r="E713" s="22"/>
      <c r="F713" s="22"/>
    </row>
    <row r="714" spans="2:6" ht="12.5">
      <c r="B714" s="22"/>
      <c r="C714" s="22"/>
      <c r="D714" s="22"/>
      <c r="E714" s="22"/>
      <c r="F714" s="22"/>
    </row>
    <row r="715" spans="2:6" ht="12.5">
      <c r="B715" s="22"/>
      <c r="C715" s="22"/>
      <c r="D715" s="22"/>
      <c r="E715" s="22"/>
      <c r="F715" s="22"/>
    </row>
    <row r="716" spans="2:6" ht="12.5">
      <c r="B716" s="22"/>
      <c r="C716" s="22"/>
      <c r="D716" s="22"/>
      <c r="E716" s="22"/>
      <c r="F716" s="22"/>
    </row>
    <row r="717" spans="2:6" ht="12.5">
      <c r="B717" s="22"/>
      <c r="C717" s="22"/>
      <c r="D717" s="22"/>
      <c r="E717" s="22"/>
      <c r="F717" s="22"/>
    </row>
    <row r="718" spans="2:6" ht="12.5">
      <c r="B718" s="22"/>
      <c r="C718" s="22"/>
      <c r="D718" s="22"/>
      <c r="E718" s="22"/>
      <c r="F718" s="22"/>
    </row>
    <row r="719" spans="2:6" ht="12.5">
      <c r="B719" s="22"/>
      <c r="C719" s="22"/>
      <c r="D719" s="22"/>
      <c r="E719" s="22"/>
      <c r="F719" s="22"/>
    </row>
    <row r="720" spans="2:6" ht="12.5">
      <c r="B720" s="22"/>
      <c r="C720" s="22"/>
      <c r="D720" s="22"/>
      <c r="E720" s="22"/>
      <c r="F720" s="22"/>
    </row>
    <row r="721" spans="2:6" ht="12.5">
      <c r="B721" s="22"/>
      <c r="C721" s="22"/>
      <c r="D721" s="22"/>
      <c r="E721" s="22"/>
      <c r="F721" s="22"/>
    </row>
    <row r="722" spans="2:6" ht="12.5">
      <c r="B722" s="22"/>
      <c r="C722" s="22"/>
      <c r="D722" s="22"/>
      <c r="E722" s="22"/>
      <c r="F722" s="22"/>
    </row>
    <row r="723" spans="2:6" ht="12.5">
      <c r="B723" s="22"/>
      <c r="C723" s="22"/>
      <c r="D723" s="22"/>
      <c r="E723" s="22"/>
      <c r="F723" s="22"/>
    </row>
    <row r="724" spans="2:6" ht="12.5">
      <c r="B724" s="22"/>
      <c r="C724" s="22"/>
      <c r="D724" s="22"/>
      <c r="E724" s="22"/>
      <c r="F724" s="22"/>
    </row>
    <row r="725" spans="2:6" ht="12.5">
      <c r="B725" s="22"/>
      <c r="C725" s="22"/>
      <c r="D725" s="22"/>
      <c r="E725" s="22"/>
      <c r="F725" s="22"/>
    </row>
    <row r="726" spans="2:6" ht="12.5">
      <c r="B726" s="22"/>
      <c r="C726" s="22"/>
      <c r="D726" s="22"/>
      <c r="E726" s="22"/>
      <c r="F726" s="22"/>
    </row>
    <row r="727" spans="2:6" ht="12.5">
      <c r="B727" s="22"/>
      <c r="C727" s="22"/>
      <c r="D727" s="22"/>
      <c r="E727" s="22"/>
      <c r="F727" s="22"/>
    </row>
    <row r="728" spans="2:6" ht="12.5">
      <c r="B728" s="22"/>
      <c r="C728" s="22"/>
      <c r="D728" s="22"/>
      <c r="E728" s="22"/>
      <c r="F728" s="22"/>
    </row>
    <row r="729" spans="2:6" ht="12.5">
      <c r="B729" s="22"/>
      <c r="C729" s="22"/>
      <c r="D729" s="22"/>
      <c r="E729" s="22"/>
      <c r="F729" s="22"/>
    </row>
    <row r="730" spans="2:6" ht="12.5">
      <c r="B730" s="22"/>
      <c r="C730" s="22"/>
      <c r="D730" s="22"/>
      <c r="E730" s="22"/>
      <c r="F730" s="22"/>
    </row>
    <row r="731" spans="2:6" ht="12.5">
      <c r="B731" s="22"/>
      <c r="C731" s="22"/>
      <c r="D731" s="22"/>
      <c r="E731" s="22"/>
      <c r="F731" s="22"/>
    </row>
    <row r="732" spans="2:6" ht="12.5">
      <c r="B732" s="22"/>
      <c r="C732" s="22"/>
      <c r="D732" s="22"/>
      <c r="E732" s="22"/>
      <c r="F732" s="22"/>
    </row>
    <row r="733" spans="2:6" ht="12.5">
      <c r="B733" s="22"/>
      <c r="C733" s="22"/>
      <c r="D733" s="22"/>
      <c r="E733" s="22"/>
      <c r="F733" s="22"/>
    </row>
    <row r="734" spans="2:6" ht="12.5">
      <c r="B734" s="22"/>
      <c r="C734" s="22"/>
      <c r="D734" s="22"/>
      <c r="E734" s="22"/>
      <c r="F734" s="22"/>
    </row>
    <row r="735" spans="2:6" ht="12.5">
      <c r="B735" s="22"/>
      <c r="C735" s="22"/>
      <c r="D735" s="22"/>
      <c r="E735" s="22"/>
      <c r="F735" s="22"/>
    </row>
    <row r="736" spans="2:6" ht="12.5">
      <c r="B736" s="22"/>
      <c r="C736" s="22"/>
      <c r="D736" s="22"/>
      <c r="E736" s="22"/>
      <c r="F736" s="22"/>
    </row>
    <row r="737" spans="2:6" ht="12.5">
      <c r="B737" s="22"/>
      <c r="C737" s="22"/>
      <c r="D737" s="22"/>
      <c r="E737" s="22"/>
      <c r="F737" s="22"/>
    </row>
    <row r="738" spans="2:6" ht="12.5">
      <c r="B738" s="22"/>
      <c r="C738" s="22"/>
      <c r="D738" s="22"/>
      <c r="E738" s="22"/>
      <c r="F738" s="22"/>
    </row>
    <row r="739" spans="2:6" ht="12.5">
      <c r="B739" s="22"/>
      <c r="C739" s="22"/>
      <c r="D739" s="22"/>
      <c r="E739" s="22"/>
      <c r="F739" s="22"/>
    </row>
    <row r="740" spans="2:6" ht="12.5">
      <c r="B740" s="22"/>
      <c r="C740" s="22"/>
      <c r="D740" s="22"/>
      <c r="E740" s="22"/>
      <c r="F740" s="22"/>
    </row>
    <row r="741" spans="2:6" ht="12.5">
      <c r="B741" s="22"/>
      <c r="C741" s="22"/>
      <c r="D741" s="22"/>
      <c r="E741" s="22"/>
      <c r="F741" s="22"/>
    </row>
    <row r="742" spans="2:6" ht="12.5">
      <c r="B742" s="22"/>
      <c r="C742" s="22"/>
      <c r="D742" s="22"/>
      <c r="E742" s="22"/>
      <c r="F742" s="22"/>
    </row>
    <row r="743" spans="2:6" ht="12.5">
      <c r="B743" s="22"/>
      <c r="C743" s="22"/>
      <c r="D743" s="22"/>
      <c r="E743" s="22"/>
      <c r="F743" s="22"/>
    </row>
    <row r="744" spans="2:6" ht="12.5">
      <c r="B744" s="22"/>
      <c r="C744" s="22"/>
      <c r="D744" s="22"/>
      <c r="E744" s="22"/>
      <c r="F744" s="22"/>
    </row>
    <row r="745" spans="2:6" ht="12.5">
      <c r="B745" s="22"/>
      <c r="C745" s="22"/>
      <c r="D745" s="22"/>
      <c r="E745" s="22"/>
      <c r="F745" s="22"/>
    </row>
    <row r="746" spans="2:6" ht="12.5">
      <c r="B746" s="22"/>
      <c r="C746" s="22"/>
      <c r="D746" s="22"/>
      <c r="E746" s="22"/>
      <c r="F746" s="22"/>
    </row>
    <row r="747" spans="2:6" ht="12.5">
      <c r="B747" s="22"/>
      <c r="C747" s="22"/>
      <c r="D747" s="22"/>
      <c r="E747" s="22"/>
      <c r="F747" s="22"/>
    </row>
    <row r="748" spans="2:6" ht="12.5">
      <c r="B748" s="22"/>
      <c r="C748" s="22"/>
      <c r="D748" s="22"/>
      <c r="E748" s="22"/>
      <c r="F748" s="22"/>
    </row>
    <row r="749" spans="2:6" ht="12.5">
      <c r="B749" s="22"/>
      <c r="C749" s="22"/>
      <c r="D749" s="22"/>
      <c r="E749" s="22"/>
      <c r="F749" s="22"/>
    </row>
    <row r="750" spans="2:6" ht="12.5">
      <c r="B750" s="22"/>
      <c r="C750" s="22"/>
      <c r="D750" s="22"/>
      <c r="E750" s="22"/>
      <c r="F750" s="22"/>
    </row>
    <row r="751" spans="2:6" ht="12.5">
      <c r="B751" s="22"/>
      <c r="C751" s="22"/>
      <c r="D751" s="22"/>
      <c r="E751" s="22"/>
      <c r="F751" s="22"/>
    </row>
    <row r="752" spans="2:6" ht="12.5">
      <c r="B752" s="22"/>
      <c r="C752" s="22"/>
      <c r="D752" s="22"/>
      <c r="E752" s="22"/>
      <c r="F752" s="22"/>
    </row>
    <row r="753" spans="2:6" ht="12.5">
      <c r="B753" s="22"/>
      <c r="C753" s="22"/>
      <c r="D753" s="22"/>
      <c r="E753" s="22"/>
      <c r="F753" s="22"/>
    </row>
    <row r="754" spans="2:6" ht="12.5">
      <c r="B754" s="22"/>
      <c r="C754" s="22"/>
      <c r="D754" s="22"/>
      <c r="E754" s="22"/>
      <c r="F754" s="22"/>
    </row>
    <row r="755" spans="2:6" ht="12.5">
      <c r="B755" s="22"/>
      <c r="C755" s="22"/>
      <c r="D755" s="22"/>
      <c r="E755" s="22"/>
      <c r="F755" s="22"/>
    </row>
    <row r="756" spans="2:6" ht="12.5">
      <c r="B756" s="22"/>
      <c r="C756" s="22"/>
      <c r="D756" s="22"/>
      <c r="E756" s="22"/>
      <c r="F756" s="22"/>
    </row>
    <row r="757" spans="2:6" ht="12.5">
      <c r="B757" s="22"/>
      <c r="C757" s="22"/>
      <c r="D757" s="22"/>
      <c r="E757" s="22"/>
      <c r="F757" s="22"/>
    </row>
    <row r="758" spans="2:6" ht="12.5">
      <c r="B758" s="22"/>
      <c r="C758" s="22"/>
      <c r="D758" s="22"/>
      <c r="E758" s="22"/>
      <c r="F758" s="22"/>
    </row>
    <row r="759" spans="2:6" ht="12.5">
      <c r="B759" s="22"/>
      <c r="C759" s="22"/>
      <c r="D759" s="22"/>
      <c r="E759" s="22"/>
      <c r="F759" s="22"/>
    </row>
    <row r="760" spans="2:6" ht="12.5">
      <c r="B760" s="22"/>
      <c r="C760" s="22"/>
      <c r="D760" s="22"/>
      <c r="E760" s="22"/>
      <c r="F760" s="22"/>
    </row>
    <row r="761" spans="2:6" ht="12.5">
      <c r="B761" s="22"/>
      <c r="C761" s="22"/>
      <c r="D761" s="22"/>
      <c r="E761" s="22"/>
      <c r="F761" s="22"/>
    </row>
    <row r="762" spans="2:6" ht="12.5">
      <c r="B762" s="22"/>
      <c r="C762" s="22"/>
      <c r="D762" s="22"/>
      <c r="E762" s="22"/>
      <c r="F762" s="22"/>
    </row>
    <row r="763" spans="2:6" ht="12.5">
      <c r="B763" s="22"/>
      <c r="C763" s="22"/>
      <c r="D763" s="22"/>
      <c r="E763" s="22"/>
      <c r="F763" s="22"/>
    </row>
    <row r="764" spans="2:6" ht="12.5">
      <c r="B764" s="22"/>
      <c r="C764" s="22"/>
      <c r="D764" s="22"/>
      <c r="E764" s="22"/>
      <c r="F764" s="22"/>
    </row>
    <row r="765" spans="2:6" ht="12.5">
      <c r="B765" s="22"/>
      <c r="C765" s="22"/>
      <c r="D765" s="22"/>
      <c r="E765" s="22"/>
      <c r="F765" s="22"/>
    </row>
    <row r="766" spans="2:6" ht="12.5">
      <c r="B766" s="22"/>
      <c r="C766" s="22"/>
      <c r="D766" s="22"/>
      <c r="E766" s="22"/>
      <c r="F766" s="22"/>
    </row>
    <row r="767" spans="2:6" ht="12.5">
      <c r="B767" s="22"/>
      <c r="C767" s="22"/>
      <c r="D767" s="22"/>
      <c r="E767" s="22"/>
      <c r="F767" s="22"/>
    </row>
    <row r="768" spans="2:6" ht="12.5">
      <c r="B768" s="22"/>
      <c r="C768" s="22"/>
      <c r="D768" s="22"/>
      <c r="E768" s="22"/>
      <c r="F768" s="22"/>
    </row>
    <row r="769" spans="2:6" ht="12.5">
      <c r="B769" s="22"/>
      <c r="C769" s="22"/>
      <c r="D769" s="22"/>
      <c r="E769" s="22"/>
      <c r="F769" s="22"/>
    </row>
    <row r="770" spans="2:6" ht="12.5">
      <c r="B770" s="22"/>
      <c r="C770" s="22"/>
      <c r="D770" s="22"/>
      <c r="E770" s="22"/>
      <c r="F770" s="22"/>
    </row>
    <row r="771" spans="2:6" ht="12.5">
      <c r="B771" s="22"/>
      <c r="C771" s="22"/>
      <c r="D771" s="22"/>
      <c r="E771" s="22"/>
      <c r="F771" s="22"/>
    </row>
    <row r="772" spans="2:6" ht="12.5">
      <c r="B772" s="22"/>
      <c r="C772" s="22"/>
      <c r="D772" s="22"/>
      <c r="E772" s="22"/>
      <c r="F772" s="22"/>
    </row>
    <row r="773" spans="2:6" ht="12.5">
      <c r="B773" s="22"/>
      <c r="C773" s="22"/>
      <c r="D773" s="22"/>
      <c r="E773" s="22"/>
      <c r="F773" s="22"/>
    </row>
    <row r="774" spans="2:6" ht="12.5">
      <c r="B774" s="22"/>
      <c r="C774" s="22"/>
      <c r="D774" s="22"/>
      <c r="E774" s="22"/>
      <c r="F774" s="22"/>
    </row>
    <row r="775" spans="2:6" ht="12.5">
      <c r="B775" s="22"/>
      <c r="C775" s="22"/>
      <c r="D775" s="22"/>
      <c r="E775" s="22"/>
      <c r="F775" s="22"/>
    </row>
    <row r="776" spans="2:6" ht="12.5">
      <c r="B776" s="22"/>
      <c r="C776" s="22"/>
      <c r="D776" s="22"/>
      <c r="E776" s="22"/>
      <c r="F776" s="22"/>
    </row>
    <row r="777" spans="2:6" ht="12.5">
      <c r="B777" s="22"/>
      <c r="C777" s="22"/>
      <c r="D777" s="22"/>
      <c r="E777" s="22"/>
      <c r="F777" s="22"/>
    </row>
    <row r="778" spans="2:6" ht="12.5">
      <c r="B778" s="22"/>
      <c r="C778" s="22"/>
      <c r="D778" s="22"/>
      <c r="E778" s="22"/>
      <c r="F778" s="22"/>
    </row>
    <row r="779" spans="2:6" ht="12.5">
      <c r="B779" s="22"/>
      <c r="C779" s="22"/>
      <c r="D779" s="22"/>
      <c r="E779" s="22"/>
      <c r="F779" s="22"/>
    </row>
    <row r="780" spans="2:6" ht="12.5">
      <c r="B780" s="22"/>
      <c r="C780" s="22"/>
      <c r="D780" s="22"/>
      <c r="E780" s="22"/>
      <c r="F780" s="22"/>
    </row>
    <row r="781" spans="2:6" ht="12.5">
      <c r="B781" s="22"/>
      <c r="C781" s="22"/>
      <c r="D781" s="22"/>
      <c r="E781" s="22"/>
      <c r="F781" s="22"/>
    </row>
    <row r="782" spans="2:6" ht="12.5">
      <c r="B782" s="22"/>
      <c r="C782" s="22"/>
      <c r="D782" s="22"/>
      <c r="E782" s="22"/>
      <c r="F782" s="22"/>
    </row>
    <row r="783" spans="2:6" ht="12.5">
      <c r="B783" s="22"/>
      <c r="C783" s="22"/>
      <c r="D783" s="22"/>
      <c r="E783" s="22"/>
      <c r="F783" s="22"/>
    </row>
    <row r="784" spans="2:6" ht="12.5">
      <c r="B784" s="22"/>
      <c r="C784" s="22"/>
      <c r="D784" s="22"/>
      <c r="E784" s="22"/>
      <c r="F784" s="22"/>
    </row>
    <row r="785" spans="2:6" ht="12.5">
      <c r="B785" s="22"/>
      <c r="C785" s="22"/>
      <c r="D785" s="22"/>
      <c r="E785" s="22"/>
      <c r="F785" s="22"/>
    </row>
    <row r="786" spans="2:6" ht="12.5">
      <c r="B786" s="22"/>
      <c r="C786" s="22"/>
      <c r="D786" s="22"/>
      <c r="E786" s="22"/>
      <c r="F786" s="22"/>
    </row>
    <row r="787" spans="2:6" ht="12.5">
      <c r="B787" s="22"/>
      <c r="C787" s="22"/>
      <c r="D787" s="22"/>
      <c r="E787" s="22"/>
      <c r="F787" s="22"/>
    </row>
    <row r="788" spans="2:6" ht="12.5">
      <c r="B788" s="22"/>
      <c r="C788" s="22"/>
      <c r="D788" s="22"/>
      <c r="E788" s="22"/>
      <c r="F788" s="22"/>
    </row>
    <row r="789" spans="2:6" ht="12.5">
      <c r="B789" s="22"/>
      <c r="C789" s="22"/>
      <c r="D789" s="22"/>
      <c r="E789" s="22"/>
      <c r="F789" s="22"/>
    </row>
    <row r="790" spans="2:6" ht="12.5">
      <c r="B790" s="22"/>
      <c r="C790" s="22"/>
      <c r="D790" s="22"/>
      <c r="E790" s="22"/>
      <c r="F790" s="22"/>
    </row>
    <row r="791" spans="2:6" ht="12.5">
      <c r="B791" s="22"/>
      <c r="C791" s="22"/>
      <c r="D791" s="22"/>
      <c r="E791" s="22"/>
      <c r="F791" s="22"/>
    </row>
    <row r="792" spans="2:6" ht="12.5">
      <c r="B792" s="22"/>
      <c r="C792" s="22"/>
      <c r="D792" s="22"/>
      <c r="E792" s="22"/>
      <c r="F792" s="22"/>
    </row>
    <row r="793" spans="2:6" ht="12.5">
      <c r="B793" s="22"/>
      <c r="C793" s="22"/>
      <c r="D793" s="22"/>
      <c r="E793" s="22"/>
      <c r="F793" s="22"/>
    </row>
    <row r="794" spans="2:6" ht="12.5">
      <c r="B794" s="22"/>
      <c r="C794" s="22"/>
      <c r="D794" s="22"/>
      <c r="E794" s="22"/>
      <c r="F794" s="22"/>
    </row>
    <row r="795" spans="2:6" ht="12.5">
      <c r="B795" s="22"/>
      <c r="C795" s="22"/>
      <c r="D795" s="22"/>
      <c r="E795" s="22"/>
      <c r="F795" s="22"/>
    </row>
    <row r="796" spans="2:6" ht="12.5">
      <c r="B796" s="22"/>
      <c r="C796" s="22"/>
      <c r="D796" s="22"/>
      <c r="E796" s="22"/>
      <c r="F796" s="22"/>
    </row>
    <row r="797" spans="2:6" ht="12.5">
      <c r="B797" s="22"/>
      <c r="C797" s="22"/>
      <c r="D797" s="22"/>
      <c r="E797" s="22"/>
      <c r="F797" s="22"/>
    </row>
    <row r="798" spans="2:6" ht="12.5">
      <c r="B798" s="22"/>
      <c r="C798" s="22"/>
      <c r="D798" s="22"/>
      <c r="E798" s="22"/>
      <c r="F798" s="22"/>
    </row>
    <row r="799" spans="2:6" ht="12.5">
      <c r="B799" s="22"/>
      <c r="C799" s="22"/>
      <c r="D799" s="22"/>
      <c r="E799" s="22"/>
      <c r="F799" s="22"/>
    </row>
    <row r="800" spans="2:6" ht="12.5">
      <c r="B800" s="22"/>
      <c r="C800" s="22"/>
      <c r="D800" s="22"/>
      <c r="E800" s="22"/>
      <c r="F800" s="22"/>
    </row>
    <row r="801" spans="2:6" ht="12.5">
      <c r="B801" s="22"/>
      <c r="C801" s="22"/>
      <c r="D801" s="22"/>
      <c r="E801" s="22"/>
      <c r="F801" s="22"/>
    </row>
    <row r="802" spans="2:6" ht="12.5">
      <c r="B802" s="22"/>
      <c r="C802" s="22"/>
      <c r="D802" s="22"/>
      <c r="E802" s="22"/>
      <c r="F802" s="22"/>
    </row>
    <row r="803" spans="2:6" ht="12.5">
      <c r="B803" s="22"/>
      <c r="C803" s="22"/>
      <c r="D803" s="22"/>
      <c r="E803" s="22"/>
      <c r="F803" s="22"/>
    </row>
    <row r="804" spans="2:6" ht="12.5">
      <c r="B804" s="22"/>
      <c r="C804" s="22"/>
      <c r="D804" s="22"/>
      <c r="E804" s="22"/>
      <c r="F804" s="22"/>
    </row>
    <row r="805" spans="2:6" ht="12.5">
      <c r="B805" s="22"/>
      <c r="C805" s="22"/>
      <c r="D805" s="22"/>
      <c r="E805" s="22"/>
      <c r="F805" s="22"/>
    </row>
    <row r="806" spans="2:6" ht="12.5">
      <c r="B806" s="22"/>
      <c r="C806" s="22"/>
      <c r="D806" s="22"/>
      <c r="E806" s="22"/>
      <c r="F806" s="22"/>
    </row>
    <row r="807" spans="2:6" ht="12.5">
      <c r="B807" s="22"/>
      <c r="C807" s="22"/>
      <c r="D807" s="22"/>
      <c r="E807" s="22"/>
      <c r="F807" s="22"/>
    </row>
    <row r="808" spans="2:6" ht="12.5">
      <c r="B808" s="22"/>
      <c r="C808" s="22"/>
      <c r="D808" s="22"/>
      <c r="E808" s="22"/>
      <c r="F808" s="22"/>
    </row>
    <row r="809" spans="2:6" ht="12.5">
      <c r="B809" s="22"/>
      <c r="C809" s="22"/>
      <c r="D809" s="22"/>
      <c r="E809" s="22"/>
      <c r="F809" s="22"/>
    </row>
    <row r="810" spans="2:6" ht="12.5">
      <c r="B810" s="22"/>
      <c r="C810" s="22"/>
      <c r="D810" s="22"/>
      <c r="E810" s="22"/>
      <c r="F810" s="22"/>
    </row>
    <row r="811" spans="2:6" ht="12.5">
      <c r="B811" s="22"/>
      <c r="C811" s="22"/>
      <c r="D811" s="22"/>
      <c r="E811" s="22"/>
      <c r="F811" s="22"/>
    </row>
    <row r="812" spans="2:6" ht="12.5">
      <c r="B812" s="22"/>
      <c r="C812" s="22"/>
      <c r="D812" s="22"/>
      <c r="E812" s="22"/>
      <c r="F812" s="22"/>
    </row>
    <row r="813" spans="2:6" ht="12.5">
      <c r="B813" s="22"/>
      <c r="C813" s="22"/>
      <c r="D813" s="22"/>
      <c r="E813" s="22"/>
      <c r="F813" s="22"/>
    </row>
    <row r="814" spans="2:6" ht="12.5">
      <c r="B814" s="22"/>
      <c r="C814" s="22"/>
      <c r="D814" s="22"/>
      <c r="E814" s="22"/>
      <c r="F814" s="22"/>
    </row>
    <row r="815" spans="2:6" ht="12.5">
      <c r="B815" s="22"/>
      <c r="C815" s="22"/>
      <c r="D815" s="22"/>
      <c r="E815" s="22"/>
      <c r="F815" s="22"/>
    </row>
    <row r="816" spans="2:6" ht="12.5">
      <c r="B816" s="22"/>
      <c r="C816" s="22"/>
      <c r="D816" s="22"/>
      <c r="E816" s="22"/>
      <c r="F816" s="22"/>
    </row>
    <row r="817" spans="2:6" ht="12.5">
      <c r="B817" s="22"/>
      <c r="C817" s="22"/>
      <c r="D817" s="22"/>
      <c r="E817" s="22"/>
      <c r="F817" s="22"/>
    </row>
    <row r="818" spans="2:6" ht="12.5">
      <c r="B818" s="22"/>
      <c r="C818" s="22"/>
      <c r="D818" s="22"/>
      <c r="E818" s="22"/>
      <c r="F818" s="22"/>
    </row>
    <row r="819" spans="2:6" ht="12.5">
      <c r="B819" s="22"/>
      <c r="C819" s="22"/>
      <c r="D819" s="22"/>
      <c r="E819" s="22"/>
      <c r="F819" s="22"/>
    </row>
    <row r="820" spans="2:6" ht="12.5">
      <c r="B820" s="22"/>
      <c r="C820" s="22"/>
      <c r="D820" s="22"/>
      <c r="E820" s="22"/>
      <c r="F820" s="22"/>
    </row>
    <row r="821" spans="2:6" ht="12.5">
      <c r="B821" s="22"/>
      <c r="C821" s="22"/>
      <c r="D821" s="22"/>
      <c r="E821" s="22"/>
      <c r="F821" s="22"/>
    </row>
    <row r="822" spans="2:6" ht="12.5">
      <c r="B822" s="22"/>
      <c r="C822" s="22"/>
      <c r="D822" s="22"/>
      <c r="E822" s="22"/>
      <c r="F822" s="22"/>
    </row>
    <row r="823" spans="2:6" ht="12.5">
      <c r="B823" s="22"/>
      <c r="C823" s="22"/>
      <c r="D823" s="22"/>
      <c r="E823" s="22"/>
      <c r="F823" s="22"/>
    </row>
    <row r="824" spans="2:6" ht="12.5">
      <c r="B824" s="22"/>
      <c r="C824" s="22"/>
      <c r="D824" s="22"/>
      <c r="E824" s="22"/>
      <c r="F824" s="22"/>
    </row>
    <row r="825" spans="2:6" ht="12.5">
      <c r="B825" s="22"/>
      <c r="C825" s="22"/>
      <c r="D825" s="22"/>
      <c r="E825" s="22"/>
      <c r="F825" s="22"/>
    </row>
    <row r="826" spans="2:6" ht="12.5">
      <c r="B826" s="22"/>
      <c r="C826" s="22"/>
      <c r="D826" s="22"/>
      <c r="E826" s="22"/>
      <c r="F826" s="22"/>
    </row>
    <row r="827" spans="2:6" ht="12.5">
      <c r="B827" s="22"/>
      <c r="C827" s="22"/>
      <c r="D827" s="22"/>
      <c r="E827" s="22"/>
      <c r="F827" s="22"/>
    </row>
    <row r="828" spans="2:6" ht="12.5">
      <c r="B828" s="22"/>
      <c r="C828" s="22"/>
      <c r="D828" s="22"/>
      <c r="E828" s="22"/>
      <c r="F828" s="22"/>
    </row>
    <row r="829" spans="2:6" ht="12.5">
      <c r="B829" s="22"/>
      <c r="C829" s="22"/>
      <c r="D829" s="22"/>
      <c r="E829" s="22"/>
      <c r="F829" s="22"/>
    </row>
    <row r="830" spans="2:6" ht="12.5">
      <c r="B830" s="22"/>
      <c r="C830" s="22"/>
      <c r="D830" s="22"/>
      <c r="E830" s="22"/>
      <c r="F830" s="22"/>
    </row>
    <row r="831" spans="2:6" ht="12.5">
      <c r="B831" s="22"/>
      <c r="C831" s="22"/>
      <c r="D831" s="22"/>
      <c r="E831" s="22"/>
      <c r="F831" s="22"/>
    </row>
    <row r="832" spans="2:6" ht="12.5">
      <c r="B832" s="22"/>
      <c r="C832" s="22"/>
      <c r="D832" s="22"/>
      <c r="E832" s="22"/>
      <c r="F832" s="22"/>
    </row>
    <row r="833" spans="2:6" ht="12.5">
      <c r="B833" s="22"/>
      <c r="C833" s="22"/>
      <c r="D833" s="22"/>
      <c r="E833" s="22"/>
      <c r="F833" s="22"/>
    </row>
    <row r="834" spans="2:6" ht="12.5">
      <c r="B834" s="22"/>
      <c r="C834" s="22"/>
      <c r="D834" s="22"/>
      <c r="E834" s="22"/>
      <c r="F834" s="22"/>
    </row>
    <row r="835" spans="2:6" ht="12.5">
      <c r="B835" s="22"/>
      <c r="C835" s="22"/>
      <c r="D835" s="22"/>
      <c r="E835" s="22"/>
      <c r="F835" s="22"/>
    </row>
    <row r="836" spans="2:6" ht="12.5">
      <c r="B836" s="22"/>
      <c r="C836" s="22"/>
      <c r="D836" s="22"/>
      <c r="E836" s="22"/>
      <c r="F836" s="22"/>
    </row>
    <row r="837" spans="2:6" ht="12.5">
      <c r="B837" s="22"/>
      <c r="C837" s="22"/>
      <c r="D837" s="22"/>
      <c r="E837" s="22"/>
      <c r="F837" s="22"/>
    </row>
    <row r="838" spans="2:6" ht="12.5">
      <c r="B838" s="22"/>
      <c r="C838" s="22"/>
      <c r="D838" s="22"/>
      <c r="E838" s="22"/>
      <c r="F838" s="22"/>
    </row>
    <row r="839" spans="2:6" ht="12.5">
      <c r="B839" s="22"/>
      <c r="C839" s="22"/>
      <c r="D839" s="22"/>
      <c r="E839" s="22"/>
      <c r="F839" s="22"/>
    </row>
    <row r="840" spans="2:6" ht="12.5">
      <c r="B840" s="22"/>
      <c r="C840" s="22"/>
      <c r="D840" s="22"/>
      <c r="E840" s="22"/>
      <c r="F840" s="22"/>
    </row>
    <row r="841" spans="2:6" ht="12.5">
      <c r="B841" s="22"/>
      <c r="C841" s="22"/>
      <c r="D841" s="22"/>
      <c r="E841" s="22"/>
      <c r="F841" s="22"/>
    </row>
    <row r="842" spans="2:6" ht="12.5">
      <c r="B842" s="22"/>
      <c r="C842" s="22"/>
      <c r="D842" s="22"/>
      <c r="E842" s="22"/>
      <c r="F842" s="22"/>
    </row>
    <row r="843" spans="2:6" ht="12.5">
      <c r="B843" s="22"/>
      <c r="C843" s="22"/>
      <c r="D843" s="22"/>
      <c r="E843" s="22"/>
      <c r="F843" s="22"/>
    </row>
    <row r="844" spans="2:6" ht="12.5">
      <c r="B844" s="22"/>
      <c r="C844" s="22"/>
      <c r="D844" s="22"/>
      <c r="E844" s="22"/>
      <c r="F844" s="22"/>
    </row>
    <row r="845" spans="2:6" ht="12.5">
      <c r="B845" s="22"/>
      <c r="C845" s="22"/>
      <c r="D845" s="22"/>
      <c r="E845" s="22"/>
      <c r="F845" s="22"/>
    </row>
    <row r="846" spans="2:6" ht="12.5">
      <c r="B846" s="22"/>
      <c r="C846" s="22"/>
      <c r="D846" s="22"/>
      <c r="E846" s="22"/>
      <c r="F846" s="22"/>
    </row>
    <row r="847" spans="2:6" ht="12.5">
      <c r="B847" s="22"/>
      <c r="C847" s="22"/>
      <c r="D847" s="22"/>
      <c r="E847" s="22"/>
      <c r="F847" s="22"/>
    </row>
    <row r="848" spans="2:6" ht="12.5">
      <c r="B848" s="22"/>
      <c r="C848" s="22"/>
      <c r="D848" s="22"/>
      <c r="E848" s="22"/>
      <c r="F848" s="22"/>
    </row>
    <row r="849" spans="2:6" ht="12.5">
      <c r="B849" s="22"/>
      <c r="C849" s="22"/>
      <c r="D849" s="22"/>
      <c r="E849" s="22"/>
      <c r="F849" s="22"/>
    </row>
    <row r="850" spans="2:6" ht="12.5">
      <c r="B850" s="22"/>
      <c r="C850" s="22"/>
      <c r="D850" s="22"/>
      <c r="E850" s="22"/>
      <c r="F850" s="22"/>
    </row>
    <row r="851" spans="2:6" ht="12.5">
      <c r="B851" s="22"/>
      <c r="C851" s="22"/>
      <c r="D851" s="22"/>
      <c r="E851" s="22"/>
      <c r="F851" s="22"/>
    </row>
    <row r="852" spans="2:6" ht="12.5">
      <c r="B852" s="22"/>
      <c r="C852" s="22"/>
      <c r="D852" s="22"/>
      <c r="E852" s="22"/>
      <c r="F852" s="22"/>
    </row>
    <row r="853" spans="2:6" ht="12.5">
      <c r="B853" s="22"/>
      <c r="C853" s="22"/>
      <c r="D853" s="22"/>
      <c r="E853" s="22"/>
      <c r="F853" s="22"/>
    </row>
    <row r="854" spans="2:6" ht="12.5">
      <c r="B854" s="22"/>
      <c r="C854" s="22"/>
      <c r="D854" s="22"/>
      <c r="E854" s="22"/>
      <c r="F854" s="22"/>
    </row>
    <row r="855" spans="2:6" ht="12.5">
      <c r="B855" s="22"/>
      <c r="C855" s="22"/>
      <c r="D855" s="22"/>
      <c r="E855" s="22"/>
      <c r="F855" s="22"/>
    </row>
    <row r="856" spans="2:6" ht="12.5">
      <c r="B856" s="22"/>
      <c r="C856" s="22"/>
      <c r="D856" s="22"/>
      <c r="E856" s="22"/>
      <c r="F856" s="22"/>
    </row>
    <row r="857" spans="2:6" ht="12.5">
      <c r="B857" s="22"/>
      <c r="C857" s="22"/>
      <c r="D857" s="22"/>
      <c r="E857" s="22"/>
      <c r="F857" s="22"/>
    </row>
    <row r="858" spans="2:6" ht="12.5">
      <c r="B858" s="22"/>
      <c r="C858" s="22"/>
      <c r="D858" s="22"/>
      <c r="E858" s="22"/>
      <c r="F858" s="22"/>
    </row>
    <row r="859" spans="2:6" ht="12.5">
      <c r="B859" s="22"/>
      <c r="C859" s="22"/>
      <c r="D859" s="22"/>
      <c r="E859" s="22"/>
      <c r="F859" s="22"/>
    </row>
    <row r="860" spans="2:6" ht="12.5">
      <c r="B860" s="22"/>
      <c r="C860" s="22"/>
      <c r="D860" s="22"/>
      <c r="E860" s="22"/>
      <c r="F860" s="22"/>
    </row>
    <row r="861" spans="2:6" ht="12.5">
      <c r="B861" s="22"/>
      <c r="C861" s="22"/>
      <c r="D861" s="22"/>
      <c r="E861" s="22"/>
      <c r="F861" s="22"/>
    </row>
    <row r="862" spans="2:6" ht="12.5">
      <c r="B862" s="22"/>
      <c r="C862" s="22"/>
      <c r="D862" s="22"/>
      <c r="E862" s="22"/>
      <c r="F862" s="22"/>
    </row>
    <row r="863" spans="2:6" ht="12.5">
      <c r="B863" s="22"/>
      <c r="C863" s="22"/>
      <c r="D863" s="22"/>
      <c r="E863" s="22"/>
      <c r="F863" s="22"/>
    </row>
    <row r="864" spans="2:6" ht="12.5">
      <c r="B864" s="22"/>
      <c r="C864" s="22"/>
      <c r="D864" s="22"/>
      <c r="E864" s="22"/>
      <c r="F864" s="22"/>
    </row>
    <row r="865" spans="2:6" ht="12.5">
      <c r="B865" s="22"/>
      <c r="C865" s="22"/>
      <c r="D865" s="22"/>
      <c r="E865" s="22"/>
      <c r="F865" s="22"/>
    </row>
    <row r="866" spans="2:6" ht="12.5">
      <c r="B866" s="22"/>
      <c r="C866" s="22"/>
      <c r="D866" s="22"/>
      <c r="E866" s="22"/>
      <c r="F866" s="22"/>
    </row>
    <row r="867" spans="2:6" ht="12.5">
      <c r="B867" s="22"/>
      <c r="C867" s="22"/>
      <c r="D867" s="22"/>
      <c r="E867" s="22"/>
      <c r="F867" s="22"/>
    </row>
    <row r="868" spans="2:6" ht="12.5">
      <c r="B868" s="22"/>
      <c r="C868" s="22"/>
      <c r="D868" s="22"/>
      <c r="E868" s="22"/>
      <c r="F868" s="22"/>
    </row>
    <row r="869" spans="2:6" ht="12.5">
      <c r="B869" s="22"/>
      <c r="C869" s="22"/>
      <c r="D869" s="22"/>
      <c r="E869" s="22"/>
      <c r="F869" s="22"/>
    </row>
    <row r="870" spans="2:6" ht="12.5">
      <c r="B870" s="22"/>
      <c r="C870" s="22"/>
      <c r="D870" s="22"/>
      <c r="E870" s="22"/>
      <c r="F870" s="22"/>
    </row>
    <row r="871" spans="2:6" ht="12.5">
      <c r="B871" s="22"/>
      <c r="C871" s="22"/>
      <c r="D871" s="22"/>
      <c r="E871" s="22"/>
      <c r="F871" s="22"/>
    </row>
    <row r="872" spans="2:6" ht="12.5">
      <c r="B872" s="22"/>
      <c r="C872" s="22"/>
      <c r="D872" s="22"/>
      <c r="E872" s="22"/>
      <c r="F872" s="22"/>
    </row>
    <row r="873" spans="2:6" ht="12.5">
      <c r="B873" s="22"/>
      <c r="C873" s="22"/>
      <c r="D873" s="22"/>
      <c r="E873" s="22"/>
      <c r="F873" s="22"/>
    </row>
    <row r="874" spans="2:6" ht="12.5">
      <c r="B874" s="22"/>
      <c r="C874" s="22"/>
      <c r="D874" s="22"/>
      <c r="E874" s="22"/>
      <c r="F874" s="22"/>
    </row>
    <row r="875" spans="2:6" ht="12.5">
      <c r="B875" s="22"/>
      <c r="C875" s="22"/>
      <c r="D875" s="22"/>
      <c r="E875" s="22"/>
      <c r="F875" s="22"/>
    </row>
    <row r="876" spans="2:6" ht="12.5">
      <c r="B876" s="22"/>
      <c r="C876" s="22"/>
      <c r="D876" s="22"/>
      <c r="E876" s="22"/>
      <c r="F876" s="22"/>
    </row>
    <row r="877" spans="2:6" ht="12.5">
      <c r="B877" s="22"/>
      <c r="C877" s="22"/>
      <c r="D877" s="22"/>
      <c r="E877" s="22"/>
      <c r="F877" s="22"/>
    </row>
    <row r="878" spans="2:6" ht="12.5">
      <c r="B878" s="22"/>
      <c r="C878" s="22"/>
      <c r="D878" s="22"/>
      <c r="E878" s="22"/>
      <c r="F878" s="22"/>
    </row>
    <row r="879" spans="2:6" ht="12.5">
      <c r="B879" s="22"/>
      <c r="C879" s="22"/>
      <c r="D879" s="22"/>
      <c r="E879" s="22"/>
      <c r="F879" s="22"/>
    </row>
    <row r="880" spans="2:6" ht="12.5">
      <c r="B880" s="22"/>
      <c r="C880" s="22"/>
      <c r="D880" s="22"/>
      <c r="E880" s="22"/>
      <c r="F880" s="22"/>
    </row>
    <row r="881" spans="2:6" ht="12.5">
      <c r="B881" s="22"/>
      <c r="C881" s="22"/>
      <c r="D881" s="22"/>
      <c r="E881" s="22"/>
      <c r="F881" s="22"/>
    </row>
    <row r="882" spans="2:6" ht="12.5">
      <c r="B882" s="22"/>
      <c r="C882" s="22"/>
      <c r="D882" s="22"/>
      <c r="E882" s="22"/>
      <c r="F882" s="22"/>
    </row>
    <row r="883" spans="2:6" ht="12.5">
      <c r="B883" s="22"/>
      <c r="C883" s="22"/>
      <c r="D883" s="22"/>
      <c r="E883" s="22"/>
      <c r="F883" s="22"/>
    </row>
    <row r="884" spans="2:6" ht="12.5">
      <c r="B884" s="22"/>
      <c r="C884" s="22"/>
      <c r="D884" s="22"/>
      <c r="E884" s="22"/>
      <c r="F884" s="22"/>
    </row>
    <row r="885" spans="2:6" ht="12.5">
      <c r="B885" s="22"/>
      <c r="C885" s="22"/>
      <c r="D885" s="22"/>
      <c r="E885" s="22"/>
      <c r="F885" s="22"/>
    </row>
    <row r="886" spans="2:6" ht="12.5">
      <c r="B886" s="22"/>
      <c r="C886" s="22"/>
      <c r="D886" s="22"/>
      <c r="E886" s="22"/>
      <c r="F886" s="22"/>
    </row>
    <row r="887" spans="2:6" ht="12.5">
      <c r="B887" s="22"/>
      <c r="C887" s="22"/>
      <c r="D887" s="22"/>
      <c r="E887" s="22"/>
      <c r="F887" s="22"/>
    </row>
    <row r="888" spans="2:6" ht="12.5">
      <c r="B888" s="22"/>
      <c r="C888" s="22"/>
      <c r="D888" s="22"/>
      <c r="E888" s="22"/>
      <c r="F888" s="22"/>
    </row>
    <row r="889" spans="2:6" ht="12.5">
      <c r="B889" s="22"/>
      <c r="C889" s="22"/>
      <c r="D889" s="22"/>
      <c r="E889" s="22"/>
      <c r="F889" s="22"/>
    </row>
    <row r="890" spans="2:6" ht="12.5">
      <c r="B890" s="22"/>
      <c r="C890" s="22"/>
      <c r="D890" s="22"/>
      <c r="E890" s="22"/>
      <c r="F890" s="22"/>
    </row>
    <row r="891" spans="2:6" ht="12.5">
      <c r="B891" s="22"/>
      <c r="C891" s="22"/>
      <c r="D891" s="22"/>
      <c r="E891" s="22"/>
      <c r="F891" s="22"/>
    </row>
    <row r="892" spans="2:6" ht="12.5">
      <c r="B892" s="22"/>
      <c r="C892" s="22"/>
      <c r="D892" s="22"/>
      <c r="E892" s="22"/>
      <c r="F892" s="22"/>
    </row>
    <row r="893" spans="2:6" ht="12.5">
      <c r="B893" s="22"/>
      <c r="C893" s="22"/>
      <c r="D893" s="22"/>
      <c r="E893" s="22"/>
      <c r="F893" s="22"/>
    </row>
    <row r="894" spans="2:6" ht="12.5">
      <c r="B894" s="22"/>
      <c r="C894" s="22"/>
      <c r="D894" s="22"/>
      <c r="E894" s="22"/>
      <c r="F894" s="22"/>
    </row>
    <row r="895" spans="2:6" ht="12.5">
      <c r="B895" s="22"/>
      <c r="C895" s="22"/>
      <c r="D895" s="22"/>
      <c r="E895" s="22"/>
      <c r="F895" s="22"/>
    </row>
    <row r="896" spans="2:6" ht="12.5">
      <c r="B896" s="22"/>
      <c r="C896" s="22"/>
      <c r="D896" s="22"/>
      <c r="E896" s="22"/>
      <c r="F896" s="22"/>
    </row>
    <row r="897" spans="2:6" ht="12.5">
      <c r="B897" s="22"/>
      <c r="C897" s="22"/>
      <c r="D897" s="22"/>
      <c r="E897" s="22"/>
      <c r="F897" s="22"/>
    </row>
    <row r="898" spans="2:6" ht="12.5">
      <c r="B898" s="22"/>
      <c r="C898" s="22"/>
      <c r="D898" s="22"/>
      <c r="E898" s="22"/>
      <c r="F898" s="22"/>
    </row>
    <row r="899" spans="2:6" ht="12.5">
      <c r="B899" s="22"/>
      <c r="C899" s="22"/>
      <c r="D899" s="22"/>
      <c r="E899" s="22"/>
      <c r="F899" s="22"/>
    </row>
    <row r="900" spans="2:6" ht="12.5">
      <c r="B900" s="22"/>
      <c r="C900" s="22"/>
      <c r="D900" s="22"/>
      <c r="E900" s="22"/>
      <c r="F900" s="22"/>
    </row>
    <row r="901" spans="2:6" ht="12.5">
      <c r="B901" s="22"/>
      <c r="C901" s="22"/>
      <c r="D901" s="22"/>
      <c r="E901" s="22"/>
      <c r="F901" s="22"/>
    </row>
    <row r="902" spans="2:6" ht="12.5">
      <c r="B902" s="22"/>
      <c r="C902" s="22"/>
      <c r="D902" s="22"/>
      <c r="E902" s="22"/>
      <c r="F902" s="22"/>
    </row>
    <row r="903" spans="2:6" ht="12.5">
      <c r="B903" s="22"/>
      <c r="C903" s="22"/>
      <c r="D903" s="22"/>
      <c r="E903" s="22"/>
      <c r="F903" s="22"/>
    </row>
    <row r="904" spans="2:6" ht="12.5">
      <c r="B904" s="22"/>
      <c r="C904" s="22"/>
      <c r="D904" s="22"/>
      <c r="E904" s="22"/>
      <c r="F904" s="22"/>
    </row>
    <row r="905" spans="2:6" ht="12.5">
      <c r="B905" s="22"/>
      <c r="C905" s="22"/>
      <c r="D905" s="22"/>
      <c r="E905" s="22"/>
      <c r="F905" s="22"/>
    </row>
    <row r="906" spans="2:6" ht="12.5">
      <c r="B906" s="22"/>
      <c r="C906" s="22"/>
      <c r="D906" s="22"/>
      <c r="E906" s="22"/>
      <c r="F906" s="22"/>
    </row>
    <row r="907" spans="2:6" ht="12.5">
      <c r="B907" s="22"/>
      <c r="C907" s="22"/>
      <c r="D907" s="22"/>
      <c r="E907" s="22"/>
      <c r="F907" s="22"/>
    </row>
    <row r="908" spans="2:6" ht="12.5">
      <c r="B908" s="22"/>
      <c r="C908" s="22"/>
      <c r="D908" s="22"/>
      <c r="E908" s="22"/>
      <c r="F908" s="22"/>
    </row>
    <row r="909" spans="2:6" ht="12.5">
      <c r="B909" s="22"/>
      <c r="C909" s="22"/>
      <c r="D909" s="22"/>
      <c r="E909" s="22"/>
      <c r="F909" s="22"/>
    </row>
    <row r="910" spans="2:6" ht="12.5">
      <c r="B910" s="22"/>
      <c r="C910" s="22"/>
      <c r="D910" s="22"/>
      <c r="E910" s="22"/>
      <c r="F910" s="22"/>
    </row>
    <row r="911" spans="2:6" ht="12.5">
      <c r="B911" s="22"/>
      <c r="C911" s="22"/>
      <c r="D911" s="22"/>
      <c r="E911" s="22"/>
      <c r="F911" s="22"/>
    </row>
    <row r="912" spans="2:6" ht="12.5">
      <c r="B912" s="22"/>
      <c r="C912" s="22"/>
      <c r="D912" s="22"/>
      <c r="E912" s="22"/>
      <c r="F912" s="22"/>
    </row>
    <row r="913" spans="2:6" ht="12.5">
      <c r="B913" s="22"/>
      <c r="C913" s="22"/>
      <c r="D913" s="22"/>
      <c r="E913" s="22"/>
      <c r="F913" s="22"/>
    </row>
    <row r="914" spans="2:6" ht="12.5">
      <c r="B914" s="22"/>
      <c r="C914" s="22"/>
      <c r="D914" s="22"/>
      <c r="E914" s="22"/>
      <c r="F914" s="22"/>
    </row>
    <row r="915" spans="2:6" ht="12.5">
      <c r="B915" s="22"/>
      <c r="C915" s="22"/>
      <c r="D915" s="22"/>
      <c r="E915" s="22"/>
      <c r="F915" s="22"/>
    </row>
    <row r="916" spans="2:6" ht="12.5">
      <c r="B916" s="22"/>
      <c r="C916" s="22"/>
      <c r="D916" s="22"/>
      <c r="E916" s="22"/>
      <c r="F916" s="22"/>
    </row>
    <row r="917" spans="2:6" ht="12.5">
      <c r="B917" s="22"/>
      <c r="C917" s="22"/>
      <c r="D917" s="22"/>
      <c r="E917" s="22"/>
      <c r="F917" s="22"/>
    </row>
    <row r="918" spans="2:6" ht="12.5">
      <c r="B918" s="22"/>
      <c r="C918" s="22"/>
      <c r="D918" s="22"/>
      <c r="E918" s="22"/>
      <c r="F918" s="22"/>
    </row>
    <row r="919" spans="2:6" ht="12.5">
      <c r="B919" s="22"/>
      <c r="C919" s="22"/>
      <c r="D919" s="22"/>
      <c r="E919" s="22"/>
      <c r="F919" s="22"/>
    </row>
    <row r="920" spans="2:6" ht="12.5">
      <c r="B920" s="22"/>
      <c r="C920" s="22"/>
      <c r="D920" s="22"/>
      <c r="E920" s="22"/>
      <c r="F920" s="22"/>
    </row>
    <row r="921" spans="2:6" ht="12.5">
      <c r="B921" s="22"/>
      <c r="C921" s="22"/>
      <c r="D921" s="22"/>
      <c r="E921" s="22"/>
      <c r="F921" s="22"/>
    </row>
    <row r="922" spans="2:6" ht="12.5">
      <c r="B922" s="22"/>
      <c r="C922" s="22"/>
      <c r="D922" s="22"/>
      <c r="E922" s="22"/>
      <c r="F922" s="22"/>
    </row>
    <row r="923" spans="2:6" ht="12.5">
      <c r="B923" s="22"/>
      <c r="C923" s="22"/>
      <c r="D923" s="22"/>
      <c r="E923" s="22"/>
      <c r="F923" s="22"/>
    </row>
    <row r="924" spans="2:6" ht="12.5">
      <c r="B924" s="22"/>
      <c r="C924" s="22"/>
      <c r="D924" s="22"/>
      <c r="E924" s="22"/>
      <c r="F924" s="22"/>
    </row>
    <row r="925" spans="2:6" ht="12.5">
      <c r="B925" s="22"/>
      <c r="C925" s="22"/>
      <c r="D925" s="22"/>
      <c r="E925" s="22"/>
      <c r="F925" s="22"/>
    </row>
    <row r="926" spans="2:6" ht="12.5">
      <c r="B926" s="22"/>
      <c r="C926" s="22"/>
      <c r="D926" s="22"/>
      <c r="E926" s="22"/>
      <c r="F926" s="22"/>
    </row>
    <row r="927" spans="2:6" ht="12.5">
      <c r="B927" s="22"/>
      <c r="C927" s="22"/>
      <c r="D927" s="22"/>
      <c r="E927" s="22"/>
      <c r="F927" s="22"/>
    </row>
    <row r="928" spans="2:6" ht="12.5">
      <c r="B928" s="22"/>
      <c r="C928" s="22"/>
      <c r="D928" s="22"/>
      <c r="E928" s="22"/>
      <c r="F928" s="22"/>
    </row>
    <row r="929" spans="2:6" ht="12.5">
      <c r="B929" s="22"/>
      <c r="C929" s="22"/>
      <c r="D929" s="22"/>
      <c r="E929" s="22"/>
      <c r="F929" s="22"/>
    </row>
    <row r="930" spans="2:6" ht="12.5">
      <c r="B930" s="22"/>
      <c r="C930" s="22"/>
      <c r="D930" s="22"/>
      <c r="E930" s="22"/>
      <c r="F930" s="22"/>
    </row>
    <row r="931" spans="2:6" ht="12.5">
      <c r="B931" s="22"/>
      <c r="C931" s="22"/>
      <c r="D931" s="22"/>
      <c r="E931" s="22"/>
      <c r="F931" s="22"/>
    </row>
    <row r="932" spans="2:6" ht="12.5">
      <c r="B932" s="22"/>
      <c r="C932" s="22"/>
      <c r="D932" s="22"/>
      <c r="E932" s="22"/>
      <c r="F932" s="22"/>
    </row>
    <row r="933" spans="2:6" ht="12.5">
      <c r="B933" s="22"/>
      <c r="C933" s="22"/>
      <c r="D933" s="22"/>
      <c r="E933" s="22"/>
      <c r="F933" s="22"/>
    </row>
    <row r="934" spans="2:6" ht="12.5">
      <c r="B934" s="22"/>
      <c r="C934" s="22"/>
      <c r="D934" s="22"/>
      <c r="E934" s="22"/>
      <c r="F934" s="22"/>
    </row>
    <row r="935" spans="2:6" ht="12.5">
      <c r="B935" s="22"/>
      <c r="C935" s="22"/>
      <c r="D935" s="22"/>
      <c r="E935" s="22"/>
      <c r="F935" s="22"/>
    </row>
    <row r="936" spans="2:6" ht="12.5">
      <c r="B936" s="22"/>
      <c r="C936" s="22"/>
      <c r="D936" s="22"/>
      <c r="E936" s="22"/>
      <c r="F936" s="22"/>
    </row>
    <row r="937" spans="2:6" ht="12.5">
      <c r="B937" s="22"/>
      <c r="C937" s="22"/>
      <c r="D937" s="22"/>
      <c r="E937" s="22"/>
      <c r="F937" s="22"/>
    </row>
    <row r="938" spans="2:6" ht="12.5">
      <c r="B938" s="22"/>
      <c r="C938" s="22"/>
      <c r="D938" s="22"/>
      <c r="E938" s="22"/>
      <c r="F938" s="22"/>
    </row>
    <row r="939" spans="2:6" ht="12.5">
      <c r="B939" s="22"/>
      <c r="C939" s="22"/>
      <c r="D939" s="22"/>
      <c r="E939" s="22"/>
      <c r="F939" s="22"/>
    </row>
    <row r="940" spans="2:6" ht="12.5">
      <c r="B940" s="22"/>
      <c r="C940" s="22"/>
      <c r="D940" s="22"/>
      <c r="E940" s="22"/>
      <c r="F940" s="22"/>
    </row>
    <row r="941" spans="2:6" ht="12.5">
      <c r="B941" s="22"/>
      <c r="C941" s="22"/>
      <c r="D941" s="22"/>
      <c r="E941" s="22"/>
      <c r="F941" s="22"/>
    </row>
    <row r="942" spans="2:6" ht="12.5">
      <c r="B942" s="22"/>
      <c r="C942" s="22"/>
      <c r="D942" s="22"/>
      <c r="E942" s="22"/>
      <c r="F942" s="22"/>
    </row>
    <row r="943" spans="2:6" ht="12.5">
      <c r="B943" s="22"/>
      <c r="C943" s="22"/>
      <c r="D943" s="22"/>
      <c r="E943" s="22"/>
      <c r="F943" s="22"/>
    </row>
    <row r="944" spans="2:6" ht="12.5">
      <c r="B944" s="22"/>
      <c r="C944" s="22"/>
      <c r="D944" s="22"/>
      <c r="E944" s="22"/>
      <c r="F944" s="22"/>
    </row>
    <row r="945" spans="2:6" ht="12.5">
      <c r="B945" s="22"/>
      <c r="C945" s="22"/>
      <c r="D945" s="22"/>
      <c r="E945" s="22"/>
      <c r="F945" s="22"/>
    </row>
    <row r="946" spans="2:6" ht="12.5">
      <c r="B946" s="22"/>
      <c r="C946" s="22"/>
      <c r="D946" s="22"/>
      <c r="E946" s="22"/>
      <c r="F946" s="22"/>
    </row>
    <row r="947" spans="2:6" ht="12.5">
      <c r="B947" s="22"/>
      <c r="C947" s="22"/>
      <c r="D947" s="22"/>
      <c r="E947" s="22"/>
      <c r="F947" s="22"/>
    </row>
    <row r="948" spans="2:6" ht="12.5">
      <c r="B948" s="22"/>
      <c r="C948" s="22"/>
      <c r="D948" s="22"/>
      <c r="E948" s="22"/>
      <c r="F948" s="22"/>
    </row>
    <row r="949" spans="2:6" ht="12.5">
      <c r="B949" s="22"/>
      <c r="C949" s="22"/>
      <c r="D949" s="22"/>
      <c r="E949" s="22"/>
      <c r="F949" s="22"/>
    </row>
    <row r="950" spans="2:6" ht="12.5">
      <c r="B950" s="22"/>
      <c r="C950" s="22"/>
      <c r="D950" s="22"/>
      <c r="E950" s="22"/>
      <c r="F950" s="22"/>
    </row>
    <row r="951" spans="2:6" ht="12.5">
      <c r="B951" s="22"/>
      <c r="C951" s="22"/>
      <c r="D951" s="22"/>
      <c r="E951" s="22"/>
      <c r="F951" s="22"/>
    </row>
    <row r="952" spans="2:6" ht="12.5">
      <c r="B952" s="22"/>
      <c r="C952" s="22"/>
      <c r="D952" s="22"/>
      <c r="E952" s="22"/>
      <c r="F952" s="22"/>
    </row>
    <row r="953" spans="2:6" ht="12.5">
      <c r="B953" s="22"/>
      <c r="C953" s="22"/>
      <c r="D953" s="22"/>
      <c r="E953" s="22"/>
      <c r="F953" s="22"/>
    </row>
    <row r="954" spans="2:6" ht="12.5">
      <c r="B954" s="22"/>
      <c r="C954" s="22"/>
      <c r="D954" s="22"/>
      <c r="E954" s="22"/>
      <c r="F954" s="22"/>
    </row>
    <row r="955" spans="2:6" ht="12.5">
      <c r="B955" s="22"/>
      <c r="C955" s="22"/>
      <c r="D955" s="22"/>
      <c r="E955" s="22"/>
      <c r="F955" s="22"/>
    </row>
    <row r="956" spans="2:6" ht="12.5">
      <c r="B956" s="22"/>
      <c r="C956" s="22"/>
      <c r="D956" s="22"/>
      <c r="E956" s="22"/>
      <c r="F956" s="22"/>
    </row>
    <row r="957" spans="2:6" ht="12.5">
      <c r="B957" s="22"/>
      <c r="C957" s="22"/>
      <c r="D957" s="22"/>
      <c r="E957" s="22"/>
      <c r="F957" s="22"/>
    </row>
    <row r="958" spans="2:6" ht="12.5">
      <c r="B958" s="22"/>
      <c r="C958" s="22"/>
      <c r="D958" s="22"/>
      <c r="E958" s="22"/>
      <c r="F958" s="22"/>
    </row>
    <row r="959" spans="2:6" ht="12.5">
      <c r="B959" s="22"/>
      <c r="C959" s="22"/>
      <c r="D959" s="22"/>
      <c r="E959" s="22"/>
      <c r="F959" s="22"/>
    </row>
    <row r="960" spans="2:6" ht="12.5">
      <c r="B960" s="22"/>
      <c r="C960" s="22"/>
      <c r="D960" s="22"/>
      <c r="E960" s="22"/>
      <c r="F960" s="22"/>
    </row>
    <row r="961" spans="2:6" ht="12.5">
      <c r="B961" s="22"/>
      <c r="C961" s="22"/>
      <c r="D961" s="22"/>
      <c r="E961" s="22"/>
      <c r="F961" s="22"/>
    </row>
    <row r="962" spans="2:6" ht="12.5">
      <c r="B962" s="22"/>
      <c r="C962" s="22"/>
      <c r="D962" s="22"/>
      <c r="E962" s="22"/>
      <c r="F962" s="22"/>
    </row>
    <row r="963" spans="2:6" ht="12.5">
      <c r="B963" s="22"/>
      <c r="C963" s="22"/>
      <c r="D963" s="22"/>
      <c r="E963" s="22"/>
      <c r="F963" s="22"/>
    </row>
    <row r="964" spans="2:6" ht="12.5">
      <c r="B964" s="22"/>
      <c r="C964" s="22"/>
      <c r="D964" s="22"/>
      <c r="E964" s="22"/>
      <c r="F964" s="22"/>
    </row>
    <row r="965" spans="2:6" ht="12.5">
      <c r="B965" s="22"/>
      <c r="C965" s="22"/>
      <c r="D965" s="22"/>
      <c r="E965" s="22"/>
      <c r="F965" s="22"/>
    </row>
    <row r="966" spans="2:6" ht="12.5">
      <c r="B966" s="22"/>
      <c r="C966" s="22"/>
      <c r="D966" s="22"/>
      <c r="E966" s="22"/>
      <c r="F966" s="22"/>
    </row>
    <row r="967" spans="2:6" ht="12.5">
      <c r="B967" s="22"/>
      <c r="C967" s="22"/>
      <c r="D967" s="22"/>
      <c r="E967" s="22"/>
      <c r="F967" s="22"/>
    </row>
    <row r="968" spans="2:6" ht="12.5">
      <c r="B968" s="22"/>
      <c r="C968" s="22"/>
      <c r="D968" s="22"/>
      <c r="E968" s="22"/>
      <c r="F968" s="22"/>
    </row>
    <row r="969" spans="2:6" ht="12.5">
      <c r="B969" s="22"/>
      <c r="C969" s="22"/>
      <c r="D969" s="22"/>
      <c r="E969" s="22"/>
      <c r="F969" s="22"/>
    </row>
    <row r="970" spans="2:6" ht="12.5">
      <c r="B970" s="22"/>
      <c r="C970" s="22"/>
      <c r="D970" s="22"/>
      <c r="E970" s="22"/>
      <c r="F970" s="22"/>
    </row>
    <row r="971" spans="2:6" ht="12.5">
      <c r="B971" s="22"/>
      <c r="C971" s="22"/>
      <c r="D971" s="22"/>
      <c r="E971" s="22"/>
      <c r="F971" s="22"/>
    </row>
    <row r="972" spans="2:6" ht="12.5">
      <c r="B972" s="22"/>
      <c r="C972" s="22"/>
      <c r="D972" s="22"/>
      <c r="E972" s="22"/>
      <c r="F972" s="22"/>
    </row>
    <row r="973" spans="2:6" ht="12.5">
      <c r="B973" s="22"/>
      <c r="C973" s="22"/>
      <c r="D973" s="22"/>
      <c r="E973" s="22"/>
      <c r="F973" s="22"/>
    </row>
    <row r="974" spans="2:6" ht="12.5">
      <c r="B974" s="22"/>
      <c r="C974" s="22"/>
      <c r="D974" s="22"/>
      <c r="E974" s="22"/>
      <c r="F974" s="22"/>
    </row>
    <row r="975" spans="2:6" ht="12.5">
      <c r="B975" s="22"/>
      <c r="C975" s="22"/>
      <c r="D975" s="22"/>
      <c r="E975" s="22"/>
      <c r="F975" s="22"/>
    </row>
    <row r="976" spans="2:6" ht="12.5">
      <c r="B976" s="22"/>
      <c r="C976" s="22"/>
      <c r="D976" s="22"/>
      <c r="E976" s="22"/>
      <c r="F976" s="22"/>
    </row>
    <row r="977" spans="2:6" ht="12.5">
      <c r="B977" s="22"/>
      <c r="C977" s="22"/>
      <c r="D977" s="22"/>
      <c r="E977" s="22"/>
      <c r="F977" s="22"/>
    </row>
    <row r="978" spans="2:6" ht="12.5">
      <c r="B978" s="22"/>
      <c r="C978" s="22"/>
      <c r="D978" s="22"/>
      <c r="E978" s="22"/>
      <c r="F978" s="22"/>
    </row>
    <row r="979" spans="2:6" ht="12.5">
      <c r="B979" s="22"/>
      <c r="C979" s="22"/>
      <c r="D979" s="22"/>
      <c r="E979" s="22"/>
      <c r="F979" s="22"/>
    </row>
    <row r="980" spans="2:6" ht="12.5">
      <c r="B980" s="22"/>
      <c r="C980" s="22"/>
      <c r="D980" s="22"/>
      <c r="E980" s="22"/>
      <c r="F980" s="22"/>
    </row>
    <row r="981" spans="2:6" ht="12.5">
      <c r="B981" s="22"/>
      <c r="C981" s="22"/>
      <c r="D981" s="22"/>
      <c r="E981" s="22"/>
      <c r="F981" s="22"/>
    </row>
    <row r="982" spans="2:6" ht="12.5">
      <c r="B982" s="22"/>
      <c r="C982" s="22"/>
      <c r="D982" s="22"/>
      <c r="E982" s="22"/>
      <c r="F982" s="22"/>
    </row>
    <row r="983" spans="2:6" ht="12.5">
      <c r="B983" s="22"/>
      <c r="C983" s="22"/>
      <c r="D983" s="22"/>
      <c r="E983" s="22"/>
      <c r="F983" s="22"/>
    </row>
    <row r="984" spans="2:6" ht="12.5">
      <c r="B984" s="22"/>
      <c r="C984" s="22"/>
      <c r="D984" s="22"/>
      <c r="E984" s="22"/>
      <c r="F984" s="22"/>
    </row>
    <row r="985" spans="2:6" ht="12.5">
      <c r="B985" s="22"/>
      <c r="C985" s="22"/>
      <c r="D985" s="22"/>
      <c r="E985" s="22"/>
      <c r="F985" s="22"/>
    </row>
    <row r="986" spans="2:6" ht="12.5">
      <c r="B986" s="22"/>
      <c r="C986" s="22"/>
      <c r="D986" s="22"/>
      <c r="E986" s="22"/>
      <c r="F986" s="22"/>
    </row>
    <row r="987" spans="2:6" ht="12.5">
      <c r="B987" s="22"/>
      <c r="C987" s="22"/>
      <c r="D987" s="22"/>
      <c r="E987" s="22"/>
      <c r="F987" s="22"/>
    </row>
    <row r="988" spans="2:6" ht="12.5">
      <c r="B988" s="22"/>
      <c r="C988" s="22"/>
      <c r="D988" s="22"/>
      <c r="E988" s="22"/>
      <c r="F988" s="22"/>
    </row>
    <row r="989" spans="2:6" ht="12.5">
      <c r="B989" s="22"/>
      <c r="C989" s="22"/>
      <c r="D989" s="22"/>
      <c r="E989" s="22"/>
      <c r="F989" s="22"/>
    </row>
    <row r="990" spans="2:6" ht="12.5">
      <c r="B990" s="22"/>
      <c r="C990" s="22"/>
      <c r="D990" s="22"/>
      <c r="E990" s="22"/>
      <c r="F990" s="22"/>
    </row>
    <row r="991" spans="2:6" ht="12.5">
      <c r="B991" s="22"/>
      <c r="C991" s="22"/>
      <c r="D991" s="22"/>
      <c r="E991" s="22"/>
      <c r="F991" s="22"/>
    </row>
    <row r="992" spans="2:6" ht="12.5">
      <c r="B992" s="22"/>
      <c r="C992" s="22"/>
      <c r="D992" s="22"/>
      <c r="E992" s="22"/>
      <c r="F992" s="22"/>
    </row>
    <row r="993" spans="2:6" ht="12.5">
      <c r="B993" s="22"/>
      <c r="C993" s="22"/>
      <c r="D993" s="22"/>
      <c r="E993" s="22"/>
      <c r="F993" s="22"/>
    </row>
    <row r="994" spans="2:6" ht="12.5">
      <c r="B994" s="22"/>
      <c r="C994" s="22"/>
      <c r="D994" s="22"/>
      <c r="E994" s="22"/>
      <c r="F994" s="22"/>
    </row>
    <row r="995" spans="2:6" ht="12.5">
      <c r="B995" s="22"/>
      <c r="C995" s="22"/>
      <c r="D995" s="22"/>
      <c r="E995" s="22"/>
      <c r="F995" s="22"/>
    </row>
    <row r="996" spans="2:6" ht="12.5">
      <c r="B996" s="22"/>
      <c r="C996" s="22"/>
      <c r="D996" s="22"/>
      <c r="E996" s="22"/>
      <c r="F996" s="22"/>
    </row>
    <row r="997" spans="2:6" ht="12.5">
      <c r="B997" s="22"/>
      <c r="C997" s="22"/>
      <c r="D997" s="22"/>
      <c r="E997" s="22"/>
      <c r="F997" s="22"/>
    </row>
    <row r="998" spans="2:6" ht="12.5">
      <c r="B998" s="22"/>
      <c r="C998" s="22"/>
      <c r="D998" s="22"/>
      <c r="E998" s="22"/>
      <c r="F998" s="22"/>
    </row>
    <row r="999" spans="2:6" ht="12.5">
      <c r="B999" s="22"/>
      <c r="C999" s="22"/>
      <c r="D999" s="22"/>
      <c r="E999" s="22"/>
      <c r="F999" s="22"/>
    </row>
    <row r="1000" spans="2:6" ht="12.5">
      <c r="B1000" s="22"/>
      <c r="C1000" s="22"/>
      <c r="D1000" s="22"/>
      <c r="E1000" s="22"/>
      <c r="F1000" s="22"/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2"/>
  <sheetViews>
    <sheetView topLeftCell="A6" workbookViewId="0">
      <selection activeCell="D7" sqref="D7"/>
    </sheetView>
  </sheetViews>
  <sheetFormatPr defaultColWidth="12.54296875" defaultRowHeight="15.75" customHeight="1"/>
  <cols>
    <col min="1" max="1" width="16.54296875" customWidth="1"/>
  </cols>
  <sheetData>
    <row r="1" spans="1:5" ht="13">
      <c r="A1" s="51"/>
      <c r="B1" s="51">
        <v>2019</v>
      </c>
      <c r="C1" s="51">
        <v>2020</v>
      </c>
      <c r="D1" s="51">
        <v>2021</v>
      </c>
      <c r="E1" s="117">
        <v>2022</v>
      </c>
    </row>
    <row r="2" spans="1:5" ht="13">
      <c r="A2" s="51" t="s">
        <v>398</v>
      </c>
      <c r="B2" s="51">
        <v>16099</v>
      </c>
      <c r="C2" s="51">
        <v>19918</v>
      </c>
      <c r="D2" s="51">
        <v>23402</v>
      </c>
      <c r="E2" s="118">
        <f>999744*4/3</f>
        <v>1332992</v>
      </c>
    </row>
    <row r="3" spans="1:5" ht="13">
      <c r="A3" s="51" t="s">
        <v>295</v>
      </c>
      <c r="B3" s="51">
        <v>711925</v>
      </c>
      <c r="C3" s="51">
        <v>936062</v>
      </c>
      <c r="D3" s="51">
        <v>1245879</v>
      </c>
      <c r="E3" s="118">
        <f>16317*4/3</f>
        <v>21756</v>
      </c>
    </row>
    <row r="4" spans="1:5" ht="13">
      <c r="A4" s="51" t="s">
        <v>255</v>
      </c>
      <c r="B4" s="51">
        <v>12361</v>
      </c>
      <c r="C4" s="51">
        <v>15423</v>
      </c>
      <c r="D4" s="51">
        <v>19348</v>
      </c>
      <c r="E4" s="119">
        <v>2.01E-2</v>
      </c>
    </row>
    <row r="5" spans="1:5" ht="13">
      <c r="A5" s="51" t="s">
        <v>256</v>
      </c>
      <c r="B5" s="51">
        <f t="shared" ref="B5:D5" si="0">B2/B3</f>
        <v>2.2613337079046249E-2</v>
      </c>
      <c r="C5" s="51">
        <f t="shared" si="0"/>
        <v>2.1278505056289008E-2</v>
      </c>
      <c r="D5" s="51">
        <f t="shared" si="0"/>
        <v>1.8783525526957272E-2</v>
      </c>
      <c r="E5" s="118">
        <f>E4*E2</f>
        <v>26793.139200000001</v>
      </c>
    </row>
    <row r="6" spans="1:5" ht="13">
      <c r="A6" s="51" t="s">
        <v>399</v>
      </c>
      <c r="B6" s="51">
        <f t="shared" ref="B6:D6" si="1">B2/B4</f>
        <v>1.3024027182266806</v>
      </c>
      <c r="C6" s="51">
        <f t="shared" si="1"/>
        <v>1.2914478376450755</v>
      </c>
      <c r="D6" s="51">
        <f t="shared" si="1"/>
        <v>1.2095307008476328</v>
      </c>
      <c r="E6" s="117"/>
    </row>
    <row r="7" spans="1:5" ht="15.75" customHeight="1">
      <c r="E7" s="117"/>
    </row>
    <row r="8" spans="1:5" ht="15.75" customHeight="1">
      <c r="C8">
        <f>C3/C2</f>
        <v>46.995782709107338</v>
      </c>
      <c r="E8" s="117"/>
    </row>
    <row r="9" spans="1:5" ht="15.75" customHeight="1">
      <c r="E9" s="117"/>
    </row>
    <row r="10" spans="1:5" ht="15.75" customHeight="1">
      <c r="B10" s="116">
        <f>B3/B4</f>
        <v>57.594450287193595</v>
      </c>
      <c r="C10" s="116">
        <f>C3/C4</f>
        <v>60.692601958114501</v>
      </c>
      <c r="D10" s="116">
        <f>D3/D4</f>
        <v>64.393167252429194</v>
      </c>
      <c r="E10" s="120">
        <f>E2/E3</f>
        <v>61.270086412943556</v>
      </c>
    </row>
    <row r="13" spans="1:5" ht="15.75" customHeight="1">
      <c r="C13">
        <f>C4/B4-1</f>
        <v>0.24771458619852771</v>
      </c>
      <c r="D13">
        <f>D4/C4-1</f>
        <v>0.25449004733190694</v>
      </c>
    </row>
    <row r="19" spans="1:19" ht="15.75" customHeight="1">
      <c r="S19">
        <v>1245879</v>
      </c>
    </row>
    <row r="20" spans="1:19" ht="15.75" customHeight="1">
      <c r="A20" s="121" t="s">
        <v>400</v>
      </c>
      <c r="B20" s="121">
        <v>2020</v>
      </c>
      <c r="C20" s="121">
        <v>2019</v>
      </c>
      <c r="D20" s="121">
        <v>2018</v>
      </c>
      <c r="H20">
        <v>2020</v>
      </c>
      <c r="M20" s="121" t="s">
        <v>400</v>
      </c>
      <c r="N20" s="156">
        <v>2021</v>
      </c>
      <c r="Q20" t="s">
        <v>401</v>
      </c>
      <c r="R20">
        <v>19348</v>
      </c>
      <c r="S20" t="s">
        <v>402</v>
      </c>
    </row>
    <row r="21" spans="1:19" ht="15.75" customHeight="1">
      <c r="A21" t="s">
        <v>403</v>
      </c>
      <c r="B21">
        <v>11013</v>
      </c>
      <c r="C21">
        <v>9417</v>
      </c>
      <c r="D21">
        <v>8324</v>
      </c>
      <c r="E21" t="s">
        <v>404</v>
      </c>
      <c r="G21" t="s">
        <v>405</v>
      </c>
      <c r="H21">
        <v>11013</v>
      </c>
      <c r="I21" t="s">
        <v>406</v>
      </c>
      <c r="J21">
        <f>B22</f>
        <v>2340</v>
      </c>
      <c r="K21" t="s">
        <v>407</v>
      </c>
      <c r="L21">
        <f>B23</f>
        <v>8101</v>
      </c>
      <c r="M21" t="s">
        <v>403</v>
      </c>
      <c r="N21">
        <v>13712</v>
      </c>
      <c r="O21">
        <f>N21/SUM($N$21:$N$23)</f>
        <v>0.54045957983524495</v>
      </c>
      <c r="P21">
        <f>O21*$R$20</f>
        <v>10456.81195065232</v>
      </c>
    </row>
    <row r="22" spans="1:19" ht="15.75" customHeight="1">
      <c r="A22" t="s">
        <v>408</v>
      </c>
      <c r="B22">
        <v>2340</v>
      </c>
      <c r="C22">
        <v>1872</v>
      </c>
      <c r="D22">
        <v>1658</v>
      </c>
      <c r="E22" t="s">
        <v>404</v>
      </c>
      <c r="G22" t="s">
        <v>409</v>
      </c>
      <c r="H22" s="122">
        <f>B28</f>
        <v>0.92840495944812151</v>
      </c>
      <c r="I22" s="104" t="str">
        <f>G22</f>
        <v>%rev transact</v>
      </c>
      <c r="J22" s="122">
        <f>H22</f>
        <v>0.92840495944812151</v>
      </c>
      <c r="K22" s="104" t="s">
        <v>410</v>
      </c>
      <c r="L22" s="122">
        <f>J22</f>
        <v>0.92840495944812151</v>
      </c>
      <c r="M22" t="s">
        <v>408</v>
      </c>
      <c r="N22">
        <v>2340</v>
      </c>
      <c r="O22">
        <f>N22/SUM($N$21:$N$23)</f>
        <v>9.2231287690670447E-2</v>
      </c>
      <c r="P22">
        <f>O22*$R$20</f>
        <v>1784.4909542390917</v>
      </c>
    </row>
    <row r="23" spans="1:19" ht="15.75" customHeight="1">
      <c r="A23" t="s">
        <v>411</v>
      </c>
      <c r="B23">
        <v>8101</v>
      </c>
      <c r="C23">
        <v>6483</v>
      </c>
      <c r="D23">
        <v>5469</v>
      </c>
      <c r="E23" t="s">
        <v>404</v>
      </c>
      <c r="G23" t="s">
        <v>412</v>
      </c>
      <c r="H23">
        <f>H21*H22</f>
        <v>10224.523818402162</v>
      </c>
      <c r="I23" t="s">
        <v>413</v>
      </c>
      <c r="J23">
        <f>J21*J22</f>
        <v>2172.4676051086044</v>
      </c>
      <c r="K23" t="s">
        <v>414</v>
      </c>
      <c r="L23">
        <f>L21*L22</f>
        <v>7521.0085764892328</v>
      </c>
      <c r="M23" t="s">
        <v>411</v>
      </c>
      <c r="N23">
        <v>9319</v>
      </c>
      <c r="O23">
        <f>N23/SUM($N$21:$N$23)</f>
        <v>0.36730913247408459</v>
      </c>
      <c r="P23">
        <f>O23*$R$20</f>
        <v>7106.6970951085887</v>
      </c>
    </row>
    <row r="24" spans="1:19" ht="15.75" customHeight="1">
      <c r="G24" t="s">
        <v>415</v>
      </c>
      <c r="H24">
        <f>H23*C8</f>
        <v>480509.49967372045</v>
      </c>
    </row>
    <row r="25" spans="1:19" ht="15.75" customHeight="1">
      <c r="A25" t="s">
        <v>416</v>
      </c>
      <c r="B25">
        <v>19918</v>
      </c>
      <c r="C25">
        <v>16099</v>
      </c>
      <c r="D25">
        <v>13709</v>
      </c>
      <c r="E25" t="s">
        <v>404</v>
      </c>
      <c r="G25" t="s">
        <v>417</v>
      </c>
      <c r="H25" s="123">
        <f>H24/61</f>
        <v>7877.204912683942</v>
      </c>
      <c r="M25" t="s">
        <v>416</v>
      </c>
      <c r="N25">
        <v>23402</v>
      </c>
      <c r="O25">
        <f>N26*O23</f>
        <v>723.23168184147255</v>
      </c>
    </row>
    <row r="26" spans="1:19" ht="15.75" customHeight="1">
      <c r="A26" t="s">
        <v>273</v>
      </c>
      <c r="B26">
        <v>1536</v>
      </c>
      <c r="C26">
        <v>1673</v>
      </c>
      <c r="D26">
        <v>1742</v>
      </c>
      <c r="E26" t="s">
        <v>404</v>
      </c>
      <c r="M26" t="s">
        <v>273</v>
      </c>
      <c r="N26">
        <v>1969</v>
      </c>
      <c r="O26">
        <f>N26*O22</f>
        <v>181.60340546293011</v>
      </c>
    </row>
    <row r="27" spans="1:19" ht="15.75" customHeight="1">
      <c r="B27" s="122">
        <f>1-B28</f>
        <v>7.1595040551878486E-2</v>
      </c>
      <c r="F27" t="s">
        <v>418</v>
      </c>
      <c r="G27">
        <f>B21/SUM(B21:B23)</f>
        <v>0.51333084739442525</v>
      </c>
      <c r="I27" t="s">
        <v>419</v>
      </c>
      <c r="J27">
        <v>15423</v>
      </c>
      <c r="O27">
        <f>N26*O21</f>
        <v>1064.1649126955974</v>
      </c>
    </row>
    <row r="28" spans="1:19" ht="15.75" customHeight="1">
      <c r="A28" t="s">
        <v>420</v>
      </c>
      <c r="B28" s="122">
        <f>B25/(B25+B26)</f>
        <v>0.92840495944812151</v>
      </c>
      <c r="C28" s="122">
        <f>C25/(C25+C26)</f>
        <v>0.90586315552554575</v>
      </c>
      <c r="D28" s="122">
        <f>D25/(D25+D26)</f>
        <v>0.88725648825318748</v>
      </c>
      <c r="G28">
        <f>H24/G27</f>
        <v>936061.99999999988</v>
      </c>
      <c r="H28" s="123">
        <f>15423*G27</f>
        <v>7917.1016593642207</v>
      </c>
      <c r="M28" t="s">
        <v>420</v>
      </c>
      <c r="N28" s="122">
        <f>N25/(N25+N26)</f>
        <v>0.92239170706712392</v>
      </c>
    </row>
    <row r="30" spans="1:19" ht="15.75" customHeight="1">
      <c r="A30" t="s">
        <v>421</v>
      </c>
      <c r="B30" s="116">
        <f t="shared" ref="B30:D32" si="2">B21*B$28</f>
        <v>10224.523818402162</v>
      </c>
      <c r="C30" s="116">
        <f t="shared" si="2"/>
        <v>8530.5133355840644</v>
      </c>
      <c r="D30" s="116">
        <f t="shared" si="2"/>
        <v>7385.523008219533</v>
      </c>
      <c r="E30" t="s">
        <v>404</v>
      </c>
      <c r="F30" t="s">
        <v>422</v>
      </c>
      <c r="G30">
        <f>B22/SUM(B21:B23)</f>
        <v>0.1090705695907523</v>
      </c>
      <c r="H30">
        <f>J27*G30</f>
        <v>1682.1953947981726</v>
      </c>
      <c r="M30" t="s">
        <v>421</v>
      </c>
      <c r="N30" s="116">
        <f>N21*N$28</f>
        <v>12647.835087304404</v>
      </c>
    </row>
    <row r="31" spans="1:19" ht="15.75" customHeight="1">
      <c r="A31" t="s">
        <v>423</v>
      </c>
      <c r="B31" s="116">
        <f t="shared" si="2"/>
        <v>2172.4676051086044</v>
      </c>
      <c r="C31" s="116">
        <f t="shared" si="2"/>
        <v>1695.7758271438217</v>
      </c>
      <c r="D31" s="116">
        <f t="shared" si="2"/>
        <v>1471.0712575237849</v>
      </c>
      <c r="E31" t="s">
        <v>404</v>
      </c>
      <c r="M31" t="s">
        <v>423</v>
      </c>
      <c r="N31" s="116">
        <f>N22*N$28</f>
        <v>2158.3965945370701</v>
      </c>
    </row>
    <row r="32" spans="1:19" ht="15.75" customHeight="1">
      <c r="A32" t="s">
        <v>411</v>
      </c>
      <c r="B32" s="116">
        <f t="shared" si="2"/>
        <v>7521.0085764892328</v>
      </c>
      <c r="C32" s="116">
        <f t="shared" si="2"/>
        <v>5872.7108372721132</v>
      </c>
      <c r="D32" s="116">
        <f t="shared" si="2"/>
        <v>4852.4057342566821</v>
      </c>
      <c r="E32" t="s">
        <v>404</v>
      </c>
      <c r="F32" t="s">
        <v>424</v>
      </c>
      <c r="G32">
        <f>B23/SUM(B21:B23)</f>
        <v>0.37759858301482241</v>
      </c>
      <c r="H32">
        <f>G32*J27</f>
        <v>5823.7029458376064</v>
      </c>
      <c r="M32" t="s">
        <v>411</v>
      </c>
      <c r="N32" s="116">
        <f>N23*N$28</f>
        <v>8595.7683181585271</v>
      </c>
    </row>
    <row r="33" spans="1:15" ht="15.75" customHeight="1">
      <c r="B33" t="s">
        <v>425</v>
      </c>
      <c r="D33" t="s">
        <v>426</v>
      </c>
    </row>
    <row r="34" spans="1:15" ht="15.75" customHeight="1">
      <c r="A34" t="s">
        <v>427</v>
      </c>
      <c r="B34" s="115">
        <f t="shared" ref="B34:C36" si="3">B30/$B$10</f>
        <v>177.52619857326138</v>
      </c>
      <c r="C34" s="115">
        <f t="shared" si="3"/>
        <v>148.11346046445146</v>
      </c>
      <c r="D34" s="122">
        <f>B34/C34-1</f>
        <v>0.19858247870637813</v>
      </c>
      <c r="G34">
        <f>H28+H30+H32</f>
        <v>15423</v>
      </c>
      <c r="M34" t="s">
        <v>427</v>
      </c>
      <c r="N34" s="115">
        <f>N30/$B$10</f>
        <v>219.60162870270005</v>
      </c>
      <c r="O34" s="122">
        <f>N34/B34-1</f>
        <v>0.23700969472443822</v>
      </c>
    </row>
    <row r="35" spans="1:15" ht="15.75" customHeight="1">
      <c r="A35" t="s">
        <v>428</v>
      </c>
      <c r="B35" s="115">
        <f t="shared" si="3"/>
        <v>37.720085776939229</v>
      </c>
      <c r="C35" s="115">
        <f t="shared" si="3"/>
        <v>29.44338940102508</v>
      </c>
      <c r="D35" s="122">
        <f>B35/C35-1</f>
        <v>0.28110542109075243</v>
      </c>
      <c r="M35" t="s">
        <v>428</v>
      </c>
      <c r="N35" s="115">
        <f>N31/$B$10</f>
        <v>37.475773859708148</v>
      </c>
      <c r="O35" s="122">
        <f>N35/B35-1</f>
        <v>-6.4769714118848576E-3</v>
      </c>
    </row>
    <row r="36" spans="1:15" ht="15.75" customHeight="1">
      <c r="A36" t="s">
        <v>429</v>
      </c>
      <c r="B36" s="115">
        <f t="shared" si="3"/>
        <v>130.58564738418147</v>
      </c>
      <c r="C36" s="115">
        <f t="shared" si="3"/>
        <v>101.96660976861409</v>
      </c>
      <c r="D36" s="122">
        <f>B36/C36-1</f>
        <v>0.28067067916164534</v>
      </c>
      <c r="G36" s="124">
        <v>2022</v>
      </c>
      <c r="H36" s="125"/>
      <c r="I36" s="125"/>
      <c r="J36" s="125"/>
      <c r="K36" s="125"/>
      <c r="L36" s="126"/>
      <c r="M36" t="s">
        <v>429</v>
      </c>
      <c r="N36" s="115">
        <f>N32/$B$10</f>
        <v>149.24646863188897</v>
      </c>
      <c r="O36" s="122">
        <f>N36/B36-1</f>
        <v>0.14290101264197563</v>
      </c>
    </row>
    <row r="37" spans="1:15" ht="15.75" customHeight="1">
      <c r="G37" s="127" t="s">
        <v>405</v>
      </c>
      <c r="H37">
        <f>11512*4/3</f>
        <v>15349.333333333334</v>
      </c>
      <c r="I37" t="s">
        <v>406</v>
      </c>
      <c r="J37">
        <f>1552*4/3</f>
        <v>2069.3333333333335</v>
      </c>
      <c r="K37" t="s">
        <v>430</v>
      </c>
      <c r="L37" s="128">
        <f>7071*4/3</f>
        <v>9428</v>
      </c>
    </row>
    <row r="38" spans="1:15" ht="15.75" customHeight="1">
      <c r="B38">
        <v>0</v>
      </c>
      <c r="G38" t="s">
        <v>409</v>
      </c>
      <c r="H38">
        <f>18504/20135</f>
        <v>0.91899677179041472</v>
      </c>
      <c r="I38" t="s">
        <v>409</v>
      </c>
      <c r="J38">
        <f>H38</f>
        <v>0.91899677179041472</v>
      </c>
      <c r="K38" t="s">
        <v>409</v>
      </c>
      <c r="L38" s="128">
        <f>J38</f>
        <v>0.91899677179041472</v>
      </c>
    </row>
    <row r="39" spans="1:15" ht="15.75" customHeight="1">
      <c r="G39" t="s">
        <v>412</v>
      </c>
      <c r="H39">
        <f>H37*H38</f>
        <v>14105.987782468339</v>
      </c>
      <c r="I39" t="s">
        <v>413</v>
      </c>
      <c r="J39">
        <f>J37*J38</f>
        <v>1901.7106530916317</v>
      </c>
      <c r="K39" t="s">
        <v>414</v>
      </c>
      <c r="L39" s="128">
        <f>L37*L38</f>
        <v>8664.3015644400293</v>
      </c>
      <c r="N39" s="115">
        <f>N34+N35+N36</f>
        <v>406.32387119429723</v>
      </c>
    </row>
    <row r="40" spans="1:15" ht="15.75" customHeight="1">
      <c r="B40">
        <f>B34*61</f>
        <v>10829.098112968944</v>
      </c>
      <c r="G40" s="127"/>
      <c r="L40" s="128"/>
    </row>
    <row r="41" spans="1:15" ht="15.75" customHeight="1">
      <c r="B41">
        <f>B40*0.026</f>
        <v>281.55655093719253</v>
      </c>
      <c r="G41" s="127"/>
      <c r="L41" s="128"/>
    </row>
    <row r="42" spans="1:15" ht="15.75" customHeight="1">
      <c r="G42" s="127"/>
      <c r="L42" s="128"/>
    </row>
    <row r="43" spans="1:15" ht="15.75" customHeight="1">
      <c r="E43">
        <f>0.3/64</f>
        <v>4.6874999999999998E-3</v>
      </c>
      <c r="G43" s="127">
        <v>16317</v>
      </c>
      <c r="J43" t="s">
        <v>431</v>
      </c>
      <c r="K43">
        <f>$J$47*H44</f>
        <v>12438.791755649367</v>
      </c>
      <c r="L43" s="128"/>
    </row>
    <row r="44" spans="1:15" ht="15.75" customHeight="1">
      <c r="G44" s="127">
        <f>$G$43*H44</f>
        <v>9329.0938167370241</v>
      </c>
      <c r="H44">
        <f>H37/SUM($H$37,$J$37,$L$37)</f>
        <v>0.57174074993791901</v>
      </c>
      <c r="J44" t="s">
        <v>432</v>
      </c>
      <c r="K44">
        <f>$J$47*H45</f>
        <v>1676.9462130618326</v>
      </c>
      <c r="L44" s="128"/>
    </row>
    <row r="45" spans="1:15" ht="15.75" customHeight="1">
      <c r="E45">
        <f>0.024+E43</f>
        <v>2.8687500000000001E-2</v>
      </c>
      <c r="G45" s="127">
        <f t="shared" ref="G45:G46" si="4">$G$43*H45</f>
        <v>1257.7096597963744</v>
      </c>
      <c r="H45">
        <f>J37/SUM($H$37,$J$37,$L$37)</f>
        <v>7.7079711944375462E-2</v>
      </c>
      <c r="J45" t="s">
        <v>433</v>
      </c>
      <c r="K45">
        <f>$J$47*H46</f>
        <v>7640.2620312888002</v>
      </c>
      <c r="L45" s="128"/>
    </row>
    <row r="46" spans="1:15" ht="15.75" customHeight="1">
      <c r="G46" s="127">
        <f t="shared" si="4"/>
        <v>5730.1965234666004</v>
      </c>
      <c r="H46">
        <f>L37/SUM($H$37,$J$37,$L$37)</f>
        <v>0.35117953811770547</v>
      </c>
      <c r="L46" s="128"/>
    </row>
    <row r="47" spans="1:15" ht="15.75" customHeight="1">
      <c r="G47" s="127"/>
      <c r="J47">
        <f>16317*4/3</f>
        <v>21756</v>
      </c>
      <c r="L47" s="128"/>
    </row>
    <row r="48" spans="1:15" ht="15.75" customHeight="1">
      <c r="G48" s="127">
        <f>20135*4/3</f>
        <v>26846.666666666668</v>
      </c>
      <c r="H48">
        <f>G48*(1-H38)</f>
        <v>2174.6666666666661</v>
      </c>
      <c r="K48">
        <f>SUM(K43:K45)</f>
        <v>21756</v>
      </c>
      <c r="L48" s="128"/>
    </row>
    <row r="49" spans="7:12" ht="15.75" customHeight="1">
      <c r="G49" s="127"/>
      <c r="L49" s="128"/>
    </row>
    <row r="50" spans="7:12" ht="15.75" customHeight="1">
      <c r="G50" s="129"/>
      <c r="H50" s="130"/>
      <c r="I50" s="130"/>
      <c r="J50" s="130"/>
      <c r="K50" s="130"/>
      <c r="L50" s="131"/>
    </row>
    <row r="56" spans="7:12" ht="15.75" customHeight="1">
      <c r="G56" t="s">
        <v>265</v>
      </c>
      <c r="H56">
        <f>2593*4/3</f>
        <v>3457.3333333333335</v>
      </c>
    </row>
    <row r="66" spans="8:9" ht="15.75" customHeight="1">
      <c r="H66">
        <f>17134*4/3</f>
        <v>22845.333333333332</v>
      </c>
      <c r="I66" t="s">
        <v>434</v>
      </c>
    </row>
    <row r="67" spans="8:9" ht="15.75" customHeight="1">
      <c r="H67">
        <v>37824</v>
      </c>
      <c r="I67" t="s">
        <v>324</v>
      </c>
    </row>
    <row r="70" spans="8:9" ht="15.75" customHeight="1">
      <c r="H70">
        <f>H66/H67</f>
        <v>0.60399041173152845</v>
      </c>
      <c r="I70" t="s">
        <v>435</v>
      </c>
    </row>
    <row r="72" spans="8:9" ht="15.75" customHeight="1">
      <c r="H72">
        <f>365/H70</f>
        <v>604.31422901832616</v>
      </c>
      <c r="I72" t="s">
        <v>436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C46D-690F-4D41-82D4-168BE0A63526}">
  <dimension ref="A1:Z40"/>
  <sheetViews>
    <sheetView tabSelected="1" zoomScale="145" zoomScaleNormal="145" workbookViewId="0">
      <selection activeCell="U4" sqref="U4"/>
    </sheetView>
  </sheetViews>
  <sheetFormatPr defaultRowHeight="12.5"/>
  <cols>
    <col min="3" max="3" width="18.08984375" bestFit="1" customWidth="1"/>
    <col min="21" max="21" width="16.81640625" customWidth="1"/>
    <col min="25" max="25" width="9.6328125" bestFit="1" customWidth="1"/>
  </cols>
  <sheetData>
    <row r="1" spans="1:26" ht="26">
      <c r="B1" s="294" t="str">
        <f>Assumptions!C1</f>
        <v>PayPal Holdings, Inc.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</row>
    <row r="2" spans="1:26" ht="19.5">
      <c r="B2" s="365" t="s">
        <v>489</v>
      </c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</row>
    <row r="3" spans="1:26" ht="17.5">
      <c r="A3" s="297"/>
      <c r="B3" s="459"/>
      <c r="C3" s="460"/>
      <c r="D3" s="460"/>
      <c r="E3" s="460"/>
      <c r="F3" s="460"/>
      <c r="G3" s="460"/>
      <c r="H3" s="460"/>
      <c r="I3" s="460"/>
      <c r="J3" s="460"/>
      <c r="K3" s="460"/>
      <c r="L3" s="460"/>
      <c r="M3" s="460"/>
      <c r="N3" s="460"/>
      <c r="O3" s="460"/>
      <c r="P3" s="460"/>
      <c r="Q3" s="460"/>
      <c r="R3" s="460"/>
      <c r="S3" s="460"/>
      <c r="T3" s="460"/>
      <c r="U3" s="297"/>
      <c r="V3" s="297"/>
      <c r="W3" s="297"/>
      <c r="X3" s="297"/>
      <c r="Y3" s="297"/>
      <c r="Z3" s="297"/>
    </row>
    <row r="4" spans="1:26" ht="17.5">
      <c r="A4" s="297"/>
      <c r="B4" s="459"/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  <c r="P4" s="460"/>
      <c r="Q4" s="460"/>
      <c r="R4" s="460"/>
      <c r="S4" s="460"/>
      <c r="T4" s="460"/>
      <c r="U4" s="461" t="str">
        <f>"Net Debt (12/31/"&amp;RIGHT(Model!J169,2)&amp;")"</f>
        <v>Net Debt (12/31/22)</v>
      </c>
      <c r="V4" s="462"/>
      <c r="W4" s="463"/>
      <c r="X4" s="463"/>
      <c r="Y4" s="464">
        <f>'DCF Schedule'!G14</f>
        <v>-456</v>
      </c>
      <c r="Z4" s="297"/>
    </row>
    <row r="5" spans="1:26" ht="17.5">
      <c r="A5" s="297"/>
      <c r="B5" s="459"/>
      <c r="C5" s="460"/>
      <c r="D5" s="460"/>
      <c r="E5" s="460"/>
      <c r="F5" s="460"/>
      <c r="G5" s="460"/>
      <c r="H5" s="460"/>
      <c r="I5" s="460"/>
      <c r="J5" s="460"/>
      <c r="K5" s="460"/>
      <c r="L5" s="465"/>
      <c r="M5" s="460"/>
      <c r="N5" s="460"/>
      <c r="O5" s="460"/>
      <c r="P5" s="465"/>
      <c r="Q5" s="460"/>
      <c r="R5" s="460"/>
      <c r="S5" s="460"/>
      <c r="T5" s="460"/>
      <c r="U5" s="466" t="str">
        <f>"FD Share O/S MM (12/31/"&amp;RIGHT(Model!J169,2)&amp;")"</f>
        <v>FD Share O/S MM (12/31/22)</v>
      </c>
      <c r="V5" s="297"/>
      <c r="W5" s="297"/>
      <c r="X5" s="297"/>
      <c r="Y5" s="530">
        <f>Assumptions!N9</f>
        <v>1600</v>
      </c>
      <c r="Z5" s="297"/>
    </row>
    <row r="6" spans="1:26" ht="17.5">
      <c r="A6" s="297"/>
      <c r="B6" s="467" t="s">
        <v>490</v>
      </c>
      <c r="C6" s="460"/>
      <c r="D6" s="460"/>
      <c r="E6" s="460"/>
      <c r="F6" s="460"/>
      <c r="G6" s="460"/>
      <c r="H6" s="460"/>
      <c r="I6" s="460"/>
      <c r="J6" s="460"/>
      <c r="K6" s="460"/>
      <c r="L6" s="460"/>
      <c r="M6" s="460"/>
      <c r="N6" s="460"/>
      <c r="O6" s="460"/>
      <c r="P6" s="460"/>
      <c r="Q6" s="460"/>
      <c r="R6" s="460"/>
      <c r="S6" s="460"/>
      <c r="T6" s="468"/>
      <c r="U6" s="469" t="str">
        <f ca="1">Assumptions!J6</f>
        <v>Stock Price- 12/11/22</v>
      </c>
      <c r="V6" s="470"/>
      <c r="W6" s="470"/>
      <c r="X6" s="470"/>
      <c r="Y6" s="531">
        <f>Assumptions!N6</f>
        <v>73.569999999999993</v>
      </c>
      <c r="Z6" s="297"/>
    </row>
    <row r="7" spans="1:26" ht="15.5">
      <c r="A7" s="471"/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1"/>
      <c r="M7" s="471"/>
      <c r="N7" s="471"/>
      <c r="O7" s="471"/>
      <c r="P7" s="471"/>
      <c r="Q7" s="471"/>
      <c r="R7" s="471"/>
      <c r="S7" s="471"/>
      <c r="T7" s="471"/>
      <c r="U7" s="297"/>
      <c r="V7" s="297"/>
      <c r="W7" s="297"/>
      <c r="X7" s="297"/>
      <c r="Y7" s="297"/>
      <c r="Z7" s="471"/>
    </row>
    <row r="8" spans="1:26">
      <c r="A8" s="297"/>
      <c r="B8" s="481"/>
      <c r="C8" s="482"/>
      <c r="D8" s="482"/>
      <c r="E8" s="482"/>
      <c r="F8" s="482"/>
      <c r="G8" s="482"/>
      <c r="H8" s="482"/>
      <c r="I8" s="482"/>
      <c r="J8" s="482"/>
      <c r="K8" s="482"/>
      <c r="L8" s="482"/>
      <c r="M8" s="482"/>
      <c r="N8" s="482"/>
      <c r="O8" s="482"/>
      <c r="P8" s="482"/>
      <c r="Q8" s="482"/>
      <c r="R8" s="482"/>
      <c r="S8" s="483"/>
      <c r="T8" s="297"/>
      <c r="U8" s="297"/>
      <c r="V8" s="297"/>
      <c r="W8" s="297"/>
      <c r="X8" s="297"/>
      <c r="Y8" s="297"/>
      <c r="Z8" s="297"/>
    </row>
    <row r="9" spans="1:26" ht="15.5">
      <c r="A9" s="297"/>
      <c r="B9" s="491"/>
      <c r="C9" s="297"/>
      <c r="D9" s="467"/>
      <c r="E9" s="472"/>
      <c r="F9" s="472"/>
      <c r="G9" s="472"/>
      <c r="H9" s="467"/>
      <c r="I9" s="472"/>
      <c r="J9" s="472"/>
      <c r="K9" s="472"/>
      <c r="L9" s="472"/>
      <c r="M9" s="472"/>
      <c r="N9" s="472"/>
      <c r="O9" s="472"/>
      <c r="P9" s="473" t="s">
        <v>491</v>
      </c>
      <c r="Q9" s="473"/>
      <c r="R9" s="473"/>
      <c r="S9" s="510"/>
      <c r="T9" s="472"/>
      <c r="U9" s="297"/>
      <c r="V9" s="475"/>
      <c r="W9" s="476"/>
      <c r="X9" s="475"/>
      <c r="Y9" s="297"/>
      <c r="Z9" s="297"/>
    </row>
    <row r="10" spans="1:26" ht="15.5">
      <c r="A10" s="297"/>
      <c r="B10" s="491"/>
      <c r="C10" s="477" t="s">
        <v>492</v>
      </c>
      <c r="D10" s="478" t="s">
        <v>493</v>
      </c>
      <c r="E10" s="478"/>
      <c r="F10" s="478"/>
      <c r="G10" s="477"/>
      <c r="H10" s="478" t="s">
        <v>494</v>
      </c>
      <c r="I10" s="478"/>
      <c r="J10" s="478"/>
      <c r="K10" s="477"/>
      <c r="L10" s="478" t="s">
        <v>495</v>
      </c>
      <c r="M10" s="478"/>
      <c r="N10" s="478"/>
      <c r="O10" s="477"/>
      <c r="P10" s="478" t="str">
        <f ca="1">TEXT(TODAY()-1,"mm/dd/yy")&amp;" - "&amp;DOLLAR(Y6,2)</f>
        <v>12/11/22 - $73.57</v>
      </c>
      <c r="Q10" s="478"/>
      <c r="R10" s="478"/>
      <c r="S10" s="511"/>
      <c r="T10" s="467"/>
      <c r="U10" s="299"/>
      <c r="V10" s="297"/>
      <c r="W10" s="297"/>
      <c r="X10" s="297"/>
      <c r="Y10" s="297"/>
      <c r="Z10" s="297"/>
    </row>
    <row r="11" spans="1:26" ht="13">
      <c r="A11" s="297"/>
      <c r="B11" s="491"/>
      <c r="C11" s="298"/>
      <c r="D11" s="479" t="s">
        <v>496</v>
      </c>
      <c r="E11" s="473"/>
      <c r="F11" s="473"/>
      <c r="G11" s="299"/>
      <c r="H11" s="479" t="s">
        <v>496</v>
      </c>
      <c r="I11" s="473"/>
      <c r="J11" s="473"/>
      <c r="K11" s="299"/>
      <c r="L11" s="479" t="s">
        <v>497</v>
      </c>
      <c r="M11" s="473"/>
      <c r="N11" s="472"/>
      <c r="O11" s="474"/>
      <c r="P11" s="479" t="s">
        <v>498</v>
      </c>
      <c r="Q11" s="473"/>
      <c r="R11" s="472"/>
      <c r="S11" s="510"/>
      <c r="T11" s="479"/>
      <c r="U11" s="297"/>
      <c r="V11" s="297"/>
      <c r="W11" s="480"/>
      <c r="X11" s="297"/>
      <c r="Y11" s="297"/>
      <c r="Z11" s="297"/>
    </row>
    <row r="12" spans="1:26" ht="15.5">
      <c r="A12" s="297"/>
      <c r="B12" s="491"/>
      <c r="C12" s="300"/>
      <c r="D12" s="473"/>
      <c r="E12" s="473"/>
      <c r="F12" s="473"/>
      <c r="G12" s="473"/>
      <c r="H12" s="473"/>
      <c r="I12" s="473"/>
      <c r="J12" s="473"/>
      <c r="K12" s="473"/>
      <c r="L12" s="473"/>
      <c r="M12" s="473"/>
      <c r="N12" s="297"/>
      <c r="O12" s="297"/>
      <c r="P12" s="473"/>
      <c r="Q12" s="473"/>
      <c r="R12" s="297"/>
      <c r="S12" s="512"/>
      <c r="T12" s="467"/>
      <c r="U12" s="481"/>
      <c r="V12" s="482"/>
      <c r="W12" s="482"/>
      <c r="X12" s="483"/>
      <c r="Y12" s="297"/>
      <c r="Z12" s="297"/>
    </row>
    <row r="13" spans="1:26" ht="15.5">
      <c r="A13" s="484"/>
      <c r="B13" s="513"/>
      <c r="C13" s="474" t="s">
        <v>499</v>
      </c>
      <c r="D13" s="485">
        <v>109172</v>
      </c>
      <c r="E13" s="476" t="s">
        <v>500</v>
      </c>
      <c r="F13" s="485">
        <v>259470</v>
      </c>
      <c r="G13" s="485"/>
      <c r="H13" s="487">
        <f>D13-$Y$4</f>
        <v>109628</v>
      </c>
      <c r="I13" s="476" t="s">
        <v>500</v>
      </c>
      <c r="J13" s="487">
        <f>F13-$Y$4</f>
        <v>259926</v>
      </c>
      <c r="K13" s="485"/>
      <c r="L13" s="488">
        <f>H13/$Y$5</f>
        <v>68.517499999999998</v>
      </c>
      <c r="M13" s="476" t="s">
        <v>500</v>
      </c>
      <c r="N13" s="488">
        <f>J13/$Y$5</f>
        <v>162.45375000000001</v>
      </c>
      <c r="O13" s="488"/>
      <c r="P13" s="489">
        <f>L13/$Y$6-1</f>
        <v>-6.8676090797879508E-2</v>
      </c>
      <c r="Q13" s="476" t="s">
        <v>500</v>
      </c>
      <c r="R13" s="489">
        <f>N13/$Y$6-1</f>
        <v>1.208152100040778</v>
      </c>
      <c r="S13" s="512"/>
      <c r="T13" s="490"/>
      <c r="U13" s="491" t="s">
        <v>493</v>
      </c>
      <c r="V13" s="475">
        <f>H17</f>
        <v>46106</v>
      </c>
      <c r="W13" s="476" t="s">
        <v>500</v>
      </c>
      <c r="X13" s="492">
        <f>J15</f>
        <v>403353</v>
      </c>
      <c r="Y13" s="297"/>
      <c r="Z13" s="493"/>
    </row>
    <row r="14" spans="1:26" ht="15.5">
      <c r="A14" s="484"/>
      <c r="B14" s="513"/>
      <c r="C14" s="474"/>
      <c r="D14" s="485"/>
      <c r="E14" s="476"/>
      <c r="F14" s="485"/>
      <c r="G14" s="485"/>
      <c r="H14" s="485"/>
      <c r="I14" s="476"/>
      <c r="J14" s="485"/>
      <c r="K14" s="485"/>
      <c r="L14" s="485"/>
      <c r="M14" s="532"/>
      <c r="N14" s="297"/>
      <c r="O14" s="297"/>
      <c r="P14" s="485"/>
      <c r="Q14" s="485"/>
      <c r="R14" s="297"/>
      <c r="S14" s="512"/>
      <c r="T14" s="490"/>
      <c r="U14" s="469"/>
      <c r="V14" s="351"/>
      <c r="W14" s="494"/>
      <c r="X14" s="495"/>
      <c r="Y14" s="297"/>
      <c r="Z14" s="496"/>
    </row>
    <row r="15" spans="1:26" ht="15.5">
      <c r="A15" s="484"/>
      <c r="B15" s="513"/>
      <c r="C15" s="474" t="s">
        <v>501</v>
      </c>
      <c r="D15" s="485">
        <v>165127</v>
      </c>
      <c r="E15" s="476" t="s">
        <v>500</v>
      </c>
      <c r="F15" s="485">
        <v>402897</v>
      </c>
      <c r="G15" s="485"/>
      <c r="H15" s="487">
        <f>D15-$Y$4</f>
        <v>165583</v>
      </c>
      <c r="I15" s="476" t="s">
        <v>500</v>
      </c>
      <c r="J15" s="487">
        <f>F15-$Y$4</f>
        <v>403353</v>
      </c>
      <c r="K15" s="485"/>
      <c r="L15" s="488">
        <f>H15/$Y$5</f>
        <v>103.489375</v>
      </c>
      <c r="M15" s="476" t="s">
        <v>500</v>
      </c>
      <c r="N15" s="488">
        <f>J15/$Y$5</f>
        <v>252.09562500000001</v>
      </c>
      <c r="O15" s="488"/>
      <c r="P15" s="489">
        <f>L15/$Y$6-1</f>
        <v>0.40667901318472199</v>
      </c>
      <c r="Q15" s="476" t="s">
        <v>500</v>
      </c>
      <c r="R15" s="489">
        <f>N15/$Y$6-1</f>
        <v>2.4266090118254726</v>
      </c>
      <c r="S15" s="512"/>
      <c r="T15" s="490"/>
      <c r="U15" s="297"/>
      <c r="V15" s="297"/>
      <c r="W15" s="297"/>
      <c r="X15" s="297"/>
      <c r="Y15" s="297"/>
      <c r="Z15" s="297"/>
    </row>
    <row r="16" spans="1:26" ht="15.5">
      <c r="A16" s="484"/>
      <c r="B16" s="513"/>
      <c r="C16" s="474"/>
      <c r="D16" s="485"/>
      <c r="E16" s="476"/>
      <c r="F16" s="485"/>
      <c r="G16" s="485"/>
      <c r="H16" s="485"/>
      <c r="I16" s="476"/>
      <c r="J16" s="485"/>
      <c r="K16" s="485"/>
      <c r="L16" s="487"/>
      <c r="M16" s="476"/>
      <c r="N16" s="487"/>
      <c r="O16" s="487"/>
      <c r="P16" s="487"/>
      <c r="Q16" s="486"/>
      <c r="R16" s="487"/>
      <c r="S16" s="512"/>
      <c r="T16" s="490"/>
      <c r="U16" s="297"/>
      <c r="V16" s="297"/>
      <c r="W16" s="297"/>
      <c r="X16" s="297"/>
      <c r="Y16" s="297"/>
      <c r="Z16" s="297"/>
    </row>
    <row r="17" spans="1:26" ht="15.5">
      <c r="A17" s="484"/>
      <c r="B17" s="513"/>
      <c r="C17" s="474" t="s">
        <v>502</v>
      </c>
      <c r="D17" s="485">
        <v>45650</v>
      </c>
      <c r="E17" s="476" t="s">
        <v>500</v>
      </c>
      <c r="F17" s="485">
        <v>97779</v>
      </c>
      <c r="G17" s="485"/>
      <c r="H17" s="487">
        <f>D17-$Y$4</f>
        <v>46106</v>
      </c>
      <c r="I17" s="476" t="s">
        <v>500</v>
      </c>
      <c r="J17" s="487">
        <f>F17-$Y$4</f>
        <v>98235</v>
      </c>
      <c r="K17" s="485"/>
      <c r="L17" s="488">
        <f>H17/$Y$5</f>
        <v>28.81625</v>
      </c>
      <c r="M17" s="476" t="s">
        <v>500</v>
      </c>
      <c r="N17" s="488">
        <f>J17/$Y$5</f>
        <v>61.396875000000001</v>
      </c>
      <c r="O17" s="488"/>
      <c r="P17" s="489">
        <f>L17/$Y$6-1</f>
        <v>-0.60831521000407773</v>
      </c>
      <c r="Q17" s="476" t="s">
        <v>500</v>
      </c>
      <c r="R17" s="489">
        <f>N17/$Y$6-1</f>
        <v>-0.16546316433328789</v>
      </c>
      <c r="S17" s="512"/>
      <c r="T17" s="490"/>
      <c r="U17" s="297"/>
      <c r="V17" s="497"/>
      <c r="W17" s="297"/>
      <c r="X17" s="297"/>
      <c r="Y17" s="297"/>
      <c r="Z17" s="297"/>
    </row>
    <row r="18" spans="1:26" ht="15.5">
      <c r="A18" s="471"/>
      <c r="B18" s="514"/>
      <c r="C18" s="506"/>
      <c r="D18" s="506"/>
      <c r="E18" s="509"/>
      <c r="F18" s="507"/>
      <c r="G18" s="507"/>
      <c r="H18" s="506"/>
      <c r="I18" s="509"/>
      <c r="J18" s="507"/>
      <c r="K18" s="507"/>
      <c r="L18" s="507"/>
      <c r="M18" s="507"/>
      <c r="N18" s="509"/>
      <c r="O18" s="509"/>
      <c r="P18" s="507"/>
      <c r="Q18" s="507"/>
      <c r="R18" s="509"/>
      <c r="S18" s="515"/>
      <c r="T18" s="471"/>
      <c r="U18" s="297"/>
      <c r="V18" s="297"/>
      <c r="W18" s="297"/>
      <c r="X18" s="297"/>
      <c r="Y18" s="297"/>
      <c r="Z18" s="471"/>
    </row>
    <row r="19" spans="1:26" ht="15.5">
      <c r="A19" s="471"/>
      <c r="B19" s="471"/>
      <c r="C19" s="471"/>
      <c r="D19" s="471"/>
      <c r="E19" s="493"/>
      <c r="F19" s="498"/>
      <c r="G19" s="498"/>
      <c r="H19" s="471"/>
      <c r="I19" s="493"/>
      <c r="J19" s="498"/>
      <c r="K19" s="498"/>
      <c r="L19" s="498"/>
      <c r="M19" s="498"/>
      <c r="N19" s="493"/>
      <c r="O19" s="493"/>
      <c r="P19" s="498"/>
      <c r="Q19" s="498"/>
      <c r="R19" s="493"/>
      <c r="S19" s="493"/>
      <c r="T19" s="471"/>
      <c r="U19" s="297"/>
      <c r="V19" s="297"/>
      <c r="W19" s="297"/>
      <c r="X19" s="297"/>
      <c r="Y19" s="297"/>
      <c r="Z19" s="471"/>
    </row>
    <row r="20" spans="1:26" ht="15.5">
      <c r="A20" s="471"/>
      <c r="B20" s="471"/>
      <c r="C20" s="471"/>
      <c r="D20" s="471"/>
      <c r="E20" s="493"/>
      <c r="F20" s="498"/>
      <c r="G20" s="498"/>
      <c r="H20" s="471"/>
      <c r="I20" s="493"/>
      <c r="J20" s="498"/>
      <c r="K20" s="498"/>
      <c r="L20" s="498"/>
      <c r="M20" s="498"/>
      <c r="N20" s="493"/>
      <c r="O20" s="493"/>
      <c r="P20" s="498"/>
      <c r="Q20" s="498"/>
      <c r="R20" s="493"/>
      <c r="S20" s="493"/>
      <c r="T20" s="471"/>
      <c r="U20" s="297"/>
      <c r="V20" s="297"/>
      <c r="W20" s="297"/>
      <c r="X20" s="297"/>
      <c r="Y20" s="297"/>
      <c r="Z20" s="471"/>
    </row>
    <row r="21" spans="1:26" ht="15.5">
      <c r="A21" s="471"/>
      <c r="B21" s="471"/>
      <c r="C21" s="471"/>
      <c r="D21" s="471"/>
      <c r="E21" s="493"/>
      <c r="F21" s="498"/>
      <c r="G21" s="498"/>
      <c r="H21" s="471"/>
      <c r="I21" s="493"/>
      <c r="J21" s="498"/>
      <c r="K21" s="498"/>
      <c r="L21" s="498"/>
      <c r="M21" s="498"/>
      <c r="N21" s="493"/>
      <c r="O21" s="493"/>
      <c r="P21" s="498"/>
      <c r="Q21" s="498"/>
      <c r="R21" s="493"/>
      <c r="S21" s="493"/>
      <c r="T21" s="471"/>
      <c r="U21" s="297"/>
      <c r="V21" s="297"/>
      <c r="W21" s="297"/>
      <c r="X21" s="297"/>
      <c r="Y21" s="297"/>
      <c r="Z21" s="471"/>
    </row>
    <row r="22" spans="1:26" ht="15.5">
      <c r="A22" s="471"/>
      <c r="B22" s="471"/>
      <c r="C22" s="471"/>
      <c r="D22" s="471"/>
      <c r="E22" s="493"/>
      <c r="F22" s="498"/>
      <c r="G22" s="498"/>
      <c r="H22" s="471"/>
      <c r="I22" s="493"/>
      <c r="J22" s="498"/>
      <c r="K22" s="498"/>
      <c r="L22" s="498"/>
      <c r="M22" s="498"/>
      <c r="N22" s="493"/>
      <c r="O22" s="493"/>
      <c r="P22" s="498"/>
      <c r="Q22" s="498"/>
      <c r="R22" s="493"/>
      <c r="S22" s="493"/>
      <c r="T22" s="471"/>
      <c r="U22" s="297"/>
      <c r="V22" s="297"/>
      <c r="W22" s="297"/>
      <c r="X22" s="297"/>
      <c r="Y22" s="297"/>
      <c r="Z22" s="471"/>
    </row>
    <row r="23" spans="1:26" ht="18">
      <c r="A23" s="297"/>
      <c r="B23" s="467" t="s">
        <v>503</v>
      </c>
      <c r="C23" s="499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0"/>
      <c r="P23" s="460"/>
      <c r="Q23" s="460"/>
      <c r="R23" s="460"/>
      <c r="S23" s="460"/>
      <c r="T23" s="468"/>
      <c r="U23" s="297"/>
      <c r="V23" s="297"/>
      <c r="W23" s="297"/>
      <c r="X23" s="297"/>
      <c r="Y23" s="297"/>
      <c r="Z23" s="297"/>
    </row>
    <row r="24" spans="1:26" ht="15.5">
      <c r="A24" s="471"/>
      <c r="B24" s="471"/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1"/>
      <c r="S24" s="471"/>
      <c r="T24" s="471"/>
      <c r="U24" s="297"/>
      <c r="V24" s="297"/>
      <c r="W24" s="297"/>
      <c r="X24" s="297"/>
      <c r="Y24" s="297"/>
      <c r="Z24" s="471"/>
    </row>
    <row r="25" spans="1:26">
      <c r="A25" s="297"/>
      <c r="B25" s="297"/>
      <c r="C25" s="297"/>
      <c r="D25" s="297"/>
      <c r="E25" s="297"/>
      <c r="F25" s="297"/>
      <c r="G25" s="297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297"/>
      <c r="T25" s="297"/>
      <c r="U25" s="297"/>
      <c r="V25" s="297"/>
      <c r="W25" s="297"/>
      <c r="X25" s="297"/>
      <c r="Y25" s="297"/>
      <c r="Z25" s="297"/>
    </row>
    <row r="26" spans="1:26" ht="15.5">
      <c r="A26" s="297"/>
      <c r="B26" s="297"/>
      <c r="C26" s="297"/>
      <c r="D26" s="467"/>
      <c r="E26" s="472"/>
      <c r="F26" s="472"/>
      <c r="G26" s="472"/>
      <c r="H26" s="467"/>
      <c r="I26" s="472"/>
      <c r="J26" s="472"/>
      <c r="K26" s="472"/>
      <c r="L26" s="472"/>
      <c r="M26" s="472"/>
      <c r="N26" s="472"/>
      <c r="O26" s="472"/>
      <c r="P26" s="473" t="s">
        <v>491</v>
      </c>
      <c r="Q26" s="473"/>
      <c r="R26" s="473"/>
      <c r="S26" s="474"/>
      <c r="T26" s="472"/>
      <c r="U26" s="297"/>
      <c r="V26" s="297"/>
      <c r="W26" s="297"/>
      <c r="X26" s="297"/>
      <c r="Y26" s="297"/>
      <c r="Z26" s="297"/>
    </row>
    <row r="27" spans="1:26" ht="15.5">
      <c r="A27" s="297"/>
      <c r="B27" s="297"/>
      <c r="C27" s="500" t="str">
        <f>C10</f>
        <v>Scenario</v>
      </c>
      <c r="D27" s="478" t="s">
        <v>505</v>
      </c>
      <c r="E27" s="478"/>
      <c r="F27" s="478"/>
      <c r="G27" s="477"/>
      <c r="H27" s="478" t="s">
        <v>504</v>
      </c>
      <c r="I27" s="478"/>
      <c r="J27" s="478"/>
      <c r="K27" s="477"/>
      <c r="L27" s="478" t="s">
        <v>495</v>
      </c>
      <c r="M27" s="478"/>
      <c r="N27" s="478"/>
      <c r="O27" s="477"/>
      <c r="P27" s="478" t="str">
        <f ca="1">TEXT(TODAY()-1,"mm/dd/yy")&amp;" - "&amp;DOLLAR(Y6,2)</f>
        <v>12/11/22 - $73.57</v>
      </c>
      <c r="Q27" s="478"/>
      <c r="R27" s="478"/>
      <c r="S27" s="477"/>
      <c r="T27" s="467"/>
      <c r="U27" s="299"/>
      <c r="V27" s="297"/>
      <c r="W27" s="297"/>
      <c r="X27" s="297"/>
      <c r="Y27" s="297"/>
      <c r="Z27" s="297"/>
    </row>
    <row r="28" spans="1:26" ht="13">
      <c r="A28" s="297"/>
      <c r="B28" s="297"/>
      <c r="C28" s="298"/>
      <c r="D28" s="479" t="s">
        <v>497</v>
      </c>
      <c r="E28" s="473"/>
      <c r="F28" s="473"/>
      <c r="G28" s="299"/>
      <c r="H28" s="479"/>
      <c r="I28" s="473"/>
      <c r="J28" s="473"/>
      <c r="K28" s="299"/>
      <c r="L28" s="479" t="s">
        <v>497</v>
      </c>
      <c r="M28" s="473"/>
      <c r="N28" s="472"/>
      <c r="O28" s="474"/>
      <c r="P28" s="479" t="s">
        <v>498</v>
      </c>
      <c r="Q28" s="473"/>
      <c r="R28" s="472"/>
      <c r="S28" s="474"/>
      <c r="T28" s="479"/>
      <c r="U28" s="297"/>
      <c r="V28" s="297"/>
      <c r="W28" s="480"/>
      <c r="X28" s="297"/>
      <c r="Y28" s="297"/>
      <c r="Z28" s="297"/>
    </row>
    <row r="29" spans="1:26" ht="15.5">
      <c r="A29" s="297"/>
      <c r="B29" s="297"/>
      <c r="C29" s="300"/>
      <c r="D29" s="473"/>
      <c r="E29" s="473"/>
      <c r="F29" s="473"/>
      <c r="G29" s="473"/>
      <c r="H29" s="473"/>
      <c r="I29" s="473"/>
      <c r="J29" s="473"/>
      <c r="K29" s="473"/>
      <c r="L29" s="473"/>
      <c r="M29" s="473"/>
      <c r="N29" s="297"/>
      <c r="O29" s="474"/>
      <c r="P29" s="473"/>
      <c r="Q29" s="473"/>
      <c r="R29" s="297"/>
      <c r="S29" s="297"/>
      <c r="T29" s="467"/>
      <c r="U29" s="297"/>
      <c r="V29" s="297"/>
      <c r="W29" s="297"/>
      <c r="X29" s="297"/>
      <c r="Y29" s="297"/>
      <c r="Z29" s="297"/>
    </row>
    <row r="30" spans="1:26" ht="15.5">
      <c r="A30" s="484"/>
      <c r="B30" s="484"/>
      <c r="C30" s="474" t="str">
        <f>C13</f>
        <v>Base Case Scenario</v>
      </c>
      <c r="D30" s="516"/>
      <c r="E30" s="516">
        <v>0.69</v>
      </c>
      <c r="F30" s="501"/>
      <c r="G30" s="485"/>
      <c r="H30" s="502">
        <v>25</v>
      </c>
      <c r="I30" s="476" t="s">
        <v>500</v>
      </c>
      <c r="J30" s="502">
        <v>35</v>
      </c>
      <c r="K30" s="485"/>
      <c r="L30" s="488">
        <f>$E30*H30</f>
        <v>17.25</v>
      </c>
      <c r="M30" s="476" t="s">
        <v>500</v>
      </c>
      <c r="N30" s="488">
        <f>$E30*J30</f>
        <v>24.15</v>
      </c>
      <c r="O30" s="503"/>
      <c r="P30" s="489">
        <f>L30/$Y$6-1</f>
        <v>-0.76552942775587873</v>
      </c>
      <c r="Q30" s="476" t="s">
        <v>500</v>
      </c>
      <c r="R30" s="489">
        <f>N30/$Y$6-1</f>
        <v>-0.67174119885823025</v>
      </c>
      <c r="S30" s="297"/>
      <c r="T30" s="490"/>
      <c r="U30" s="297"/>
      <c r="V30" s="517"/>
      <c r="W30" s="476"/>
      <c r="X30" s="504"/>
      <c r="Y30" s="297"/>
      <c r="Z30" s="493"/>
    </row>
    <row r="31" spans="1:26" ht="15.5">
      <c r="A31" s="484"/>
      <c r="B31" s="484"/>
      <c r="C31" s="474"/>
      <c r="D31" s="485"/>
      <c r="E31" s="485"/>
      <c r="F31" s="485"/>
      <c r="G31" s="485"/>
      <c r="H31" s="485"/>
      <c r="I31" s="476"/>
      <c r="J31" s="485"/>
      <c r="K31" s="485"/>
      <c r="L31" s="485"/>
      <c r="M31" s="485"/>
      <c r="N31" s="297"/>
      <c r="O31" s="297"/>
      <c r="P31" s="485"/>
      <c r="Q31" s="532"/>
      <c r="R31" s="297"/>
      <c r="S31" s="297"/>
      <c r="T31" s="490"/>
      <c r="U31" s="297"/>
      <c r="V31" s="475"/>
      <c r="W31" s="476"/>
      <c r="X31" s="475"/>
      <c r="Y31" s="297"/>
      <c r="Z31" s="496"/>
    </row>
    <row r="32" spans="1:26" ht="15.5">
      <c r="A32" s="484"/>
      <c r="B32" s="484"/>
      <c r="C32" s="474" t="str">
        <f>C15</f>
        <v>Best Case Scenario</v>
      </c>
      <c r="D32" s="516"/>
      <c r="E32" s="516">
        <v>1.06</v>
      </c>
      <c r="F32" s="501"/>
      <c r="G32" s="485"/>
      <c r="H32" s="502">
        <v>25</v>
      </c>
      <c r="I32" s="476" t="s">
        <v>500</v>
      </c>
      <c r="J32" s="502">
        <v>35</v>
      </c>
      <c r="K32" s="485"/>
      <c r="L32" s="488">
        <f>$E32*H32</f>
        <v>26.5</v>
      </c>
      <c r="M32" s="476" t="s">
        <v>500</v>
      </c>
      <c r="N32" s="488">
        <f>$E32*J32</f>
        <v>37.1</v>
      </c>
      <c r="O32" s="488"/>
      <c r="P32" s="489">
        <f>L32/$Y$6-1</f>
        <v>-0.63979883104526292</v>
      </c>
      <c r="Q32" s="476" t="s">
        <v>500</v>
      </c>
      <c r="R32" s="489">
        <f>N32/$Y$6-1</f>
        <v>-0.49571836346336817</v>
      </c>
      <c r="S32" s="297"/>
      <c r="T32" s="490"/>
      <c r="U32" s="297"/>
      <c r="V32" s="504"/>
      <c r="W32" s="297"/>
      <c r="X32" s="297"/>
      <c r="Y32" s="297"/>
      <c r="Z32" s="297"/>
    </row>
    <row r="33" spans="1:26" ht="15.5">
      <c r="A33" s="484"/>
      <c r="B33" s="484"/>
      <c r="C33" s="474"/>
      <c r="D33" s="346"/>
      <c r="E33" s="346"/>
      <c r="F33" s="485"/>
      <c r="G33" s="485"/>
      <c r="H33" s="485"/>
      <c r="I33" s="476"/>
      <c r="J33" s="485"/>
      <c r="K33" s="485"/>
      <c r="L33" s="487"/>
      <c r="M33" s="486"/>
      <c r="N33" s="487"/>
      <c r="O33" s="487"/>
      <c r="P33" s="487"/>
      <c r="Q33" s="476"/>
      <c r="R33" s="487"/>
      <c r="S33" s="297"/>
      <c r="T33" s="490"/>
      <c r="U33" s="297"/>
      <c r="V33" s="297"/>
      <c r="W33" s="297"/>
      <c r="X33" s="297"/>
      <c r="Y33" s="297"/>
      <c r="Z33" s="297"/>
    </row>
    <row r="34" spans="1:26" ht="15.5">
      <c r="A34" s="484"/>
      <c r="B34" s="484"/>
      <c r="C34" s="474" t="str">
        <f>C17</f>
        <v>Worst Case Scenario</v>
      </c>
      <c r="D34" s="516"/>
      <c r="E34" s="516">
        <v>0.16</v>
      </c>
      <c r="F34" s="501"/>
      <c r="G34" s="485"/>
      <c r="H34" s="502">
        <v>25</v>
      </c>
      <c r="I34" s="476" t="s">
        <v>500</v>
      </c>
      <c r="J34" s="502">
        <v>35</v>
      </c>
      <c r="K34" s="485"/>
      <c r="L34" s="488">
        <f>$E34*H34</f>
        <v>4</v>
      </c>
      <c r="M34" s="476" t="s">
        <v>500</v>
      </c>
      <c r="N34" s="488">
        <f>$E34*J34</f>
        <v>5.6000000000000005</v>
      </c>
      <c r="O34" s="488"/>
      <c r="P34" s="489">
        <f>L34/$Y$6-1</f>
        <v>-0.94563001223324727</v>
      </c>
      <c r="Q34" s="476" t="s">
        <v>500</v>
      </c>
      <c r="R34" s="489">
        <f>N34/$Y$6-1</f>
        <v>-0.92388201712654616</v>
      </c>
      <c r="S34" s="297"/>
      <c r="T34" s="490"/>
      <c r="U34" s="297"/>
      <c r="V34" s="297"/>
      <c r="W34" s="297"/>
      <c r="X34" s="297"/>
      <c r="Y34" s="297"/>
      <c r="Z34" s="297"/>
    </row>
    <row r="35" spans="1:26" ht="15.5">
      <c r="A35" s="471"/>
      <c r="B35" s="471"/>
      <c r="C35" s="471"/>
      <c r="D35" s="471"/>
      <c r="E35" s="493"/>
      <c r="F35" s="498"/>
      <c r="G35" s="498"/>
      <c r="H35" s="471"/>
      <c r="I35" s="493"/>
      <c r="J35" s="498"/>
      <c r="K35" s="498"/>
      <c r="L35" s="498"/>
      <c r="M35" s="498"/>
      <c r="N35" s="493"/>
      <c r="O35" s="493"/>
      <c r="P35" s="498"/>
      <c r="Q35" s="498"/>
      <c r="R35" s="493"/>
      <c r="S35" s="493"/>
      <c r="T35" s="471"/>
      <c r="U35" s="297"/>
      <c r="V35" s="297"/>
      <c r="W35" s="297"/>
      <c r="X35" s="297"/>
      <c r="Y35" s="297"/>
      <c r="Z35" s="471"/>
    </row>
    <row r="36" spans="1:26" ht="15.5">
      <c r="A36" s="471"/>
      <c r="B36" s="471"/>
      <c r="C36" s="471"/>
      <c r="D36" s="471"/>
      <c r="E36" s="493"/>
      <c r="F36" s="498"/>
      <c r="G36" s="498"/>
      <c r="H36" s="471"/>
      <c r="I36" s="493"/>
      <c r="J36" s="498"/>
      <c r="K36" s="498"/>
      <c r="L36" s="498"/>
      <c r="M36" s="498"/>
      <c r="N36" s="493"/>
      <c r="O36" s="493"/>
      <c r="P36" s="498"/>
      <c r="Q36" s="498"/>
      <c r="R36" s="493"/>
      <c r="S36" s="493"/>
      <c r="T36" s="471"/>
      <c r="U36" s="471"/>
      <c r="V36" s="471"/>
      <c r="W36" s="471"/>
      <c r="X36" s="471"/>
      <c r="Y36" s="471"/>
      <c r="Z36" s="471"/>
    </row>
    <row r="37" spans="1:26" ht="15.5">
      <c r="A37" s="471"/>
      <c r="B37" s="471"/>
      <c r="C37" s="471"/>
      <c r="D37" s="471"/>
      <c r="E37" s="493"/>
      <c r="F37" s="498"/>
      <c r="G37" s="498"/>
      <c r="H37" s="471"/>
      <c r="I37" s="493"/>
      <c r="J37" s="498"/>
      <c r="K37" s="498"/>
      <c r="L37" s="498"/>
      <c r="M37" s="498"/>
      <c r="N37" s="493"/>
      <c r="O37" s="493"/>
      <c r="P37" s="498"/>
      <c r="Q37" s="498"/>
      <c r="R37" s="493"/>
      <c r="S37" s="493"/>
      <c r="T37" s="471"/>
      <c r="U37" s="471"/>
      <c r="V37" s="471"/>
      <c r="W37" s="471"/>
      <c r="X37" s="471"/>
      <c r="Y37" s="471"/>
      <c r="Z37" s="471"/>
    </row>
    <row r="38" spans="1:26" ht="15.5">
      <c r="A38" s="471"/>
      <c r="B38" s="505"/>
      <c r="C38" s="304"/>
      <c r="D38" s="471"/>
      <c r="E38" s="493"/>
      <c r="F38" s="498"/>
      <c r="G38" s="498"/>
      <c r="H38" s="471"/>
      <c r="I38" s="493"/>
      <c r="J38" s="498"/>
      <c r="K38" s="498"/>
      <c r="L38" s="498"/>
      <c r="M38" s="498"/>
      <c r="N38" s="493"/>
      <c r="O38" s="493"/>
      <c r="P38" s="498"/>
      <c r="Q38" s="498"/>
      <c r="R38" s="493"/>
      <c r="S38" s="493"/>
      <c r="T38" s="471"/>
      <c r="U38" s="471"/>
      <c r="V38" s="471"/>
      <c r="W38" s="471"/>
      <c r="X38" s="471"/>
      <c r="Y38" s="471"/>
      <c r="Z38" s="471"/>
    </row>
    <row r="39" spans="1:26" ht="15.5">
      <c r="A39" s="471"/>
      <c r="B39" s="471"/>
      <c r="C39" s="304"/>
      <c r="D39" s="471"/>
      <c r="E39" s="493"/>
      <c r="F39" s="498"/>
      <c r="G39" s="498"/>
      <c r="H39" s="471"/>
      <c r="I39" s="493"/>
      <c r="J39" s="498"/>
      <c r="K39" s="498"/>
      <c r="L39" s="498"/>
      <c r="M39" s="498"/>
      <c r="N39" s="493"/>
      <c r="O39" s="493"/>
      <c r="P39" s="498"/>
      <c r="Q39" s="498"/>
      <c r="R39" s="493"/>
      <c r="S39" s="493"/>
      <c r="T39" s="471"/>
      <c r="U39" s="471"/>
      <c r="V39" s="471"/>
      <c r="W39" s="471"/>
      <c r="X39" s="471"/>
      <c r="Y39" s="471"/>
      <c r="Z39" s="471"/>
    </row>
    <row r="40" spans="1:26" ht="15.5">
      <c r="A40" s="506"/>
      <c r="B40" s="506"/>
      <c r="C40" s="506"/>
      <c r="D40" s="507"/>
      <c r="E40" s="508"/>
      <c r="F40" s="507"/>
      <c r="G40" s="507"/>
      <c r="H40" s="507"/>
      <c r="I40" s="508"/>
      <c r="J40" s="507"/>
      <c r="K40" s="507"/>
      <c r="L40" s="507"/>
      <c r="M40" s="507"/>
      <c r="N40" s="509"/>
      <c r="O40" s="509"/>
      <c r="P40" s="507"/>
      <c r="Q40" s="507"/>
      <c r="R40" s="509"/>
      <c r="S40" s="509"/>
      <c r="T40" s="506"/>
      <c r="U40" s="471"/>
      <c r="V40" s="471"/>
      <c r="W40" s="471"/>
      <c r="X40" s="471"/>
      <c r="Y40" s="471"/>
      <c r="Z40" s="47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S96"/>
  <sheetViews>
    <sheetView topLeftCell="H1" zoomScale="145" zoomScaleNormal="145" workbookViewId="0">
      <selection activeCell="J6" sqref="J6"/>
    </sheetView>
  </sheetViews>
  <sheetFormatPr defaultColWidth="12.54296875" defaultRowHeight="15.75" customHeight="1"/>
  <cols>
    <col min="1" max="2" width="12.54296875" style="69"/>
    <col min="3" max="3" width="9.81640625" style="69" customWidth="1"/>
    <col min="4" max="4" width="7.1796875" style="69" customWidth="1"/>
    <col min="5" max="5" width="20" style="69" bestFit="1" customWidth="1"/>
    <col min="6" max="6" width="7.26953125" style="69" customWidth="1"/>
    <col min="7" max="7" width="12.54296875" style="69"/>
    <col min="8" max="8" width="18.26953125" style="69" bestFit="1" customWidth="1"/>
    <col min="9" max="10" width="12.54296875" style="69"/>
    <col min="11" max="11" width="13.453125" style="69" customWidth="1"/>
    <col min="12" max="13" width="12.54296875" style="69"/>
    <col min="14" max="14" width="11.54296875" style="69" bestFit="1" customWidth="1"/>
    <col min="15" max="16384" width="12.54296875" style="69"/>
  </cols>
  <sheetData>
    <row r="1" spans="2:14" ht="26">
      <c r="B1" s="58"/>
      <c r="C1" s="294" t="str">
        <f>Cover!B12</f>
        <v>PayPal Holdings, Inc.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</row>
    <row r="2" spans="2:14" ht="19.5">
      <c r="C2" s="365" t="s">
        <v>173</v>
      </c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</row>
    <row r="4" spans="2:14" ht="13">
      <c r="C4" s="70"/>
      <c r="J4" s="58"/>
    </row>
    <row r="5" spans="2:14" ht="13">
      <c r="C5" s="86" t="s">
        <v>174</v>
      </c>
      <c r="D5" s="82"/>
      <c r="E5" s="82"/>
      <c r="F5" s="82"/>
      <c r="G5" s="82"/>
      <c r="H5" s="83"/>
      <c r="J5" s="281" t="s">
        <v>175</v>
      </c>
      <c r="K5" s="533"/>
      <c r="L5" s="533"/>
      <c r="M5" s="533"/>
      <c r="N5" s="534"/>
    </row>
    <row r="6" spans="2:14" ht="13">
      <c r="C6" s="56" t="s">
        <v>176</v>
      </c>
      <c r="D6" s="58"/>
      <c r="E6" s="58"/>
      <c r="F6" s="58"/>
      <c r="G6" s="210">
        <v>2023</v>
      </c>
      <c r="H6" s="59"/>
      <c r="J6" s="287" t="str">
        <f ca="1">"Stock Price- "&amp;TEXT(TODAY()-1,"mm/dd/yy")</f>
        <v>Stock Price- 12/11/22</v>
      </c>
      <c r="N6" s="535">
        <v>73.569999999999993</v>
      </c>
    </row>
    <row r="7" spans="2:14" ht="13">
      <c r="C7" s="56" t="str">
        <f>_xlfn.CONCAT("-5-year cash flow model discounted to December 31, ",G6-1)</f>
        <v>-5-year cash flow model discounted to December 31, 2022</v>
      </c>
      <c r="D7" s="58"/>
      <c r="E7" s="58"/>
      <c r="F7" s="58"/>
      <c r="G7" s="58"/>
      <c r="H7" s="59"/>
      <c r="J7" s="287" t="str">
        <f>"Average Stock Price - " &amp;G6-1</f>
        <v>Average Stock Price - 2022</v>
      </c>
      <c r="N7" s="535">
        <v>103.973175</v>
      </c>
    </row>
    <row r="8" spans="2:14" ht="13">
      <c r="C8" s="56"/>
      <c r="D8" s="58"/>
      <c r="E8" s="58"/>
      <c r="F8" s="58"/>
      <c r="G8" s="58"/>
      <c r="H8" s="59"/>
      <c r="J8" s="287" t="s">
        <v>177</v>
      </c>
      <c r="N8" s="520">
        <v>0</v>
      </c>
    </row>
    <row r="9" spans="2:14" ht="31" customHeight="1">
      <c r="C9" s="541" t="s">
        <v>488</v>
      </c>
      <c r="D9" s="542"/>
      <c r="E9" s="542"/>
      <c r="F9" s="542"/>
      <c r="G9" s="542"/>
      <c r="H9" s="543"/>
      <c r="J9" s="415" t="str">
        <f>"Fully Diluted Shares O/S (MM) - Dec. 31, " &amp;G6-1</f>
        <v>Fully Diluted Shares O/S (MM) - Dec. 31, 2022</v>
      </c>
      <c r="K9" s="203"/>
      <c r="L9" s="203"/>
      <c r="M9" s="203"/>
      <c r="N9" s="536">
        <v>1600</v>
      </c>
    </row>
    <row r="10" spans="2:14" ht="13">
      <c r="J10" s="58"/>
      <c r="K10" s="58"/>
      <c r="L10" s="58"/>
      <c r="M10" s="58"/>
      <c r="N10" s="58"/>
    </row>
    <row r="11" spans="2:14" ht="13">
      <c r="C11" s="86" t="s">
        <v>178</v>
      </c>
      <c r="D11" s="84"/>
      <c r="E11" s="84"/>
      <c r="F11" s="84"/>
      <c r="G11" s="84"/>
      <c r="H11" s="85"/>
    </row>
    <row r="12" spans="2:14" ht="13">
      <c r="C12" s="56" t="s">
        <v>179</v>
      </c>
      <c r="D12" s="58"/>
      <c r="E12" s="58"/>
      <c r="G12" s="367">
        <v>1.4E-2</v>
      </c>
      <c r="H12" s="59" t="s">
        <v>180</v>
      </c>
      <c r="J12" s="87" t="s">
        <v>181</v>
      </c>
      <c r="K12" s="88"/>
      <c r="L12" s="88"/>
      <c r="M12" s="88"/>
      <c r="N12" s="94"/>
    </row>
    <row r="13" spans="2:14" ht="15.75" customHeight="1">
      <c r="C13" s="65" t="s">
        <v>182</v>
      </c>
      <c r="D13" s="67"/>
      <c r="E13" s="67"/>
      <c r="F13" s="67"/>
      <c r="G13" s="518">
        <v>0.3</v>
      </c>
      <c r="H13" s="68" t="s">
        <v>183</v>
      </c>
      <c r="J13" s="72" t="s">
        <v>184</v>
      </c>
      <c r="N13" s="529">
        <v>0.11600000000000001</v>
      </c>
    </row>
    <row r="14" spans="2:14" ht="13">
      <c r="J14" s="72" t="s">
        <v>185</v>
      </c>
      <c r="N14" s="529">
        <v>8.5000000000000006E-2</v>
      </c>
    </row>
    <row r="15" spans="2:14" ht="13">
      <c r="J15" s="56" t="str">
        <f>_xlfn.CONCAT("-Discount Rate range is from ",TEXT(N14,"0.0%")," to ",TEXT(N14+0.015,"0.0%"))</f>
        <v>-Discount Rate range is from 8.5% to 10.0%</v>
      </c>
      <c r="N15" s="525"/>
    </row>
    <row r="16" spans="2:14" ht="13">
      <c r="J16" s="72" t="s">
        <v>186</v>
      </c>
      <c r="N16" s="371">
        <v>0.05</v>
      </c>
    </row>
    <row r="17" spans="3:14" ht="14.25" customHeight="1">
      <c r="C17" s="86" t="s">
        <v>187</v>
      </c>
      <c r="D17" s="82"/>
      <c r="E17" s="82"/>
      <c r="F17" s="82"/>
      <c r="G17" s="82"/>
      <c r="H17" s="83"/>
      <c r="J17" s="65" t="str">
        <f>_xlfn.CONCAT("-Terminal Growth range is from ",TEXT(N16,"0.0%")," to ",TEXT(N16+0.015,"0.0%"))</f>
        <v>-Terminal Growth range is from 5.0% to 6.5%</v>
      </c>
      <c r="K17" s="93"/>
      <c r="L17" s="67"/>
      <c r="M17" s="67"/>
      <c r="N17" s="68"/>
    </row>
    <row r="18" spans="3:14" ht="13">
      <c r="C18" s="71" t="s">
        <v>188</v>
      </c>
      <c r="F18" s="191">
        <f>G6</f>
        <v>2023</v>
      </c>
      <c r="H18" s="188" t="s">
        <v>189</v>
      </c>
    </row>
    <row r="19" spans="3:14" ht="13">
      <c r="C19" s="56" t="s">
        <v>162</v>
      </c>
      <c r="F19" s="367">
        <v>8.5000000000000006E-3</v>
      </c>
      <c r="G19" s="58" t="s">
        <v>180</v>
      </c>
      <c r="H19" s="59" t="s">
        <v>190</v>
      </c>
      <c r="J19" s="87" t="s">
        <v>191</v>
      </c>
      <c r="K19" s="88"/>
      <c r="L19" s="88"/>
      <c r="M19" s="88"/>
      <c r="N19" s="94"/>
    </row>
    <row r="20" spans="3:14" ht="13">
      <c r="C20" s="56" t="s">
        <v>163</v>
      </c>
      <c r="F20" s="367">
        <v>1.5E-3</v>
      </c>
      <c r="G20" s="58" t="s">
        <v>180</v>
      </c>
      <c r="H20" s="59" t="s">
        <v>192</v>
      </c>
      <c r="J20" s="103" t="str">
        <f>CONCATENATE("- EBITDA Margin is the avg. margin from ", G6," to ", G6+5)</f>
        <v>- EBITDA Margin is the avg. margin from 2023 to 2028</v>
      </c>
      <c r="N20" s="59"/>
    </row>
    <row r="21" spans="3:14" ht="13">
      <c r="C21" s="56"/>
      <c r="F21" s="210"/>
      <c r="H21" s="59"/>
      <c r="J21" s="56" t="s">
        <v>193</v>
      </c>
      <c r="N21" s="59"/>
    </row>
    <row r="22" spans="3:14" ht="13">
      <c r="C22" s="71" t="s">
        <v>194</v>
      </c>
      <c r="F22" s="210"/>
      <c r="H22" s="59"/>
      <c r="J22" s="103" t="str">
        <f>_xlfn.CONCAT("-Capex is equal to ",G6+5,", grows at inflation")</f>
        <v>-Capex is equal to 2028, grows at inflation</v>
      </c>
      <c r="N22" s="59"/>
    </row>
    <row r="23" spans="3:14" ht="13">
      <c r="C23" s="56" t="s">
        <v>164</v>
      </c>
      <c r="F23" s="397">
        <v>2300</v>
      </c>
      <c r="G23" s="69" t="s">
        <v>195</v>
      </c>
      <c r="H23" s="184" t="s">
        <v>196</v>
      </c>
      <c r="J23" s="56" t="s">
        <v>197</v>
      </c>
      <c r="N23" s="59"/>
    </row>
    <row r="24" spans="3:14" ht="13">
      <c r="C24" s="56" t="s">
        <v>165</v>
      </c>
      <c r="F24" s="397">
        <v>3000</v>
      </c>
      <c r="G24" s="69" t="s">
        <v>195</v>
      </c>
      <c r="H24" s="184" t="s">
        <v>196</v>
      </c>
      <c r="J24" s="65" t="s">
        <v>198</v>
      </c>
      <c r="K24" s="67"/>
      <c r="L24" s="67"/>
      <c r="M24" s="67"/>
      <c r="N24" s="68"/>
    </row>
    <row r="25" spans="3:14" ht="13">
      <c r="C25" s="72" t="s">
        <v>166</v>
      </c>
      <c r="F25" s="397">
        <v>3500</v>
      </c>
      <c r="G25" s="69" t="s">
        <v>195</v>
      </c>
      <c r="H25" s="184" t="s">
        <v>196</v>
      </c>
    </row>
    <row r="26" spans="3:14" ht="13">
      <c r="C26" s="72" t="s">
        <v>167</v>
      </c>
      <c r="F26" s="397">
        <v>2300</v>
      </c>
      <c r="G26" s="69" t="s">
        <v>195</v>
      </c>
      <c r="H26" s="184" t="s">
        <v>196</v>
      </c>
      <c r="J26" s="86" t="s">
        <v>199</v>
      </c>
      <c r="K26" s="89"/>
      <c r="L26" s="89"/>
      <c r="M26" s="89"/>
      <c r="N26" s="95"/>
    </row>
    <row r="27" spans="3:14" ht="13">
      <c r="C27" s="73" t="s">
        <v>168</v>
      </c>
      <c r="D27" s="101"/>
      <c r="E27" s="67"/>
      <c r="F27" s="519">
        <v>90</v>
      </c>
      <c r="G27" s="67" t="s">
        <v>195</v>
      </c>
      <c r="H27" s="185" t="s">
        <v>196</v>
      </c>
      <c r="J27" s="56" t="s">
        <v>200</v>
      </c>
      <c r="N27" s="59" t="s">
        <v>201</v>
      </c>
    </row>
    <row r="28" spans="3:14" ht="13">
      <c r="J28" s="56" t="s">
        <v>202</v>
      </c>
      <c r="N28" s="527">
        <v>5</v>
      </c>
    </row>
    <row r="29" spans="3:14" ht="13">
      <c r="C29" s="281" t="s">
        <v>203</v>
      </c>
      <c r="D29" s="282"/>
      <c r="E29" s="282"/>
      <c r="F29" s="282"/>
      <c r="G29" s="282"/>
      <c r="H29" s="283"/>
      <c r="J29" s="65" t="s">
        <v>204</v>
      </c>
      <c r="K29" s="93"/>
      <c r="L29" s="93"/>
      <c r="M29" s="93"/>
      <c r="N29" s="528">
        <v>8</v>
      </c>
    </row>
    <row r="30" spans="3:14" ht="13">
      <c r="C30" s="284" t="s">
        <v>205</v>
      </c>
      <c r="H30" s="285"/>
    </row>
    <row r="31" spans="3:14" ht="13">
      <c r="C31" s="286" t="s">
        <v>206</v>
      </c>
      <c r="H31" s="520">
        <v>2.5000000000000001E-3</v>
      </c>
      <c r="J31" s="86" t="s">
        <v>207</v>
      </c>
      <c r="K31" s="189"/>
      <c r="L31" s="189"/>
      <c r="M31" s="189"/>
      <c r="N31" s="190"/>
    </row>
    <row r="32" spans="3:14" ht="13">
      <c r="C32" s="286" t="s">
        <v>208</v>
      </c>
      <c r="H32" s="520">
        <v>5.5E-2</v>
      </c>
      <c r="J32" s="186" t="s">
        <v>209</v>
      </c>
      <c r="N32" s="371">
        <v>0.25</v>
      </c>
    </row>
    <row r="33" spans="3:14" ht="13">
      <c r="C33" s="286" t="s">
        <v>210</v>
      </c>
      <c r="H33" s="520">
        <v>4.4999999999999998E-2</v>
      </c>
      <c r="J33" s="186" t="s">
        <v>211</v>
      </c>
      <c r="N33" s="371">
        <v>0.25</v>
      </c>
    </row>
    <row r="34" spans="3:14" ht="13">
      <c r="C34" s="287"/>
      <c r="H34" s="521"/>
      <c r="J34" s="186" t="s">
        <v>212</v>
      </c>
      <c r="N34" s="525">
        <v>317</v>
      </c>
    </row>
    <row r="35" spans="3:14" ht="13">
      <c r="C35" s="284" t="s">
        <v>213</v>
      </c>
      <c r="H35" s="521"/>
      <c r="J35" s="187" t="s">
        <v>214</v>
      </c>
      <c r="K35" s="101"/>
      <c r="L35" s="101"/>
      <c r="M35" s="101"/>
      <c r="N35" s="526">
        <v>200</v>
      </c>
    </row>
    <row r="36" spans="3:14" ht="13">
      <c r="C36" s="288" t="s">
        <v>215</v>
      </c>
      <c r="G36" s="289" t="str">
        <f ca="1">IF(MAX(Model!J393:O393)&gt;=H36,"Tripped","")</f>
        <v/>
      </c>
      <c r="H36" s="522">
        <v>4.5</v>
      </c>
    </row>
    <row r="37" spans="3:14" ht="13">
      <c r="C37" s="288" t="s">
        <v>216</v>
      </c>
      <c r="G37" s="290" t="str">
        <f ca="1">IF(MAX(Model!J396:O396)&lt;=H37,"Tripped","")</f>
        <v/>
      </c>
      <c r="H37" s="523">
        <v>1.5</v>
      </c>
    </row>
    <row r="38" spans="3:14" ht="13">
      <c r="C38" s="288" t="s">
        <v>217</v>
      </c>
      <c r="G38" s="290" t="str">
        <f ca="1">IF(MAX(Model!J399:O399)&lt;=H38,"Tripped","")</f>
        <v/>
      </c>
      <c r="H38" s="523">
        <v>1.2</v>
      </c>
    </row>
    <row r="39" spans="3:14" ht="13">
      <c r="C39" s="291" t="s">
        <v>218</v>
      </c>
      <c r="D39" s="224"/>
      <c r="E39" s="224"/>
      <c r="F39" s="224"/>
      <c r="G39" s="292" t="str">
        <f ca="1">IF(MAX(Model!J402:O402)&gt;=H39,"Tripped","")</f>
        <v/>
      </c>
      <c r="H39" s="524">
        <v>0.4</v>
      </c>
    </row>
    <row r="41" spans="3:14" ht="13"/>
    <row r="42" spans="3:14" ht="13"/>
    <row r="43" spans="3:14" ht="13"/>
    <row r="47" spans="3:14" ht="26">
      <c r="C47" s="294" t="str">
        <f>Cover!B12</f>
        <v>PayPal Holdings, Inc.</v>
      </c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</row>
    <row r="48" spans="3:14" ht="19.5">
      <c r="C48" s="293" t="str">
        <f>C2</f>
        <v>Inputs and Assumptions</v>
      </c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</row>
    <row r="52" spans="3:12" ht="13">
      <c r="C52" s="70" t="s">
        <v>219</v>
      </c>
    </row>
    <row r="53" spans="3:12" ht="13">
      <c r="C53" s="362" t="s">
        <v>487</v>
      </c>
    </row>
    <row r="55" spans="3:12" ht="13">
      <c r="C55" s="90" t="s">
        <v>220</v>
      </c>
      <c r="D55" s="88"/>
      <c r="E55" s="88"/>
      <c r="F55" s="91">
        <f>G6</f>
        <v>2023</v>
      </c>
      <c r="G55" s="91">
        <f>F55+1</f>
        <v>2024</v>
      </c>
      <c r="H55" s="91">
        <f t="shared" ref="H55:J55" si="0">G55+1</f>
        <v>2025</v>
      </c>
      <c r="I55" s="91">
        <f t="shared" si="0"/>
        <v>2026</v>
      </c>
      <c r="J55" s="91">
        <f t="shared" si="0"/>
        <v>2027</v>
      </c>
      <c r="K55" s="92" t="s">
        <v>221</v>
      </c>
    </row>
    <row r="56" spans="3:12" ht="13">
      <c r="C56" s="56"/>
      <c r="D56" s="58"/>
      <c r="E56" s="58"/>
      <c r="F56" s="58"/>
      <c r="G56" s="58"/>
      <c r="H56" s="58"/>
      <c r="I56" s="58"/>
      <c r="J56" s="58"/>
      <c r="K56" s="59"/>
    </row>
    <row r="57" spans="3:12" ht="13">
      <c r="C57" s="74" t="s">
        <v>222</v>
      </c>
      <c r="D57" s="58"/>
      <c r="E57" s="58"/>
      <c r="F57" s="170">
        <v>950</v>
      </c>
      <c r="G57" s="170">
        <v>1000</v>
      </c>
      <c r="H57" s="295">
        <f>G57*(1+Scenarios!I11)</f>
        <v>1045</v>
      </c>
      <c r="I57" s="295">
        <f>H57*(1+Scenarios!J11)</f>
        <v>1086.8</v>
      </c>
      <c r="J57" s="295">
        <f>I57*(1+Scenarios!K11)</f>
        <v>1124.838</v>
      </c>
      <c r="K57" s="295">
        <f>J57*(1+Scenarios!L11)</f>
        <v>1158.58314</v>
      </c>
    </row>
    <row r="58" spans="3:12" ht="13">
      <c r="C58" s="74" t="s">
        <v>223</v>
      </c>
      <c r="D58" s="58"/>
      <c r="E58" s="58"/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6">
        <v>0</v>
      </c>
    </row>
    <row r="59" spans="3:12" ht="13">
      <c r="C59" s="56" t="s">
        <v>224</v>
      </c>
      <c r="D59" s="58"/>
      <c r="E59" s="58"/>
      <c r="F59" s="77">
        <v>0</v>
      </c>
      <c r="G59" s="77">
        <v>0</v>
      </c>
      <c r="H59" s="77">
        <v>0</v>
      </c>
      <c r="I59" s="77">
        <v>0</v>
      </c>
      <c r="J59" s="77">
        <v>0</v>
      </c>
      <c r="K59" s="78">
        <v>0</v>
      </c>
    </row>
    <row r="60" spans="3:12" ht="13">
      <c r="C60" s="79" t="s">
        <v>225</v>
      </c>
      <c r="D60" s="67"/>
      <c r="E60" s="67"/>
      <c r="F60" s="169">
        <f>SUM(F57:F59)</f>
        <v>950</v>
      </c>
      <c r="G60" s="169">
        <f t="shared" ref="G60:K60" si="1">SUM(G57:G59)</f>
        <v>1000</v>
      </c>
      <c r="H60" s="169">
        <f t="shared" si="1"/>
        <v>1045</v>
      </c>
      <c r="I60" s="169">
        <f t="shared" si="1"/>
        <v>1086.8</v>
      </c>
      <c r="J60" s="169">
        <f t="shared" si="1"/>
        <v>1124.838</v>
      </c>
      <c r="K60" s="169">
        <f t="shared" si="1"/>
        <v>1158.58314</v>
      </c>
    </row>
    <row r="63" spans="3:12" ht="13">
      <c r="C63" s="70" t="s">
        <v>226</v>
      </c>
      <c r="L63" s="112" t="s">
        <v>447</v>
      </c>
    </row>
    <row r="65" spans="3:19" ht="13">
      <c r="C65" s="90" t="s">
        <v>220</v>
      </c>
      <c r="D65" s="88"/>
      <c r="E65" s="88"/>
      <c r="F65" s="91">
        <f>F55</f>
        <v>2023</v>
      </c>
      <c r="G65" s="91">
        <f t="shared" ref="G65:J65" si="2">G55</f>
        <v>2024</v>
      </c>
      <c r="H65" s="91">
        <f t="shared" si="2"/>
        <v>2025</v>
      </c>
      <c r="I65" s="91">
        <f t="shared" si="2"/>
        <v>2026</v>
      </c>
      <c r="J65" s="91">
        <f t="shared" si="2"/>
        <v>2027</v>
      </c>
      <c r="L65" s="218" t="s">
        <v>220</v>
      </c>
      <c r="M65" s="219"/>
      <c r="N65" s="219"/>
      <c r="O65" s="220">
        <f>F65</f>
        <v>2023</v>
      </c>
      <c r="P65" s="220">
        <f t="shared" ref="P65:S65" si="3">G65</f>
        <v>2024</v>
      </c>
      <c r="Q65" s="220">
        <f t="shared" si="3"/>
        <v>2025</v>
      </c>
      <c r="R65" s="220">
        <f t="shared" si="3"/>
        <v>2026</v>
      </c>
      <c r="S65" s="220">
        <f t="shared" si="3"/>
        <v>2027</v>
      </c>
    </row>
    <row r="66" spans="3:19" ht="13">
      <c r="C66" s="56"/>
      <c r="D66" s="58"/>
      <c r="E66" s="58"/>
      <c r="F66" s="58"/>
      <c r="G66" s="58"/>
      <c r="H66" s="58"/>
      <c r="I66" s="58"/>
      <c r="J66" s="59"/>
      <c r="L66" s="544" t="s">
        <v>444</v>
      </c>
      <c r="M66" s="545"/>
      <c r="N66" s="58"/>
      <c r="O66" s="75">
        <v>0</v>
      </c>
      <c r="P66" s="75">
        <v>0</v>
      </c>
      <c r="Q66" s="75">
        <v>0</v>
      </c>
      <c r="R66" s="75">
        <v>0</v>
      </c>
      <c r="S66" s="222">
        <v>0</v>
      </c>
    </row>
    <row r="67" spans="3:19" ht="13">
      <c r="C67" s="74" t="s">
        <v>227</v>
      </c>
      <c r="D67" s="58"/>
      <c r="E67" s="58"/>
      <c r="F67" s="75">
        <v>0</v>
      </c>
      <c r="G67" s="75">
        <v>0</v>
      </c>
      <c r="H67" s="75">
        <v>0</v>
      </c>
      <c r="I67" s="75">
        <v>0</v>
      </c>
      <c r="J67" s="76">
        <v>0</v>
      </c>
      <c r="L67" s="221" t="s">
        <v>445</v>
      </c>
      <c r="N67" s="58"/>
      <c r="O67" s="75">
        <v>6</v>
      </c>
      <c r="P67" s="75">
        <v>6</v>
      </c>
      <c r="Q67" s="75">
        <v>6</v>
      </c>
      <c r="R67" s="75">
        <v>6</v>
      </c>
      <c r="S67" s="222">
        <v>6</v>
      </c>
    </row>
    <row r="68" spans="3:19" ht="13">
      <c r="C68" s="74" t="s">
        <v>228</v>
      </c>
      <c r="D68" s="58"/>
      <c r="E68" s="58"/>
      <c r="F68" s="75">
        <v>0</v>
      </c>
      <c r="G68" s="75">
        <v>0</v>
      </c>
      <c r="H68" s="75">
        <v>0</v>
      </c>
      <c r="I68" s="75">
        <v>0</v>
      </c>
      <c r="J68" s="76">
        <v>0</v>
      </c>
      <c r="L68" s="221" t="s">
        <v>315</v>
      </c>
      <c r="N68" s="58"/>
      <c r="O68" s="75">
        <v>0</v>
      </c>
      <c r="P68" s="75">
        <v>0</v>
      </c>
      <c r="Q68" s="75">
        <v>0</v>
      </c>
      <c r="R68" s="75">
        <v>0</v>
      </c>
      <c r="S68" s="222">
        <v>0</v>
      </c>
    </row>
    <row r="69" spans="3:19" ht="13">
      <c r="C69" s="74" t="s">
        <v>229</v>
      </c>
      <c r="D69" s="58"/>
      <c r="E69" s="58"/>
      <c r="F69" s="77">
        <v>0</v>
      </c>
      <c r="G69" s="77">
        <v>0</v>
      </c>
      <c r="H69" s="77">
        <v>0</v>
      </c>
      <c r="I69" s="77">
        <v>0</v>
      </c>
      <c r="J69" s="78">
        <v>0</v>
      </c>
      <c r="L69" s="221" t="s">
        <v>140</v>
      </c>
      <c r="N69" s="58"/>
      <c r="O69" s="75">
        <v>-1500</v>
      </c>
      <c r="P69" s="75">
        <v>-1500</v>
      </c>
      <c r="Q69" s="75">
        <v>-1500</v>
      </c>
      <c r="R69" s="75">
        <v>-1500</v>
      </c>
      <c r="S69" s="222">
        <v>-1500</v>
      </c>
    </row>
    <row r="70" spans="3:19" ht="13">
      <c r="C70" s="79" t="s">
        <v>225</v>
      </c>
      <c r="D70" s="67"/>
      <c r="E70" s="67"/>
      <c r="F70" s="80">
        <v>0</v>
      </c>
      <c r="G70" s="80">
        <v>0</v>
      </c>
      <c r="H70" s="80">
        <v>0</v>
      </c>
      <c r="I70" s="80">
        <v>0</v>
      </c>
      <c r="J70" s="81">
        <v>0</v>
      </c>
      <c r="L70" s="223" t="s">
        <v>446</v>
      </c>
      <c r="M70" s="203"/>
      <c r="N70" s="224"/>
      <c r="O70" s="225">
        <v>240</v>
      </c>
      <c r="P70" s="225">
        <v>240</v>
      </c>
      <c r="Q70" s="225">
        <v>240</v>
      </c>
      <c r="R70" s="225">
        <v>240</v>
      </c>
      <c r="S70" s="226">
        <v>240</v>
      </c>
    </row>
    <row r="73" spans="3:19" ht="13">
      <c r="C73" s="70" t="s">
        <v>230</v>
      </c>
      <c r="L73" s="112" t="s">
        <v>448</v>
      </c>
    </row>
    <row r="75" spans="3:19" ht="13">
      <c r="C75" s="90" t="s">
        <v>231</v>
      </c>
      <c r="D75" s="88"/>
      <c r="E75" s="88"/>
      <c r="F75" s="91">
        <f>F65</f>
        <v>2023</v>
      </c>
      <c r="G75" s="91">
        <f t="shared" ref="G75:J75" si="4">G65</f>
        <v>2024</v>
      </c>
      <c r="H75" s="91">
        <f t="shared" si="4"/>
        <v>2025</v>
      </c>
      <c r="I75" s="91">
        <f t="shared" si="4"/>
        <v>2026</v>
      </c>
      <c r="J75" s="91">
        <f t="shared" si="4"/>
        <v>2027</v>
      </c>
      <c r="L75" s="218" t="s">
        <v>220</v>
      </c>
      <c r="M75" s="219"/>
      <c r="N75" s="219"/>
      <c r="O75" s="220">
        <f>O65</f>
        <v>2023</v>
      </c>
      <c r="P75" s="220">
        <f t="shared" ref="P75:S75" si="5">P65</f>
        <v>2024</v>
      </c>
      <c r="Q75" s="220">
        <f t="shared" si="5"/>
        <v>2025</v>
      </c>
      <c r="R75" s="220">
        <f t="shared" si="5"/>
        <v>2026</v>
      </c>
      <c r="S75" s="220">
        <f t="shared" si="5"/>
        <v>2027</v>
      </c>
    </row>
    <row r="76" spans="3:19" ht="13">
      <c r="C76" s="548" t="s">
        <v>232</v>
      </c>
      <c r="D76" s="549"/>
      <c r="E76" s="58"/>
      <c r="F76" s="75">
        <v>12</v>
      </c>
      <c r="G76" s="75">
        <v>12</v>
      </c>
      <c r="H76" s="75">
        <v>12</v>
      </c>
      <c r="I76" s="75">
        <v>12</v>
      </c>
      <c r="J76" s="76">
        <v>12</v>
      </c>
      <c r="L76" s="223" t="s">
        <v>273</v>
      </c>
      <c r="M76" s="203"/>
      <c r="N76" s="224"/>
      <c r="O76" s="225">
        <v>75</v>
      </c>
      <c r="P76" s="225">
        <v>75</v>
      </c>
      <c r="Q76" s="225">
        <v>75</v>
      </c>
      <c r="R76" s="225">
        <v>75</v>
      </c>
      <c r="S76" s="226">
        <v>75</v>
      </c>
    </row>
    <row r="77" spans="3:19" ht="13">
      <c r="C77" s="74" t="s">
        <v>233</v>
      </c>
      <c r="E77" s="58"/>
      <c r="F77" s="75">
        <v>82</v>
      </c>
      <c r="G77" s="75">
        <v>82</v>
      </c>
      <c r="H77" s="75">
        <v>82</v>
      </c>
      <c r="I77" s="75">
        <v>82</v>
      </c>
      <c r="J77" s="76">
        <v>82</v>
      </c>
    </row>
    <row r="78" spans="3:19" ht="13">
      <c r="C78" s="74" t="s">
        <v>234</v>
      </c>
      <c r="E78" s="58"/>
      <c r="F78" s="75">
        <v>473</v>
      </c>
      <c r="G78" s="75">
        <v>473</v>
      </c>
      <c r="H78" s="75">
        <v>473</v>
      </c>
      <c r="I78" s="75">
        <v>473</v>
      </c>
      <c r="J78" s="76">
        <v>473</v>
      </c>
      <c r="L78" s="112" t="s">
        <v>476</v>
      </c>
    </row>
    <row r="79" spans="3:19" ht="13">
      <c r="C79" s="74" t="s">
        <v>85</v>
      </c>
      <c r="E79" s="58"/>
      <c r="F79" s="75">
        <v>2</v>
      </c>
      <c r="G79" s="75">
        <v>2</v>
      </c>
      <c r="H79" s="75">
        <v>2</v>
      </c>
      <c r="I79" s="75">
        <v>2</v>
      </c>
      <c r="J79" s="76">
        <v>2</v>
      </c>
      <c r="L79" s="105" t="s">
        <v>477</v>
      </c>
    </row>
    <row r="80" spans="3:19" ht="13">
      <c r="C80" s="546" t="s">
        <v>235</v>
      </c>
      <c r="D80" s="547"/>
      <c r="E80" s="67"/>
      <c r="F80" s="77">
        <v>590</v>
      </c>
      <c r="G80" s="77">
        <v>590</v>
      </c>
      <c r="H80" s="77">
        <v>590</v>
      </c>
      <c r="I80" s="77">
        <v>590</v>
      </c>
      <c r="J80" s="78">
        <v>590</v>
      </c>
      <c r="L80" s="218" t="s">
        <v>220</v>
      </c>
      <c r="M80" s="219"/>
      <c r="N80" s="219"/>
      <c r="O80" s="220">
        <f>O75</f>
        <v>2023</v>
      </c>
      <c r="P80" s="220">
        <f t="shared" ref="P80:S80" si="6">P75</f>
        <v>2024</v>
      </c>
      <c r="Q80" s="220">
        <f t="shared" si="6"/>
        <v>2025</v>
      </c>
      <c r="R80" s="220">
        <f t="shared" si="6"/>
        <v>2026</v>
      </c>
      <c r="S80" s="220">
        <f t="shared" si="6"/>
        <v>2027</v>
      </c>
    </row>
    <row r="81" spans="3:19" ht="13">
      <c r="L81" s="539" t="s">
        <v>121</v>
      </c>
      <c r="M81" s="540"/>
      <c r="N81" s="224"/>
      <c r="O81" s="225">
        <v>0</v>
      </c>
      <c r="P81" s="225">
        <v>0</v>
      </c>
      <c r="Q81" s="225">
        <v>0</v>
      </c>
      <c r="R81" s="225">
        <v>0</v>
      </c>
      <c r="S81" s="226">
        <v>0</v>
      </c>
    </row>
    <row r="82" spans="3:19" ht="15.75" customHeight="1">
      <c r="L82" s="296"/>
      <c r="N82" s="58"/>
      <c r="O82" s="75"/>
      <c r="P82" s="75"/>
      <c r="Q82" s="75"/>
      <c r="R82" s="75"/>
      <c r="S82" s="75"/>
    </row>
    <row r="83" spans="3:19" ht="15.75" customHeight="1">
      <c r="L83" s="296"/>
      <c r="N83" s="58"/>
      <c r="O83" s="75"/>
      <c r="P83" s="75"/>
      <c r="Q83" s="75"/>
      <c r="R83" s="75"/>
      <c r="S83" s="75"/>
    </row>
    <row r="84" spans="3:19" ht="13">
      <c r="C84" s="70" t="s">
        <v>236</v>
      </c>
      <c r="L84" s="296"/>
      <c r="N84" s="58"/>
      <c r="O84" s="75"/>
      <c r="P84" s="75"/>
      <c r="Q84" s="75"/>
      <c r="R84" s="75"/>
      <c r="S84" s="75"/>
    </row>
    <row r="85" spans="3:19" ht="15.75" customHeight="1">
      <c r="L85" s="296"/>
      <c r="N85" s="58"/>
      <c r="O85" s="75"/>
      <c r="P85" s="75"/>
      <c r="Q85" s="75"/>
      <c r="R85" s="75"/>
      <c r="S85" s="75"/>
    </row>
    <row r="86" spans="3:19" ht="13">
      <c r="C86" s="96" t="s">
        <v>220</v>
      </c>
      <c r="D86" s="89" t="s">
        <v>237</v>
      </c>
      <c r="E86" s="89" t="s">
        <v>237</v>
      </c>
      <c r="F86" s="97">
        <f>F75</f>
        <v>2023</v>
      </c>
      <c r="G86" s="97">
        <f t="shared" ref="G86:J86" si="7">G75</f>
        <v>2024</v>
      </c>
      <c r="H86" s="97">
        <f t="shared" si="7"/>
        <v>2025</v>
      </c>
      <c r="I86" s="97">
        <f t="shared" si="7"/>
        <v>2026</v>
      </c>
      <c r="J86" s="97">
        <f t="shared" si="7"/>
        <v>2027</v>
      </c>
    </row>
    <row r="87" spans="3:19" ht="13">
      <c r="C87" s="98" t="s">
        <v>237</v>
      </c>
      <c r="J87" s="99" t="s">
        <v>237</v>
      </c>
    </row>
    <row r="88" spans="3:19" ht="13">
      <c r="C88" s="98" t="s">
        <v>238</v>
      </c>
      <c r="F88" s="69">
        <v>-100</v>
      </c>
      <c r="G88" s="69">
        <v>-100</v>
      </c>
      <c r="H88" s="69">
        <v>-100</v>
      </c>
      <c r="I88" s="69">
        <v>-100</v>
      </c>
      <c r="J88" s="99">
        <v>-100</v>
      </c>
    </row>
    <row r="89" spans="3:19" ht="8.25" customHeight="1">
      <c r="C89" s="98" t="s">
        <v>237</v>
      </c>
      <c r="J89" s="99" t="s">
        <v>237</v>
      </c>
    </row>
    <row r="90" spans="3:19" ht="13">
      <c r="C90" s="98" t="s">
        <v>239</v>
      </c>
      <c r="F90" s="69">
        <v>0</v>
      </c>
      <c r="G90" s="69">
        <v>0</v>
      </c>
      <c r="H90" s="69">
        <v>0</v>
      </c>
      <c r="I90" s="69">
        <v>0</v>
      </c>
      <c r="J90" s="99">
        <v>0</v>
      </c>
    </row>
    <row r="91" spans="3:19" ht="13">
      <c r="C91" s="98" t="s">
        <v>240</v>
      </c>
      <c r="F91" s="69">
        <v>0</v>
      </c>
      <c r="G91" s="69">
        <v>0</v>
      </c>
      <c r="H91" s="69">
        <v>0</v>
      </c>
      <c r="I91" s="69">
        <v>0</v>
      </c>
      <c r="J91" s="99">
        <v>0</v>
      </c>
    </row>
    <row r="92" spans="3:19" ht="13">
      <c r="C92" s="100" t="s">
        <v>241</v>
      </c>
      <c r="D92" s="101"/>
      <c r="E92" s="101"/>
      <c r="F92" s="101">
        <v>0</v>
      </c>
      <c r="G92" s="101">
        <v>0</v>
      </c>
      <c r="H92" s="101">
        <v>0</v>
      </c>
      <c r="I92" s="101">
        <v>0</v>
      </c>
      <c r="J92" s="110">
        <v>0</v>
      </c>
    </row>
    <row r="96" spans="3:19" ht="15.75" customHeight="1">
      <c r="C96" s="112"/>
    </row>
  </sheetData>
  <mergeCells count="5">
    <mergeCell ref="L81:M81"/>
    <mergeCell ref="C9:H9"/>
    <mergeCell ref="L66:M66"/>
    <mergeCell ref="C80:D80"/>
    <mergeCell ref="C76:D76"/>
  </mergeCells>
  <conditionalFormatting sqref="G36:G39">
    <cfRule type="expression" dxfId="4" priority="1" stopIfTrue="1">
      <formula>G36="Tripped"</formula>
    </cfRule>
  </conditionalFormatting>
  <pageMargins left="0" right="0" top="0" bottom="0" header="0" footer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EFDCB-D9D6-414D-8B7E-51A0B2A02911}">
  <sheetPr codeName="Sheet1"/>
  <dimension ref="B1:L52"/>
  <sheetViews>
    <sheetView showGridLines="0" zoomScaleNormal="100" workbookViewId="0">
      <selection activeCell="G51" sqref="G51"/>
    </sheetView>
  </sheetViews>
  <sheetFormatPr defaultColWidth="9.1796875" defaultRowHeight="13"/>
  <cols>
    <col min="1" max="16384" width="9.1796875" style="69"/>
  </cols>
  <sheetData>
    <row r="1" spans="2:12" ht="26">
      <c r="B1" s="294" t="str">
        <f>Assumptions!C1</f>
        <v>PayPal Holdings, Inc.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</row>
    <row r="2" spans="2:12" ht="19.5">
      <c r="B2" s="293" t="s">
        <v>242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</row>
    <row r="3" spans="2:12" ht="13" customHeight="1">
      <c r="B3" s="363"/>
      <c r="C3" s="364"/>
      <c r="D3" s="364"/>
      <c r="E3" s="364"/>
      <c r="F3" s="364"/>
      <c r="G3" s="364"/>
      <c r="H3" s="364"/>
      <c r="I3" s="364"/>
      <c r="J3" s="364"/>
      <c r="K3" s="364"/>
      <c r="L3" s="364"/>
    </row>
    <row r="5" spans="2:12">
      <c r="B5" s="106"/>
      <c r="C5" s="107"/>
      <c r="D5" s="107"/>
      <c r="E5" s="108"/>
    </row>
    <row r="6" spans="2:12">
      <c r="B6" s="98" t="s">
        <v>243</v>
      </c>
      <c r="D6" s="69">
        <v>1</v>
      </c>
      <c r="E6" s="109"/>
      <c r="G6" s="111">
        <f>Assumptions!G6</f>
        <v>2023</v>
      </c>
      <c r="H6" s="111">
        <f>G6+1</f>
        <v>2024</v>
      </c>
      <c r="I6" s="111">
        <f>H6+1</f>
        <v>2025</v>
      </c>
      <c r="J6" s="111">
        <f>I6+1</f>
        <v>2026</v>
      </c>
      <c r="K6" s="111">
        <f>J6+1</f>
        <v>2027</v>
      </c>
      <c r="L6" s="111" t="s">
        <v>221</v>
      </c>
    </row>
    <row r="7" spans="2:12">
      <c r="B7" s="100"/>
      <c r="C7" s="101"/>
      <c r="D7" s="101"/>
      <c r="E7" s="110"/>
    </row>
    <row r="9" spans="2:12">
      <c r="B9" s="112" t="s">
        <v>244</v>
      </c>
    </row>
    <row r="11" spans="2:12">
      <c r="B11" s="112" t="s">
        <v>245</v>
      </c>
      <c r="F11" s="113"/>
      <c r="G11" s="377">
        <f>CHOOSE($D$6,G13,G14,G15)</f>
        <v>6.5000000000000002E-2</v>
      </c>
      <c r="H11" s="377">
        <f t="shared" ref="H11:L11" si="0">CHOOSE($D$6,H13,H14,H15)</f>
        <v>5.5E-2</v>
      </c>
      <c r="I11" s="377">
        <f t="shared" si="0"/>
        <v>4.4999999999999998E-2</v>
      </c>
      <c r="J11" s="377">
        <f t="shared" si="0"/>
        <v>0.04</v>
      </c>
      <c r="K11" s="377">
        <f t="shared" si="0"/>
        <v>3.5000000000000003E-2</v>
      </c>
      <c r="L11" s="378">
        <f t="shared" si="0"/>
        <v>0.03</v>
      </c>
    </row>
    <row r="13" spans="2:12">
      <c r="B13" s="69" t="s">
        <v>246</v>
      </c>
      <c r="F13" s="106"/>
      <c r="G13" s="374">
        <v>6.5000000000000002E-2</v>
      </c>
      <c r="H13" s="374">
        <v>5.5E-2</v>
      </c>
      <c r="I13" s="374">
        <v>4.4999999999999998E-2</v>
      </c>
      <c r="J13" s="374">
        <v>0.04</v>
      </c>
      <c r="K13" s="374">
        <v>3.5000000000000003E-2</v>
      </c>
      <c r="L13" s="374">
        <v>0.03</v>
      </c>
    </row>
    <row r="14" spans="2:12">
      <c r="B14" s="69" t="s">
        <v>247</v>
      </c>
      <c r="F14" s="98"/>
      <c r="G14" s="375">
        <f>G13-2.5%</f>
        <v>0.04</v>
      </c>
      <c r="H14" s="375">
        <f t="shared" ref="H14:K14" si="1">H13-2.5%</f>
        <v>0.03</v>
      </c>
      <c r="I14" s="375">
        <f t="shared" si="1"/>
        <v>1.9999999999999997E-2</v>
      </c>
      <c r="J14" s="375">
        <f t="shared" si="1"/>
        <v>1.4999999999999999E-2</v>
      </c>
      <c r="K14" s="375">
        <f t="shared" si="1"/>
        <v>1.0000000000000002E-2</v>
      </c>
      <c r="L14" s="375">
        <f>L13-1%</f>
        <v>1.9999999999999997E-2</v>
      </c>
    </row>
    <row r="15" spans="2:12">
      <c r="B15" s="69" t="s">
        <v>248</v>
      </c>
      <c r="F15" s="100"/>
      <c r="G15" s="376">
        <f>G13+2.5%</f>
        <v>0.09</v>
      </c>
      <c r="H15" s="376">
        <f t="shared" ref="H15:K15" si="2">H13+2.5%</f>
        <v>0.08</v>
      </c>
      <c r="I15" s="376">
        <f t="shared" si="2"/>
        <v>7.0000000000000007E-2</v>
      </c>
      <c r="J15" s="376">
        <f t="shared" si="2"/>
        <v>6.5000000000000002E-2</v>
      </c>
      <c r="K15" s="376">
        <f t="shared" si="2"/>
        <v>6.0000000000000005E-2</v>
      </c>
      <c r="L15" s="376">
        <f>L13+1%</f>
        <v>0.04</v>
      </c>
    </row>
    <row r="18" spans="2:12">
      <c r="B18" s="112" t="s">
        <v>249</v>
      </c>
    </row>
    <row r="20" spans="2:12">
      <c r="B20" s="112" t="s">
        <v>250</v>
      </c>
      <c r="F20" s="113"/>
      <c r="G20" s="379">
        <f>CHOOSE($D$6,G22,G23,G24)</f>
        <v>0.2</v>
      </c>
      <c r="H20" s="379">
        <f t="shared" ref="H20:L20" si="3">CHOOSE($D$6,H22,H23,H24)</f>
        <v>0.2</v>
      </c>
      <c r="I20" s="379">
        <f t="shared" si="3"/>
        <v>0.2</v>
      </c>
      <c r="J20" s="379">
        <f t="shared" si="3"/>
        <v>0.2</v>
      </c>
      <c r="K20" s="379">
        <f t="shared" si="3"/>
        <v>0.2</v>
      </c>
      <c r="L20" s="380">
        <f t="shared" si="3"/>
        <v>0.1</v>
      </c>
    </row>
    <row r="22" spans="2:12">
      <c r="B22" s="69" t="s">
        <v>246</v>
      </c>
      <c r="F22" s="106"/>
      <c r="G22" s="368">
        <v>0.2</v>
      </c>
      <c r="H22" s="368">
        <v>0.2</v>
      </c>
      <c r="I22" s="368">
        <v>0.2</v>
      </c>
      <c r="J22" s="368">
        <v>0.2</v>
      </c>
      <c r="K22" s="368">
        <v>0.2</v>
      </c>
      <c r="L22" s="369">
        <v>0.1</v>
      </c>
    </row>
    <row r="23" spans="2:12">
      <c r="B23" s="69" t="str">
        <f>B14</f>
        <v>Best Case</v>
      </c>
      <c r="F23" s="98"/>
      <c r="G23" s="370">
        <v>0.25</v>
      </c>
      <c r="H23" s="370">
        <v>0.25</v>
      </c>
      <c r="I23" s="370">
        <v>0.25</v>
      </c>
      <c r="J23" s="370">
        <v>0.25</v>
      </c>
      <c r="K23" s="370">
        <v>0.25</v>
      </c>
      <c r="L23" s="371">
        <v>0.125</v>
      </c>
    </row>
    <row r="24" spans="2:12">
      <c r="B24" s="69" t="str">
        <f>B15</f>
        <v>Worst Case</v>
      </c>
      <c r="F24" s="100"/>
      <c r="G24" s="372">
        <v>0.1</v>
      </c>
      <c r="H24" s="372">
        <v>0.1</v>
      </c>
      <c r="I24" s="372">
        <v>0.1</v>
      </c>
      <c r="J24" s="372">
        <v>0.1</v>
      </c>
      <c r="K24" s="372">
        <v>0.1</v>
      </c>
      <c r="L24" s="373">
        <v>0.05</v>
      </c>
    </row>
    <row r="26" spans="2:12">
      <c r="B26" s="112" t="s">
        <v>251</v>
      </c>
      <c r="F26" s="113"/>
      <c r="G26" s="379">
        <f>CHOOSE($D$6,G28,G29,G30)</f>
        <v>0</v>
      </c>
      <c r="H26" s="379">
        <f t="shared" ref="H26:L26" si="4">CHOOSE($D$6,H28,H29,H30)</f>
        <v>0</v>
      </c>
      <c r="I26" s="379">
        <f t="shared" si="4"/>
        <v>0</v>
      </c>
      <c r="J26" s="379">
        <f t="shared" si="4"/>
        <v>0</v>
      </c>
      <c r="K26" s="379">
        <f t="shared" si="4"/>
        <v>0</v>
      </c>
      <c r="L26" s="380">
        <f t="shared" si="4"/>
        <v>0</v>
      </c>
    </row>
    <row r="28" spans="2:12">
      <c r="B28" s="69" t="str">
        <f>B22</f>
        <v>Base Case</v>
      </c>
      <c r="F28" s="106"/>
      <c r="G28" s="368">
        <v>0</v>
      </c>
      <c r="H28" s="368">
        <v>0</v>
      </c>
      <c r="I28" s="368">
        <v>0</v>
      </c>
      <c r="J28" s="368">
        <v>0</v>
      </c>
      <c r="K28" s="368">
        <v>0</v>
      </c>
      <c r="L28" s="369">
        <v>0</v>
      </c>
    </row>
    <row r="29" spans="2:12">
      <c r="B29" s="69" t="str">
        <f t="shared" ref="B29:B30" si="5">B23</f>
        <v>Best Case</v>
      </c>
      <c r="F29" s="98"/>
      <c r="G29" s="370">
        <v>0.05</v>
      </c>
      <c r="H29" s="370">
        <v>0.05</v>
      </c>
      <c r="I29" s="370">
        <v>0.05</v>
      </c>
      <c r="J29" s="370">
        <v>0.05</v>
      </c>
      <c r="K29" s="370">
        <v>0.05</v>
      </c>
      <c r="L29" s="371">
        <v>2.5000000000000001E-2</v>
      </c>
    </row>
    <row r="30" spans="2:12">
      <c r="B30" s="69" t="str">
        <f t="shared" si="5"/>
        <v>Worst Case</v>
      </c>
      <c r="F30" s="100"/>
      <c r="G30" s="372">
        <v>-0.05</v>
      </c>
      <c r="H30" s="372">
        <v>-0.05</v>
      </c>
      <c r="I30" s="372">
        <v>-0.05</v>
      </c>
      <c r="J30" s="372">
        <v>-0.05</v>
      </c>
      <c r="K30" s="372">
        <v>-0.05</v>
      </c>
      <c r="L30" s="373">
        <v>-2.5000000000000001E-2</v>
      </c>
    </row>
    <row r="32" spans="2:12">
      <c r="B32" s="112" t="s">
        <v>252</v>
      </c>
      <c r="F32" s="113"/>
      <c r="G32" s="379">
        <f>CHOOSE($D$6,G34,G35,G36)</f>
        <v>0.1</v>
      </c>
      <c r="H32" s="379">
        <f t="shared" ref="H32:L32" si="6">CHOOSE($D$6,H34,H35,H36)</f>
        <v>0.1</v>
      </c>
      <c r="I32" s="379">
        <f t="shared" si="6"/>
        <v>0.1</v>
      </c>
      <c r="J32" s="379">
        <f t="shared" si="6"/>
        <v>0.1</v>
      </c>
      <c r="K32" s="379">
        <f t="shared" si="6"/>
        <v>0.1</v>
      </c>
      <c r="L32" s="380">
        <f t="shared" si="6"/>
        <v>0.05</v>
      </c>
    </row>
    <row r="34" spans="2:12">
      <c r="B34" s="69" t="str">
        <f>B13</f>
        <v>Base Case</v>
      </c>
      <c r="F34" s="106"/>
      <c r="G34" s="368">
        <v>0.1</v>
      </c>
      <c r="H34" s="368">
        <v>0.1</v>
      </c>
      <c r="I34" s="368">
        <v>0.1</v>
      </c>
      <c r="J34" s="368">
        <v>0.1</v>
      </c>
      <c r="K34" s="368">
        <v>0.1</v>
      </c>
      <c r="L34" s="369">
        <v>0.05</v>
      </c>
    </row>
    <row r="35" spans="2:12">
      <c r="B35" s="69" t="str">
        <f t="shared" ref="B35:B36" si="7">B14</f>
        <v>Best Case</v>
      </c>
      <c r="F35" s="98"/>
      <c r="G35" s="370">
        <v>0.15</v>
      </c>
      <c r="H35" s="370">
        <v>0.15</v>
      </c>
      <c r="I35" s="370">
        <v>0.15</v>
      </c>
      <c r="J35" s="370">
        <v>0.15</v>
      </c>
      <c r="K35" s="370">
        <v>0.15</v>
      </c>
      <c r="L35" s="371">
        <v>7.4999999999999997E-2</v>
      </c>
    </row>
    <row r="36" spans="2:12">
      <c r="B36" s="69" t="str">
        <f t="shared" si="7"/>
        <v>Worst Case</v>
      </c>
      <c r="F36" s="100"/>
      <c r="G36" s="372">
        <v>0.05</v>
      </c>
      <c r="H36" s="372">
        <v>0.05</v>
      </c>
      <c r="I36" s="372">
        <v>0.05</v>
      </c>
      <c r="J36" s="372">
        <v>0.05</v>
      </c>
      <c r="K36" s="372">
        <v>0.05</v>
      </c>
      <c r="L36" s="373">
        <v>2.5000000000000001E-2</v>
      </c>
    </row>
    <row r="38" spans="2:12" ht="13.5" thickBot="1">
      <c r="B38" s="112" t="s">
        <v>253</v>
      </c>
      <c r="F38" s="113"/>
      <c r="G38" s="390">
        <f>CHOOSE($D$6,G40,G41,G42)</f>
        <v>61</v>
      </c>
      <c r="H38" s="390">
        <f t="shared" ref="H38:L38" si="8">CHOOSE($D$6,H40,H41,H42)</f>
        <v>61</v>
      </c>
      <c r="I38" s="390">
        <f t="shared" si="8"/>
        <v>62</v>
      </c>
      <c r="J38" s="390">
        <f t="shared" si="8"/>
        <v>62</v>
      </c>
      <c r="K38" s="390">
        <f t="shared" si="8"/>
        <v>62</v>
      </c>
      <c r="L38" s="391">
        <f t="shared" si="8"/>
        <v>63</v>
      </c>
    </row>
    <row r="39" spans="2:12">
      <c r="L39" s="385"/>
    </row>
    <row r="40" spans="2:12">
      <c r="B40" s="69" t="str">
        <f>B34</f>
        <v>Base Case</v>
      </c>
      <c r="F40" s="106"/>
      <c r="G40" s="381">
        <v>61</v>
      </c>
      <c r="H40" s="381">
        <v>61</v>
      </c>
      <c r="I40" s="381">
        <v>62</v>
      </c>
      <c r="J40" s="381">
        <v>62</v>
      </c>
      <c r="K40" s="381">
        <v>62</v>
      </c>
      <c r="L40" s="382">
        <v>63</v>
      </c>
    </row>
    <row r="41" spans="2:12">
      <c r="B41" s="69" t="str">
        <f t="shared" ref="B41:B42" si="9">B35</f>
        <v>Best Case</v>
      </c>
      <c r="F41" s="98"/>
      <c r="G41" s="210">
        <f>G40+2</f>
        <v>63</v>
      </c>
      <c r="H41" s="210">
        <f t="shared" ref="H41:L41" si="10">H40+2</f>
        <v>63</v>
      </c>
      <c r="I41" s="210">
        <f t="shared" si="10"/>
        <v>64</v>
      </c>
      <c r="J41" s="210">
        <f t="shared" si="10"/>
        <v>64</v>
      </c>
      <c r="K41" s="210">
        <f t="shared" si="10"/>
        <v>64</v>
      </c>
      <c r="L41" s="382">
        <f t="shared" si="10"/>
        <v>65</v>
      </c>
    </row>
    <row r="42" spans="2:12">
      <c r="B42" s="69" t="str">
        <f t="shared" si="9"/>
        <v>Worst Case</v>
      </c>
      <c r="F42" s="100"/>
      <c r="G42" s="383">
        <f>G40-2</f>
        <v>59</v>
      </c>
      <c r="H42" s="383">
        <f t="shared" ref="H42:L42" si="11">H40-2</f>
        <v>59</v>
      </c>
      <c r="I42" s="383">
        <f t="shared" si="11"/>
        <v>60</v>
      </c>
      <c r="J42" s="383">
        <f t="shared" si="11"/>
        <v>60</v>
      </c>
      <c r="K42" s="383">
        <f t="shared" si="11"/>
        <v>60</v>
      </c>
      <c r="L42" s="384">
        <f t="shared" si="11"/>
        <v>61</v>
      </c>
    </row>
    <row r="44" spans="2:12">
      <c r="B44" s="112" t="s">
        <v>286</v>
      </c>
      <c r="F44" s="113"/>
      <c r="G44" s="392">
        <f>Assumptions!G12</f>
        <v>1.4E-2</v>
      </c>
      <c r="H44" s="392">
        <f>G44</f>
        <v>1.4E-2</v>
      </c>
      <c r="I44" s="392">
        <f t="shared" ref="I44:L44" si="12">H44</f>
        <v>1.4E-2</v>
      </c>
      <c r="J44" s="392">
        <f t="shared" si="12"/>
        <v>1.4E-2</v>
      </c>
      <c r="K44" s="392">
        <f t="shared" si="12"/>
        <v>1.4E-2</v>
      </c>
      <c r="L44" s="393">
        <f t="shared" si="12"/>
        <v>1.4E-2</v>
      </c>
    </row>
    <row r="47" spans="2:12" ht="13.5" thickBot="1"/>
    <row r="48" spans="2:12" ht="13.5" thickBot="1">
      <c r="B48" s="112" t="s">
        <v>449</v>
      </c>
      <c r="F48" s="113"/>
      <c r="G48" s="394">
        <f>CHOOSE($D$6,G50,G51,G52)</f>
        <v>0</v>
      </c>
      <c r="H48" s="394">
        <f t="shared" ref="H48:L48" si="13">CHOOSE($D$6,H50,H51,H52)</f>
        <v>0</v>
      </c>
      <c r="I48" s="394">
        <f t="shared" si="13"/>
        <v>0</v>
      </c>
      <c r="J48" s="394">
        <f t="shared" si="13"/>
        <v>0</v>
      </c>
      <c r="K48" s="394">
        <f t="shared" si="13"/>
        <v>0</v>
      </c>
      <c r="L48" s="395">
        <f t="shared" si="13"/>
        <v>0</v>
      </c>
    </row>
    <row r="50" spans="2:12">
      <c r="B50" s="69" t="str">
        <f>B40</f>
        <v>Base Case</v>
      </c>
      <c r="F50" s="230"/>
      <c r="G50" s="386">
        <v>0</v>
      </c>
      <c r="H50" s="386">
        <v>0</v>
      </c>
      <c r="I50" s="386">
        <v>0</v>
      </c>
      <c r="J50" s="386">
        <v>0</v>
      </c>
      <c r="K50" s="386">
        <v>0</v>
      </c>
      <c r="L50" s="387">
        <v>0</v>
      </c>
    </row>
    <row r="51" spans="2:12">
      <c r="B51" s="69" t="str">
        <f t="shared" ref="B51:B52" si="14">B41</f>
        <v>Best Case</v>
      </c>
      <c r="F51" s="232"/>
      <c r="G51" s="308">
        <v>100</v>
      </c>
      <c r="H51" s="308">
        <v>100</v>
      </c>
      <c r="I51" s="308">
        <v>100</v>
      </c>
      <c r="J51" s="308">
        <v>100</v>
      </c>
      <c r="K51" s="308">
        <v>100</v>
      </c>
      <c r="L51" s="388">
        <v>100</v>
      </c>
    </row>
    <row r="52" spans="2:12">
      <c r="B52" s="69" t="str">
        <f t="shared" si="14"/>
        <v>Worst Case</v>
      </c>
      <c r="F52" s="234"/>
      <c r="G52" s="361">
        <v>-100</v>
      </c>
      <c r="H52" s="361">
        <v>-100</v>
      </c>
      <c r="I52" s="361">
        <v>-100</v>
      </c>
      <c r="J52" s="361">
        <v>-100</v>
      </c>
      <c r="K52" s="361">
        <v>-100</v>
      </c>
      <c r="L52" s="389">
        <v>-100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3" name="Drop Down 1">
              <controlPr defaultSize="0" autoLine="0" autoPict="0">
                <anchor moveWithCells="1">
                  <from>
                    <xdr:col>2</xdr:col>
                    <xdr:colOff>622300</xdr:colOff>
                    <xdr:row>4</xdr:row>
                    <xdr:rowOff>114300</xdr:rowOff>
                  </from>
                  <to>
                    <xdr:col>4</xdr:col>
                    <xdr:colOff>69850</xdr:colOff>
                    <xdr:row>5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7809-5287-4296-988D-0737DB1646FD}">
  <dimension ref="B1:AB404"/>
  <sheetViews>
    <sheetView topLeftCell="A125" zoomScale="130" zoomScaleNormal="130" workbookViewId="0">
      <selection activeCell="B1" sqref="B1"/>
    </sheetView>
  </sheetViews>
  <sheetFormatPr defaultColWidth="9.1796875" defaultRowHeight="13"/>
  <cols>
    <col min="1" max="1" width="9.1796875" style="69"/>
    <col min="2" max="2" width="2" style="69" customWidth="1"/>
    <col min="3" max="7" width="9.1796875" style="69"/>
    <col min="8" max="10" width="11.453125" style="69" bestFit="1" customWidth="1"/>
    <col min="11" max="15" width="12.1796875" style="69" bestFit="1" customWidth="1"/>
    <col min="16" max="16" width="10.81640625" style="69" customWidth="1"/>
    <col min="17" max="16384" width="9.1796875" style="69"/>
  </cols>
  <sheetData>
    <row r="1" spans="2:16">
      <c r="N1" s="69" t="str">
        <f>"CURRENTLY RUNNING: "&amp;UPPER(CHOOSE(Scenarios!$D$6,Scenarios!B13,Scenarios!B14,Scenarios!B15))&amp;" SCENARIO"</f>
        <v>CURRENTLY RUNNING: BASE CASE SCENARIO</v>
      </c>
    </row>
    <row r="2" spans="2:16" ht="26">
      <c r="B2" s="193" t="str">
        <f>UPPER(Cover!B12)</f>
        <v>PAYPAL HOLDINGS, INC.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2:16" ht="15.5">
      <c r="B3" s="195" t="str">
        <f>UPPER("Revenue Schedule")</f>
        <v>REVENUE SCHEDULE</v>
      </c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2:16">
      <c r="C4" s="132" t="s">
        <v>281</v>
      </c>
    </row>
    <row r="5" spans="2:16">
      <c r="K5" s="148" t="s">
        <v>282</v>
      </c>
      <c r="L5" s="101"/>
      <c r="M5" s="101"/>
      <c r="N5" s="101"/>
      <c r="O5" s="101"/>
    </row>
    <row r="6" spans="2:16">
      <c r="H6" s="253">
        <v>2020</v>
      </c>
      <c r="I6" s="253">
        <v>2021</v>
      </c>
      <c r="J6" s="254">
        <v>2022</v>
      </c>
      <c r="K6" s="111">
        <f>Assumptions!G6</f>
        <v>2023</v>
      </c>
      <c r="L6" s="111">
        <f>K6+1</f>
        <v>2024</v>
      </c>
      <c r="M6" s="111">
        <f>L6+1</f>
        <v>2025</v>
      </c>
      <c r="N6" s="111">
        <f>M6+1</f>
        <v>2026</v>
      </c>
      <c r="O6" s="111">
        <f>N6+1</f>
        <v>2027</v>
      </c>
      <c r="P6" s="204" t="s">
        <v>283</v>
      </c>
    </row>
    <row r="7" spans="2:16">
      <c r="H7" s="139"/>
      <c r="I7" s="139"/>
      <c r="J7" s="139"/>
      <c r="P7" s="205"/>
    </row>
    <row r="8" spans="2:16" ht="12.75" customHeight="1">
      <c r="C8" s="150" t="s">
        <v>284</v>
      </c>
      <c r="D8" s="151"/>
      <c r="E8" s="151"/>
      <c r="F8" s="151"/>
      <c r="G8" s="151"/>
      <c r="H8" s="366">
        <v>61</v>
      </c>
      <c r="I8" s="366">
        <v>64</v>
      </c>
      <c r="J8" s="366">
        <v>61</v>
      </c>
      <c r="K8" s="407">
        <f>Scenarios!G38</f>
        <v>61</v>
      </c>
      <c r="L8" s="407">
        <f>Scenarios!H38</f>
        <v>61</v>
      </c>
      <c r="M8" s="407">
        <f>Scenarios!I38</f>
        <v>62</v>
      </c>
      <c r="N8" s="407">
        <f>Scenarios!J38</f>
        <v>62</v>
      </c>
      <c r="O8" s="407">
        <f>Scenarios!K38</f>
        <v>62</v>
      </c>
      <c r="P8" s="408">
        <f>Scenarios!L38</f>
        <v>63</v>
      </c>
    </row>
    <row r="9" spans="2:16">
      <c r="C9" s="152" t="s">
        <v>285</v>
      </c>
      <c r="K9" s="409">
        <f>Scenarios!G11</f>
        <v>6.5000000000000002E-2</v>
      </c>
      <c r="L9" s="409">
        <f>Scenarios!H11</f>
        <v>5.5E-2</v>
      </c>
      <c r="M9" s="409">
        <f>Scenarios!I11</f>
        <v>4.4999999999999998E-2</v>
      </c>
      <c r="N9" s="409">
        <f>Scenarios!J11</f>
        <v>0.04</v>
      </c>
      <c r="O9" s="409">
        <f>Scenarios!K11</f>
        <v>3.5000000000000003E-2</v>
      </c>
      <c r="P9" s="410">
        <f>Scenarios!L11</f>
        <v>0.03</v>
      </c>
    </row>
    <row r="10" spans="2:16">
      <c r="C10" s="152" t="s">
        <v>286</v>
      </c>
      <c r="H10" s="367">
        <v>1.6199999999999999E-2</v>
      </c>
      <c r="I10" s="367">
        <v>1.405E-2</v>
      </c>
      <c r="J10" s="367">
        <v>1.366E-2</v>
      </c>
      <c r="K10" s="246">
        <f>Scenarios!G44</f>
        <v>1.4E-2</v>
      </c>
      <c r="L10" s="246">
        <f>Scenarios!H44</f>
        <v>1.4E-2</v>
      </c>
      <c r="M10" s="246">
        <f>Scenarios!I44</f>
        <v>1.4E-2</v>
      </c>
      <c r="N10" s="246">
        <f>Scenarios!J44</f>
        <v>1.4E-2</v>
      </c>
      <c r="O10" s="246">
        <f>Scenarios!K44</f>
        <v>1.4E-2</v>
      </c>
      <c r="P10" s="411">
        <f>Scenarios!L44</f>
        <v>1.4E-2</v>
      </c>
    </row>
    <row r="11" spans="2:16">
      <c r="C11" s="153" t="s">
        <v>287</v>
      </c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206"/>
    </row>
    <row r="12" spans="2:16">
      <c r="K12" s="105"/>
      <c r="L12" s="105"/>
      <c r="M12" s="105"/>
      <c r="N12" s="105"/>
      <c r="O12" s="105"/>
      <c r="P12" s="205"/>
    </row>
    <row r="13" spans="2:16">
      <c r="C13" s="136" t="s">
        <v>288</v>
      </c>
      <c r="D13" s="137"/>
      <c r="E13" s="137"/>
      <c r="F13" s="137"/>
      <c r="G13" s="138"/>
      <c r="K13" s="105"/>
      <c r="L13" s="105"/>
      <c r="M13" s="105"/>
      <c r="N13" s="105"/>
      <c r="O13" s="105"/>
      <c r="P13" s="205"/>
    </row>
    <row r="14" spans="2:16">
      <c r="C14" s="98" t="s">
        <v>289</v>
      </c>
      <c r="G14" s="134">
        <v>0.3</v>
      </c>
      <c r="K14" s="105"/>
      <c r="L14" s="105"/>
      <c r="M14" s="105"/>
      <c r="N14" s="105"/>
      <c r="O14" s="105"/>
      <c r="P14" s="205"/>
    </row>
    <row r="15" spans="2:16">
      <c r="C15" s="100" t="s">
        <v>290</v>
      </c>
      <c r="D15" s="101"/>
      <c r="E15" s="101"/>
      <c r="F15" s="101"/>
      <c r="G15" s="135">
        <f>Assumptions!G12</f>
        <v>1.4E-2</v>
      </c>
      <c r="H15" s="102"/>
      <c r="I15" s="102"/>
      <c r="K15" s="105"/>
      <c r="L15" s="105"/>
      <c r="M15" s="105"/>
      <c r="N15" s="105"/>
      <c r="O15" s="105"/>
      <c r="P15" s="205"/>
    </row>
    <row r="16" spans="2:16">
      <c r="P16" s="205"/>
    </row>
    <row r="17" spans="2:20">
      <c r="B17" s="112" t="s">
        <v>291</v>
      </c>
      <c r="D17" s="112"/>
      <c r="P17" s="205"/>
    </row>
    <row r="18" spans="2:20" s="132" customFormat="1">
      <c r="B18" s="133"/>
      <c r="C18" s="140" t="s">
        <v>292</v>
      </c>
      <c r="D18" s="141"/>
      <c r="E18" s="142"/>
      <c r="F18" s="142"/>
      <c r="G18" s="142"/>
      <c r="H18" s="142"/>
      <c r="I18" s="142"/>
      <c r="J18" s="142"/>
      <c r="K18" s="412">
        <f>Scenarios!G20</f>
        <v>0.2</v>
      </c>
      <c r="L18" s="412">
        <f>Scenarios!H20</f>
        <v>0.2</v>
      </c>
      <c r="M18" s="412">
        <f>Scenarios!I20</f>
        <v>0.2</v>
      </c>
      <c r="N18" s="412">
        <f>Scenarios!J20</f>
        <v>0.2</v>
      </c>
      <c r="O18" s="412">
        <f>Scenarios!K20</f>
        <v>0.2</v>
      </c>
      <c r="P18" s="413">
        <f>Scenarios!L20</f>
        <v>0.1</v>
      </c>
    </row>
    <row r="19" spans="2:20">
      <c r="C19" s="69" t="s">
        <v>293</v>
      </c>
      <c r="E19" s="69" t="s">
        <v>294</v>
      </c>
      <c r="H19" s="396">
        <v>7917.1019999999999</v>
      </c>
      <c r="I19" s="396">
        <v>10460.5227</v>
      </c>
      <c r="J19" s="396">
        <v>12438.791999999999</v>
      </c>
      <c r="K19" s="147">
        <f>ROUND(J19*(1+K18),6)</f>
        <v>14926.5504</v>
      </c>
      <c r="L19" s="147">
        <f t="shared" ref="L19:P19" si="0">ROUND(K19*(1+L18),6)</f>
        <v>17911.860479999999</v>
      </c>
      <c r="M19" s="147">
        <f t="shared" si="0"/>
        <v>21494.232575999999</v>
      </c>
      <c r="N19" s="147">
        <f t="shared" si="0"/>
        <v>25793.079091</v>
      </c>
      <c r="O19" s="147">
        <f t="shared" si="0"/>
        <v>30951.694909000002</v>
      </c>
      <c r="P19" s="207">
        <f t="shared" si="0"/>
        <v>34046.864399999999</v>
      </c>
    </row>
    <row r="20" spans="2:20">
      <c r="C20" s="69" t="s">
        <v>295</v>
      </c>
      <c r="E20" s="69" t="s">
        <v>294</v>
      </c>
      <c r="H20" s="397">
        <f>H$8*H19</f>
        <v>482943.22200000001</v>
      </c>
      <c r="I20" s="397">
        <f t="shared" ref="I20:J20" si="1">I$8*I19</f>
        <v>669473.45279999997</v>
      </c>
      <c r="J20" s="397">
        <f t="shared" si="1"/>
        <v>758766.31199999992</v>
      </c>
      <c r="K20" s="143">
        <f t="shared" ref="K20:P20" si="2">K$8*K19</f>
        <v>910519.57440000004</v>
      </c>
      <c r="L20" s="143">
        <f t="shared" si="2"/>
        <v>1092623.4892799999</v>
      </c>
      <c r="M20" s="143">
        <f t="shared" si="2"/>
        <v>1332642.4197119998</v>
      </c>
      <c r="N20" s="143">
        <f t="shared" si="2"/>
        <v>1599170.9036419999</v>
      </c>
      <c r="O20" s="143">
        <f t="shared" si="2"/>
        <v>1919005.0843580002</v>
      </c>
      <c r="P20" s="208">
        <f t="shared" si="2"/>
        <v>2144952.4572000001</v>
      </c>
    </row>
    <row r="21" spans="2:20">
      <c r="C21" s="69" t="s">
        <v>257</v>
      </c>
      <c r="E21" s="69" t="s">
        <v>294</v>
      </c>
      <c r="H21" s="397">
        <f t="shared" ref="H21:P21" si="3">H10*H20+$G$14*H19</f>
        <v>10198.810796399999</v>
      </c>
      <c r="I21" s="397">
        <f t="shared" si="3"/>
        <v>12544.25882184</v>
      </c>
      <c r="J21" s="397">
        <f t="shared" si="3"/>
        <v>14096.385421919998</v>
      </c>
      <c r="K21" s="143">
        <f t="shared" si="3"/>
        <v>17225.239161600002</v>
      </c>
      <c r="L21" s="143">
        <f t="shared" si="3"/>
        <v>20670.286993919999</v>
      </c>
      <c r="M21" s="143">
        <f t="shared" si="3"/>
        <v>25105.263648767996</v>
      </c>
      <c r="N21" s="143">
        <f t="shared" si="3"/>
        <v>30126.316378288</v>
      </c>
      <c r="O21" s="143">
        <f t="shared" si="3"/>
        <v>36151.579653712004</v>
      </c>
      <c r="P21" s="208">
        <f t="shared" si="3"/>
        <v>40243.393720799999</v>
      </c>
    </row>
    <row r="22" spans="2:20">
      <c r="C22" s="69" t="s">
        <v>258</v>
      </c>
      <c r="H22" s="397">
        <v>814</v>
      </c>
      <c r="I22" s="397">
        <v>1168</v>
      </c>
      <c r="J22" s="397">
        <v>1253</v>
      </c>
      <c r="K22" s="143">
        <f t="shared" ref="K22:P22" si="4">K21*K11</f>
        <v>0</v>
      </c>
      <c r="L22" s="143">
        <f t="shared" si="4"/>
        <v>0</v>
      </c>
      <c r="M22" s="143">
        <f t="shared" si="4"/>
        <v>0</v>
      </c>
      <c r="N22" s="143">
        <f t="shared" si="4"/>
        <v>0</v>
      </c>
      <c r="O22" s="143">
        <f t="shared" si="4"/>
        <v>0</v>
      </c>
      <c r="P22" s="208">
        <f t="shared" si="4"/>
        <v>0</v>
      </c>
    </row>
    <row r="23" spans="2:20">
      <c r="C23" s="112" t="s">
        <v>296</v>
      </c>
      <c r="H23" s="400">
        <f t="shared" ref="H23:P23" si="5">H21+H22</f>
        <v>11012.810796399999</v>
      </c>
      <c r="I23" s="400">
        <f t="shared" si="5"/>
        <v>13712.25882184</v>
      </c>
      <c r="J23" s="400">
        <f t="shared" si="5"/>
        <v>15349.385421919998</v>
      </c>
      <c r="K23" s="400">
        <f t="shared" si="5"/>
        <v>17225.239161600002</v>
      </c>
      <c r="L23" s="400">
        <f t="shared" si="5"/>
        <v>20670.286993919999</v>
      </c>
      <c r="M23" s="400">
        <f t="shared" si="5"/>
        <v>25105.263648767996</v>
      </c>
      <c r="N23" s="400">
        <f t="shared" si="5"/>
        <v>30126.316378288</v>
      </c>
      <c r="O23" s="400">
        <f t="shared" si="5"/>
        <v>36151.579653712004</v>
      </c>
      <c r="P23" s="401">
        <f t="shared" si="5"/>
        <v>40243.393720799999</v>
      </c>
    </row>
    <row r="24" spans="2:20">
      <c r="P24" s="205"/>
    </row>
    <row r="25" spans="2:20">
      <c r="B25" s="112" t="s">
        <v>297</v>
      </c>
      <c r="D25" s="112"/>
      <c r="P25" s="205"/>
    </row>
    <row r="26" spans="2:20" s="132" customFormat="1">
      <c r="B26" s="133"/>
      <c r="C26" s="140" t="s">
        <v>292</v>
      </c>
      <c r="D26" s="141"/>
      <c r="E26" s="142"/>
      <c r="F26" s="142"/>
      <c r="G26" s="142"/>
      <c r="H26" s="142"/>
      <c r="I26" s="142"/>
      <c r="J26" s="142"/>
      <c r="K26" s="412">
        <f>Scenarios!G26</f>
        <v>0</v>
      </c>
      <c r="L26" s="412">
        <f>Scenarios!H26</f>
        <v>0</v>
      </c>
      <c r="M26" s="412">
        <f>Scenarios!I26</f>
        <v>0</v>
      </c>
      <c r="N26" s="412">
        <f>Scenarios!J26</f>
        <v>0</v>
      </c>
      <c r="O26" s="412">
        <f>Scenarios!K26</f>
        <v>0</v>
      </c>
      <c r="P26" s="413">
        <f>Scenarios!L26</f>
        <v>0</v>
      </c>
    </row>
    <row r="27" spans="2:20">
      <c r="C27" s="69" t="s">
        <v>293</v>
      </c>
      <c r="E27" s="69" t="s">
        <v>294</v>
      </c>
      <c r="H27" s="210">
        <v>1682.1949999999999</v>
      </c>
      <c r="I27" s="210">
        <v>1785.1242</v>
      </c>
      <c r="J27" s="396">
        <v>1676.9462000000001</v>
      </c>
      <c r="K27" s="147">
        <f>ROUND(J27*(1+K26),6)</f>
        <v>1676.9462000000001</v>
      </c>
      <c r="L27" s="147">
        <f t="shared" ref="L27:P27" si="6">ROUND(K27*(1+L26),6)</f>
        <v>1676.9462000000001</v>
      </c>
      <c r="M27" s="147">
        <f t="shared" si="6"/>
        <v>1676.9462000000001</v>
      </c>
      <c r="N27" s="147">
        <f t="shared" si="6"/>
        <v>1676.9462000000001</v>
      </c>
      <c r="O27" s="147">
        <f t="shared" si="6"/>
        <v>1676.9462000000001</v>
      </c>
      <c r="P27" s="207">
        <f t="shared" si="6"/>
        <v>1676.9462000000001</v>
      </c>
    </row>
    <row r="28" spans="2:20">
      <c r="C28" s="69" t="s">
        <v>295</v>
      </c>
      <c r="E28" s="69" t="s">
        <v>294</v>
      </c>
      <c r="H28" s="397">
        <f>H$8*H27</f>
        <v>102613.89499999999</v>
      </c>
      <c r="I28" s="397">
        <f t="shared" ref="I28:J28" si="7">I$8*I27</f>
        <v>114247.9488</v>
      </c>
      <c r="J28" s="397">
        <f t="shared" si="7"/>
        <v>102293.7182</v>
      </c>
      <c r="K28" s="143">
        <f t="shared" ref="K28:P28" si="8">K27*K8</f>
        <v>102293.7182</v>
      </c>
      <c r="L28" s="143">
        <f t="shared" si="8"/>
        <v>102293.7182</v>
      </c>
      <c r="M28" s="143">
        <f t="shared" si="8"/>
        <v>103970.66440000001</v>
      </c>
      <c r="N28" s="143">
        <f t="shared" si="8"/>
        <v>103970.66440000001</v>
      </c>
      <c r="O28" s="143">
        <f t="shared" si="8"/>
        <v>103970.66440000001</v>
      </c>
      <c r="P28" s="208">
        <f t="shared" si="8"/>
        <v>105647.6106</v>
      </c>
      <c r="T28" s="160"/>
    </row>
    <row r="29" spans="2:20">
      <c r="C29" s="69" t="s">
        <v>257</v>
      </c>
      <c r="E29" s="69" t="s">
        <v>294</v>
      </c>
      <c r="H29" s="397">
        <f t="shared" ref="H29:P29" si="9">H10*H28+$G$14*H27</f>
        <v>2167.0035989999997</v>
      </c>
      <c r="I29" s="397">
        <f t="shared" si="9"/>
        <v>2140.7209406399998</v>
      </c>
      <c r="J29" s="397">
        <f t="shared" si="9"/>
        <v>1900.4160506119999</v>
      </c>
      <c r="K29" s="143">
        <f t="shared" si="9"/>
        <v>1935.1959148000001</v>
      </c>
      <c r="L29" s="143">
        <f t="shared" si="9"/>
        <v>1935.1959148000001</v>
      </c>
      <c r="M29" s="143">
        <f t="shared" si="9"/>
        <v>1958.6731616000002</v>
      </c>
      <c r="N29" s="143">
        <f t="shared" si="9"/>
        <v>1958.6731616000002</v>
      </c>
      <c r="O29" s="143">
        <f t="shared" si="9"/>
        <v>1958.6731616000002</v>
      </c>
      <c r="P29" s="208">
        <f t="shared" si="9"/>
        <v>1982.1504084000001</v>
      </c>
    </row>
    <row r="30" spans="2:20">
      <c r="C30" s="69" t="s">
        <v>258</v>
      </c>
      <c r="H30" s="397">
        <v>173</v>
      </c>
      <c r="I30" s="397">
        <v>199</v>
      </c>
      <c r="J30" s="397">
        <v>169</v>
      </c>
      <c r="K30" s="143">
        <f t="shared" ref="K30:P30" si="10">K29*K11</f>
        <v>0</v>
      </c>
      <c r="L30" s="143">
        <f t="shared" si="10"/>
        <v>0</v>
      </c>
      <c r="M30" s="143">
        <f t="shared" si="10"/>
        <v>0</v>
      </c>
      <c r="N30" s="143">
        <f t="shared" si="10"/>
        <v>0</v>
      </c>
      <c r="O30" s="143">
        <f t="shared" si="10"/>
        <v>0</v>
      </c>
      <c r="P30" s="208">
        <f t="shared" si="10"/>
        <v>0</v>
      </c>
    </row>
    <row r="31" spans="2:20">
      <c r="C31" s="112" t="s">
        <v>298</v>
      </c>
      <c r="H31" s="400">
        <f>SUM(H29:H30)</f>
        <v>2340.0035989999997</v>
      </c>
      <c r="I31" s="400">
        <f>SUM(I29:I30)</f>
        <v>2339.7209406399998</v>
      </c>
      <c r="J31" s="400">
        <f>SUM(J29:J30)</f>
        <v>2069.4160506119997</v>
      </c>
      <c r="K31" s="400">
        <f t="shared" ref="K31:P31" si="11">K29+K30</f>
        <v>1935.1959148000001</v>
      </c>
      <c r="L31" s="400">
        <f t="shared" si="11"/>
        <v>1935.1959148000001</v>
      </c>
      <c r="M31" s="400">
        <f t="shared" si="11"/>
        <v>1958.6731616000002</v>
      </c>
      <c r="N31" s="400">
        <f t="shared" si="11"/>
        <v>1958.6731616000002</v>
      </c>
      <c r="O31" s="400">
        <f t="shared" si="11"/>
        <v>1958.6731616000002</v>
      </c>
      <c r="P31" s="401">
        <f t="shared" si="11"/>
        <v>1982.1504084000001</v>
      </c>
    </row>
    <row r="32" spans="2:20">
      <c r="P32" s="205"/>
    </row>
    <row r="33" spans="2:16">
      <c r="B33" s="112" t="s">
        <v>299</v>
      </c>
      <c r="D33" s="112"/>
      <c r="P33" s="205"/>
    </row>
    <row r="34" spans="2:16" s="132" customFormat="1">
      <c r="B34" s="133"/>
      <c r="C34" s="140" t="s">
        <v>292</v>
      </c>
      <c r="D34" s="141"/>
      <c r="E34" s="142"/>
      <c r="F34" s="142"/>
      <c r="G34" s="142"/>
      <c r="H34" s="142"/>
      <c r="I34" s="142"/>
      <c r="J34" s="142"/>
      <c r="K34" s="412">
        <f>Scenarios!G32</f>
        <v>0.1</v>
      </c>
      <c r="L34" s="412">
        <f>Scenarios!H32</f>
        <v>0.1</v>
      </c>
      <c r="M34" s="412">
        <f>Scenarios!I32</f>
        <v>0.1</v>
      </c>
      <c r="N34" s="412">
        <f>Scenarios!J32</f>
        <v>0.1</v>
      </c>
      <c r="O34" s="412">
        <f>Scenarios!K32</f>
        <v>0.1</v>
      </c>
      <c r="P34" s="413">
        <f>Scenarios!L32</f>
        <v>0.05</v>
      </c>
    </row>
    <row r="35" spans="2:16">
      <c r="C35" s="69" t="s">
        <v>293</v>
      </c>
      <c r="E35" s="69" t="s">
        <v>294</v>
      </c>
      <c r="H35" s="210">
        <v>5823.7</v>
      </c>
      <c r="I35" s="210">
        <v>7102</v>
      </c>
      <c r="J35" s="396">
        <v>7640.2619999999997</v>
      </c>
      <c r="K35" s="147">
        <f t="shared" ref="K35:P35" si="12">ROUND(J35*(1+K34),6)</f>
        <v>8404.2882000000009</v>
      </c>
      <c r="L35" s="147">
        <f t="shared" si="12"/>
        <v>9244.71702</v>
      </c>
      <c r="M35" s="147">
        <f t="shared" si="12"/>
        <v>10169.188722000001</v>
      </c>
      <c r="N35" s="147">
        <f t="shared" si="12"/>
        <v>11186.107593999999</v>
      </c>
      <c r="O35" s="147">
        <f t="shared" si="12"/>
        <v>12304.718353</v>
      </c>
      <c r="P35" s="207">
        <f t="shared" si="12"/>
        <v>12919.954271000001</v>
      </c>
    </row>
    <row r="36" spans="2:16">
      <c r="C36" s="69" t="s">
        <v>295</v>
      </c>
      <c r="E36" s="69" t="s">
        <v>294</v>
      </c>
      <c r="H36" s="397">
        <f>H$8*H35</f>
        <v>355245.7</v>
      </c>
      <c r="I36" s="397">
        <f>I$8*I35</f>
        <v>454528</v>
      </c>
      <c r="J36" s="397">
        <f>J$8*J35</f>
        <v>466055.98199999996</v>
      </c>
      <c r="K36" s="143">
        <f t="shared" ref="K36:P36" si="13">K35*K8</f>
        <v>512661.58020000003</v>
      </c>
      <c r="L36" s="143">
        <f t="shared" si="13"/>
        <v>563927.73822000006</v>
      </c>
      <c r="M36" s="143">
        <f t="shared" si="13"/>
        <v>630489.70076400007</v>
      </c>
      <c r="N36" s="143">
        <f t="shared" si="13"/>
        <v>693538.67082799994</v>
      </c>
      <c r="O36" s="143">
        <f t="shared" si="13"/>
        <v>762892.53788600001</v>
      </c>
      <c r="P36" s="208">
        <f t="shared" si="13"/>
        <v>813957.11907300004</v>
      </c>
    </row>
    <row r="37" spans="2:16">
      <c r="C37" s="69" t="s">
        <v>257</v>
      </c>
      <c r="E37" s="69" t="s">
        <v>294</v>
      </c>
      <c r="H37" s="397">
        <f t="shared" ref="H37:P37" si="14">H10*H36+$G$14*H35</f>
        <v>7502.0903399999997</v>
      </c>
      <c r="I37" s="397">
        <f t="shared" si="14"/>
        <v>8516.7183999999997</v>
      </c>
      <c r="J37" s="397">
        <f t="shared" si="14"/>
        <v>8658.4033141199998</v>
      </c>
      <c r="K37" s="143">
        <f t="shared" si="14"/>
        <v>9698.5485828000019</v>
      </c>
      <c r="L37" s="143">
        <f t="shared" si="14"/>
        <v>10668.403441080001</v>
      </c>
      <c r="M37" s="143">
        <f t="shared" si="14"/>
        <v>11877.612427296001</v>
      </c>
      <c r="N37" s="143">
        <f t="shared" si="14"/>
        <v>13065.373669791999</v>
      </c>
      <c r="O37" s="143">
        <f t="shared" si="14"/>
        <v>14371.911036304</v>
      </c>
      <c r="P37" s="208">
        <f t="shared" si="14"/>
        <v>15271.385948322</v>
      </c>
    </row>
    <row r="38" spans="2:16">
      <c r="C38" s="69" t="s">
        <v>258</v>
      </c>
      <c r="H38" s="397">
        <v>599</v>
      </c>
      <c r="I38" s="397">
        <v>802</v>
      </c>
      <c r="J38" s="397">
        <v>770</v>
      </c>
      <c r="K38" s="143">
        <f t="shared" ref="K38:P38" si="15">K37*K11</f>
        <v>0</v>
      </c>
      <c r="L38" s="143">
        <f t="shared" si="15"/>
        <v>0</v>
      </c>
      <c r="M38" s="143">
        <f t="shared" si="15"/>
        <v>0</v>
      </c>
      <c r="N38" s="143">
        <f t="shared" si="15"/>
        <v>0</v>
      </c>
      <c r="O38" s="143">
        <f t="shared" si="15"/>
        <v>0</v>
      </c>
      <c r="P38" s="208">
        <f t="shared" si="15"/>
        <v>0</v>
      </c>
    </row>
    <row r="39" spans="2:16">
      <c r="C39" s="112" t="s">
        <v>300</v>
      </c>
      <c r="H39" s="155">
        <f>SUM(H37:H38)</f>
        <v>8101.0903399999997</v>
      </c>
      <c r="I39" s="155">
        <f>SUM(I37:I38)</f>
        <v>9318.7183999999997</v>
      </c>
      <c r="J39" s="155">
        <f>SUM(J37:J38)</f>
        <v>9428.4033141199998</v>
      </c>
      <c r="K39" s="155">
        <f t="shared" ref="K39:P39" si="16">K38+K37</f>
        <v>9698.5485828000019</v>
      </c>
      <c r="L39" s="155">
        <f t="shared" si="16"/>
        <v>10668.403441080001</v>
      </c>
      <c r="M39" s="155">
        <f t="shared" si="16"/>
        <v>11877.612427296001</v>
      </c>
      <c r="N39" s="155">
        <f t="shared" si="16"/>
        <v>13065.373669791999</v>
      </c>
      <c r="O39" s="155">
        <f t="shared" si="16"/>
        <v>14371.911036304</v>
      </c>
      <c r="P39" s="209">
        <f t="shared" si="16"/>
        <v>15271.385948322</v>
      </c>
    </row>
    <row r="40" spans="2:16">
      <c r="H40" s="143"/>
      <c r="I40" s="143"/>
      <c r="J40" s="143"/>
      <c r="K40" s="143"/>
      <c r="L40" s="143"/>
      <c r="M40" s="143"/>
      <c r="N40" s="143"/>
      <c r="O40" s="143"/>
      <c r="P40" s="208"/>
    </row>
    <row r="41" spans="2:16">
      <c r="C41" s="149" t="s">
        <v>259</v>
      </c>
      <c r="D41" s="101"/>
      <c r="E41" s="101"/>
      <c r="F41" s="101"/>
      <c r="G41" s="101"/>
      <c r="H41" s="398">
        <f>H23+H31+H39</f>
        <v>21453.904735399999</v>
      </c>
      <c r="I41" s="398">
        <f t="shared" ref="I41:J41" si="17">I23+I31+I39</f>
        <v>25370.698162479999</v>
      </c>
      <c r="J41" s="398">
        <f t="shared" si="17"/>
        <v>26847.204786652001</v>
      </c>
      <c r="K41" s="398">
        <f t="shared" ref="K41:P41" si="18">K23+K31+K39</f>
        <v>28858.983659200003</v>
      </c>
      <c r="L41" s="398">
        <f t="shared" si="18"/>
        <v>33273.886349799999</v>
      </c>
      <c r="M41" s="398">
        <f t="shared" si="18"/>
        <v>38941.549237663996</v>
      </c>
      <c r="N41" s="398">
        <f t="shared" si="18"/>
        <v>45150.363209679999</v>
      </c>
      <c r="O41" s="398">
        <f t="shared" si="18"/>
        <v>52482.163851616009</v>
      </c>
      <c r="P41" s="399">
        <f t="shared" si="18"/>
        <v>57496.930077521996</v>
      </c>
    </row>
    <row r="42" spans="2:16">
      <c r="B42" s="166"/>
      <c r="C42" s="167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</row>
    <row r="43" spans="2:16">
      <c r="H43" s="143"/>
      <c r="I43" s="143"/>
    </row>
    <row r="44" spans="2:16">
      <c r="E44" s="143"/>
      <c r="H44" s="143"/>
      <c r="I44" s="147"/>
      <c r="J44" s="147"/>
      <c r="N44" s="69" t="str">
        <f>N1</f>
        <v>CURRENTLY RUNNING: BASE CASE SCENARIO</v>
      </c>
    </row>
    <row r="45" spans="2:16" ht="26">
      <c r="B45" s="193" t="str">
        <f>B2</f>
        <v>PAYPAL HOLDINGS, INC.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</row>
    <row r="46" spans="2:16" ht="20" thickBot="1">
      <c r="B46" s="240" t="s">
        <v>301</v>
      </c>
      <c r="C46" s="194"/>
      <c r="D46" s="194"/>
      <c r="E46" s="194"/>
      <c r="F46" s="194"/>
      <c r="G46" s="270"/>
      <c r="H46" s="239"/>
      <c r="I46" s="239"/>
      <c r="J46" s="239"/>
      <c r="K46" s="239"/>
      <c r="L46" s="239"/>
      <c r="M46" s="239"/>
      <c r="N46" s="239"/>
      <c r="O46" s="239"/>
    </row>
    <row r="47" spans="2:16">
      <c r="C47" s="132" t="str">
        <f>C4</f>
        <v>($ Millions)</v>
      </c>
    </row>
    <row r="48" spans="2:16">
      <c r="J48" s="58"/>
      <c r="K48" s="148" t="s">
        <v>282</v>
      </c>
      <c r="L48" s="101"/>
      <c r="M48" s="101"/>
      <c r="N48" s="101"/>
      <c r="O48" s="101"/>
    </row>
    <row r="49" spans="2:15">
      <c r="H49" s="253">
        <f>H6</f>
        <v>2020</v>
      </c>
      <c r="I49" s="253">
        <f t="shared" ref="I49:O49" si="19">I6</f>
        <v>2021</v>
      </c>
      <c r="J49" s="254">
        <f t="shared" si="19"/>
        <v>2022</v>
      </c>
      <c r="K49" s="158">
        <f t="shared" si="19"/>
        <v>2023</v>
      </c>
      <c r="L49" s="158">
        <f t="shared" si="19"/>
        <v>2024</v>
      </c>
      <c r="M49" s="158">
        <f t="shared" si="19"/>
        <v>2025</v>
      </c>
      <c r="N49" s="158">
        <f t="shared" si="19"/>
        <v>2026</v>
      </c>
      <c r="O49" s="158">
        <f t="shared" si="19"/>
        <v>2027</v>
      </c>
    </row>
    <row r="50" spans="2:15">
      <c r="H50" s="58"/>
      <c r="I50" s="58"/>
      <c r="J50" s="58"/>
      <c r="K50" s="58"/>
      <c r="L50" s="58"/>
      <c r="M50" s="58"/>
      <c r="N50" s="58"/>
      <c r="O50" s="58"/>
    </row>
    <row r="51" spans="2:15">
      <c r="C51" s="227" t="s">
        <v>302</v>
      </c>
      <c r="D51" s="198"/>
      <c r="E51" s="198"/>
      <c r="F51" s="198"/>
      <c r="G51" s="198"/>
      <c r="H51" s="402">
        <f t="shared" ref="H51:O52" si="20">H19+H27+H35</f>
        <v>15422.996999999999</v>
      </c>
      <c r="I51" s="402">
        <f t="shared" si="20"/>
        <v>19347.6469</v>
      </c>
      <c r="J51" s="402">
        <f t="shared" si="20"/>
        <v>21756.000199999999</v>
      </c>
      <c r="K51" s="402">
        <f t="shared" si="20"/>
        <v>25007.784800000001</v>
      </c>
      <c r="L51" s="402">
        <f t="shared" si="20"/>
        <v>28833.523699999998</v>
      </c>
      <c r="M51" s="402">
        <f t="shared" si="20"/>
        <v>33340.367498</v>
      </c>
      <c r="N51" s="402">
        <f t="shared" si="20"/>
        <v>38656.132884999999</v>
      </c>
      <c r="O51" s="403">
        <f t="shared" si="20"/>
        <v>44933.359462</v>
      </c>
    </row>
    <row r="52" spans="2:15">
      <c r="C52" s="202" t="s">
        <v>303</v>
      </c>
      <c r="D52" s="203"/>
      <c r="E52" s="203"/>
      <c r="F52" s="203"/>
      <c r="G52" s="203"/>
      <c r="H52" s="404">
        <f t="shared" si="20"/>
        <v>940802.81700000004</v>
      </c>
      <c r="I52" s="404">
        <f t="shared" si="20"/>
        <v>1238249.4016</v>
      </c>
      <c r="J52" s="404">
        <f t="shared" si="20"/>
        <v>1327116.0121999998</v>
      </c>
      <c r="K52" s="404">
        <f t="shared" si="20"/>
        <v>1525474.8728</v>
      </c>
      <c r="L52" s="404">
        <f t="shared" si="20"/>
        <v>1758844.9457</v>
      </c>
      <c r="M52" s="404">
        <f t="shared" si="20"/>
        <v>2067102.7848759997</v>
      </c>
      <c r="N52" s="404">
        <f t="shared" si="20"/>
        <v>2396680.2388699995</v>
      </c>
      <c r="O52" s="405">
        <f t="shared" si="20"/>
        <v>2785868.2866440006</v>
      </c>
    </row>
    <row r="53" spans="2:15">
      <c r="H53" s="58"/>
      <c r="I53" s="58"/>
      <c r="J53" s="58"/>
      <c r="K53" s="58"/>
      <c r="L53" s="58"/>
      <c r="M53" s="58"/>
      <c r="N53" s="58"/>
      <c r="O53" s="58"/>
    </row>
    <row r="54" spans="2:15">
      <c r="H54" s="58"/>
      <c r="I54" s="58"/>
      <c r="J54" s="58"/>
      <c r="K54" s="58"/>
      <c r="L54" s="58"/>
      <c r="M54" s="58"/>
      <c r="N54" s="58"/>
      <c r="O54" s="58"/>
    </row>
    <row r="55" spans="2:15">
      <c r="B55" s="70" t="s">
        <v>260</v>
      </c>
      <c r="H55" s="58"/>
      <c r="I55" s="58"/>
      <c r="J55" s="58"/>
      <c r="K55" s="58"/>
      <c r="L55" s="58"/>
      <c r="M55" s="58"/>
      <c r="N55" s="58"/>
      <c r="O55" s="58"/>
    </row>
    <row r="56" spans="2:15">
      <c r="B56" s="58"/>
      <c r="C56" s="69" t="str">
        <f>C9</f>
        <v>Cost of Inflation</v>
      </c>
      <c r="K56" s="406">
        <f>K9</f>
        <v>6.5000000000000002E-2</v>
      </c>
      <c r="L56" s="406">
        <f>L9</f>
        <v>5.5E-2</v>
      </c>
      <c r="M56" s="406">
        <f>M9</f>
        <v>4.4999999999999998E-2</v>
      </c>
      <c r="N56" s="406">
        <f>N9</f>
        <v>0.04</v>
      </c>
      <c r="O56" s="406">
        <f>O9</f>
        <v>3.5000000000000003E-2</v>
      </c>
    </row>
    <row r="57" spans="2:15">
      <c r="B57" s="70" t="s">
        <v>188</v>
      </c>
    </row>
    <row r="58" spans="2:15">
      <c r="C58" s="58" t="s">
        <v>162</v>
      </c>
      <c r="H58" s="397">
        <v>7934</v>
      </c>
      <c r="I58" s="397">
        <v>10315</v>
      </c>
      <c r="J58" s="397">
        <f>8849*4/3</f>
        <v>11798.666666666666</v>
      </c>
      <c r="K58" s="146">
        <f>K52*K70</f>
        <v>12966.5364188</v>
      </c>
      <c r="L58" s="146">
        <f>L52*L70</f>
        <v>14950.182038450001</v>
      </c>
      <c r="M58" s="146">
        <f>M52*M70</f>
        <v>17570.373671445999</v>
      </c>
      <c r="N58" s="146">
        <f>N52*N70</f>
        <v>20371.782030394999</v>
      </c>
      <c r="O58" s="146">
        <f>O52*O70</f>
        <v>23679.880436474006</v>
      </c>
    </row>
    <row r="59" spans="2:15">
      <c r="C59" s="58" t="s">
        <v>304</v>
      </c>
      <c r="H59" s="397">
        <v>1741</v>
      </c>
      <c r="I59" s="397">
        <v>1060</v>
      </c>
      <c r="J59" s="397">
        <f>1184*4/3</f>
        <v>1578.6666666666667</v>
      </c>
      <c r="K59" s="146">
        <f>K52*K71</f>
        <v>2288.2123092000002</v>
      </c>
      <c r="L59" s="146">
        <f>L52*L71</f>
        <v>2638.26741855</v>
      </c>
      <c r="M59" s="146">
        <f>M52*M71</f>
        <v>3100.6541773139998</v>
      </c>
      <c r="N59" s="146">
        <f>N52*N71</f>
        <v>3595.0203583049993</v>
      </c>
      <c r="O59" s="146">
        <f>O52*O71</f>
        <v>4178.802429966001</v>
      </c>
    </row>
    <row r="60" spans="2:15">
      <c r="C60" s="58"/>
      <c r="H60" s="422"/>
      <c r="I60" s="422"/>
      <c r="J60" s="210"/>
    </row>
    <row r="61" spans="2:15">
      <c r="B61" s="70" t="s">
        <v>194</v>
      </c>
      <c r="H61" s="210"/>
      <c r="I61" s="210"/>
      <c r="J61" s="210"/>
    </row>
    <row r="62" spans="2:15">
      <c r="C62" s="58" t="s">
        <v>164</v>
      </c>
      <c r="H62" s="422">
        <v>1778</v>
      </c>
      <c r="I62" s="422">
        <v>2075</v>
      </c>
      <c r="J62" s="422">
        <f>1579*4/3</f>
        <v>2105.3333333333335</v>
      </c>
      <c r="K62" s="423">
        <f>Assumptions!F23</f>
        <v>2300</v>
      </c>
      <c r="L62" s="144">
        <f t="shared" ref="L62:O66" si="21">K62*(1+L$56)</f>
        <v>2426.5</v>
      </c>
      <c r="M62" s="144">
        <f t="shared" si="21"/>
        <v>2535.6924999999997</v>
      </c>
      <c r="N62" s="144">
        <f t="shared" si="21"/>
        <v>2637.1201999999998</v>
      </c>
      <c r="O62" s="144">
        <f t="shared" si="21"/>
        <v>2729.4194069999994</v>
      </c>
    </row>
    <row r="63" spans="2:15">
      <c r="C63" s="58" t="s">
        <v>165</v>
      </c>
      <c r="H63" s="422">
        <v>1861</v>
      </c>
      <c r="I63" s="422">
        <v>2445</v>
      </c>
      <c r="J63" s="422">
        <f>1733*4/3</f>
        <v>2310.6666666666665</v>
      </c>
      <c r="K63" s="423">
        <f>Assumptions!F24</f>
        <v>3000</v>
      </c>
      <c r="L63" s="144">
        <f t="shared" si="21"/>
        <v>3165</v>
      </c>
      <c r="M63" s="144">
        <f t="shared" si="21"/>
        <v>3307.4249999999997</v>
      </c>
      <c r="N63" s="144">
        <f t="shared" si="21"/>
        <v>3439.7219999999998</v>
      </c>
      <c r="O63" s="144">
        <f t="shared" si="21"/>
        <v>3560.1122699999996</v>
      </c>
    </row>
    <row r="64" spans="2:15">
      <c r="C64" s="58" t="s">
        <v>166</v>
      </c>
      <c r="H64" s="422">
        <v>2642</v>
      </c>
      <c r="I64" s="422">
        <v>3038</v>
      </c>
      <c r="J64" s="422">
        <f>2431*4/3</f>
        <v>3241.3333333333335</v>
      </c>
      <c r="K64" s="423">
        <f>Assumptions!F25</f>
        <v>3500</v>
      </c>
      <c r="L64" s="144">
        <f t="shared" si="21"/>
        <v>3692.5</v>
      </c>
      <c r="M64" s="144">
        <f t="shared" si="21"/>
        <v>3858.6624999999999</v>
      </c>
      <c r="N64" s="144">
        <f t="shared" si="21"/>
        <v>4013.009</v>
      </c>
      <c r="O64" s="144">
        <f t="shared" si="21"/>
        <v>4153.4643149999993</v>
      </c>
    </row>
    <row r="65" spans="2:15">
      <c r="C65" s="58" t="s">
        <v>167</v>
      </c>
      <c r="H65" s="422">
        <v>2070</v>
      </c>
      <c r="I65" s="422">
        <v>2114</v>
      </c>
      <c r="J65" s="422">
        <f>1584*4/3</f>
        <v>2112</v>
      </c>
      <c r="K65" s="423">
        <f>Assumptions!F26</f>
        <v>2300</v>
      </c>
      <c r="L65" s="144">
        <f t="shared" si="21"/>
        <v>2426.5</v>
      </c>
      <c r="M65" s="144">
        <f t="shared" si="21"/>
        <v>2535.6924999999997</v>
      </c>
      <c r="N65" s="144">
        <f t="shared" si="21"/>
        <v>2637.1201999999998</v>
      </c>
      <c r="O65" s="144">
        <f t="shared" si="21"/>
        <v>2729.4194069999994</v>
      </c>
    </row>
    <row r="66" spans="2:15">
      <c r="C66" s="58" t="s">
        <v>168</v>
      </c>
      <c r="H66" s="422">
        <v>139</v>
      </c>
      <c r="I66" s="422">
        <v>62</v>
      </c>
      <c r="J66" s="422">
        <f>182*4/3</f>
        <v>242.66666666666666</v>
      </c>
      <c r="K66" s="423">
        <f>Assumptions!F27</f>
        <v>90</v>
      </c>
      <c r="L66" s="144">
        <f t="shared" si="21"/>
        <v>94.949999999999989</v>
      </c>
      <c r="M66" s="144">
        <f t="shared" si="21"/>
        <v>99.222749999999976</v>
      </c>
      <c r="N66" s="144">
        <f t="shared" si="21"/>
        <v>103.19165999999998</v>
      </c>
      <c r="O66" s="144">
        <f t="shared" si="21"/>
        <v>106.80336809999997</v>
      </c>
    </row>
    <row r="67" spans="2:15">
      <c r="C67" s="70" t="s">
        <v>305</v>
      </c>
      <c r="H67" s="144">
        <f t="shared" ref="H67:L67" si="22">SUM(H60:H66)</f>
        <v>8490</v>
      </c>
      <c r="I67" s="144">
        <f t="shared" si="22"/>
        <v>9734</v>
      </c>
      <c r="J67" s="144">
        <f t="shared" si="22"/>
        <v>10012</v>
      </c>
      <c r="K67" s="144">
        <f t="shared" si="22"/>
        <v>11190</v>
      </c>
      <c r="L67" s="144">
        <f t="shared" si="22"/>
        <v>11805.45</v>
      </c>
      <c r="M67" s="144">
        <f>SUM(M60:M66)</f>
        <v>12336.695249999999</v>
      </c>
      <c r="N67" s="144">
        <f>SUM(N60:N66)</f>
        <v>12830.163059999999</v>
      </c>
      <c r="O67" s="144">
        <f>SUM(O60:O66)</f>
        <v>13279.218767099997</v>
      </c>
    </row>
    <row r="68" spans="2:15">
      <c r="B68" s="70" t="s">
        <v>262</v>
      </c>
    </row>
    <row r="69" spans="2:15">
      <c r="B69" s="70" t="s">
        <v>188</v>
      </c>
    </row>
    <row r="70" spans="2:15">
      <c r="C70" s="414" t="s">
        <v>306</v>
      </c>
      <c r="D70" s="198"/>
      <c r="E70" s="198"/>
      <c r="F70" s="198"/>
      <c r="G70" s="198"/>
      <c r="H70" s="416">
        <v>8.3000000000000001E-3</v>
      </c>
      <c r="I70" s="416">
        <v>8.5000000000000006E-3</v>
      </c>
      <c r="J70" s="416">
        <f>J58/J52</f>
        <v>8.8904561155189934E-3</v>
      </c>
      <c r="K70" s="417">
        <f>Assumptions!$F$19</f>
        <v>8.5000000000000006E-3</v>
      </c>
      <c r="L70" s="417">
        <f>Assumptions!$F$19</f>
        <v>8.5000000000000006E-3</v>
      </c>
      <c r="M70" s="417">
        <f>Assumptions!$F$19</f>
        <v>8.5000000000000006E-3</v>
      </c>
      <c r="N70" s="417">
        <f>Assumptions!$F$19</f>
        <v>8.5000000000000006E-3</v>
      </c>
      <c r="O70" s="418">
        <f>Assumptions!$F$19</f>
        <v>8.5000000000000006E-3</v>
      </c>
    </row>
    <row r="71" spans="2:15">
      <c r="C71" s="415" t="s">
        <v>263</v>
      </c>
      <c r="D71" s="203"/>
      <c r="E71" s="203"/>
      <c r="F71" s="203"/>
      <c r="G71" s="203"/>
      <c r="H71" s="419">
        <v>1.9E-3</v>
      </c>
      <c r="I71" s="419">
        <v>8.9999999999999998E-4</v>
      </c>
      <c r="J71" s="419">
        <f>J59/J52</f>
        <v>1.1895468460588188E-3</v>
      </c>
      <c r="K71" s="420">
        <f>Assumptions!$F$20</f>
        <v>1.5E-3</v>
      </c>
      <c r="L71" s="420">
        <f>Assumptions!$F$20</f>
        <v>1.5E-3</v>
      </c>
      <c r="M71" s="420">
        <f>Assumptions!$F$20</f>
        <v>1.5E-3</v>
      </c>
      <c r="N71" s="420">
        <f>Assumptions!$F$20</f>
        <v>1.5E-3</v>
      </c>
      <c r="O71" s="421">
        <f>Assumptions!$F$20</f>
        <v>1.5E-3</v>
      </c>
    </row>
    <row r="72" spans="2:15">
      <c r="C72" s="58"/>
    </row>
    <row r="73" spans="2:15">
      <c r="B73" s="70" t="s">
        <v>307</v>
      </c>
      <c r="C73" s="58"/>
    </row>
    <row r="74" spans="2:15">
      <c r="C74" s="58" t="s">
        <v>164</v>
      </c>
      <c r="H74" s="145">
        <f t="shared" ref="H74:O78" si="23">H62/H$51</f>
        <v>0.11528239290975678</v>
      </c>
      <c r="I74" s="145">
        <f t="shared" si="23"/>
        <v>0.10724818427402663</v>
      </c>
      <c r="J74" s="145">
        <f t="shared" si="23"/>
        <v>9.6770238737786632E-2</v>
      </c>
      <c r="K74" s="145">
        <f t="shared" si="23"/>
        <v>9.1971360854000941E-2</v>
      </c>
      <c r="L74" s="145">
        <f t="shared" si="23"/>
        <v>8.4155513743191926E-2</v>
      </c>
      <c r="M74" s="145">
        <f t="shared" si="23"/>
        <v>7.6054725556102792E-2</v>
      </c>
      <c r="N74" s="145">
        <f t="shared" si="23"/>
        <v>6.8219969334369177E-2</v>
      </c>
      <c r="O74" s="145">
        <f t="shared" si="23"/>
        <v>6.0743720026281603E-2</v>
      </c>
    </row>
    <row r="75" spans="2:15">
      <c r="C75" s="58" t="s">
        <v>165</v>
      </c>
      <c r="H75" s="145">
        <f t="shared" si="23"/>
        <v>0.12066396693197827</v>
      </c>
      <c r="I75" s="145">
        <f t="shared" si="23"/>
        <v>0.12637195689156391</v>
      </c>
      <c r="J75" s="145">
        <f t="shared" si="23"/>
        <v>0.10620824808903369</v>
      </c>
      <c r="K75" s="145">
        <f t="shared" si="23"/>
        <v>0.11996264459217515</v>
      </c>
      <c r="L75" s="145">
        <f t="shared" si="23"/>
        <v>0.10976806140416338</v>
      </c>
      <c r="M75" s="145">
        <f t="shared" si="23"/>
        <v>9.9201815942742785E-2</v>
      </c>
      <c r="N75" s="145">
        <f t="shared" si="23"/>
        <v>8.8982568697003273E-2</v>
      </c>
      <c r="O75" s="145">
        <f t="shared" si="23"/>
        <v>7.9230939164715145E-2</v>
      </c>
    </row>
    <row r="76" spans="2:15">
      <c r="C76" s="58" t="s">
        <v>166</v>
      </c>
      <c r="H76" s="145">
        <f t="shared" si="23"/>
        <v>0.17130263333384557</v>
      </c>
      <c r="I76" s="145">
        <f t="shared" si="23"/>
        <v>0.15702167895156285</v>
      </c>
      <c r="J76" s="145">
        <f t="shared" si="23"/>
        <v>0.14898571904468605</v>
      </c>
      <c r="K76" s="145">
        <f t="shared" si="23"/>
        <v>0.139956418690871</v>
      </c>
      <c r="L76" s="145">
        <f t="shared" si="23"/>
        <v>0.12806273830485729</v>
      </c>
      <c r="M76" s="145">
        <f t="shared" si="23"/>
        <v>0.11573545193319992</v>
      </c>
      <c r="N76" s="145">
        <f t="shared" si="23"/>
        <v>0.10381299681317049</v>
      </c>
      <c r="O76" s="145">
        <f t="shared" si="23"/>
        <v>9.2436095692167666E-2</v>
      </c>
    </row>
    <row r="77" spans="2:15">
      <c r="C77" s="58" t="s">
        <v>167</v>
      </c>
      <c r="H77" s="145">
        <f t="shared" si="23"/>
        <v>0.13421515934937939</v>
      </c>
      <c r="I77" s="145">
        <f t="shared" si="23"/>
        <v>0.10926393327965893</v>
      </c>
      <c r="J77" s="145">
        <f t="shared" si="23"/>
        <v>9.7076667612827114E-2</v>
      </c>
      <c r="K77" s="145">
        <f t="shared" si="23"/>
        <v>9.1971360854000941E-2</v>
      </c>
      <c r="L77" s="145">
        <f t="shared" si="23"/>
        <v>8.4155513743191926E-2</v>
      </c>
      <c r="M77" s="145">
        <f t="shared" si="23"/>
        <v>7.6054725556102792E-2</v>
      </c>
      <c r="N77" s="145">
        <f t="shared" si="23"/>
        <v>6.8219969334369177E-2</v>
      </c>
      <c r="O77" s="145">
        <f t="shared" si="23"/>
        <v>6.0743720026281603E-2</v>
      </c>
    </row>
    <row r="78" spans="2:15">
      <c r="C78" s="58" t="s">
        <v>168</v>
      </c>
      <c r="H78" s="145">
        <f t="shared" si="23"/>
        <v>9.0125155311902086E-3</v>
      </c>
      <c r="I78" s="145">
        <f t="shared" si="23"/>
        <v>3.2045240602359762E-3</v>
      </c>
      <c r="J78" s="145">
        <f t="shared" si="23"/>
        <v>1.1154011051473822E-2</v>
      </c>
      <c r="K78" s="145">
        <f t="shared" si="23"/>
        <v>3.5988793377652543E-3</v>
      </c>
      <c r="L78" s="145">
        <f t="shared" si="23"/>
        <v>3.2930418421249011E-3</v>
      </c>
      <c r="M78" s="145">
        <f t="shared" si="23"/>
        <v>2.9760544782822832E-3</v>
      </c>
      <c r="N78" s="145">
        <f t="shared" si="23"/>
        <v>2.6694770609100981E-3</v>
      </c>
      <c r="O78" s="145">
        <f t="shared" si="23"/>
        <v>2.3769281749414541E-3</v>
      </c>
    </row>
    <row r="79" spans="2:15">
      <c r="C79" s="70" t="s">
        <v>308</v>
      </c>
      <c r="H79" s="164">
        <f t="shared" ref="H79:O79" si="24">H70+H71+SUM(H74:H78)</f>
        <v>0.56067666805615013</v>
      </c>
      <c r="I79" s="164">
        <f t="shared" si="24"/>
        <v>0.51251027745704836</v>
      </c>
      <c r="J79" s="164">
        <f t="shared" si="24"/>
        <v>0.47027488749738511</v>
      </c>
      <c r="K79" s="164">
        <f t="shared" si="24"/>
        <v>0.45746066432881327</v>
      </c>
      <c r="L79" s="164">
        <f t="shared" si="24"/>
        <v>0.41943486903752947</v>
      </c>
      <c r="M79" s="164">
        <f t="shared" si="24"/>
        <v>0.38002277346643065</v>
      </c>
      <c r="N79" s="164">
        <f t="shared" si="24"/>
        <v>0.34190498123982227</v>
      </c>
      <c r="O79" s="164">
        <f t="shared" si="24"/>
        <v>0.30553140308438748</v>
      </c>
    </row>
    <row r="80" spans="2:15">
      <c r="B80" s="112"/>
    </row>
    <row r="81" spans="2:16">
      <c r="B81" s="112" t="s">
        <v>309</v>
      </c>
      <c r="G81" s="164"/>
      <c r="H81" s="143">
        <f t="shared" ref="H81:O81" si="25">H67+H58+H59</f>
        <v>18165</v>
      </c>
      <c r="I81" s="143">
        <f t="shared" si="25"/>
        <v>21109</v>
      </c>
      <c r="J81" s="143">
        <f t="shared" si="25"/>
        <v>23389.333333333332</v>
      </c>
      <c r="K81" s="143">
        <f t="shared" si="25"/>
        <v>26444.748728000002</v>
      </c>
      <c r="L81" s="143">
        <f t="shared" si="25"/>
        <v>29393.899457</v>
      </c>
      <c r="M81" s="143">
        <f t="shared" si="25"/>
        <v>33007.723098759998</v>
      </c>
      <c r="N81" s="143">
        <f t="shared" si="25"/>
        <v>36796.965448700001</v>
      </c>
      <c r="O81" s="143">
        <f t="shared" si="25"/>
        <v>41137.901633540008</v>
      </c>
    </row>
    <row r="82" spans="2:16">
      <c r="B82" s="166"/>
      <c r="C82" s="167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</row>
    <row r="83" spans="2:16">
      <c r="B83" s="112"/>
      <c r="G83" s="164"/>
      <c r="H83" s="143"/>
      <c r="I83" s="143"/>
      <c r="J83" s="143"/>
      <c r="K83" s="143"/>
      <c r="L83" s="143"/>
      <c r="M83" s="143"/>
      <c r="N83" s="143"/>
      <c r="O83" s="143"/>
    </row>
    <row r="84" spans="2:16">
      <c r="B84" s="112"/>
      <c r="G84" s="164"/>
      <c r="H84" s="143"/>
      <c r="I84" s="143"/>
      <c r="J84" s="143"/>
      <c r="K84" s="143"/>
      <c r="L84" s="143"/>
      <c r="M84" s="143"/>
      <c r="N84" s="143" t="str">
        <f>N44</f>
        <v>CURRENTLY RUNNING: BASE CASE SCENARIO</v>
      </c>
      <c r="O84" s="143"/>
    </row>
    <row r="85" spans="2:16" ht="26">
      <c r="B85" s="193" t="str">
        <f>B45</f>
        <v>PAYPAL HOLDINGS, INC.</v>
      </c>
      <c r="C85" s="193"/>
      <c r="D85" s="193"/>
      <c r="E85" s="193"/>
      <c r="F85" s="193"/>
      <c r="G85" s="271"/>
      <c r="H85" s="252"/>
      <c r="I85" s="252"/>
      <c r="J85" s="252"/>
      <c r="K85" s="252"/>
      <c r="L85" s="252"/>
      <c r="M85" s="252"/>
      <c r="N85" s="193"/>
      <c r="O85" s="252"/>
    </row>
    <row r="86" spans="2:16" ht="20" thickBot="1">
      <c r="B86" s="240" t="s">
        <v>264</v>
      </c>
      <c r="C86" s="240"/>
      <c r="D86" s="240"/>
      <c r="E86" s="240"/>
      <c r="F86" s="240"/>
      <c r="G86" s="272"/>
      <c r="H86" s="241"/>
      <c r="I86" s="241"/>
      <c r="J86" s="241"/>
      <c r="K86" s="241"/>
      <c r="L86" s="241"/>
      <c r="M86" s="241"/>
      <c r="N86" s="241"/>
      <c r="O86" s="241"/>
    </row>
    <row r="87" spans="2:16">
      <c r="C87" s="132" t="str">
        <f>C47</f>
        <v>($ Millions)</v>
      </c>
    </row>
    <row r="88" spans="2:16">
      <c r="B88" s="70"/>
      <c r="K88" s="148" t="s">
        <v>282</v>
      </c>
      <c r="L88" s="101"/>
      <c r="M88" s="101"/>
      <c r="N88" s="101"/>
      <c r="O88" s="101"/>
    </row>
    <row r="89" spans="2:16">
      <c r="E89" s="58"/>
      <c r="F89" s="58"/>
      <c r="G89" s="58"/>
      <c r="H89" s="253">
        <f>H49</f>
        <v>2020</v>
      </c>
      <c r="I89" s="253">
        <f t="shared" ref="I89:O89" si="26">I49</f>
        <v>2021</v>
      </c>
      <c r="J89" s="254">
        <f t="shared" si="26"/>
        <v>2022</v>
      </c>
      <c r="K89" s="158">
        <f t="shared" si="26"/>
        <v>2023</v>
      </c>
      <c r="L89" s="158">
        <f t="shared" si="26"/>
        <v>2024</v>
      </c>
      <c r="M89" s="158">
        <f t="shared" si="26"/>
        <v>2025</v>
      </c>
      <c r="N89" s="158">
        <f t="shared" si="26"/>
        <v>2026</v>
      </c>
      <c r="O89" s="158">
        <f t="shared" si="26"/>
        <v>2027</v>
      </c>
      <c r="P89" s="162" t="s">
        <v>283</v>
      </c>
    </row>
    <row r="90" spans="2:16">
      <c r="C90" s="70" t="s">
        <v>254</v>
      </c>
      <c r="H90" s="212">
        <f>H41</f>
        <v>21453.904735399999</v>
      </c>
      <c r="I90" s="212">
        <f t="shared" ref="I90:P90" si="27">I41</f>
        <v>25370.698162479999</v>
      </c>
      <c r="J90" s="212">
        <f>J41</f>
        <v>26847.204786652001</v>
      </c>
      <c r="K90" s="212">
        <f t="shared" si="27"/>
        <v>28858.983659200003</v>
      </c>
      <c r="L90" s="212">
        <f t="shared" si="27"/>
        <v>33273.886349799999</v>
      </c>
      <c r="M90" s="212">
        <f t="shared" si="27"/>
        <v>38941.549237663996</v>
      </c>
      <c r="N90" s="212">
        <f t="shared" si="27"/>
        <v>45150.363209679999</v>
      </c>
      <c r="O90" s="212">
        <f t="shared" si="27"/>
        <v>52482.163851616009</v>
      </c>
      <c r="P90" s="212">
        <f t="shared" si="27"/>
        <v>57496.930077521996</v>
      </c>
    </row>
    <row r="92" spans="2:16">
      <c r="C92" s="58" t="s">
        <v>162</v>
      </c>
      <c r="H92" s="143">
        <f>H58</f>
        <v>7934</v>
      </c>
      <c r="I92" s="143">
        <f t="shared" ref="I92:O92" si="28">I58</f>
        <v>10315</v>
      </c>
      <c r="J92" s="143">
        <f t="shared" si="28"/>
        <v>11798.666666666666</v>
      </c>
      <c r="K92" s="143">
        <f t="shared" si="28"/>
        <v>12966.5364188</v>
      </c>
      <c r="L92" s="143">
        <f t="shared" si="28"/>
        <v>14950.182038450001</v>
      </c>
      <c r="M92" s="143">
        <f t="shared" si="28"/>
        <v>17570.373671445999</v>
      </c>
      <c r="N92" s="143">
        <f t="shared" si="28"/>
        <v>20371.782030394999</v>
      </c>
      <c r="O92" s="143">
        <f t="shared" si="28"/>
        <v>23679.880436474006</v>
      </c>
      <c r="P92" s="143"/>
    </row>
    <row r="93" spans="2:16">
      <c r="C93" s="58" t="s">
        <v>163</v>
      </c>
      <c r="H93" s="143">
        <f>H59</f>
        <v>1741</v>
      </c>
      <c r="I93" s="143">
        <f t="shared" ref="I93:O93" si="29">I59</f>
        <v>1060</v>
      </c>
      <c r="J93" s="143">
        <f t="shared" si="29"/>
        <v>1578.6666666666667</v>
      </c>
      <c r="K93" s="143">
        <f t="shared" si="29"/>
        <v>2288.2123092000002</v>
      </c>
      <c r="L93" s="143">
        <f t="shared" si="29"/>
        <v>2638.26741855</v>
      </c>
      <c r="M93" s="143">
        <f t="shared" si="29"/>
        <v>3100.6541773139998</v>
      </c>
      <c r="N93" s="143">
        <f t="shared" si="29"/>
        <v>3595.0203583049993</v>
      </c>
      <c r="O93" s="143">
        <f t="shared" si="29"/>
        <v>4178.802429966001</v>
      </c>
      <c r="P93" s="143"/>
    </row>
    <row r="94" spans="2:16">
      <c r="C94" s="58" t="s">
        <v>164</v>
      </c>
      <c r="H94" s="157">
        <f>H62</f>
        <v>1778</v>
      </c>
      <c r="I94" s="157">
        <f t="shared" ref="I94:O94" si="30">I62</f>
        <v>2075</v>
      </c>
      <c r="J94" s="157">
        <f t="shared" si="30"/>
        <v>2105.3333333333335</v>
      </c>
      <c r="K94" s="157">
        <f t="shared" si="30"/>
        <v>2300</v>
      </c>
      <c r="L94" s="157">
        <f t="shared" si="30"/>
        <v>2426.5</v>
      </c>
      <c r="M94" s="157">
        <f t="shared" si="30"/>
        <v>2535.6924999999997</v>
      </c>
      <c r="N94" s="157">
        <f t="shared" si="30"/>
        <v>2637.1201999999998</v>
      </c>
      <c r="O94" s="157">
        <f t="shared" si="30"/>
        <v>2729.4194069999994</v>
      </c>
    </row>
    <row r="95" spans="2:16">
      <c r="C95" s="58" t="s">
        <v>165</v>
      </c>
      <c r="H95" s="157">
        <f t="shared" ref="H95:O98" si="31">H63</f>
        <v>1861</v>
      </c>
      <c r="I95" s="157">
        <f t="shared" si="31"/>
        <v>2445</v>
      </c>
      <c r="J95" s="157">
        <f t="shared" si="31"/>
        <v>2310.6666666666665</v>
      </c>
      <c r="K95" s="157">
        <f t="shared" si="31"/>
        <v>3000</v>
      </c>
      <c r="L95" s="157">
        <f t="shared" si="31"/>
        <v>3165</v>
      </c>
      <c r="M95" s="157">
        <f t="shared" si="31"/>
        <v>3307.4249999999997</v>
      </c>
      <c r="N95" s="157">
        <f t="shared" si="31"/>
        <v>3439.7219999999998</v>
      </c>
      <c r="O95" s="157">
        <f t="shared" si="31"/>
        <v>3560.1122699999996</v>
      </c>
    </row>
    <row r="96" spans="2:16">
      <c r="C96" s="58" t="s">
        <v>166</v>
      </c>
      <c r="H96" s="157">
        <f t="shared" si="31"/>
        <v>2642</v>
      </c>
      <c r="I96" s="157">
        <f t="shared" si="31"/>
        <v>3038</v>
      </c>
      <c r="J96" s="157">
        <f t="shared" si="31"/>
        <v>3241.3333333333335</v>
      </c>
      <c r="K96" s="157">
        <f t="shared" si="31"/>
        <v>3500</v>
      </c>
      <c r="L96" s="157">
        <f t="shared" si="31"/>
        <v>3692.5</v>
      </c>
      <c r="M96" s="157">
        <f t="shared" si="31"/>
        <v>3858.6624999999999</v>
      </c>
      <c r="N96" s="157">
        <f t="shared" si="31"/>
        <v>4013.009</v>
      </c>
      <c r="O96" s="157">
        <f t="shared" si="31"/>
        <v>4153.4643149999993</v>
      </c>
    </row>
    <row r="97" spans="3:21">
      <c r="C97" s="58" t="s">
        <v>167</v>
      </c>
      <c r="H97" s="157">
        <f t="shared" si="31"/>
        <v>2070</v>
      </c>
      <c r="I97" s="157">
        <f t="shared" si="31"/>
        <v>2114</v>
      </c>
      <c r="J97" s="157">
        <f t="shared" si="31"/>
        <v>2112</v>
      </c>
      <c r="K97" s="157">
        <f t="shared" si="31"/>
        <v>2300</v>
      </c>
      <c r="L97" s="157">
        <f t="shared" si="31"/>
        <v>2426.5</v>
      </c>
      <c r="M97" s="157">
        <f t="shared" si="31"/>
        <v>2535.6924999999997</v>
      </c>
      <c r="N97" s="157">
        <f t="shared" si="31"/>
        <v>2637.1201999999998</v>
      </c>
      <c r="O97" s="157">
        <f t="shared" si="31"/>
        <v>2729.4194069999994</v>
      </c>
    </row>
    <row r="98" spans="3:21">
      <c r="C98" s="58" t="s">
        <v>168</v>
      </c>
      <c r="H98" s="211">
        <f t="shared" si="31"/>
        <v>139</v>
      </c>
      <c r="I98" s="211">
        <f t="shared" si="31"/>
        <v>62</v>
      </c>
      <c r="J98" s="211">
        <f t="shared" si="31"/>
        <v>242.66666666666666</v>
      </c>
      <c r="K98" s="211">
        <f t="shared" si="31"/>
        <v>90</v>
      </c>
      <c r="L98" s="211">
        <f t="shared" si="31"/>
        <v>94.949999999999989</v>
      </c>
      <c r="M98" s="211">
        <f t="shared" si="31"/>
        <v>99.222749999999976</v>
      </c>
      <c r="N98" s="211">
        <f t="shared" si="31"/>
        <v>103.19165999999998</v>
      </c>
      <c r="O98" s="211">
        <f t="shared" si="31"/>
        <v>106.80336809999997</v>
      </c>
    </row>
    <row r="99" spans="3:21">
      <c r="C99" s="550" t="s">
        <v>261</v>
      </c>
      <c r="D99" s="549"/>
      <c r="E99" s="58"/>
      <c r="F99" s="58"/>
      <c r="G99" s="58"/>
      <c r="H99" s="425">
        <f t="shared" ref="H99:O99" si="32">SUM(H92:H98)</f>
        <v>18165</v>
      </c>
      <c r="I99" s="425">
        <f t="shared" si="32"/>
        <v>21109</v>
      </c>
      <c r="J99" s="425">
        <f t="shared" si="32"/>
        <v>23389.333333333332</v>
      </c>
      <c r="K99" s="425">
        <f t="shared" si="32"/>
        <v>26444.748727999999</v>
      </c>
      <c r="L99" s="425">
        <f t="shared" si="32"/>
        <v>29393.899457000003</v>
      </c>
      <c r="M99" s="425">
        <f t="shared" si="32"/>
        <v>33007.723098759998</v>
      </c>
      <c r="N99" s="425">
        <f t="shared" si="32"/>
        <v>36796.965448699993</v>
      </c>
      <c r="O99" s="425">
        <f t="shared" si="32"/>
        <v>41137.901633540008</v>
      </c>
      <c r="P99" s="233"/>
    </row>
    <row r="100" spans="3:21">
      <c r="H100" s="233"/>
      <c r="I100" s="233"/>
      <c r="J100" s="233"/>
      <c r="K100" s="233"/>
      <c r="L100" s="233"/>
      <c r="M100" s="233"/>
      <c r="N100" s="233"/>
      <c r="O100" s="233"/>
      <c r="P100" s="233"/>
    </row>
    <row r="101" spans="3:21">
      <c r="C101" s="550" t="s">
        <v>265</v>
      </c>
      <c r="D101" s="549"/>
      <c r="E101" s="70"/>
      <c r="F101" s="70"/>
      <c r="G101" s="70"/>
      <c r="H101" s="425">
        <f t="shared" ref="H101:O101" si="33">H90-H99</f>
        <v>3288.9047353999995</v>
      </c>
      <c r="I101" s="425">
        <f t="shared" si="33"/>
        <v>4261.6981624799992</v>
      </c>
      <c r="J101" s="425">
        <f t="shared" si="33"/>
        <v>3457.8714533186685</v>
      </c>
      <c r="K101" s="425">
        <f t="shared" si="33"/>
        <v>2414.2349312000042</v>
      </c>
      <c r="L101" s="425">
        <f t="shared" si="33"/>
        <v>3879.986892799996</v>
      </c>
      <c r="M101" s="425">
        <f t="shared" si="33"/>
        <v>5933.8261389039981</v>
      </c>
      <c r="N101" s="425">
        <f t="shared" si="33"/>
        <v>8353.3977609800058</v>
      </c>
      <c r="O101" s="425">
        <f t="shared" si="33"/>
        <v>11344.262218076001</v>
      </c>
      <c r="P101" s="233"/>
    </row>
    <row r="102" spans="3:21">
      <c r="H102" s="233"/>
      <c r="I102" s="233"/>
      <c r="J102" s="233"/>
      <c r="K102" s="233"/>
      <c r="L102" s="233"/>
      <c r="M102" s="233"/>
      <c r="N102" s="233"/>
      <c r="O102" s="233"/>
      <c r="P102" s="233"/>
    </row>
    <row r="103" spans="3:21">
      <c r="C103" s="58" t="s">
        <v>310</v>
      </c>
      <c r="H103" s="310">
        <v>-3174.1</v>
      </c>
      <c r="I103" s="310">
        <v>-1334.3</v>
      </c>
      <c r="J103" s="310">
        <v>-1158.5999999999999</v>
      </c>
      <c r="K103" s="426">
        <f>Assumptions!F67</f>
        <v>0</v>
      </c>
      <c r="L103" s="426">
        <f>Assumptions!G67</f>
        <v>0</v>
      </c>
      <c r="M103" s="426">
        <f>Assumptions!H67</f>
        <v>0</v>
      </c>
      <c r="N103" s="426">
        <f>Assumptions!I67</f>
        <v>0</v>
      </c>
      <c r="O103" s="426">
        <f>Assumptions!J67</f>
        <v>0</v>
      </c>
      <c r="P103" s="427"/>
    </row>
    <row r="104" spans="3:21">
      <c r="C104" s="70" t="s">
        <v>46</v>
      </c>
      <c r="H104" s="319">
        <f>H101-H103</f>
        <v>6463.0047353999998</v>
      </c>
      <c r="I104" s="319">
        <f t="shared" ref="I104:O104" si="34">I101-I103</f>
        <v>5595.9981624799993</v>
      </c>
      <c r="J104" s="319">
        <f>J101-J103</f>
        <v>4616.4714533186689</v>
      </c>
      <c r="K104" s="319">
        <f>K101-K103</f>
        <v>2414.2349312000042</v>
      </c>
      <c r="L104" s="319">
        <f t="shared" si="34"/>
        <v>3879.986892799996</v>
      </c>
      <c r="M104" s="319">
        <f t="shared" si="34"/>
        <v>5933.8261389039981</v>
      </c>
      <c r="N104" s="319">
        <f t="shared" si="34"/>
        <v>8353.3977609800058</v>
      </c>
      <c r="O104" s="319">
        <f t="shared" si="34"/>
        <v>11344.262218076001</v>
      </c>
      <c r="P104" s="319">
        <f>P90*P122</f>
        <v>10403.945045675689</v>
      </c>
    </row>
    <row r="105" spans="3:21">
      <c r="H105" s="233"/>
      <c r="I105" s="233"/>
      <c r="J105" s="233"/>
      <c r="K105" s="233"/>
      <c r="L105" s="233"/>
      <c r="M105" s="233"/>
      <c r="N105" s="233"/>
      <c r="O105" s="233"/>
      <c r="P105" s="233"/>
    </row>
    <row r="106" spans="3:21">
      <c r="C106" s="58" t="s">
        <v>8</v>
      </c>
      <c r="H106" s="427">
        <f>H225</f>
        <v>1189</v>
      </c>
      <c r="I106" s="427">
        <f t="shared" ref="I106:O106" si="35">I225</f>
        <v>1265</v>
      </c>
      <c r="J106" s="427">
        <f t="shared" si="35"/>
        <v>1321.3333333333333</v>
      </c>
      <c r="K106" s="427">
        <f t="shared" si="35"/>
        <v>531.57500000000005</v>
      </c>
      <c r="L106" s="427">
        <f t="shared" si="35"/>
        <v>653.45000000000005</v>
      </c>
      <c r="M106" s="427">
        <f t="shared" si="35"/>
        <v>781.26250000000005</v>
      </c>
      <c r="N106" s="427">
        <f t="shared" si="35"/>
        <v>914.5</v>
      </c>
      <c r="O106" s="427">
        <f t="shared" si="35"/>
        <v>1052.7273749999999</v>
      </c>
      <c r="P106" s="427">
        <f>Assumptions!K60</f>
        <v>1158.58314</v>
      </c>
    </row>
    <row r="107" spans="3:21">
      <c r="C107" s="70" t="s">
        <v>19</v>
      </c>
      <c r="H107" s="319">
        <f>H104-H106</f>
        <v>5274.0047353999998</v>
      </c>
      <c r="I107" s="319">
        <f t="shared" ref="I107:P107" si="36">I104-I106</f>
        <v>4330.9981624799993</v>
      </c>
      <c r="J107" s="319">
        <f t="shared" si="36"/>
        <v>3295.1381199853358</v>
      </c>
      <c r="K107" s="319">
        <f t="shared" si="36"/>
        <v>1882.6599312000042</v>
      </c>
      <c r="L107" s="319">
        <f t="shared" si="36"/>
        <v>3226.5368927999962</v>
      </c>
      <c r="M107" s="319">
        <f t="shared" si="36"/>
        <v>5152.5636389039983</v>
      </c>
      <c r="N107" s="319">
        <f t="shared" si="36"/>
        <v>7438.8977609800058</v>
      </c>
      <c r="O107" s="319">
        <f t="shared" si="36"/>
        <v>10291.534843076</v>
      </c>
      <c r="P107" s="319">
        <f t="shared" si="36"/>
        <v>9245.3619056756888</v>
      </c>
      <c r="T107" s="160"/>
      <c r="U107" s="160"/>
    </row>
    <row r="108" spans="3:21">
      <c r="H108" s="233"/>
      <c r="I108" s="233"/>
      <c r="J108" s="233"/>
      <c r="K108" s="233"/>
      <c r="L108" s="233"/>
      <c r="M108" s="233"/>
      <c r="N108" s="233"/>
      <c r="O108" s="233"/>
      <c r="P108" s="233"/>
    </row>
    <row r="109" spans="3:21">
      <c r="C109" s="58" t="s">
        <v>23</v>
      </c>
      <c r="H109" s="310">
        <v>209</v>
      </c>
      <c r="I109" s="310">
        <v>232</v>
      </c>
      <c r="J109" s="310">
        <f>(87+69+59)*4/3</f>
        <v>286.66666666666669</v>
      </c>
      <c r="K109" s="427">
        <f ca="1">K339</f>
        <v>415.75531471603421</v>
      </c>
      <c r="L109" s="427">
        <f t="shared" ref="L109:O109" ca="1" si="37">L339</f>
        <v>393.64316165444916</v>
      </c>
      <c r="M109" s="427">
        <f t="shared" ca="1" si="37"/>
        <v>383.57398441805162</v>
      </c>
      <c r="N109" s="427">
        <f t="shared" ca="1" si="37"/>
        <v>369.47629113265106</v>
      </c>
      <c r="O109" s="427">
        <f t="shared" ca="1" si="37"/>
        <v>350.44843098687488</v>
      </c>
      <c r="P109" s="428">
        <v>0</v>
      </c>
      <c r="Q109" s="105"/>
    </row>
    <row r="110" spans="3:21">
      <c r="C110" s="112" t="s">
        <v>266</v>
      </c>
      <c r="H110" s="319">
        <f>H107-H109</f>
        <v>5065.0047353999998</v>
      </c>
      <c r="I110" s="319">
        <f t="shared" ref="I110:P110" si="38">I107-I109</f>
        <v>4098.9981624799993</v>
      </c>
      <c r="J110" s="319">
        <f t="shared" si="38"/>
        <v>3008.4714533186693</v>
      </c>
      <c r="K110" s="319">
        <f t="shared" ca="1" si="38"/>
        <v>1466.9046164839699</v>
      </c>
      <c r="L110" s="319">
        <f t="shared" ca="1" si="38"/>
        <v>2832.893731145547</v>
      </c>
      <c r="M110" s="319">
        <f t="shared" ca="1" si="38"/>
        <v>4768.9896544859466</v>
      </c>
      <c r="N110" s="319">
        <f t="shared" ca="1" si="38"/>
        <v>7069.4214698473552</v>
      </c>
      <c r="O110" s="319">
        <f t="shared" ca="1" si="38"/>
        <v>9941.0864120891256</v>
      </c>
      <c r="P110" s="319">
        <f t="shared" si="38"/>
        <v>9245.3619056756888</v>
      </c>
    </row>
    <row r="111" spans="3:21">
      <c r="H111" s="233"/>
      <c r="I111" s="233"/>
      <c r="J111" s="233"/>
      <c r="K111" s="233"/>
      <c r="L111" s="233"/>
      <c r="M111" s="233"/>
      <c r="N111" s="233"/>
      <c r="O111" s="233"/>
      <c r="P111" s="233"/>
    </row>
    <row r="112" spans="3:21">
      <c r="C112" s="69" t="s">
        <v>311</v>
      </c>
      <c r="H112" s="308">
        <v>698</v>
      </c>
      <c r="I112" s="308">
        <v>412</v>
      </c>
      <c r="J112" s="308">
        <v>777.33333333333326</v>
      </c>
      <c r="K112" s="233">
        <f ca="1">K257</f>
        <v>378.18240412099249</v>
      </c>
      <c r="L112" s="233">
        <f t="shared" ref="L112:O112" ca="1" si="39">L257</f>
        <v>779.00780778638682</v>
      </c>
      <c r="M112" s="233">
        <f t="shared" ca="1" si="39"/>
        <v>1254.2231948714866</v>
      </c>
      <c r="N112" s="233">
        <f t="shared" ca="1" si="39"/>
        <v>1829.3567346493387</v>
      </c>
      <c r="O112" s="233">
        <f t="shared" ca="1" si="39"/>
        <v>2554.3720346629066</v>
      </c>
      <c r="P112" s="233">
        <f>P110*D233</f>
        <v>2311.3404764189222</v>
      </c>
    </row>
    <row r="113" spans="2:16">
      <c r="C113" s="69" t="s">
        <v>312</v>
      </c>
      <c r="H113" s="427">
        <f>227-62</f>
        <v>165</v>
      </c>
      <c r="I113" s="427">
        <v>-482</v>
      </c>
      <c r="J113" s="427">
        <f>175*4/3</f>
        <v>233.33333333333334</v>
      </c>
      <c r="K113" s="427">
        <f ca="1">K258</f>
        <v>-11.456250000000011</v>
      </c>
      <c r="L113" s="427">
        <f t="shared" ref="L113:O113" ca="1" si="40">L258</f>
        <v>-70.784375000000068</v>
      </c>
      <c r="M113" s="427">
        <f t="shared" ca="1" si="40"/>
        <v>-61.975781249999955</v>
      </c>
      <c r="N113" s="427">
        <f t="shared" ca="1" si="40"/>
        <v>-62.001367187499909</v>
      </c>
      <c r="O113" s="427">
        <f t="shared" ca="1" si="40"/>
        <v>-69.100431640625175</v>
      </c>
      <c r="P113" s="310">
        <v>0</v>
      </c>
    </row>
    <row r="114" spans="2:16">
      <c r="C114" s="112" t="s">
        <v>267</v>
      </c>
      <c r="H114" s="233">
        <f>H112+H113</f>
        <v>863</v>
      </c>
      <c r="I114" s="233">
        <f t="shared" ref="I114:P114" si="41">I112+I113</f>
        <v>-70</v>
      </c>
      <c r="J114" s="233">
        <f t="shared" si="41"/>
        <v>1010.6666666666666</v>
      </c>
      <c r="K114" s="233">
        <f t="shared" ca="1" si="41"/>
        <v>366.72615412099248</v>
      </c>
      <c r="L114" s="233">
        <f t="shared" ca="1" si="41"/>
        <v>708.22343278638675</v>
      </c>
      <c r="M114" s="233">
        <f t="shared" ca="1" si="41"/>
        <v>1192.2474136214867</v>
      </c>
      <c r="N114" s="233">
        <f t="shared" ca="1" si="41"/>
        <v>1767.3553674618388</v>
      </c>
      <c r="O114" s="233">
        <f t="shared" ca="1" si="41"/>
        <v>2485.2716030222814</v>
      </c>
      <c r="P114" s="233">
        <f t="shared" si="41"/>
        <v>2311.3404764189222</v>
      </c>
    </row>
    <row r="115" spans="2:16">
      <c r="H115" s="306"/>
      <c r="I115" s="306"/>
      <c r="J115" s="306"/>
      <c r="K115" s="306"/>
      <c r="L115" s="306"/>
      <c r="M115" s="306"/>
      <c r="N115" s="306"/>
      <c r="O115" s="306"/>
      <c r="P115" s="306"/>
    </row>
    <row r="116" spans="2:16" ht="13.5" thickBot="1">
      <c r="C116" s="112" t="s">
        <v>35</v>
      </c>
      <c r="H116" s="424">
        <f>H110-H114</f>
        <v>4202.0047353999998</v>
      </c>
      <c r="I116" s="424">
        <v>4169</v>
      </c>
      <c r="J116" s="424">
        <f>J110-J114</f>
        <v>1997.8047866520028</v>
      </c>
      <c r="K116" s="424">
        <f t="shared" ref="K116:P116" ca="1" si="42">K110-K114</f>
        <v>1100.1784623629774</v>
      </c>
      <c r="L116" s="424">
        <f t="shared" ca="1" si="42"/>
        <v>2124.6702983591604</v>
      </c>
      <c r="M116" s="424">
        <f t="shared" ca="1" si="42"/>
        <v>3576.7422408644597</v>
      </c>
      <c r="N116" s="424">
        <f t="shared" ca="1" si="42"/>
        <v>5302.0661023855164</v>
      </c>
      <c r="O116" s="424">
        <f t="shared" ca="1" si="42"/>
        <v>7455.8148090668437</v>
      </c>
      <c r="P116" s="424">
        <f t="shared" si="42"/>
        <v>6934.0214292567671</v>
      </c>
    </row>
    <row r="117" spans="2:16" ht="13.5" thickTop="1">
      <c r="C117" s="112"/>
      <c r="H117" s="317"/>
      <c r="I117" s="317"/>
      <c r="J117" s="317"/>
      <c r="K117" s="317"/>
      <c r="L117" s="317"/>
      <c r="M117" s="317"/>
      <c r="N117" s="317"/>
      <c r="O117" s="317"/>
      <c r="P117" s="317"/>
    </row>
    <row r="118" spans="2:16">
      <c r="C118" s="69" t="s">
        <v>440</v>
      </c>
      <c r="H118" s="307">
        <v>1187</v>
      </c>
      <c r="I118" s="307">
        <v>1186</v>
      </c>
      <c r="J118" s="307">
        <v>1168</v>
      </c>
      <c r="K118" s="306">
        <f>K372</f>
        <v>1600</v>
      </c>
      <c r="L118" s="306">
        <f t="shared" ref="L118:O118" si="43">L372</f>
        <v>1600</v>
      </c>
      <c r="M118" s="306">
        <f t="shared" si="43"/>
        <v>1600</v>
      </c>
      <c r="N118" s="306">
        <f t="shared" si="43"/>
        <v>1600</v>
      </c>
      <c r="O118" s="306">
        <f t="shared" si="43"/>
        <v>1600</v>
      </c>
      <c r="P118" s="306">
        <f>O118</f>
        <v>1600</v>
      </c>
    </row>
    <row r="119" spans="2:16">
      <c r="C119" s="112" t="s">
        <v>441</v>
      </c>
      <c r="H119" s="216">
        <f>H116/H118</f>
        <v>3.5400208385846672</v>
      </c>
      <c r="I119" s="216">
        <f t="shared" ref="I119:P119" si="44">I116/I118</f>
        <v>3.5151770657672849</v>
      </c>
      <c r="J119" s="216">
        <f t="shared" si="44"/>
        <v>1.7104493036404134</v>
      </c>
      <c r="K119" s="216">
        <f t="shared" ca="1" si="44"/>
        <v>0.68761153897686089</v>
      </c>
      <c r="L119" s="216">
        <f t="shared" ca="1" si="44"/>
        <v>1.3279189364744752</v>
      </c>
      <c r="M119" s="216">
        <f t="shared" ca="1" si="44"/>
        <v>2.2354639005402874</v>
      </c>
      <c r="N119" s="216">
        <f t="shared" ca="1" si="44"/>
        <v>3.3137913139909476</v>
      </c>
      <c r="O119" s="216">
        <f t="shared" ca="1" si="44"/>
        <v>4.6598842556667774</v>
      </c>
      <c r="P119" s="216">
        <f t="shared" si="44"/>
        <v>4.3337633932854791</v>
      </c>
    </row>
    <row r="120" spans="2:16">
      <c r="C120" s="112"/>
      <c r="H120" s="160"/>
      <c r="I120" s="160"/>
      <c r="J120" s="160"/>
      <c r="K120" s="160"/>
      <c r="L120" s="160"/>
      <c r="M120" s="160"/>
      <c r="N120" s="160"/>
      <c r="O120" s="160"/>
    </row>
    <row r="121" spans="2:16">
      <c r="B121" s="196" t="s">
        <v>437</v>
      </c>
      <c r="C121" s="197"/>
      <c r="D121" s="198"/>
      <c r="E121" s="198"/>
      <c r="F121" s="198"/>
      <c r="G121" s="198"/>
      <c r="H121" s="199"/>
      <c r="I121" s="199"/>
      <c r="J121" s="199"/>
      <c r="K121" s="199"/>
      <c r="L121" s="199"/>
      <c r="M121" s="199"/>
      <c r="N121" s="199"/>
      <c r="O121" s="199"/>
      <c r="P121" s="200"/>
    </row>
    <row r="122" spans="2:16">
      <c r="B122" s="201"/>
      <c r="C122" s="69" t="s">
        <v>48</v>
      </c>
      <c r="H122" s="192">
        <f>H104/H90</f>
        <v>0.30125074270213031</v>
      </c>
      <c r="I122" s="192">
        <f t="shared" ref="I122:O122" si="45">I104/I90</f>
        <v>0.22056934052984639</v>
      </c>
      <c r="J122" s="192">
        <f t="shared" si="45"/>
        <v>0.171953523281273</v>
      </c>
      <c r="K122" s="192">
        <f t="shared" si="45"/>
        <v>8.3656270079018061E-2</v>
      </c>
      <c r="L122" s="192">
        <f t="shared" si="45"/>
        <v>0.11660756582536436</v>
      </c>
      <c r="M122" s="192">
        <f t="shared" si="45"/>
        <v>0.15237776244312445</v>
      </c>
      <c r="N122" s="192">
        <f t="shared" si="45"/>
        <v>0.18501285852754959</v>
      </c>
      <c r="O122" s="192">
        <f t="shared" si="45"/>
        <v>0.21615462064692847</v>
      </c>
      <c r="P122" s="217">
        <f>AVERAGE(H122:O122)</f>
        <v>0.18094783550440435</v>
      </c>
    </row>
    <row r="123" spans="2:16">
      <c r="B123" s="201"/>
      <c r="C123" s="69" t="s">
        <v>438</v>
      </c>
      <c r="H123" s="192">
        <f>H107/H90</f>
        <v>0.24582959607803387</v>
      </c>
      <c r="I123" s="192">
        <f t="shared" ref="I123:O123" si="46">I107/I90</f>
        <v>0.17070867087469391</v>
      </c>
      <c r="J123" s="192">
        <f t="shared" si="46"/>
        <v>0.12273672980747798</v>
      </c>
      <c r="K123" s="192">
        <f t="shared" si="46"/>
        <v>6.5236529235839114E-2</v>
      </c>
      <c r="L123" s="192">
        <f t="shared" si="46"/>
        <v>9.6969042295817959E-2</v>
      </c>
      <c r="M123" s="192">
        <f t="shared" si="46"/>
        <v>0.13231532231697846</v>
      </c>
      <c r="N123" s="192">
        <f t="shared" si="46"/>
        <v>0.16475831493167581</v>
      </c>
      <c r="O123" s="192">
        <f t="shared" si="46"/>
        <v>0.19609585595924525</v>
      </c>
      <c r="P123" s="213"/>
    </row>
    <row r="124" spans="2:16">
      <c r="B124" s="202"/>
      <c r="C124" s="203" t="s">
        <v>439</v>
      </c>
      <c r="D124" s="203"/>
      <c r="E124" s="203"/>
      <c r="F124" s="203"/>
      <c r="G124" s="203"/>
      <c r="H124" s="214"/>
      <c r="I124" s="214"/>
      <c r="J124" s="214">
        <f t="shared" ref="J124:O124" si="47">J116/J197</f>
        <v>9.8588866297473488E-2</v>
      </c>
      <c r="K124" s="214">
        <f t="shared" ca="1" si="47"/>
        <v>5.1496408546724548E-2</v>
      </c>
      <c r="L124" s="214">
        <f t="shared" ca="1" si="47"/>
        <v>9.0454424565584363E-2</v>
      </c>
      <c r="M124" s="214">
        <f t="shared" ca="1" si="47"/>
        <v>0.13215090114436404</v>
      </c>
      <c r="N124" s="214">
        <f t="shared" ca="1" si="47"/>
        <v>0.16380753433447778</v>
      </c>
      <c r="O124" s="214">
        <f t="shared" ca="1" si="47"/>
        <v>0.18722161707416748</v>
      </c>
      <c r="P124" s="215"/>
    </row>
    <row r="125" spans="2:16">
      <c r="B125" s="166"/>
      <c r="C125" s="167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</row>
    <row r="126" spans="2:16">
      <c r="C126" s="112"/>
    </row>
    <row r="127" spans="2:16">
      <c r="C127" s="112"/>
      <c r="N127" s="143" t="str">
        <f>N84</f>
        <v>CURRENTLY RUNNING: BASE CASE SCENARIO</v>
      </c>
    </row>
    <row r="128" spans="2:16" ht="26">
      <c r="B128" s="193" t="str">
        <f>B85</f>
        <v>PAYPAL HOLDINGS, INC.</v>
      </c>
      <c r="C128" s="237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P128" s="236"/>
    </row>
    <row r="129" spans="2:28" ht="20" thickBot="1">
      <c r="B129" s="240" t="s">
        <v>268</v>
      </c>
      <c r="C129" s="194"/>
      <c r="D129" s="194"/>
      <c r="E129" s="194"/>
      <c r="F129" s="194"/>
      <c r="G129" s="270"/>
      <c r="H129" s="239"/>
      <c r="I129" s="239"/>
      <c r="J129" s="239"/>
      <c r="K129" s="239"/>
      <c r="L129" s="239"/>
      <c r="M129" s="239"/>
      <c r="N129" s="239"/>
      <c r="O129" s="239"/>
      <c r="P129" s="239"/>
      <c r="AB129" s="160"/>
    </row>
    <row r="130" spans="2:28">
      <c r="C130" s="132" t="str">
        <f>C87</f>
        <v>($ Millions)</v>
      </c>
    </row>
    <row r="131" spans="2:28">
      <c r="K131" s="148" t="s">
        <v>282</v>
      </c>
      <c r="L131" s="101"/>
      <c r="M131" s="101"/>
      <c r="N131" s="101"/>
      <c r="O131" s="101"/>
      <c r="P131" s="101"/>
    </row>
    <row r="132" spans="2:28">
      <c r="B132" s="70"/>
      <c r="E132" s="58"/>
      <c r="F132" s="58"/>
      <c r="G132" s="58"/>
      <c r="H132" s="253">
        <f>H89</f>
        <v>2020</v>
      </c>
      <c r="I132" s="253">
        <f t="shared" ref="I132:O132" si="48">I89</f>
        <v>2021</v>
      </c>
      <c r="J132" s="254">
        <f t="shared" si="48"/>
        <v>2022</v>
      </c>
      <c r="K132" s="158">
        <f t="shared" si="48"/>
        <v>2023</v>
      </c>
      <c r="L132" s="158">
        <f t="shared" si="48"/>
        <v>2024</v>
      </c>
      <c r="M132" s="158">
        <f t="shared" si="48"/>
        <v>2025</v>
      </c>
      <c r="N132" s="158">
        <f t="shared" si="48"/>
        <v>2026</v>
      </c>
      <c r="O132" s="158">
        <f t="shared" si="48"/>
        <v>2027</v>
      </c>
      <c r="P132" s="162"/>
    </row>
    <row r="134" spans="2:28">
      <c r="B134" s="70" t="s">
        <v>269</v>
      </c>
      <c r="AB134" s="160"/>
    </row>
    <row r="135" spans="2:28">
      <c r="C135" s="58" t="s">
        <v>35</v>
      </c>
      <c r="H135" s="233">
        <f>H116</f>
        <v>4202.0047353999998</v>
      </c>
      <c r="I135" s="233">
        <f>I116</f>
        <v>4169</v>
      </c>
      <c r="J135" s="233">
        <f t="shared" ref="J135:O135" si="49">J116</f>
        <v>1997.8047866520028</v>
      </c>
      <c r="K135" s="233">
        <f t="shared" ca="1" si="49"/>
        <v>1100.1784623629774</v>
      </c>
      <c r="L135" s="233">
        <f t="shared" ca="1" si="49"/>
        <v>2124.6702983591604</v>
      </c>
      <c r="M135" s="233">
        <f t="shared" ca="1" si="49"/>
        <v>3576.7422408644597</v>
      </c>
      <c r="N135" s="233">
        <f t="shared" ca="1" si="49"/>
        <v>5302.0661023855164</v>
      </c>
      <c r="O135" s="233">
        <f t="shared" ca="1" si="49"/>
        <v>7455.8148090668437</v>
      </c>
      <c r="P135" s="160"/>
    </row>
    <row r="136" spans="2:28">
      <c r="C136" s="69" t="s">
        <v>163</v>
      </c>
      <c r="H136" s="233">
        <f>H59</f>
        <v>1741</v>
      </c>
      <c r="I136" s="233">
        <f t="shared" ref="I136:J136" si="50">I59</f>
        <v>1060</v>
      </c>
      <c r="J136" s="233">
        <f t="shared" si="50"/>
        <v>1578.6666666666667</v>
      </c>
      <c r="K136" s="233">
        <f>K59</f>
        <v>2288.2123092000002</v>
      </c>
      <c r="L136" s="233">
        <f t="shared" ref="L136:O136" si="51">L59</f>
        <v>2638.26741855</v>
      </c>
      <c r="M136" s="233">
        <f t="shared" si="51"/>
        <v>3100.6541773139998</v>
      </c>
      <c r="N136" s="233">
        <f t="shared" si="51"/>
        <v>3595.0203583049993</v>
      </c>
      <c r="O136" s="233">
        <f t="shared" si="51"/>
        <v>4178.802429966001</v>
      </c>
      <c r="P136" s="143"/>
      <c r="Q136" s="105"/>
    </row>
    <row r="137" spans="2:28">
      <c r="C137" s="69" t="s">
        <v>313</v>
      </c>
      <c r="H137" s="233">
        <f t="shared" ref="H137:O137" si="52">H225</f>
        <v>1189</v>
      </c>
      <c r="I137" s="233">
        <f t="shared" si="52"/>
        <v>1265</v>
      </c>
      <c r="J137" s="233">
        <f t="shared" si="52"/>
        <v>1321.3333333333333</v>
      </c>
      <c r="K137" s="233">
        <f t="shared" si="52"/>
        <v>531.57500000000005</v>
      </c>
      <c r="L137" s="233">
        <f t="shared" si="52"/>
        <v>653.45000000000005</v>
      </c>
      <c r="M137" s="233">
        <f t="shared" si="52"/>
        <v>781.26250000000005</v>
      </c>
      <c r="N137" s="233">
        <f t="shared" si="52"/>
        <v>914.5</v>
      </c>
      <c r="O137" s="233">
        <f t="shared" si="52"/>
        <v>1052.7273749999999</v>
      </c>
    </row>
    <row r="138" spans="2:28">
      <c r="C138" s="69" t="s">
        <v>312</v>
      </c>
      <c r="H138" s="233">
        <f t="shared" ref="H138:O138" si="53">H113</f>
        <v>165</v>
      </c>
      <c r="I138" s="233">
        <f t="shared" si="53"/>
        <v>-482</v>
      </c>
      <c r="J138" s="233">
        <f t="shared" si="53"/>
        <v>233.33333333333334</v>
      </c>
      <c r="K138" s="233">
        <f t="shared" ca="1" si="53"/>
        <v>-11.456250000000011</v>
      </c>
      <c r="L138" s="233">
        <f t="shared" ca="1" si="53"/>
        <v>-70.784375000000068</v>
      </c>
      <c r="M138" s="233">
        <f t="shared" ca="1" si="53"/>
        <v>-61.975781249999955</v>
      </c>
      <c r="N138" s="233">
        <f t="shared" ca="1" si="53"/>
        <v>-62.001367187499909</v>
      </c>
      <c r="O138" s="233">
        <f t="shared" ca="1" si="53"/>
        <v>-69.100431640625175</v>
      </c>
    </row>
    <row r="139" spans="2:28">
      <c r="C139" s="69" t="s">
        <v>273</v>
      </c>
      <c r="H139" s="308">
        <v>-491</v>
      </c>
      <c r="I139" s="308">
        <v>1430</v>
      </c>
      <c r="J139" s="308">
        <v>2262.7714533186636</v>
      </c>
      <c r="K139" s="233">
        <f>Assumptions!O76</f>
        <v>75</v>
      </c>
      <c r="L139" s="233">
        <f>Assumptions!P76</f>
        <v>75</v>
      </c>
      <c r="M139" s="233">
        <f>Assumptions!Q76</f>
        <v>75</v>
      </c>
      <c r="N139" s="233">
        <f>Assumptions!R76</f>
        <v>75</v>
      </c>
      <c r="O139" s="233">
        <f>Assumptions!S76</f>
        <v>75</v>
      </c>
    </row>
    <row r="140" spans="2:28">
      <c r="C140" s="69" t="s">
        <v>314</v>
      </c>
      <c r="H140" s="308">
        <f>(-100-1120-498-4-230+1000)</f>
        <v>-952</v>
      </c>
      <c r="I140" s="308">
        <v>-1102</v>
      </c>
      <c r="J140" s="308">
        <f>(26+235-437)*4/3</f>
        <v>-234.66666666666666</v>
      </c>
      <c r="K140" s="233">
        <f>K298</f>
        <v>11134.238705609618</v>
      </c>
      <c r="L140" s="233">
        <f t="shared" ref="L140:O140" si="54">L298</f>
        <v>-1310.6291198137087</v>
      </c>
      <c r="M140" s="233">
        <f t="shared" si="54"/>
        <v>-1893.315569905852</v>
      </c>
      <c r="N140" s="233">
        <f t="shared" si="54"/>
        <v>-2404.9980322051861</v>
      </c>
      <c r="O140" s="233">
        <f t="shared" si="54"/>
        <v>-3090.9051270691011</v>
      </c>
    </row>
    <row r="141" spans="2:28">
      <c r="C141" s="168" t="s">
        <v>270</v>
      </c>
      <c r="D141" s="132"/>
      <c r="E141" s="132"/>
      <c r="F141" s="132"/>
      <c r="G141" s="132"/>
      <c r="H141" s="309">
        <f t="shared" ref="H141:O141" si="55">SUM(H135:H140)</f>
        <v>5854.0047353999998</v>
      </c>
      <c r="I141" s="309">
        <f t="shared" si="55"/>
        <v>6340</v>
      </c>
      <c r="J141" s="309">
        <f t="shared" si="55"/>
        <v>7159.2429066373325</v>
      </c>
      <c r="K141" s="309">
        <f t="shared" ca="1" si="55"/>
        <v>15117.748227172595</v>
      </c>
      <c r="L141" s="309">
        <f t="shared" ca="1" si="55"/>
        <v>4109.9742220954513</v>
      </c>
      <c r="M141" s="309">
        <f t="shared" ca="1" si="55"/>
        <v>5578.3675670226075</v>
      </c>
      <c r="N141" s="309">
        <f t="shared" ca="1" si="55"/>
        <v>7419.5870612978297</v>
      </c>
      <c r="O141" s="309">
        <f t="shared" ca="1" si="55"/>
        <v>9602.3390553231184</v>
      </c>
      <c r="P141" s="171"/>
    </row>
    <row r="142" spans="2:28">
      <c r="H142" s="233"/>
      <c r="I142" s="233"/>
      <c r="J142" s="233"/>
      <c r="K142" s="233"/>
      <c r="L142" s="233"/>
      <c r="M142" s="233"/>
      <c r="N142" s="233"/>
      <c r="O142" s="233"/>
    </row>
    <row r="143" spans="2:28">
      <c r="B143" s="70" t="s">
        <v>271</v>
      </c>
      <c r="H143" s="233"/>
      <c r="I143" s="233"/>
      <c r="J143" s="233"/>
      <c r="K143" s="233"/>
      <c r="L143" s="233"/>
      <c r="M143" s="233"/>
      <c r="N143" s="233"/>
      <c r="O143" s="233"/>
    </row>
    <row r="144" spans="2:28">
      <c r="C144" s="264" t="s">
        <v>272</v>
      </c>
      <c r="H144" s="308">
        <v>-866</v>
      </c>
      <c r="I144" s="308">
        <v>-908</v>
      </c>
      <c r="J144" s="308">
        <v>-730.66666666666663</v>
      </c>
      <c r="K144" s="429">
        <f>-Assumptions!F57</f>
        <v>-950</v>
      </c>
      <c r="L144" s="429">
        <f>-Assumptions!G57</f>
        <v>-1000</v>
      </c>
      <c r="M144" s="429">
        <f>-Assumptions!H57</f>
        <v>-1045</v>
      </c>
      <c r="N144" s="429">
        <f>-Assumptions!I57</f>
        <v>-1086.8</v>
      </c>
      <c r="O144" s="429">
        <f>-Assumptions!J57</f>
        <v>-1124.838</v>
      </c>
    </row>
    <row r="145" spans="2:24">
      <c r="C145" s="58" t="s">
        <v>135</v>
      </c>
      <c r="H145" s="308">
        <v>-3609</v>
      </c>
      <c r="I145" s="308">
        <v>-2763</v>
      </c>
      <c r="J145" s="308">
        <v>0</v>
      </c>
      <c r="K145" s="429">
        <f>Assumptions!O66</f>
        <v>0</v>
      </c>
      <c r="L145" s="429">
        <f>Assumptions!P66</f>
        <v>0</v>
      </c>
      <c r="M145" s="429">
        <f>Assumptions!Q66</f>
        <v>0</v>
      </c>
      <c r="N145" s="429">
        <f>Assumptions!R66</f>
        <v>0</v>
      </c>
      <c r="O145" s="429">
        <f>Assumptions!S66</f>
        <v>0</v>
      </c>
    </row>
    <row r="146" spans="2:24">
      <c r="C146" s="58" t="s">
        <v>136</v>
      </c>
      <c r="H146" s="308">
        <v>120</v>
      </c>
      <c r="I146" s="308">
        <v>5</v>
      </c>
      <c r="J146" s="308">
        <v>6.666666666666667</v>
      </c>
      <c r="K146" s="429">
        <f>Assumptions!O67</f>
        <v>6</v>
      </c>
      <c r="L146" s="429">
        <f>Assumptions!P67</f>
        <v>6</v>
      </c>
      <c r="M146" s="429">
        <f>Assumptions!Q67</f>
        <v>6</v>
      </c>
      <c r="N146" s="429">
        <f>Assumptions!R67</f>
        <v>6</v>
      </c>
      <c r="O146" s="429">
        <f>Assumptions!S67</f>
        <v>6</v>
      </c>
    </row>
    <row r="147" spans="2:24">
      <c r="C147" s="69" t="s">
        <v>315</v>
      </c>
      <c r="H147" s="308">
        <v>-10605</v>
      </c>
      <c r="I147" s="308">
        <v>-418</v>
      </c>
      <c r="J147" s="308">
        <v>420</v>
      </c>
      <c r="K147" s="429">
        <f>Assumptions!O68</f>
        <v>0</v>
      </c>
      <c r="L147" s="429">
        <f>Assumptions!P68</f>
        <v>0</v>
      </c>
      <c r="M147" s="429">
        <f>Assumptions!Q68</f>
        <v>0</v>
      </c>
      <c r="N147" s="429">
        <f>Assumptions!R68</f>
        <v>0</v>
      </c>
      <c r="O147" s="429">
        <f>Assumptions!S68</f>
        <v>0</v>
      </c>
    </row>
    <row r="148" spans="2:24">
      <c r="C148" s="69" t="s">
        <v>450</v>
      </c>
      <c r="H148" s="308">
        <v>-1258</v>
      </c>
      <c r="I148" s="308">
        <v>-1401</v>
      </c>
      <c r="J148" s="308">
        <v>-4077.3333333333358</v>
      </c>
      <c r="K148" s="429">
        <f>Assumptions!O69</f>
        <v>-1500</v>
      </c>
      <c r="L148" s="429">
        <f>Assumptions!P69</f>
        <v>-1500</v>
      </c>
      <c r="M148" s="429">
        <f>Assumptions!Q69</f>
        <v>-1500</v>
      </c>
      <c r="N148" s="429">
        <f>Assumptions!R69</f>
        <v>-1500</v>
      </c>
      <c r="O148" s="429">
        <f>Assumptions!S69</f>
        <v>-1500</v>
      </c>
    </row>
    <row r="149" spans="2:24">
      <c r="C149" s="168" t="s">
        <v>274</v>
      </c>
      <c r="D149" s="132"/>
      <c r="E149" s="132"/>
      <c r="F149" s="132"/>
      <c r="G149" s="132"/>
      <c r="H149" s="309">
        <f t="shared" ref="H149:O149" si="56">SUM(H144:H148)</f>
        <v>-16218</v>
      </c>
      <c r="I149" s="309">
        <f t="shared" si="56"/>
        <v>-5485</v>
      </c>
      <c r="J149" s="309">
        <f t="shared" si="56"/>
        <v>-4381.3333333333358</v>
      </c>
      <c r="K149" s="309">
        <f t="shared" si="56"/>
        <v>-2444</v>
      </c>
      <c r="L149" s="309">
        <f t="shared" si="56"/>
        <v>-2494</v>
      </c>
      <c r="M149" s="309">
        <f t="shared" si="56"/>
        <v>-2539</v>
      </c>
      <c r="N149" s="309">
        <f t="shared" si="56"/>
        <v>-2580.8000000000002</v>
      </c>
      <c r="O149" s="309">
        <f t="shared" si="56"/>
        <v>-2618.8379999999997</v>
      </c>
      <c r="P149" s="132"/>
    </row>
    <row r="150" spans="2:24">
      <c r="C150" s="58"/>
      <c r="H150" s="233"/>
      <c r="I150" s="233"/>
      <c r="J150" s="233"/>
      <c r="K150" s="233"/>
      <c r="L150" s="233"/>
      <c r="M150" s="233"/>
      <c r="N150" s="233"/>
      <c r="O150" s="233"/>
    </row>
    <row r="151" spans="2:24">
      <c r="B151" s="70" t="s">
        <v>275</v>
      </c>
      <c r="H151" s="233"/>
      <c r="I151" s="233"/>
      <c r="J151" s="233"/>
      <c r="K151" s="233"/>
      <c r="L151" s="233"/>
      <c r="M151" s="233"/>
      <c r="N151" s="233"/>
      <c r="O151" s="233"/>
    </row>
    <row r="152" spans="2:24">
      <c r="C152" s="58" t="s">
        <v>442</v>
      </c>
      <c r="H152" s="308">
        <v>-1498</v>
      </c>
      <c r="I152" s="308">
        <v>-3211</v>
      </c>
      <c r="J152" s="308">
        <v>-4137.333333333333</v>
      </c>
      <c r="K152" s="429">
        <f>Assumptions!F90</f>
        <v>0</v>
      </c>
      <c r="L152" s="429">
        <f>Assumptions!G90</f>
        <v>0</v>
      </c>
      <c r="M152" s="429">
        <f>Assumptions!H90</f>
        <v>0</v>
      </c>
      <c r="N152" s="429">
        <f>Assumptions!I90</f>
        <v>0</v>
      </c>
      <c r="O152" s="429">
        <f>Assumptions!J90</f>
        <v>0</v>
      </c>
    </row>
    <row r="153" spans="2:24">
      <c r="C153" s="58" t="s">
        <v>372</v>
      </c>
      <c r="H153" s="233"/>
      <c r="I153" s="233"/>
      <c r="J153" s="233"/>
      <c r="K153" s="233">
        <f ca="1">K325</f>
        <v>0</v>
      </c>
      <c r="L153" s="233">
        <f t="shared" ref="L153:O153" ca="1" si="57">L325</f>
        <v>0</v>
      </c>
      <c r="M153" s="233">
        <f t="shared" ca="1" si="57"/>
        <v>0</v>
      </c>
      <c r="N153" s="233">
        <f t="shared" ca="1" si="57"/>
        <v>0</v>
      </c>
      <c r="O153" s="233">
        <f t="shared" ca="1" si="57"/>
        <v>0</v>
      </c>
    </row>
    <row r="154" spans="2:24">
      <c r="C154" s="69" t="s">
        <v>443</v>
      </c>
      <c r="H154" s="308">
        <v>3966</v>
      </c>
      <c r="I154" s="308">
        <v>-89</v>
      </c>
      <c r="J154" s="308">
        <v>2213.3333333333335</v>
      </c>
      <c r="K154" s="233">
        <f>K333</f>
        <v>-100</v>
      </c>
      <c r="L154" s="233">
        <f t="shared" ref="L154:O154" si="58">L333</f>
        <v>-100</v>
      </c>
      <c r="M154" s="233">
        <f t="shared" si="58"/>
        <v>-100</v>
      </c>
      <c r="N154" s="233">
        <f t="shared" si="58"/>
        <v>-100</v>
      </c>
      <c r="O154" s="233">
        <f t="shared" si="58"/>
        <v>-100</v>
      </c>
    </row>
    <row r="155" spans="2:24">
      <c r="C155" s="69" t="s">
        <v>121</v>
      </c>
      <c r="H155" s="310">
        <v>10024</v>
      </c>
      <c r="I155" s="310">
        <v>2536</v>
      </c>
      <c r="J155" s="310">
        <v>-1305.3333333333333</v>
      </c>
      <c r="K155" s="430">
        <f>Assumptions!O81</f>
        <v>0</v>
      </c>
      <c r="L155" s="430">
        <f>Assumptions!P81</f>
        <v>0</v>
      </c>
      <c r="M155" s="430">
        <f>Assumptions!Q81</f>
        <v>0</v>
      </c>
      <c r="N155" s="430">
        <f>Assumptions!R81</f>
        <v>0</v>
      </c>
      <c r="O155" s="430">
        <f>Assumptions!S81</f>
        <v>0</v>
      </c>
    </row>
    <row r="156" spans="2:24" s="132" customFormat="1">
      <c r="C156" s="132" t="s">
        <v>154</v>
      </c>
      <c r="H156" s="311">
        <f>SUM(H152:H155)</f>
        <v>12492</v>
      </c>
      <c r="I156" s="311">
        <f>SUM(I152:I155)</f>
        <v>-764</v>
      </c>
      <c r="J156" s="311">
        <f>SUM(J152:J155)</f>
        <v>-3229.333333333333</v>
      </c>
      <c r="K156" s="311">
        <f t="shared" ref="K156:O156" ca="1" si="59">SUM(K152:K155)</f>
        <v>-100</v>
      </c>
      <c r="L156" s="311">
        <f t="shared" ca="1" si="59"/>
        <v>-100</v>
      </c>
      <c r="M156" s="311">
        <f t="shared" ca="1" si="59"/>
        <v>-100</v>
      </c>
      <c r="N156" s="311">
        <f t="shared" ca="1" si="59"/>
        <v>-100</v>
      </c>
      <c r="O156" s="311">
        <f t="shared" ca="1" si="59"/>
        <v>-100</v>
      </c>
      <c r="P156" s="171"/>
      <c r="Q156" s="69"/>
      <c r="R156" s="69"/>
      <c r="S156" s="69"/>
      <c r="T156" s="69"/>
      <c r="U156" s="69"/>
      <c r="V156" s="69"/>
      <c r="W156" s="69"/>
      <c r="X156" s="69"/>
    </row>
    <row r="157" spans="2:24">
      <c r="H157" s="233"/>
      <c r="I157" s="233"/>
      <c r="J157" s="233"/>
      <c r="K157" s="233"/>
      <c r="L157" s="233"/>
      <c r="M157" s="233"/>
      <c r="N157" s="233"/>
      <c r="O157" s="233"/>
    </row>
    <row r="158" spans="2:24">
      <c r="C158" s="227" t="s">
        <v>157</v>
      </c>
      <c r="D158" s="198"/>
      <c r="E158" s="198"/>
      <c r="F158" s="198"/>
      <c r="G158" s="198"/>
      <c r="H158" s="312">
        <v>169</v>
      </c>
      <c r="I158" s="312">
        <v>-102</v>
      </c>
      <c r="J158" s="312">
        <v>-338.66666666666669</v>
      </c>
      <c r="K158" s="431">
        <f>Scenarios!G48</f>
        <v>0</v>
      </c>
      <c r="L158" s="431">
        <f>Scenarios!H48</f>
        <v>0</v>
      </c>
      <c r="M158" s="431">
        <f>Scenarios!I48</f>
        <v>0</v>
      </c>
      <c r="N158" s="431">
        <f>Scenarios!J48</f>
        <v>0</v>
      </c>
      <c r="O158" s="431">
        <f>Scenarios!K48</f>
        <v>0</v>
      </c>
      <c r="P158" s="160"/>
    </row>
    <row r="159" spans="2:24">
      <c r="C159" s="201" t="s">
        <v>158</v>
      </c>
      <c r="H159" s="233">
        <f t="shared" ref="H159:O159" si="60">H141+H149+H156+H158</f>
        <v>2297.0047353999998</v>
      </c>
      <c r="I159" s="233">
        <f t="shared" si="60"/>
        <v>-11</v>
      </c>
      <c r="J159" s="233">
        <f t="shared" si="60"/>
        <v>-790.09042669600308</v>
      </c>
      <c r="K159" s="233">
        <f t="shared" ca="1" si="60"/>
        <v>12573.748227172595</v>
      </c>
      <c r="L159" s="233">
        <f t="shared" ca="1" si="60"/>
        <v>1515.9742220954513</v>
      </c>
      <c r="M159" s="233">
        <f t="shared" ca="1" si="60"/>
        <v>2939.3675670226075</v>
      </c>
      <c r="N159" s="233">
        <f t="shared" ca="1" si="60"/>
        <v>4738.7870612978295</v>
      </c>
      <c r="O159" s="314">
        <f t="shared" ca="1" si="60"/>
        <v>6883.5010553231186</v>
      </c>
      <c r="P159" s="160"/>
    </row>
    <row r="160" spans="2:24">
      <c r="C160" s="201" t="s">
        <v>316</v>
      </c>
      <c r="H160" s="233">
        <v>13083</v>
      </c>
      <c r="I160" s="233">
        <f>H161</f>
        <v>15380.0047354</v>
      </c>
      <c r="J160" s="233">
        <f t="shared" ref="J160:O160" si="61">I161</f>
        <v>15369.0047354</v>
      </c>
      <c r="K160" s="233">
        <f>J171</f>
        <v>10849</v>
      </c>
      <c r="L160" s="233">
        <f t="shared" ca="1" si="61"/>
        <v>23422.748227172597</v>
      </c>
      <c r="M160" s="233">
        <f t="shared" ca="1" si="61"/>
        <v>24938.722449268047</v>
      </c>
      <c r="N160" s="233">
        <f t="shared" ca="1" si="61"/>
        <v>27878.090016290655</v>
      </c>
      <c r="O160" s="314">
        <f t="shared" ca="1" si="61"/>
        <v>32616.877077588484</v>
      </c>
    </row>
    <row r="161" spans="2:17">
      <c r="B161" s="112"/>
      <c r="C161" s="228" t="s">
        <v>317</v>
      </c>
      <c r="D161" s="229"/>
      <c r="E161" s="229"/>
      <c r="F161" s="229"/>
      <c r="G161" s="229"/>
      <c r="H161" s="315">
        <f>H159+H160</f>
        <v>15380.0047354</v>
      </c>
      <c r="I161" s="315">
        <f t="shared" ref="I161:O161" si="62">I159+I160</f>
        <v>15369.0047354</v>
      </c>
      <c r="J161" s="315">
        <f t="shared" si="62"/>
        <v>14578.914308703997</v>
      </c>
      <c r="K161" s="315">
        <f t="shared" ca="1" si="62"/>
        <v>23422.748227172597</v>
      </c>
      <c r="L161" s="315">
        <f t="shared" ca="1" si="62"/>
        <v>24938.722449268047</v>
      </c>
      <c r="M161" s="315">
        <f t="shared" ca="1" si="62"/>
        <v>27878.090016290655</v>
      </c>
      <c r="N161" s="315">
        <f t="shared" ca="1" si="62"/>
        <v>32616.877077588484</v>
      </c>
      <c r="O161" s="316">
        <f t="shared" ca="1" si="62"/>
        <v>39500.378132911603</v>
      </c>
      <c r="P161" s="112"/>
    </row>
    <row r="162" spans="2:17"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</row>
    <row r="163" spans="2:17">
      <c r="C163" s="112"/>
      <c r="D163" s="112"/>
      <c r="E163" s="112"/>
      <c r="F163" s="112"/>
      <c r="G163" s="112"/>
      <c r="H163" s="172"/>
      <c r="I163" s="172"/>
      <c r="J163" s="172"/>
      <c r="K163" s="172"/>
      <c r="L163" s="172"/>
      <c r="M163" s="172"/>
      <c r="N163" s="172"/>
      <c r="O163" s="172"/>
      <c r="P163" s="172"/>
    </row>
    <row r="164" spans="2:17">
      <c r="C164" s="112"/>
      <c r="N164" s="143" t="str">
        <f>N127</f>
        <v>CURRENTLY RUNNING: BASE CASE SCENARIO</v>
      </c>
    </row>
    <row r="165" spans="2:17" ht="26">
      <c r="B165" s="193" t="str">
        <f>B128</f>
        <v>PAYPAL HOLDINGS, INC.</v>
      </c>
      <c r="C165" s="237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</row>
    <row r="166" spans="2:17" ht="20" thickBot="1">
      <c r="B166" s="240" t="s">
        <v>276</v>
      </c>
      <c r="C166" s="194"/>
      <c r="D166" s="194"/>
      <c r="E166" s="194"/>
      <c r="F166" s="194"/>
      <c r="G166" s="270"/>
      <c r="H166" s="239"/>
      <c r="I166" s="239"/>
      <c r="J166" s="239"/>
      <c r="K166" s="239"/>
      <c r="L166" s="239"/>
      <c r="M166" s="239"/>
      <c r="N166" s="239"/>
      <c r="O166" s="239"/>
      <c r="P166" s="239"/>
    </row>
    <row r="167" spans="2:17">
      <c r="C167" s="132" t="str">
        <f>C130</f>
        <v>($ Millions)</v>
      </c>
    </row>
    <row r="168" spans="2:17">
      <c r="K168" s="148" t="s">
        <v>282</v>
      </c>
      <c r="L168" s="101"/>
      <c r="M168" s="101"/>
      <c r="N168" s="101"/>
      <c r="O168" s="101"/>
      <c r="P168" s="101"/>
    </row>
    <row r="169" spans="2:17">
      <c r="B169" s="70"/>
      <c r="E169" s="58"/>
      <c r="F169" s="58"/>
      <c r="G169" s="58"/>
      <c r="H169" s="253">
        <f t="shared" ref="H169:O169" si="63">H132</f>
        <v>2020</v>
      </c>
      <c r="I169" s="253">
        <f t="shared" si="63"/>
        <v>2021</v>
      </c>
      <c r="J169" s="254">
        <f t="shared" si="63"/>
        <v>2022</v>
      </c>
      <c r="K169" s="158">
        <f t="shared" si="63"/>
        <v>2023</v>
      </c>
      <c r="L169" s="158">
        <f t="shared" si="63"/>
        <v>2024</v>
      </c>
      <c r="M169" s="158">
        <f t="shared" si="63"/>
        <v>2025</v>
      </c>
      <c r="N169" s="158">
        <f t="shared" si="63"/>
        <v>2026</v>
      </c>
      <c r="O169" s="158">
        <f t="shared" si="63"/>
        <v>2027</v>
      </c>
    </row>
    <row r="170" spans="2:17">
      <c r="C170" s="70" t="s">
        <v>277</v>
      </c>
    </row>
    <row r="171" spans="2:17">
      <c r="C171" s="58" t="s">
        <v>278</v>
      </c>
      <c r="H171" s="308">
        <v>13083</v>
      </c>
      <c r="I171" s="308">
        <v>9500</v>
      </c>
      <c r="J171" s="308">
        <v>10849</v>
      </c>
      <c r="K171" s="233">
        <f ca="1">K161</f>
        <v>23422.748227172597</v>
      </c>
      <c r="L171" s="233">
        <f t="shared" ref="L171:O171" ca="1" si="64">L161</f>
        <v>24938.722449268047</v>
      </c>
      <c r="M171" s="233">
        <f t="shared" ca="1" si="64"/>
        <v>27878.090016290655</v>
      </c>
      <c r="N171" s="233">
        <f t="shared" ca="1" si="64"/>
        <v>32616.877077588484</v>
      </c>
      <c r="O171" s="233">
        <f t="shared" ca="1" si="64"/>
        <v>39500.378132911603</v>
      </c>
      <c r="Q171" s="164"/>
    </row>
    <row r="172" spans="2:17">
      <c r="C172" s="58" t="s">
        <v>451</v>
      </c>
      <c r="H172" s="308">
        <v>36764</v>
      </c>
      <c r="I172" s="308">
        <v>41787</v>
      </c>
      <c r="J172" s="308">
        <v>41715</v>
      </c>
      <c r="K172" s="233">
        <f>K292</f>
        <v>41509.497044054799</v>
      </c>
      <c r="L172" s="233">
        <f t="shared" ref="L172:O172" si="65">L292</f>
        <v>47728.935337827868</v>
      </c>
      <c r="M172" s="233">
        <f t="shared" si="65"/>
        <v>56011.817396639992</v>
      </c>
      <c r="N172" s="233">
        <f t="shared" si="65"/>
        <v>64942.303246800002</v>
      </c>
      <c r="O172" s="233">
        <f t="shared" si="65"/>
        <v>75488.043896160016</v>
      </c>
      <c r="Q172" s="164"/>
    </row>
    <row r="173" spans="2:17">
      <c r="C173" s="58" t="s">
        <v>60</v>
      </c>
      <c r="H173" s="361">
        <v>1148</v>
      </c>
      <c r="I173" s="361">
        <v>1287</v>
      </c>
      <c r="J173" s="361">
        <v>2541</v>
      </c>
      <c r="K173" s="235">
        <f>K293</f>
        <v>2731.4082810768459</v>
      </c>
      <c r="L173" s="235">
        <f t="shared" ref="L173:O173" si="66">L293</f>
        <v>3140.6598131112792</v>
      </c>
      <c r="M173" s="235">
        <f t="shared" si="66"/>
        <v>3685.6900894986584</v>
      </c>
      <c r="N173" s="235">
        <f t="shared" si="66"/>
        <v>4273.3339961274978</v>
      </c>
      <c r="O173" s="235">
        <f t="shared" si="66"/>
        <v>4967.2649129290112</v>
      </c>
    </row>
    <row r="174" spans="2:17">
      <c r="C174" s="70" t="s">
        <v>318</v>
      </c>
      <c r="H174" s="319">
        <f t="shared" ref="H174:O174" si="67">SUM(H171:H173)</f>
        <v>50995</v>
      </c>
      <c r="I174" s="319">
        <f t="shared" si="67"/>
        <v>52574</v>
      </c>
      <c r="J174" s="319">
        <f t="shared" si="67"/>
        <v>55105</v>
      </c>
      <c r="K174" s="319">
        <f t="shared" ca="1" si="67"/>
        <v>67663.65355230424</v>
      </c>
      <c r="L174" s="319">
        <f t="shared" ca="1" si="67"/>
        <v>75808.3176002072</v>
      </c>
      <c r="M174" s="319">
        <f t="shared" ca="1" si="67"/>
        <v>87575.597502429315</v>
      </c>
      <c r="N174" s="319">
        <f t="shared" ca="1" si="67"/>
        <v>101832.514320516</v>
      </c>
      <c r="O174" s="319">
        <f t="shared" ca="1" si="67"/>
        <v>119955.68694200063</v>
      </c>
    </row>
    <row r="175" spans="2:17">
      <c r="C175" s="70"/>
      <c r="H175" s="233"/>
      <c r="I175" s="233"/>
      <c r="J175" s="233"/>
      <c r="K175" s="233"/>
      <c r="L175" s="233"/>
      <c r="M175" s="233"/>
      <c r="N175" s="233"/>
      <c r="O175" s="233"/>
    </row>
    <row r="176" spans="2:17">
      <c r="C176" s="69" t="s">
        <v>279</v>
      </c>
      <c r="H176" s="308">
        <v>2514</v>
      </c>
      <c r="I176" s="308">
        <v>2568</v>
      </c>
      <c r="J176" s="308">
        <v>2361</v>
      </c>
      <c r="K176" s="233">
        <f>J176-K144-K137-K146</f>
        <v>2773.4250000000002</v>
      </c>
      <c r="L176" s="233">
        <f t="shared" ref="L176:O176" si="68">K176-L144-L137-L146</f>
        <v>3113.9750000000004</v>
      </c>
      <c r="M176" s="233">
        <f t="shared" si="68"/>
        <v>3371.7125000000005</v>
      </c>
      <c r="N176" s="233">
        <f t="shared" si="68"/>
        <v>3538.0125000000007</v>
      </c>
      <c r="O176" s="233">
        <f t="shared" si="68"/>
        <v>3604.1231250000005</v>
      </c>
    </row>
    <row r="177" spans="3:15">
      <c r="C177" s="58" t="s">
        <v>452</v>
      </c>
      <c r="H177" s="308">
        <v>6089</v>
      </c>
      <c r="I177" s="308">
        <v>6818</v>
      </c>
      <c r="J177" s="308">
        <v>6230</v>
      </c>
      <c r="K177" s="233">
        <f>J177</f>
        <v>6230</v>
      </c>
      <c r="L177" s="233">
        <f t="shared" ref="L177:O177" si="69">K177</f>
        <v>6230</v>
      </c>
      <c r="M177" s="233">
        <f t="shared" si="69"/>
        <v>6230</v>
      </c>
      <c r="N177" s="233">
        <f t="shared" si="69"/>
        <v>6230</v>
      </c>
      <c r="O177" s="233">
        <f t="shared" si="69"/>
        <v>6230</v>
      </c>
    </row>
    <row r="178" spans="3:15">
      <c r="C178" s="58" t="s">
        <v>319</v>
      </c>
      <c r="H178" s="308">
        <v>10183</v>
      </c>
      <c r="I178" s="308">
        <v>12786</v>
      </c>
      <c r="J178" s="308">
        <v>11908</v>
      </c>
      <c r="K178" s="233">
        <f>J178</f>
        <v>11908</v>
      </c>
      <c r="L178" s="233">
        <f t="shared" ref="L178:O178" si="70">K178</f>
        <v>11908</v>
      </c>
      <c r="M178" s="233">
        <f t="shared" si="70"/>
        <v>11908</v>
      </c>
      <c r="N178" s="233">
        <f t="shared" si="70"/>
        <v>11908</v>
      </c>
      <c r="O178" s="233">
        <f t="shared" si="70"/>
        <v>11908</v>
      </c>
    </row>
    <row r="179" spans="3:15">
      <c r="C179" s="69" t="s">
        <v>320</v>
      </c>
      <c r="H179" s="308">
        <v>456</v>
      </c>
      <c r="I179" s="308">
        <v>510</v>
      </c>
      <c r="J179" s="308">
        <v>831</v>
      </c>
      <c r="K179" s="233">
        <f>J179-K148</f>
        <v>2331</v>
      </c>
      <c r="L179" s="233">
        <f t="shared" ref="L179:O179" si="71">K179-L148</f>
        <v>3831</v>
      </c>
      <c r="M179" s="233">
        <f t="shared" si="71"/>
        <v>5331</v>
      </c>
      <c r="N179" s="233">
        <f t="shared" si="71"/>
        <v>6831</v>
      </c>
      <c r="O179" s="233">
        <f t="shared" si="71"/>
        <v>8331</v>
      </c>
    </row>
    <row r="180" spans="3:15">
      <c r="C180" s="69" t="s">
        <v>349</v>
      </c>
      <c r="H180" s="308">
        <v>142</v>
      </c>
      <c r="I180" s="308">
        <v>547</v>
      </c>
      <c r="J180" s="308">
        <v>0</v>
      </c>
      <c r="K180" s="233">
        <f>J180</f>
        <v>0</v>
      </c>
      <c r="L180" s="233">
        <f t="shared" ref="L180:O180" si="72">K180</f>
        <v>0</v>
      </c>
      <c r="M180" s="233">
        <f t="shared" si="72"/>
        <v>0</v>
      </c>
      <c r="N180" s="233">
        <f t="shared" si="72"/>
        <v>0</v>
      </c>
      <c r="O180" s="233">
        <f t="shared" si="72"/>
        <v>0</v>
      </c>
    </row>
    <row r="181" spans="3:15" ht="13.5" thickBot="1">
      <c r="C181" s="70" t="s">
        <v>76</v>
      </c>
      <c r="H181" s="320">
        <f>H174+SUM(H176:H180)</f>
        <v>70379</v>
      </c>
      <c r="I181" s="320">
        <f>SUM(I176:I180)+I174</f>
        <v>75803</v>
      </c>
      <c r="J181" s="320">
        <f t="shared" ref="J181:O181" si="73">SUM(J176:J180)+J174</f>
        <v>76435</v>
      </c>
      <c r="K181" s="320">
        <f t="shared" ca="1" si="73"/>
        <v>90906.078552304243</v>
      </c>
      <c r="L181" s="320">
        <f t="shared" ca="1" si="73"/>
        <v>100891.29260020721</v>
      </c>
      <c r="M181" s="320">
        <f t="shared" ca="1" si="73"/>
        <v>114416.31000242932</v>
      </c>
      <c r="N181" s="320">
        <f t="shared" ca="1" si="73"/>
        <v>130339.526820516</v>
      </c>
      <c r="O181" s="320">
        <f t="shared" ca="1" si="73"/>
        <v>150028.81006700062</v>
      </c>
    </row>
    <row r="182" spans="3:15">
      <c r="H182" s="233"/>
      <c r="I182" s="233"/>
      <c r="J182" s="233"/>
      <c r="K182" s="233"/>
      <c r="L182" s="233"/>
      <c r="M182" s="233"/>
      <c r="N182" s="233"/>
      <c r="O182" s="233"/>
    </row>
    <row r="183" spans="3:15">
      <c r="C183" s="70" t="str">
        <f>UPPER("Liabilites and Stockholders Equity")</f>
        <v>LIABILITES AND STOCKHOLDERS EQUITY</v>
      </c>
      <c r="H183" s="233"/>
      <c r="I183" s="233"/>
      <c r="J183" s="233"/>
      <c r="K183" s="233"/>
      <c r="L183" s="233"/>
      <c r="M183" s="233"/>
      <c r="N183" s="233"/>
      <c r="O183" s="233"/>
    </row>
    <row r="184" spans="3:15">
      <c r="C184" s="58" t="s">
        <v>85</v>
      </c>
      <c r="H184" s="308">
        <v>35670</v>
      </c>
      <c r="I184" s="308">
        <v>39038</v>
      </c>
      <c r="J184" s="308">
        <v>37938</v>
      </c>
      <c r="K184" s="233">
        <f>K294</f>
        <v>48904.672305205473</v>
      </c>
      <c r="L184" s="233">
        <f t="shared" ref="L184:O184" si="74">L294</f>
        <v>54210.060473975413</v>
      </c>
      <c r="M184" s="233">
        <f t="shared" si="74"/>
        <v>61041.679703186295</v>
      </c>
      <c r="N184" s="233">
        <f t="shared" si="74"/>
        <v>68049.182679102727</v>
      </c>
      <c r="O184" s="233">
        <f t="shared" si="74"/>
        <v>76076.941377094539</v>
      </c>
    </row>
    <row r="185" spans="3:15">
      <c r="C185" s="58" t="s">
        <v>84</v>
      </c>
      <c r="H185" s="308">
        <v>144</v>
      </c>
      <c r="I185" s="308">
        <v>1141</v>
      </c>
      <c r="J185" s="308">
        <v>152</v>
      </c>
      <c r="K185" s="233">
        <f>J185</f>
        <v>152</v>
      </c>
      <c r="L185" s="233">
        <f t="shared" ref="L185:O185" si="75">K185</f>
        <v>152</v>
      </c>
      <c r="M185" s="233">
        <f t="shared" si="75"/>
        <v>152</v>
      </c>
      <c r="N185" s="233">
        <f t="shared" si="75"/>
        <v>152</v>
      </c>
      <c r="O185" s="233">
        <f t="shared" si="75"/>
        <v>152</v>
      </c>
    </row>
    <row r="186" spans="3:15">
      <c r="C186" s="58" t="s">
        <v>88</v>
      </c>
      <c r="H186" s="308">
        <v>2504</v>
      </c>
      <c r="I186" s="308">
        <v>2614</v>
      </c>
      <c r="J186" s="308">
        <v>4486</v>
      </c>
      <c r="K186" s="233">
        <f>J186+K139+K136</f>
        <v>6849.2123092000002</v>
      </c>
      <c r="L186" s="233">
        <f t="shared" ref="L186:O186" si="76">K186+L139+L136</f>
        <v>9562.4797277500002</v>
      </c>
      <c r="M186" s="233">
        <f t="shared" si="76"/>
        <v>12738.133905064</v>
      </c>
      <c r="N186" s="233">
        <f t="shared" si="76"/>
        <v>16408.154263369001</v>
      </c>
      <c r="O186" s="233">
        <f t="shared" si="76"/>
        <v>20661.956693335</v>
      </c>
    </row>
    <row r="187" spans="3:15">
      <c r="C187" s="58" t="s">
        <v>125</v>
      </c>
      <c r="H187" s="361">
        <v>129</v>
      </c>
      <c r="I187" s="361">
        <v>236</v>
      </c>
      <c r="J187" s="361">
        <v>652</v>
      </c>
      <c r="K187" s="235">
        <f>K295</f>
        <v>804.47172553578855</v>
      </c>
      <c r="L187" s="235">
        <f t="shared" ref="L187:O187" si="77">L295</f>
        <v>817.14426275964161</v>
      </c>
      <c r="M187" s="235">
        <f t="shared" si="77"/>
        <v>920.12179884241471</v>
      </c>
      <c r="N187" s="235">
        <f t="shared" si="77"/>
        <v>1025.7505475096509</v>
      </c>
      <c r="O187" s="235">
        <f t="shared" si="77"/>
        <v>1146.7582886102534</v>
      </c>
    </row>
    <row r="188" spans="3:15">
      <c r="C188" s="70" t="s">
        <v>90</v>
      </c>
      <c r="H188" s="319">
        <f>SUM(H184:H187)</f>
        <v>38447</v>
      </c>
      <c r="I188" s="319">
        <f>SUM(I184:I187)</f>
        <v>43029</v>
      </c>
      <c r="J188" s="319">
        <f t="shared" ref="J188:O188" si="78">SUM(J184:J187)</f>
        <v>43228</v>
      </c>
      <c r="K188" s="319">
        <f t="shared" si="78"/>
        <v>56710.35633994126</v>
      </c>
      <c r="L188" s="319">
        <f t="shared" si="78"/>
        <v>64741.68446448505</v>
      </c>
      <c r="M188" s="319">
        <f t="shared" si="78"/>
        <v>74851.935407092707</v>
      </c>
      <c r="N188" s="319">
        <f t="shared" si="78"/>
        <v>85635.087489981379</v>
      </c>
      <c r="O188" s="319">
        <f t="shared" si="78"/>
        <v>98037.656359039785</v>
      </c>
    </row>
    <row r="189" spans="3:15">
      <c r="C189" s="70"/>
      <c r="H189" s="233"/>
      <c r="I189" s="233"/>
      <c r="J189" s="233"/>
      <c r="K189" s="233"/>
      <c r="L189" s="233"/>
      <c r="M189" s="233"/>
      <c r="N189" s="233"/>
      <c r="O189" s="233"/>
    </row>
    <row r="190" spans="3:15">
      <c r="C190" s="69" t="s">
        <v>97</v>
      </c>
      <c r="H190" s="308">
        <v>2930</v>
      </c>
      <c r="I190" s="308">
        <v>2998</v>
      </c>
      <c r="J190" s="308">
        <v>2702</v>
      </c>
      <c r="K190" s="233">
        <f ca="1">K258+J190</f>
        <v>2690.5437499999998</v>
      </c>
      <c r="L190" s="233">
        <f ca="1">L258+K190</f>
        <v>2619.7593749999996</v>
      </c>
      <c r="M190" s="233">
        <f ca="1">M258+L190</f>
        <v>2557.7835937499995</v>
      </c>
      <c r="N190" s="233">
        <f ca="1">N258+M190</f>
        <v>2495.7822265624995</v>
      </c>
      <c r="O190" s="233">
        <f ca="1">O258+N190</f>
        <v>2426.6817949218744</v>
      </c>
    </row>
    <row r="191" spans="3:15">
      <c r="C191" s="69" t="s">
        <v>94</v>
      </c>
      <c r="H191" s="308">
        <v>8939</v>
      </c>
      <c r="I191" s="308">
        <v>8049</v>
      </c>
      <c r="J191" s="308">
        <v>10241</v>
      </c>
      <c r="K191" s="233">
        <f>K334</f>
        <v>10141</v>
      </c>
      <c r="L191" s="233">
        <f t="shared" ref="L191:O191" si="79">L334</f>
        <v>10041</v>
      </c>
      <c r="M191" s="233">
        <f t="shared" si="79"/>
        <v>9941</v>
      </c>
      <c r="N191" s="233">
        <f t="shared" si="79"/>
        <v>9841</v>
      </c>
      <c r="O191" s="233">
        <f t="shared" si="79"/>
        <v>9741</v>
      </c>
    </row>
    <row r="192" spans="3:15">
      <c r="C192" s="70" t="s">
        <v>102</v>
      </c>
      <c r="H192" s="321">
        <f>H188+SUM(H190:H191)</f>
        <v>50316</v>
      </c>
      <c r="I192" s="321">
        <f t="shared" ref="I192:O192" si="80">I188+SUM(I190:I191)</f>
        <v>54076</v>
      </c>
      <c r="J192" s="321">
        <f t="shared" si="80"/>
        <v>56171</v>
      </c>
      <c r="K192" s="321">
        <f t="shared" ca="1" si="80"/>
        <v>69541.900089941264</v>
      </c>
      <c r="L192" s="321">
        <f t="shared" ca="1" si="80"/>
        <v>77402.443839485044</v>
      </c>
      <c r="M192" s="321">
        <f t="shared" ca="1" si="80"/>
        <v>87350.719000842713</v>
      </c>
      <c r="N192" s="321">
        <f t="shared" ca="1" si="80"/>
        <v>97971.869716543879</v>
      </c>
      <c r="O192" s="321">
        <f t="shared" ca="1" si="80"/>
        <v>110205.33815396167</v>
      </c>
    </row>
    <row r="193" spans="2:16">
      <c r="H193" s="233"/>
      <c r="I193" s="233"/>
      <c r="J193" s="233"/>
      <c r="K193" s="233"/>
      <c r="L193" s="233"/>
      <c r="M193" s="233"/>
      <c r="N193" s="233"/>
      <c r="O193" s="233"/>
    </row>
    <row r="194" spans="2:16">
      <c r="C194" s="112" t="s">
        <v>321</v>
      </c>
      <c r="H194" s="233"/>
      <c r="I194" s="233"/>
      <c r="J194" s="233"/>
      <c r="K194" s="233"/>
      <c r="L194" s="233"/>
      <c r="M194" s="233"/>
      <c r="N194" s="233"/>
      <c r="O194" s="233"/>
    </row>
    <row r="195" spans="2:16">
      <c r="C195" s="69" t="s">
        <v>453</v>
      </c>
      <c r="H195" s="308">
        <v>7653</v>
      </c>
      <c r="I195" s="308">
        <v>5192</v>
      </c>
      <c r="J195" s="308">
        <v>2231</v>
      </c>
      <c r="K195" s="233">
        <f>K352</f>
        <v>2231</v>
      </c>
      <c r="L195" s="233">
        <f t="shared" ref="L195:O195" si="81">L352</f>
        <v>2231</v>
      </c>
      <c r="M195" s="233">
        <f t="shared" si="81"/>
        <v>2231</v>
      </c>
      <c r="N195" s="233">
        <f t="shared" si="81"/>
        <v>2231</v>
      </c>
      <c r="O195" s="233">
        <f t="shared" si="81"/>
        <v>2231</v>
      </c>
    </row>
    <row r="196" spans="2:16">
      <c r="C196" s="58" t="s">
        <v>106</v>
      </c>
      <c r="H196" s="308">
        <v>12366</v>
      </c>
      <c r="I196" s="308">
        <v>16535</v>
      </c>
      <c r="J196" s="308">
        <v>18033</v>
      </c>
      <c r="K196" s="233">
        <f ca="1">K362+SUM($K$158:K158)</f>
        <v>19133.178462362979</v>
      </c>
      <c r="L196" s="233">
        <f ca="1">L362+SUM($K$158:L158)</f>
        <v>21257.84876072214</v>
      </c>
      <c r="M196" s="233">
        <f ca="1">M362+SUM($K$158:M158)</f>
        <v>24834.591001586599</v>
      </c>
      <c r="N196" s="233">
        <f ca="1">N362+SUM($K$158:N158)</f>
        <v>30136.657103972117</v>
      </c>
      <c r="O196" s="233">
        <f ca="1">O362+SUM($K$158:O158)</f>
        <v>37592.471913038957</v>
      </c>
    </row>
    <row r="197" spans="2:16">
      <c r="C197" s="70" t="s">
        <v>280</v>
      </c>
      <c r="H197" s="321">
        <f t="shared" ref="H197:O197" si="82">SUM(H195:H196)</f>
        <v>20019</v>
      </c>
      <c r="I197" s="321">
        <f t="shared" si="82"/>
        <v>21727</v>
      </c>
      <c r="J197" s="321">
        <f t="shared" si="82"/>
        <v>20264</v>
      </c>
      <c r="K197" s="321">
        <f t="shared" ca="1" si="82"/>
        <v>21364.178462362979</v>
      </c>
      <c r="L197" s="321">
        <f t="shared" ca="1" si="82"/>
        <v>23488.84876072214</v>
      </c>
      <c r="M197" s="321">
        <f t="shared" ca="1" si="82"/>
        <v>27065.591001586599</v>
      </c>
      <c r="N197" s="321">
        <f t="shared" ca="1" si="82"/>
        <v>32367.657103972117</v>
      </c>
      <c r="O197" s="321">
        <f t="shared" ca="1" si="82"/>
        <v>39823.471913038957</v>
      </c>
    </row>
    <row r="198" spans="2:16">
      <c r="C198" s="70"/>
      <c r="H198" s="233"/>
      <c r="I198" s="233"/>
      <c r="J198" s="233"/>
      <c r="K198" s="233"/>
      <c r="L198" s="233"/>
      <c r="M198" s="233"/>
      <c r="N198" s="233"/>
      <c r="O198" s="233"/>
    </row>
    <row r="199" spans="2:16">
      <c r="C199" s="69" t="s">
        <v>322</v>
      </c>
      <c r="H199" s="308">
        <v>44</v>
      </c>
      <c r="I199" s="308">
        <v>0</v>
      </c>
      <c r="J199" s="308">
        <v>0</v>
      </c>
      <c r="K199" s="233">
        <f>J199</f>
        <v>0</v>
      </c>
      <c r="L199" s="233">
        <f t="shared" ref="L199:O199" si="83">K199</f>
        <v>0</v>
      </c>
      <c r="M199" s="233">
        <f t="shared" si="83"/>
        <v>0</v>
      </c>
      <c r="N199" s="233">
        <f t="shared" si="83"/>
        <v>0</v>
      </c>
      <c r="O199" s="233">
        <f t="shared" si="83"/>
        <v>0</v>
      </c>
    </row>
    <row r="200" spans="2:16">
      <c r="C200" s="112" t="s">
        <v>115</v>
      </c>
      <c r="H200" s="321">
        <f>H197+H199</f>
        <v>20063</v>
      </c>
      <c r="I200" s="321">
        <f t="shared" ref="I200:O200" si="84">I197+I199</f>
        <v>21727</v>
      </c>
      <c r="J200" s="321">
        <f t="shared" si="84"/>
        <v>20264</v>
      </c>
      <c r="K200" s="321">
        <f t="shared" ca="1" si="84"/>
        <v>21364.178462362979</v>
      </c>
      <c r="L200" s="321">
        <f t="shared" ca="1" si="84"/>
        <v>23488.84876072214</v>
      </c>
      <c r="M200" s="321">
        <f t="shared" ca="1" si="84"/>
        <v>27065.591001586599</v>
      </c>
      <c r="N200" s="321">
        <f t="shared" ca="1" si="84"/>
        <v>32367.657103972117</v>
      </c>
      <c r="O200" s="321">
        <f t="shared" ca="1" si="84"/>
        <v>39823.471913038957</v>
      </c>
      <c r="P200" s="112"/>
    </row>
    <row r="201" spans="2:16">
      <c r="C201" s="112"/>
      <c r="H201" s="233"/>
      <c r="I201" s="233"/>
      <c r="J201" s="233"/>
      <c r="K201" s="233"/>
      <c r="L201" s="233"/>
      <c r="M201" s="233"/>
      <c r="N201" s="233"/>
      <c r="O201" s="233"/>
    </row>
    <row r="202" spans="2:16">
      <c r="C202" s="70" t="s">
        <v>323</v>
      </c>
      <c r="H202" s="320">
        <f t="shared" ref="H202:O202" si="85">H192+H200</f>
        <v>70379</v>
      </c>
      <c r="I202" s="320">
        <f t="shared" si="85"/>
        <v>75803</v>
      </c>
      <c r="J202" s="320">
        <f t="shared" si="85"/>
        <v>76435</v>
      </c>
      <c r="K202" s="320">
        <f t="shared" ca="1" si="85"/>
        <v>90906.078552304243</v>
      </c>
      <c r="L202" s="320">
        <f t="shared" ca="1" si="85"/>
        <v>100891.29260020718</v>
      </c>
      <c r="M202" s="320">
        <f t="shared" ca="1" si="85"/>
        <v>114416.31000242931</v>
      </c>
      <c r="N202" s="320">
        <f t="shared" ca="1" si="85"/>
        <v>130339.526820516</v>
      </c>
      <c r="O202" s="320">
        <f t="shared" ca="1" si="85"/>
        <v>150028.81006700062</v>
      </c>
    </row>
    <row r="203" spans="2:16" s="132" customFormat="1"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</row>
    <row r="204" spans="2:16">
      <c r="C204" s="132" t="s">
        <v>324</v>
      </c>
      <c r="D204" s="132"/>
      <c r="E204" s="132"/>
      <c r="F204" s="132"/>
      <c r="G204" s="132"/>
      <c r="H204" s="132">
        <f t="shared" ref="H204:O204" si="86">H181-H202</f>
        <v>0</v>
      </c>
      <c r="I204" s="132">
        <f t="shared" si="86"/>
        <v>0</v>
      </c>
      <c r="J204" s="132">
        <f t="shared" si="86"/>
        <v>0</v>
      </c>
      <c r="K204" s="305">
        <f t="shared" ca="1" si="86"/>
        <v>0</v>
      </c>
      <c r="L204" s="132">
        <f t="shared" ca="1" si="86"/>
        <v>0</v>
      </c>
      <c r="M204" s="132">
        <f t="shared" ca="1" si="86"/>
        <v>0</v>
      </c>
      <c r="N204" s="132">
        <f t="shared" ca="1" si="86"/>
        <v>0</v>
      </c>
      <c r="O204" s="132">
        <f t="shared" ca="1" si="86"/>
        <v>0</v>
      </c>
    </row>
    <row r="205" spans="2:16">
      <c r="B205" s="166"/>
      <c r="C205" s="167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</row>
    <row r="206" spans="2:16">
      <c r="C206" s="112"/>
    </row>
    <row r="207" spans="2:16">
      <c r="C207" s="112"/>
      <c r="N207" s="143" t="str">
        <f>N164</f>
        <v>CURRENTLY RUNNING: BASE CASE SCENARIO</v>
      </c>
    </row>
    <row r="208" spans="2:16" ht="26">
      <c r="B208" s="193" t="str">
        <f>B165</f>
        <v>PAYPAL HOLDINGS, INC.</v>
      </c>
      <c r="C208" s="237"/>
      <c r="D208" s="236"/>
      <c r="E208" s="236"/>
      <c r="F208" s="236"/>
      <c r="G208" s="236"/>
      <c r="H208" s="236"/>
      <c r="I208" s="236"/>
      <c r="J208" s="236"/>
      <c r="K208" s="236"/>
      <c r="L208" s="236"/>
      <c r="M208" s="236"/>
      <c r="N208" s="236"/>
      <c r="O208" s="236"/>
      <c r="P208" s="236"/>
    </row>
    <row r="209" spans="2:16" ht="20" thickBot="1">
      <c r="B209" s="240" t="s">
        <v>325</v>
      </c>
      <c r="C209" s="194"/>
      <c r="D209" s="194"/>
      <c r="E209" s="194"/>
      <c r="F209" s="194"/>
      <c r="G209" s="270"/>
      <c r="H209" s="239"/>
      <c r="I209" s="239"/>
      <c r="J209" s="239"/>
      <c r="K209" s="239"/>
      <c r="L209" s="239"/>
      <c r="M209" s="239"/>
      <c r="N209" s="239"/>
      <c r="O209" s="239"/>
      <c r="P209" s="239"/>
    </row>
    <row r="210" spans="2:16">
      <c r="C210" s="132" t="str">
        <f>C167</f>
        <v>($ Millions)</v>
      </c>
    </row>
    <row r="211" spans="2:16">
      <c r="K211" s="148" t="s">
        <v>282</v>
      </c>
      <c r="L211" s="101"/>
      <c r="M211" s="101"/>
      <c r="N211" s="101"/>
      <c r="O211" s="101"/>
      <c r="P211" s="101"/>
    </row>
    <row r="212" spans="2:16">
      <c r="H212" s="253">
        <f t="shared" ref="H212:O212" si="87">H169</f>
        <v>2020</v>
      </c>
      <c r="I212" s="253">
        <f t="shared" si="87"/>
        <v>2021</v>
      </c>
      <c r="J212" s="254">
        <f t="shared" si="87"/>
        <v>2022</v>
      </c>
      <c r="K212" s="111">
        <f t="shared" si="87"/>
        <v>2023</v>
      </c>
      <c r="L212" s="111">
        <f t="shared" si="87"/>
        <v>2024</v>
      </c>
      <c r="M212" s="111">
        <f t="shared" si="87"/>
        <v>2025</v>
      </c>
      <c r="N212" s="111">
        <f t="shared" si="87"/>
        <v>2026</v>
      </c>
      <c r="O212" s="111">
        <f t="shared" si="87"/>
        <v>2027</v>
      </c>
      <c r="P212" s="162"/>
    </row>
    <row r="213" spans="2:16">
      <c r="B213" s="161" t="s">
        <v>326</v>
      </c>
      <c r="C213" s="161"/>
      <c r="D213" s="161"/>
      <c r="E213" s="161"/>
      <c r="F213" s="163">
        <f>Assumptions!N28</f>
        <v>5</v>
      </c>
    </row>
    <row r="214" spans="2:16">
      <c r="B214" s="161" t="s">
        <v>327</v>
      </c>
      <c r="C214" s="161"/>
      <c r="D214" s="161"/>
      <c r="E214" s="161"/>
      <c r="F214" s="163">
        <f>Assumptions!N29</f>
        <v>8</v>
      </c>
    </row>
    <row r="216" spans="2:16">
      <c r="D216" s="69" t="s">
        <v>328</v>
      </c>
      <c r="H216" s="251">
        <v>1189</v>
      </c>
      <c r="I216" s="251">
        <v>1265</v>
      </c>
      <c r="J216" s="251">
        <f>991*4/3</f>
        <v>1321.3333333333333</v>
      </c>
      <c r="K216" s="164">
        <f>J176/$F$213</f>
        <v>472.2</v>
      </c>
      <c r="L216" s="164">
        <f>K216</f>
        <v>472.2</v>
      </c>
      <c r="M216" s="164">
        <f t="shared" ref="M216:O216" si="88">L216</f>
        <v>472.2</v>
      </c>
      <c r="N216" s="164">
        <f t="shared" si="88"/>
        <v>472.2</v>
      </c>
      <c r="O216" s="164">
        <f t="shared" si="88"/>
        <v>472.2</v>
      </c>
    </row>
    <row r="218" spans="2:16">
      <c r="E218" s="434" t="s">
        <v>272</v>
      </c>
      <c r="F218" s="435"/>
    </row>
    <row r="219" spans="2:16">
      <c r="E219" s="201" cm="1">
        <f t="array" ref="E219:E223">TRANSPOSE(K212:O212)</f>
        <v>2023</v>
      </c>
      <c r="F219" s="432" cm="1">
        <f t="array" ref="F219:F223">TRANSPOSE(Assumptions!F60:J60)</f>
        <v>950</v>
      </c>
      <c r="K219" s="165">
        <f>IF($E219=K$212,$F219/$F$214/2,$F219/$F$214)</f>
        <v>59.375</v>
      </c>
      <c r="L219" s="165">
        <f t="shared" ref="L219:O223" si="89">IF($E219=L$212,$F219/$F$214/2,$F219/$F$214)</f>
        <v>118.75</v>
      </c>
      <c r="M219" s="165">
        <f t="shared" si="89"/>
        <v>118.75</v>
      </c>
      <c r="N219" s="165">
        <f t="shared" si="89"/>
        <v>118.75</v>
      </c>
      <c r="O219" s="165">
        <f t="shared" si="89"/>
        <v>118.75</v>
      </c>
    </row>
    <row r="220" spans="2:16">
      <c r="E220" s="201">
        <v>2024</v>
      </c>
      <c r="F220" s="432">
        <v>1000</v>
      </c>
      <c r="K220" s="165"/>
      <c r="L220" s="165">
        <f t="shared" si="89"/>
        <v>62.5</v>
      </c>
      <c r="M220" s="165">
        <f t="shared" si="89"/>
        <v>125</v>
      </c>
      <c r="N220" s="165">
        <f t="shared" si="89"/>
        <v>125</v>
      </c>
      <c r="O220" s="165">
        <f t="shared" si="89"/>
        <v>125</v>
      </c>
    </row>
    <row r="221" spans="2:16">
      <c r="E221" s="201">
        <v>2025</v>
      </c>
      <c r="F221" s="432">
        <v>1045</v>
      </c>
      <c r="K221" s="165"/>
      <c r="L221" s="165"/>
      <c r="M221" s="165">
        <f t="shared" si="89"/>
        <v>65.3125</v>
      </c>
      <c r="N221" s="165">
        <f t="shared" si="89"/>
        <v>130.625</v>
      </c>
      <c r="O221" s="165">
        <f t="shared" si="89"/>
        <v>130.625</v>
      </c>
    </row>
    <row r="222" spans="2:16">
      <c r="E222" s="201">
        <v>2026</v>
      </c>
      <c r="F222" s="432">
        <v>1086.8</v>
      </c>
      <c r="K222" s="165"/>
      <c r="L222" s="165"/>
      <c r="M222" s="165"/>
      <c r="N222" s="165">
        <f t="shared" si="89"/>
        <v>67.924999999999997</v>
      </c>
      <c r="O222" s="165">
        <f t="shared" si="89"/>
        <v>135.85</v>
      </c>
    </row>
    <row r="223" spans="2:16">
      <c r="E223" s="202">
        <v>2027</v>
      </c>
      <c r="F223" s="433">
        <v>1124.838</v>
      </c>
      <c r="K223" s="165"/>
      <c r="L223" s="165"/>
      <c r="M223" s="165"/>
      <c r="N223" s="165"/>
      <c r="O223" s="165">
        <f t="shared" si="89"/>
        <v>70.302374999999998</v>
      </c>
    </row>
    <row r="225" spans="2:16">
      <c r="D225" s="112" t="s">
        <v>329</v>
      </c>
      <c r="H225" s="318">
        <f>H216+SUM(H219:H223)</f>
        <v>1189</v>
      </c>
      <c r="I225" s="318">
        <f t="shared" ref="I225:O225" si="90">I216+SUM(I219:I223)</f>
        <v>1265</v>
      </c>
      <c r="J225" s="318">
        <f t="shared" si="90"/>
        <v>1321.3333333333333</v>
      </c>
      <c r="K225" s="318">
        <f t="shared" si="90"/>
        <v>531.57500000000005</v>
      </c>
      <c r="L225" s="318">
        <f t="shared" si="90"/>
        <v>653.45000000000005</v>
      </c>
      <c r="M225" s="318">
        <f t="shared" si="90"/>
        <v>781.26250000000005</v>
      </c>
      <c r="N225" s="318">
        <f t="shared" si="90"/>
        <v>914.5</v>
      </c>
      <c r="O225" s="318">
        <f t="shared" si="90"/>
        <v>1052.7273749999999</v>
      </c>
    </row>
    <row r="226" spans="2:16">
      <c r="B226" s="166"/>
      <c r="C226" s="167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</row>
    <row r="227" spans="2:16">
      <c r="C227" s="112"/>
    </row>
    <row r="228" spans="2:16">
      <c r="C228" s="112"/>
      <c r="N228" s="143" t="str">
        <f>N207</f>
        <v>CURRENTLY RUNNING: BASE CASE SCENARIO</v>
      </c>
    </row>
    <row r="229" spans="2:16" ht="26">
      <c r="B229" s="193" t="str">
        <f>B208</f>
        <v>PAYPAL HOLDINGS, INC.</v>
      </c>
      <c r="C229" s="237"/>
      <c r="D229" s="236"/>
      <c r="E229" s="236"/>
      <c r="F229" s="236"/>
      <c r="G229" s="236"/>
      <c r="H229" s="236"/>
      <c r="I229" s="236"/>
      <c r="J229" s="236"/>
      <c r="K229" s="236"/>
      <c r="L229" s="236"/>
      <c r="M229" s="236"/>
      <c r="N229" s="236"/>
      <c r="O229" s="236"/>
      <c r="P229" s="236"/>
    </row>
    <row r="230" spans="2:16" ht="20" thickBot="1">
      <c r="B230" s="240" t="s">
        <v>330</v>
      </c>
      <c r="C230" s="194"/>
      <c r="D230" s="194"/>
      <c r="E230" s="194"/>
      <c r="F230" s="194"/>
      <c r="G230" s="270"/>
      <c r="H230" s="239"/>
      <c r="I230" s="239"/>
      <c r="J230" s="239"/>
      <c r="K230" s="239"/>
      <c r="L230" s="239"/>
      <c r="M230" s="239"/>
      <c r="N230" s="239"/>
      <c r="O230" s="239"/>
      <c r="P230" s="239"/>
    </row>
    <row r="231" spans="2:16">
      <c r="C231" s="132" t="str">
        <f>C210</f>
        <v>($ Millions)</v>
      </c>
    </row>
    <row r="232" spans="2:16">
      <c r="K232" s="148" t="s">
        <v>282</v>
      </c>
      <c r="L232" s="101"/>
      <c r="M232" s="101"/>
      <c r="N232" s="101"/>
      <c r="O232" s="101"/>
      <c r="P232" s="101"/>
    </row>
    <row r="233" spans="2:16">
      <c r="C233" s="113" t="s">
        <v>331</v>
      </c>
      <c r="D233" s="445">
        <f>Assumptions!N32</f>
        <v>0.25</v>
      </c>
      <c r="H233" s="111"/>
      <c r="I233" s="111"/>
      <c r="J233" s="111"/>
      <c r="K233" s="111">
        <f>K212</f>
        <v>2023</v>
      </c>
      <c r="L233" s="111">
        <f>L212</f>
        <v>2024</v>
      </c>
      <c r="M233" s="111">
        <f>M212</f>
        <v>2025</v>
      </c>
      <c r="N233" s="111">
        <f>N212</f>
        <v>2026</v>
      </c>
      <c r="O233" s="111">
        <f>O212</f>
        <v>2027</v>
      </c>
    </row>
    <row r="235" spans="2:16">
      <c r="C235" s="112" t="s">
        <v>332</v>
      </c>
      <c r="K235" s="436">
        <f ca="1">K110</f>
        <v>1466.9046164839699</v>
      </c>
      <c r="L235" s="436">
        <f ca="1">L110</f>
        <v>2832.893731145547</v>
      </c>
      <c r="M235" s="436">
        <f ca="1">M110</f>
        <v>4768.9896544859466</v>
      </c>
      <c r="N235" s="436">
        <f ca="1">N110</f>
        <v>7069.4214698473552</v>
      </c>
      <c r="O235" s="436">
        <f ca="1">O110</f>
        <v>9941.0864120891256</v>
      </c>
    </row>
    <row r="236" spans="2:16">
      <c r="D236" s="69" t="s">
        <v>333</v>
      </c>
      <c r="K236" s="437">
        <f>K225</f>
        <v>531.57500000000005</v>
      </c>
      <c r="L236" s="437">
        <f>L225</f>
        <v>653.45000000000005</v>
      </c>
      <c r="M236" s="437">
        <f>M225</f>
        <v>781.26250000000005</v>
      </c>
      <c r="N236" s="437">
        <f>N225</f>
        <v>914.5</v>
      </c>
      <c r="O236" s="437">
        <f>O225</f>
        <v>1052.7273749999999</v>
      </c>
    </row>
    <row r="237" spans="2:16">
      <c r="D237" s="69" t="s">
        <v>334</v>
      </c>
      <c r="K237" s="438">
        <f>K268</f>
        <v>168.75</v>
      </c>
      <c r="L237" s="438">
        <f>L268</f>
        <v>370.3125</v>
      </c>
      <c r="M237" s="438">
        <f>M268</f>
        <v>533.359375</v>
      </c>
      <c r="N237" s="438">
        <f>N268</f>
        <v>666.49453125000002</v>
      </c>
      <c r="O237" s="438">
        <f>O268</f>
        <v>776.32564843750004</v>
      </c>
    </row>
    <row r="238" spans="2:16">
      <c r="D238" s="112" t="s">
        <v>335</v>
      </c>
      <c r="K238" s="437">
        <f ca="1">K235+K236-K237</f>
        <v>1829.7296164839699</v>
      </c>
      <c r="L238" s="437">
        <f ca="1">L235+L236-L237</f>
        <v>3116.0312311455473</v>
      </c>
      <c r="M238" s="437">
        <f ca="1">M235+M236-M237</f>
        <v>5016.8927794859464</v>
      </c>
      <c r="N238" s="437">
        <f ca="1">N235+N236-N237</f>
        <v>7317.4269385973548</v>
      </c>
      <c r="O238" s="437">
        <f ca="1">O235+O236-O237</f>
        <v>10217.488138651626</v>
      </c>
    </row>
    <row r="239" spans="2:16">
      <c r="K239" s="437"/>
      <c r="L239" s="437"/>
      <c r="M239" s="437"/>
      <c r="N239" s="437"/>
      <c r="O239" s="437"/>
    </row>
    <row r="240" spans="2:16">
      <c r="C240" s="112" t="s">
        <v>336</v>
      </c>
      <c r="K240" s="437"/>
      <c r="L240" s="437"/>
      <c r="M240" s="437"/>
      <c r="N240" s="437"/>
      <c r="O240" s="437"/>
    </row>
    <row r="241" spans="4:15">
      <c r="D241" s="69" t="s">
        <v>337</v>
      </c>
      <c r="K241" s="446">
        <f>Assumptions!N34</f>
        <v>317</v>
      </c>
      <c r="L241" s="437">
        <f ca="1">K241-K242</f>
        <v>0</v>
      </c>
      <c r="M241" s="437">
        <f t="shared" ref="M241:O241" ca="1" si="91">L241-L242</f>
        <v>0</v>
      </c>
      <c r="N241" s="437">
        <f t="shared" ca="1" si="91"/>
        <v>0</v>
      </c>
      <c r="O241" s="437">
        <f t="shared" ca="1" si="91"/>
        <v>0</v>
      </c>
    </row>
    <row r="242" spans="4:15">
      <c r="D242" s="69" t="s">
        <v>338</v>
      </c>
      <c r="K242" s="438">
        <f ca="1">IF(K238&lt;0,0,MIN(K241,K238))</f>
        <v>317</v>
      </c>
      <c r="L242" s="438">
        <f ca="1">IF(L238&lt;0,0,MIN(L241,L238))</f>
        <v>0</v>
      </c>
      <c r="M242" s="438">
        <f ca="1">IF(M238&lt;0,0,MIN(M241,M238))</f>
        <v>0</v>
      </c>
      <c r="N242" s="438">
        <f ca="1">IF(N238&lt;0,0,MIN(N241,N238))</f>
        <v>0</v>
      </c>
      <c r="O242" s="438">
        <f ca="1">IF(O238&lt;0,0,MIN(O241,O238))</f>
        <v>0</v>
      </c>
    </row>
    <row r="243" spans="4:15">
      <c r="D243" s="112" t="s">
        <v>339</v>
      </c>
      <c r="K243" s="437">
        <f ca="1">K238-K242</f>
        <v>1512.7296164839699</v>
      </c>
      <c r="L243" s="437">
        <f t="shared" ref="L243:O243" ca="1" si="92">L238-L242</f>
        <v>3116.0312311455473</v>
      </c>
      <c r="M243" s="437">
        <f t="shared" ca="1" si="92"/>
        <v>5016.8927794859464</v>
      </c>
      <c r="N243" s="437">
        <f t="shared" ca="1" si="92"/>
        <v>7317.4269385973548</v>
      </c>
      <c r="O243" s="437">
        <f t="shared" ca="1" si="92"/>
        <v>10217.488138651626</v>
      </c>
    </row>
    <row r="244" spans="4:15">
      <c r="K244" s="437"/>
      <c r="L244" s="437"/>
      <c r="M244" s="437"/>
      <c r="N244" s="437"/>
      <c r="O244" s="437"/>
    </row>
    <row r="245" spans="4:15">
      <c r="D245" s="69" t="s">
        <v>340</v>
      </c>
      <c r="K245" s="437">
        <f>J247</f>
        <v>0</v>
      </c>
      <c r="L245" s="437">
        <f ca="1">K247</f>
        <v>0</v>
      </c>
      <c r="M245" s="437">
        <f ca="1">L247</f>
        <v>0</v>
      </c>
      <c r="N245" s="437">
        <f ca="1">M247</f>
        <v>0</v>
      </c>
      <c r="O245" s="437">
        <f ca="1">N247</f>
        <v>0</v>
      </c>
    </row>
    <row r="246" spans="4:15">
      <c r="D246" s="69" t="s">
        <v>341</v>
      </c>
      <c r="K246" s="438">
        <f ca="1">MIN(K245,K243)</f>
        <v>0</v>
      </c>
      <c r="L246" s="438">
        <f ca="1">MIN(L245,L243)</f>
        <v>0</v>
      </c>
      <c r="M246" s="438">
        <f ca="1">MIN(M245,M243)</f>
        <v>0</v>
      </c>
      <c r="N246" s="438">
        <f ca="1">MIN(N245,N243)</f>
        <v>0</v>
      </c>
      <c r="O246" s="438">
        <f ca="1">MIN(O245,O243)</f>
        <v>0</v>
      </c>
    </row>
    <row r="247" spans="4:15">
      <c r="D247" s="69" t="s">
        <v>342</v>
      </c>
      <c r="K247" s="437">
        <f ca="1">K245-K246</f>
        <v>0</v>
      </c>
      <c r="L247" s="437">
        <f ca="1">L245-L246</f>
        <v>0</v>
      </c>
      <c r="M247" s="437">
        <f ca="1">M245-M246</f>
        <v>0</v>
      </c>
      <c r="N247" s="437">
        <f ca="1">N245-N246</f>
        <v>0</v>
      </c>
      <c r="O247" s="437">
        <f ca="1">O245-O246</f>
        <v>0</v>
      </c>
    </row>
    <row r="248" spans="4:15">
      <c r="K248" s="437"/>
      <c r="L248" s="437"/>
      <c r="M248" s="437"/>
      <c r="N248" s="437"/>
      <c r="O248" s="437"/>
    </row>
    <row r="249" spans="4:15">
      <c r="D249" s="69" t="s">
        <v>343</v>
      </c>
      <c r="K249" s="438">
        <f ca="1">IF(K242&lt;0,K241,(K241-K242))</f>
        <v>0</v>
      </c>
      <c r="L249" s="438">
        <f t="shared" ref="L249:O249" ca="1" si="93">IF(L242&lt;0,L241,(L241-L242))</f>
        <v>0</v>
      </c>
      <c r="M249" s="438">
        <f t="shared" ca="1" si="93"/>
        <v>0</v>
      </c>
      <c r="N249" s="438">
        <f t="shared" ca="1" si="93"/>
        <v>0</v>
      </c>
      <c r="O249" s="438">
        <f t="shared" ca="1" si="93"/>
        <v>0</v>
      </c>
    </row>
    <row r="250" spans="4:15">
      <c r="D250" s="112" t="s">
        <v>344</v>
      </c>
      <c r="K250" s="437">
        <f ca="1">K247+K249</f>
        <v>0</v>
      </c>
      <c r="L250" s="437">
        <f ca="1">L247+L249</f>
        <v>0</v>
      </c>
      <c r="M250" s="437">
        <f ca="1">M247+M249</f>
        <v>0</v>
      </c>
      <c r="N250" s="437">
        <f ca="1">N247+N249</f>
        <v>0</v>
      </c>
      <c r="O250" s="437">
        <f ca="1">O247+O249</f>
        <v>0</v>
      </c>
    </row>
    <row r="251" spans="4:15">
      <c r="K251" s="437"/>
      <c r="L251" s="437"/>
      <c r="M251" s="437"/>
      <c r="N251" s="437"/>
      <c r="O251" s="437"/>
    </row>
    <row r="252" spans="4:15">
      <c r="D252" s="69" t="s">
        <v>345</v>
      </c>
      <c r="K252" s="437">
        <f ca="1">K243-K246</f>
        <v>1512.7296164839699</v>
      </c>
      <c r="L252" s="437">
        <f ca="1">L243-L246</f>
        <v>3116.0312311455473</v>
      </c>
      <c r="M252" s="437">
        <f ca="1">M243-M246</f>
        <v>5016.8927794859464</v>
      </c>
      <c r="N252" s="437">
        <f ca="1">N243-N246</f>
        <v>7317.4269385973548</v>
      </c>
      <c r="O252" s="437">
        <f ca="1">O243-O246</f>
        <v>10217.488138651626</v>
      </c>
    </row>
    <row r="253" spans="4:15">
      <c r="K253" s="437"/>
      <c r="L253" s="437"/>
      <c r="M253" s="437"/>
      <c r="N253" s="437"/>
      <c r="O253" s="437"/>
    </row>
    <row r="254" spans="4:15">
      <c r="D254" s="69" t="s">
        <v>346</v>
      </c>
      <c r="K254" s="437">
        <f ca="1">$D$233*K235</f>
        <v>366.72615412099248</v>
      </c>
      <c r="L254" s="437">
        <f ca="1">$D$233*L235</f>
        <v>708.22343278638675</v>
      </c>
      <c r="M254" s="437">
        <f ca="1">$D$233*M235</f>
        <v>1192.2474136214867</v>
      </c>
      <c r="N254" s="437">
        <f ca="1">$D$233*N235</f>
        <v>1767.3553674618388</v>
      </c>
      <c r="O254" s="437">
        <f ca="1">$D$233*O235</f>
        <v>2485.2716030222814</v>
      </c>
    </row>
    <row r="255" spans="4:15">
      <c r="K255" s="437"/>
      <c r="L255" s="437"/>
      <c r="M255" s="437"/>
      <c r="N255" s="437"/>
      <c r="O255" s="437"/>
    </row>
    <row r="256" spans="4:15">
      <c r="D256" s="173" t="s">
        <v>347</v>
      </c>
      <c r="E256" s="174"/>
      <c r="F256" s="174"/>
      <c r="G256" s="174"/>
      <c r="H256" s="174"/>
      <c r="I256" s="174"/>
      <c r="J256" s="174"/>
      <c r="K256" s="439"/>
      <c r="L256" s="439"/>
      <c r="M256" s="439"/>
      <c r="N256" s="439"/>
      <c r="O256" s="440"/>
    </row>
    <row r="257" spans="2:16">
      <c r="D257" s="176" t="s">
        <v>348</v>
      </c>
      <c r="K257" s="437">
        <f ca="1">$D$233*K252</f>
        <v>378.18240412099249</v>
      </c>
      <c r="L257" s="437">
        <f t="shared" ref="L257:O257" ca="1" si="94">$D$233*L252</f>
        <v>779.00780778638682</v>
      </c>
      <c r="M257" s="437">
        <f t="shared" ca="1" si="94"/>
        <v>1254.2231948714866</v>
      </c>
      <c r="N257" s="437">
        <f t="shared" ca="1" si="94"/>
        <v>1829.3567346493387</v>
      </c>
      <c r="O257" s="441">
        <f t="shared" ca="1" si="94"/>
        <v>2554.3720346629066</v>
      </c>
    </row>
    <row r="258" spans="2:16">
      <c r="D258" s="176" t="s">
        <v>349</v>
      </c>
      <c r="K258" s="437">
        <f ca="1">K254-K257</f>
        <v>-11.456250000000011</v>
      </c>
      <c r="L258" s="437">
        <f ca="1">L254-L257</f>
        <v>-70.784375000000068</v>
      </c>
      <c r="M258" s="437">
        <f ca="1">M254-M257</f>
        <v>-61.975781249999955</v>
      </c>
      <c r="N258" s="437">
        <f ca="1">N254-N257</f>
        <v>-62.001367187499909</v>
      </c>
      <c r="O258" s="441">
        <f ca="1">O254-O257</f>
        <v>-69.100431640625175</v>
      </c>
    </row>
    <row r="259" spans="2:16">
      <c r="D259" s="179" t="s">
        <v>350</v>
      </c>
      <c r="E259" s="159"/>
      <c r="F259" s="159"/>
      <c r="G259" s="159"/>
      <c r="H259" s="159"/>
      <c r="I259" s="159"/>
      <c r="J259" s="159"/>
      <c r="K259" s="442">
        <f ca="1">K257+K258</f>
        <v>366.72615412099248</v>
      </c>
      <c r="L259" s="442">
        <f t="shared" ref="L259:O259" ca="1" si="95">L257+L258</f>
        <v>708.22343278638675</v>
      </c>
      <c r="M259" s="442">
        <f t="shared" ca="1" si="95"/>
        <v>1192.2474136214867</v>
      </c>
      <c r="N259" s="442">
        <f t="shared" ca="1" si="95"/>
        <v>1767.3553674618388</v>
      </c>
      <c r="O259" s="443">
        <f t="shared" ca="1" si="95"/>
        <v>2485.2716030222814</v>
      </c>
    </row>
    <row r="261" spans="2:16">
      <c r="D261" s="133" t="s">
        <v>351</v>
      </c>
      <c r="K261" s="111">
        <f>K233</f>
        <v>2023</v>
      </c>
      <c r="L261" s="111">
        <f t="shared" ref="L261:O261" si="96">L233</f>
        <v>2024</v>
      </c>
      <c r="M261" s="111">
        <f t="shared" si="96"/>
        <v>2025</v>
      </c>
      <c r="N261" s="111">
        <f t="shared" si="96"/>
        <v>2026</v>
      </c>
      <c r="O261" s="111">
        <f t="shared" si="96"/>
        <v>2027</v>
      </c>
    </row>
    <row r="262" spans="2:16">
      <c r="D262" s="69" t="s">
        <v>352</v>
      </c>
      <c r="G262" s="444">
        <f>Assumptions!N33</f>
        <v>0.25</v>
      </c>
    </row>
    <row r="264" spans="2:16">
      <c r="D264" s="69" t="s">
        <v>353</v>
      </c>
      <c r="K264" s="429">
        <f>Assumptions!N35</f>
        <v>200</v>
      </c>
      <c r="L264" s="233">
        <f>K269</f>
        <v>981.25</v>
      </c>
      <c r="M264" s="233">
        <f t="shared" ref="M264:O264" si="97">L269</f>
        <v>1610.9375</v>
      </c>
      <c r="N264" s="233">
        <f t="shared" si="97"/>
        <v>2122.578125</v>
      </c>
      <c r="O264" s="233">
        <f t="shared" si="97"/>
        <v>2542.8835937500003</v>
      </c>
    </row>
    <row r="265" spans="2:16">
      <c r="D265" s="69" t="s">
        <v>354</v>
      </c>
      <c r="K265" s="233">
        <f>-K144</f>
        <v>950</v>
      </c>
      <c r="L265" s="233">
        <f>-L144</f>
        <v>1000</v>
      </c>
      <c r="M265" s="233">
        <f>-M144</f>
        <v>1045</v>
      </c>
      <c r="N265" s="233">
        <f>-N144</f>
        <v>1086.8</v>
      </c>
      <c r="O265" s="233">
        <f>-O144</f>
        <v>1124.838</v>
      </c>
    </row>
    <row r="266" spans="2:16">
      <c r="D266" s="69" t="s">
        <v>355</v>
      </c>
      <c r="K266" s="233">
        <f>K265/2</f>
        <v>475</v>
      </c>
      <c r="L266" s="233">
        <f t="shared" ref="L266:O266" si="98">L265/2</f>
        <v>500</v>
      </c>
      <c r="M266" s="233">
        <f t="shared" si="98"/>
        <v>522.5</v>
      </c>
      <c r="N266" s="233">
        <f t="shared" si="98"/>
        <v>543.4</v>
      </c>
      <c r="O266" s="233">
        <f t="shared" si="98"/>
        <v>562.41899999999998</v>
      </c>
    </row>
    <row r="267" spans="2:16">
      <c r="D267" s="69" t="s">
        <v>356</v>
      </c>
      <c r="K267" s="233">
        <f>K264+K266</f>
        <v>675</v>
      </c>
      <c r="L267" s="233">
        <f>L264+L266</f>
        <v>1481.25</v>
      </c>
      <c r="M267" s="233">
        <f>M264+M266</f>
        <v>2133.4375</v>
      </c>
      <c r="N267" s="233">
        <f>N264+N266</f>
        <v>2665.9781250000001</v>
      </c>
      <c r="O267" s="233">
        <f>O264+O266</f>
        <v>3105.3025937500001</v>
      </c>
    </row>
    <row r="268" spans="2:16">
      <c r="D268" s="69" t="s">
        <v>357</v>
      </c>
      <c r="K268" s="235">
        <f>$G$262*K267</f>
        <v>168.75</v>
      </c>
      <c r="L268" s="235">
        <f>$G$262*L267</f>
        <v>370.3125</v>
      </c>
      <c r="M268" s="235">
        <f>$G$262*M267</f>
        <v>533.359375</v>
      </c>
      <c r="N268" s="235">
        <f>$G$262*N267</f>
        <v>666.49453125000002</v>
      </c>
      <c r="O268" s="235">
        <f>$G$262*O267</f>
        <v>776.32564843750004</v>
      </c>
    </row>
    <row r="269" spans="2:16">
      <c r="D269" s="112" t="s">
        <v>358</v>
      </c>
      <c r="K269" s="233">
        <f>K264+K265-K268</f>
        <v>981.25</v>
      </c>
      <c r="L269" s="233">
        <f t="shared" ref="L269:O269" si="99">L264+L265-L268</f>
        <v>1610.9375</v>
      </c>
      <c r="M269" s="233">
        <f t="shared" si="99"/>
        <v>2122.578125</v>
      </c>
      <c r="N269" s="233">
        <f t="shared" si="99"/>
        <v>2542.8835937500003</v>
      </c>
      <c r="O269" s="233">
        <f t="shared" si="99"/>
        <v>2891.3959453125003</v>
      </c>
    </row>
    <row r="270" spans="2:16">
      <c r="B270" s="166"/>
      <c r="C270" s="167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</row>
    <row r="271" spans="2:16">
      <c r="C271" s="112"/>
    </row>
    <row r="272" spans="2:16">
      <c r="C272" s="112"/>
      <c r="N272" s="143" t="str">
        <f>N228</f>
        <v>CURRENTLY RUNNING: BASE CASE SCENARIO</v>
      </c>
    </row>
    <row r="273" spans="2:16" ht="26">
      <c r="B273" s="193" t="str">
        <f>B229</f>
        <v>PAYPAL HOLDINGS, INC.</v>
      </c>
      <c r="C273" s="238"/>
      <c r="D273" s="193"/>
      <c r="E273" s="193"/>
      <c r="F273" s="193"/>
      <c r="G273" s="193"/>
      <c r="H273" s="193"/>
      <c r="I273" s="193"/>
      <c r="J273" s="193"/>
      <c r="K273" s="193"/>
      <c r="L273" s="193"/>
      <c r="M273" s="193"/>
      <c r="N273" s="193"/>
      <c r="O273" s="193"/>
      <c r="P273" s="193"/>
    </row>
    <row r="274" spans="2:16" ht="20" thickBot="1">
      <c r="B274" s="240" t="s">
        <v>359</v>
      </c>
      <c r="C274" s="240"/>
      <c r="D274" s="240"/>
      <c r="E274" s="240"/>
      <c r="F274" s="240"/>
      <c r="G274" s="272"/>
      <c r="H274" s="241"/>
      <c r="I274" s="241"/>
      <c r="J274" s="241"/>
      <c r="K274" s="241"/>
      <c r="L274" s="241"/>
      <c r="M274" s="241"/>
      <c r="N274" s="241"/>
      <c r="O274" s="241"/>
      <c r="P274" s="241"/>
    </row>
    <row r="275" spans="2:16">
      <c r="C275" s="132" t="str">
        <f>C231</f>
        <v>($ Millions)</v>
      </c>
    </row>
    <row r="276" spans="2:16">
      <c r="K276" s="148" t="s">
        <v>282</v>
      </c>
      <c r="L276" s="101"/>
      <c r="M276" s="101"/>
      <c r="N276" s="101"/>
      <c r="O276" s="101"/>
      <c r="P276" s="101"/>
    </row>
    <row r="277" spans="2:16">
      <c r="H277" s="253"/>
      <c r="I277" s="253">
        <f t="shared" ref="I277:O277" si="100">I212</f>
        <v>2021</v>
      </c>
      <c r="J277" s="254">
        <f t="shared" si="100"/>
        <v>2022</v>
      </c>
      <c r="K277" s="111">
        <f t="shared" si="100"/>
        <v>2023</v>
      </c>
      <c r="L277" s="111">
        <f t="shared" si="100"/>
        <v>2024</v>
      </c>
      <c r="M277" s="111">
        <f t="shared" si="100"/>
        <v>2025</v>
      </c>
      <c r="N277" s="111">
        <f t="shared" si="100"/>
        <v>2026</v>
      </c>
      <c r="O277" s="111">
        <f t="shared" si="100"/>
        <v>2027</v>
      </c>
    </row>
    <row r="279" spans="2:16">
      <c r="C279" s="180" t="s">
        <v>360</v>
      </c>
      <c r="D279" s="181"/>
      <c r="E279" s="181"/>
      <c r="F279" s="181"/>
      <c r="G279" s="181"/>
      <c r="H279" s="181"/>
      <c r="I279" s="181"/>
      <c r="J279" s="181">
        <f t="shared" ref="J279:O279" si="101">DATE(J277,12,31)-DATE(I277,12,31)</f>
        <v>365</v>
      </c>
      <c r="K279" s="181">
        <f t="shared" si="101"/>
        <v>365</v>
      </c>
      <c r="L279" s="181">
        <f t="shared" si="101"/>
        <v>366</v>
      </c>
      <c r="M279" s="181">
        <f t="shared" si="101"/>
        <v>365</v>
      </c>
      <c r="N279" s="181">
        <f t="shared" si="101"/>
        <v>365</v>
      </c>
      <c r="O279" s="182">
        <f t="shared" si="101"/>
        <v>365</v>
      </c>
    </row>
    <row r="281" spans="2:16">
      <c r="B281" s="112" t="s">
        <v>361</v>
      </c>
    </row>
    <row r="282" spans="2:16">
      <c r="C282" s="69" t="s">
        <v>259</v>
      </c>
      <c r="J282" s="164">
        <f t="shared" ref="J282:O282" si="102">J90</f>
        <v>26847.204786652001</v>
      </c>
      <c r="K282" s="164">
        <f t="shared" si="102"/>
        <v>28858.983659200003</v>
      </c>
      <c r="L282" s="164">
        <f t="shared" si="102"/>
        <v>33273.886349799999</v>
      </c>
      <c r="M282" s="164">
        <f t="shared" si="102"/>
        <v>38941.549237663996</v>
      </c>
      <c r="N282" s="164">
        <f t="shared" si="102"/>
        <v>45150.363209679999</v>
      </c>
      <c r="O282" s="164">
        <f t="shared" si="102"/>
        <v>52482.163851616009</v>
      </c>
    </row>
    <row r="283" spans="2:16">
      <c r="C283" s="69" t="s">
        <v>362</v>
      </c>
      <c r="J283" s="164">
        <f t="shared" ref="J283:O283" si="103">J99</f>
        <v>23389.333333333332</v>
      </c>
      <c r="K283" s="164">
        <f t="shared" si="103"/>
        <v>26444.748727999999</v>
      </c>
      <c r="L283" s="164">
        <f t="shared" si="103"/>
        <v>29393.899457000003</v>
      </c>
      <c r="M283" s="164">
        <f t="shared" si="103"/>
        <v>33007.723098759998</v>
      </c>
      <c r="N283" s="164">
        <f t="shared" si="103"/>
        <v>36796.965448699993</v>
      </c>
      <c r="O283" s="164">
        <f t="shared" si="103"/>
        <v>41137.901633540008</v>
      </c>
    </row>
    <row r="285" spans="2:16">
      <c r="B285" s="112" t="s">
        <v>363</v>
      </c>
    </row>
    <row r="286" spans="2:16">
      <c r="C286" s="69" t="s">
        <v>451</v>
      </c>
      <c r="J286" s="147">
        <f>J292/J282*J279</f>
        <v>567.1344604027496</v>
      </c>
      <c r="K286" s="242">
        <v>525</v>
      </c>
      <c r="L286" s="242">
        <v>525</v>
      </c>
      <c r="M286" s="242">
        <v>525</v>
      </c>
      <c r="N286" s="242">
        <v>525</v>
      </c>
      <c r="O286" s="242">
        <v>525</v>
      </c>
    </row>
    <row r="287" spans="2:16">
      <c r="C287" s="69" t="s">
        <v>60</v>
      </c>
      <c r="J287" s="147">
        <f>J293/J282*J279</f>
        <v>34.546054509969721</v>
      </c>
      <c r="K287" s="447">
        <f>J287</f>
        <v>34.546054509969721</v>
      </c>
      <c r="L287" s="447">
        <f t="shared" ref="L287:O287" si="104">K287</f>
        <v>34.546054509969721</v>
      </c>
      <c r="M287" s="447">
        <f t="shared" si="104"/>
        <v>34.546054509969721</v>
      </c>
      <c r="N287" s="447">
        <f t="shared" si="104"/>
        <v>34.546054509969721</v>
      </c>
      <c r="O287" s="447">
        <f t="shared" si="104"/>
        <v>34.546054509969721</v>
      </c>
    </row>
    <row r="288" spans="2:16">
      <c r="C288" s="58" t="s">
        <v>85</v>
      </c>
      <c r="J288" s="147">
        <f>J294/J283*J279</f>
        <v>592.03782350929202</v>
      </c>
      <c r="K288" s="242">
        <v>675</v>
      </c>
      <c r="L288" s="242">
        <v>675</v>
      </c>
      <c r="M288" s="242">
        <v>675</v>
      </c>
      <c r="N288" s="242">
        <v>675</v>
      </c>
      <c r="O288" s="242">
        <v>675</v>
      </c>
    </row>
    <row r="289" spans="2:16">
      <c r="C289" s="58" t="s">
        <v>87</v>
      </c>
      <c r="J289" s="147">
        <f>J295/J283*J279</f>
        <v>10.174723520693194</v>
      </c>
      <c r="K289" s="447">
        <f>J289</f>
        <v>10.174723520693194</v>
      </c>
      <c r="L289" s="447">
        <f t="shared" ref="L289:O289" si="105">K289</f>
        <v>10.174723520693194</v>
      </c>
      <c r="M289" s="447">
        <f t="shared" si="105"/>
        <v>10.174723520693194</v>
      </c>
      <c r="N289" s="447">
        <f t="shared" si="105"/>
        <v>10.174723520693194</v>
      </c>
      <c r="O289" s="447">
        <f t="shared" si="105"/>
        <v>10.174723520693194</v>
      </c>
    </row>
    <row r="291" spans="2:16">
      <c r="B291" s="112" t="s">
        <v>364</v>
      </c>
    </row>
    <row r="292" spans="2:16">
      <c r="C292" s="69" t="s">
        <v>451</v>
      </c>
      <c r="J292" s="233">
        <f>J172</f>
        <v>41715</v>
      </c>
      <c r="K292" s="233">
        <f>K282/K279*K286</f>
        <v>41509.497044054799</v>
      </c>
      <c r="L292" s="233">
        <f>L282/L279*L286</f>
        <v>47728.935337827868</v>
      </c>
      <c r="M292" s="233">
        <f>M282/M279*M286</f>
        <v>56011.817396639992</v>
      </c>
      <c r="N292" s="233">
        <f>N282/N279*N286</f>
        <v>64942.303246800002</v>
      </c>
      <c r="O292" s="233">
        <f>O282/O279*O286</f>
        <v>75488.043896160016</v>
      </c>
    </row>
    <row r="293" spans="2:16">
      <c r="C293" s="58" t="s">
        <v>60</v>
      </c>
      <c r="J293" s="233">
        <f>J173</f>
        <v>2541</v>
      </c>
      <c r="K293" s="233">
        <f>K282/K279*K287</f>
        <v>2731.4082810768459</v>
      </c>
      <c r="L293" s="233">
        <f t="shared" ref="L293:O293" si="106">L282/L279*L287</f>
        <v>3140.6598131112792</v>
      </c>
      <c r="M293" s="233">
        <f t="shared" si="106"/>
        <v>3685.6900894986584</v>
      </c>
      <c r="N293" s="233">
        <f t="shared" si="106"/>
        <v>4273.3339961274978</v>
      </c>
      <c r="O293" s="233">
        <f t="shared" si="106"/>
        <v>4967.2649129290112</v>
      </c>
    </row>
    <row r="294" spans="2:16">
      <c r="C294" s="69" t="s">
        <v>85</v>
      </c>
      <c r="J294" s="233">
        <f>J184</f>
        <v>37938</v>
      </c>
      <c r="K294" s="233">
        <f>K283/K279*K288</f>
        <v>48904.672305205473</v>
      </c>
      <c r="L294" s="233">
        <f>L283/L279*L288</f>
        <v>54210.060473975413</v>
      </c>
      <c r="M294" s="233">
        <f>M283/M279*M288</f>
        <v>61041.679703186295</v>
      </c>
      <c r="N294" s="233">
        <f>N283/N279*N288</f>
        <v>68049.182679102727</v>
      </c>
      <c r="O294" s="233">
        <f>O283/O279*O288</f>
        <v>76076.941377094539</v>
      </c>
    </row>
    <row r="295" spans="2:16">
      <c r="C295" s="69" t="s">
        <v>87</v>
      </c>
      <c r="J295" s="233">
        <f>J187</f>
        <v>652</v>
      </c>
      <c r="K295" s="233">
        <f>K282/K279*K289</f>
        <v>804.47172553578855</v>
      </c>
      <c r="L295" s="233">
        <f>L283/L279*L289</f>
        <v>817.14426275964161</v>
      </c>
      <c r="M295" s="233">
        <f>M283/M279*M289</f>
        <v>920.12179884241471</v>
      </c>
      <c r="N295" s="233">
        <f>N283/N279*N289</f>
        <v>1025.7505475096509</v>
      </c>
      <c r="O295" s="233">
        <f>O283/O279*O289</f>
        <v>1146.7582886102534</v>
      </c>
    </row>
    <row r="296" spans="2:16">
      <c r="C296" s="69" t="s">
        <v>365</v>
      </c>
      <c r="J296" s="231">
        <f>J292+J293-J294-J295</f>
        <v>5666</v>
      </c>
      <c r="K296" s="231">
        <f t="shared" ref="K296:O296" si="107">K292+K293-K294-K295</f>
        <v>-5468.2387056096177</v>
      </c>
      <c r="L296" s="231">
        <f t="shared" si="107"/>
        <v>-4157.609585795909</v>
      </c>
      <c r="M296" s="231">
        <f t="shared" si="107"/>
        <v>-2264.2940158900569</v>
      </c>
      <c r="N296" s="231">
        <f t="shared" si="107"/>
        <v>140.70401631512914</v>
      </c>
      <c r="O296" s="231">
        <f t="shared" si="107"/>
        <v>3231.6091433842303</v>
      </c>
    </row>
    <row r="297" spans="2:16">
      <c r="J297" s="233"/>
      <c r="K297" s="233"/>
      <c r="L297" s="233"/>
      <c r="M297" s="233"/>
      <c r="N297" s="233"/>
      <c r="O297" s="233"/>
    </row>
    <row r="298" spans="2:16">
      <c r="B298" s="112" t="s">
        <v>314</v>
      </c>
      <c r="J298" s="233"/>
      <c r="K298" s="233">
        <f>J296-K296</f>
        <v>11134.238705609618</v>
      </c>
      <c r="L298" s="233">
        <f t="shared" ref="L298:O298" si="108">K296-L296</f>
        <v>-1310.6291198137087</v>
      </c>
      <c r="M298" s="233">
        <f t="shared" si="108"/>
        <v>-1893.315569905852</v>
      </c>
      <c r="N298" s="233">
        <f t="shared" si="108"/>
        <v>-2404.9980322051861</v>
      </c>
      <c r="O298" s="233">
        <f t="shared" si="108"/>
        <v>-3090.9051270691011</v>
      </c>
    </row>
    <row r="299" spans="2:16">
      <c r="B299" s="166"/>
      <c r="C299" s="167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</row>
    <row r="300" spans="2:16">
      <c r="C300" s="112"/>
    </row>
    <row r="301" spans="2:16">
      <c r="C301" s="112"/>
      <c r="N301" s="143" t="str">
        <f>N272</f>
        <v>CURRENTLY RUNNING: BASE CASE SCENARIO</v>
      </c>
    </row>
    <row r="302" spans="2:16" ht="26">
      <c r="B302" s="193" t="str">
        <f>B273</f>
        <v>PAYPAL HOLDINGS, INC.</v>
      </c>
      <c r="C302" s="237"/>
      <c r="D302" s="236"/>
      <c r="E302" s="236"/>
      <c r="F302" s="236"/>
      <c r="G302" s="236"/>
      <c r="H302" s="236"/>
      <c r="I302" s="236"/>
      <c r="J302" s="236"/>
      <c r="K302" s="236"/>
      <c r="L302" s="236"/>
      <c r="M302" s="236"/>
      <c r="N302" s="236"/>
      <c r="O302" s="236"/>
      <c r="P302" s="236"/>
    </row>
    <row r="303" spans="2:16" ht="20" thickBot="1">
      <c r="B303" s="240" t="s">
        <v>366</v>
      </c>
      <c r="C303" s="194"/>
      <c r="D303" s="194"/>
      <c r="E303" s="194"/>
      <c r="F303" s="194"/>
      <c r="G303" s="270"/>
      <c r="H303" s="239"/>
      <c r="I303" s="239"/>
      <c r="J303" s="239"/>
      <c r="K303" s="239"/>
      <c r="L303" s="239"/>
      <c r="M303" s="239"/>
      <c r="N303" s="239"/>
      <c r="O303" s="239"/>
      <c r="P303" s="239"/>
    </row>
    <row r="304" spans="2:16">
      <c r="C304" s="132" t="str">
        <f>C275</f>
        <v>($ Millions)</v>
      </c>
    </row>
    <row r="305" spans="2:16">
      <c r="K305" s="148" t="s">
        <v>282</v>
      </c>
      <c r="L305" s="101"/>
      <c r="M305" s="101"/>
      <c r="N305" s="101"/>
      <c r="O305" s="101"/>
      <c r="P305" s="101"/>
    </row>
    <row r="306" spans="2:16">
      <c r="H306" s="253"/>
      <c r="I306" s="253">
        <f t="shared" ref="I306:O306" si="109">I277</f>
        <v>2021</v>
      </c>
      <c r="J306" s="254">
        <f t="shared" si="109"/>
        <v>2022</v>
      </c>
      <c r="K306" s="111">
        <f t="shared" si="109"/>
        <v>2023</v>
      </c>
      <c r="L306" s="111">
        <f t="shared" si="109"/>
        <v>2024</v>
      </c>
      <c r="M306" s="111">
        <f t="shared" si="109"/>
        <v>2025</v>
      </c>
      <c r="N306" s="111">
        <f t="shared" si="109"/>
        <v>2026</v>
      </c>
      <c r="O306" s="111">
        <f t="shared" si="109"/>
        <v>2027</v>
      </c>
      <c r="P306" s="111"/>
    </row>
    <row r="308" spans="2:16">
      <c r="B308" s="112" t="s">
        <v>278</v>
      </c>
    </row>
    <row r="309" spans="2:16">
      <c r="C309" s="69" t="s">
        <v>367</v>
      </c>
      <c r="I309" s="160"/>
      <c r="J309" s="233"/>
      <c r="K309" s="233">
        <f>J311</f>
        <v>10849</v>
      </c>
      <c r="L309" s="233">
        <f ca="1">L160</f>
        <v>23422.748227172597</v>
      </c>
      <c r="M309" s="233">
        <f ca="1">M160</f>
        <v>24938.722449268047</v>
      </c>
      <c r="N309" s="233">
        <f ca="1">N160</f>
        <v>27878.090016290655</v>
      </c>
      <c r="O309" s="233">
        <f ca="1">O160</f>
        <v>32616.877077588484</v>
      </c>
    </row>
    <row r="310" spans="2:16">
      <c r="C310" s="69" t="s">
        <v>368</v>
      </c>
      <c r="I310" s="160"/>
      <c r="J310" s="233"/>
      <c r="K310" s="233">
        <f ca="1">K159</f>
        <v>12573.748227172595</v>
      </c>
      <c r="L310" s="233">
        <f ca="1">L159</f>
        <v>1515.9742220954513</v>
      </c>
      <c r="M310" s="233">
        <f ca="1">M159</f>
        <v>2939.3675670226075</v>
      </c>
      <c r="N310" s="233">
        <f ca="1">N159</f>
        <v>4738.7870612978295</v>
      </c>
      <c r="O310" s="233">
        <f ca="1">O159</f>
        <v>6883.5010553231186</v>
      </c>
    </row>
    <row r="311" spans="2:16">
      <c r="C311" s="69" t="s">
        <v>369</v>
      </c>
      <c r="I311" s="160"/>
      <c r="J311" s="313">
        <f>J171</f>
        <v>10849</v>
      </c>
      <c r="K311" s="313">
        <f t="shared" ref="K311:O311" ca="1" si="110">K309+K310</f>
        <v>23422.748227172597</v>
      </c>
      <c r="L311" s="313">
        <f t="shared" ca="1" si="110"/>
        <v>24938.722449268047</v>
      </c>
      <c r="M311" s="313">
        <f t="shared" ca="1" si="110"/>
        <v>27878.090016290655</v>
      </c>
      <c r="N311" s="313">
        <f t="shared" ca="1" si="110"/>
        <v>32616.877077588484</v>
      </c>
      <c r="O311" s="313">
        <f t="shared" ca="1" si="110"/>
        <v>39500.378132911603</v>
      </c>
    </row>
    <row r="313" spans="2:16">
      <c r="C313" s="69" t="s">
        <v>370</v>
      </c>
      <c r="K313" s="246">
        <f>Assumptions!H31</f>
        <v>2.5000000000000001E-3</v>
      </c>
      <c r="L313" s="246">
        <f>K313</f>
        <v>2.5000000000000001E-3</v>
      </c>
      <c r="M313" s="246">
        <f t="shared" ref="M313:O313" si="111">L313</f>
        <v>2.5000000000000001E-3</v>
      </c>
      <c r="N313" s="246">
        <f t="shared" si="111"/>
        <v>2.5000000000000001E-3</v>
      </c>
      <c r="O313" s="246">
        <f t="shared" si="111"/>
        <v>2.5000000000000001E-3</v>
      </c>
    </row>
    <row r="314" spans="2:16">
      <c r="C314" s="112" t="s">
        <v>371</v>
      </c>
      <c r="K314" s="250">
        <f ca="1">K313*AVERAGE(K309,K311)</f>
        <v>42.83968528396575</v>
      </c>
      <c r="L314" s="250">
        <f t="shared" ref="L314:O314" ca="1" si="112">L313*AVERAGE(L309,L311)</f>
        <v>60.451838345550804</v>
      </c>
      <c r="M314" s="250">
        <f t="shared" ca="1" si="112"/>
        <v>66.021015581948376</v>
      </c>
      <c r="N314" s="250">
        <f t="shared" ca="1" si="112"/>
        <v>75.618708867348928</v>
      </c>
      <c r="O314" s="250">
        <f t="shared" ca="1" si="112"/>
        <v>90.146569013125116</v>
      </c>
    </row>
    <row r="316" spans="2:16">
      <c r="B316" s="112" t="s">
        <v>372</v>
      </c>
    </row>
    <row r="317" spans="2:16">
      <c r="C317" s="69" t="s">
        <v>373</v>
      </c>
      <c r="J317" s="233"/>
      <c r="K317" s="233">
        <f ca="1">K141</f>
        <v>15117.748227172595</v>
      </c>
      <c r="L317" s="233">
        <f ca="1">L141</f>
        <v>4109.9742220954513</v>
      </c>
      <c r="M317" s="233">
        <f ca="1">M141</f>
        <v>5578.3675670226075</v>
      </c>
      <c r="N317" s="233">
        <f ca="1">N141</f>
        <v>7419.5870612978297</v>
      </c>
      <c r="O317" s="233">
        <f ca="1">O141</f>
        <v>9602.3390553231184</v>
      </c>
    </row>
    <row r="318" spans="2:16">
      <c r="C318" s="69" t="s">
        <v>374</v>
      </c>
      <c r="J318" s="233"/>
      <c r="K318" s="233">
        <f>K149</f>
        <v>-2444</v>
      </c>
      <c r="L318" s="233">
        <f>L149</f>
        <v>-2494</v>
      </c>
      <c r="M318" s="233">
        <f>M149</f>
        <v>-2539</v>
      </c>
      <c r="N318" s="233">
        <f>N149</f>
        <v>-2580.8000000000002</v>
      </c>
      <c r="O318" s="233">
        <f>O149</f>
        <v>-2618.8379999999997</v>
      </c>
    </row>
    <row r="319" spans="2:16">
      <c r="C319" s="69" t="s">
        <v>375</v>
      </c>
      <c r="J319" s="233"/>
      <c r="K319" s="429">
        <f>Assumptions!F88</f>
        <v>-100</v>
      </c>
      <c r="L319" s="429">
        <f>Assumptions!G88</f>
        <v>-100</v>
      </c>
      <c r="M319" s="429">
        <f>Assumptions!H88</f>
        <v>-100</v>
      </c>
      <c r="N319" s="429">
        <f>Assumptions!I88</f>
        <v>-100</v>
      </c>
      <c r="O319" s="429">
        <f>Assumptions!J88</f>
        <v>-100</v>
      </c>
    </row>
    <row r="320" spans="2:16">
      <c r="C320" s="69" t="s">
        <v>376</v>
      </c>
      <c r="J320" s="233"/>
      <c r="K320" s="429">
        <f>Assumptions!F90</f>
        <v>0</v>
      </c>
      <c r="L320" s="429">
        <f>Assumptions!G90</f>
        <v>0</v>
      </c>
      <c r="M320" s="429">
        <f>Assumptions!H90</f>
        <v>0</v>
      </c>
      <c r="N320" s="429">
        <f>Assumptions!I90</f>
        <v>0</v>
      </c>
      <c r="O320" s="429">
        <f>Assumptions!J90</f>
        <v>0</v>
      </c>
    </row>
    <row r="321" spans="2:15">
      <c r="C321" s="69" t="s">
        <v>240</v>
      </c>
      <c r="J321" s="233"/>
      <c r="K321" s="427">
        <f>Assumptions!F91</f>
        <v>0</v>
      </c>
      <c r="L321" s="427">
        <f>Assumptions!G91</f>
        <v>0</v>
      </c>
      <c r="M321" s="427">
        <f>Assumptions!H91</f>
        <v>0</v>
      </c>
      <c r="N321" s="427">
        <f>Assumptions!I91</f>
        <v>0</v>
      </c>
      <c r="O321" s="427">
        <f>Assumptions!J91</f>
        <v>0</v>
      </c>
    </row>
    <row r="322" spans="2:15">
      <c r="C322" s="112" t="s">
        <v>377</v>
      </c>
      <c r="J322" s="233"/>
      <c r="K322" s="319">
        <f ca="1">SUM(K317:K321)</f>
        <v>12573.748227172595</v>
      </c>
      <c r="L322" s="319">
        <f t="shared" ref="L322:O322" ca="1" si="113">SUM(L317:L321)</f>
        <v>1515.9742220954513</v>
      </c>
      <c r="M322" s="319">
        <f t="shared" ca="1" si="113"/>
        <v>2939.3675670226075</v>
      </c>
      <c r="N322" s="319">
        <f t="shared" ca="1" si="113"/>
        <v>4738.7870612978295</v>
      </c>
      <c r="O322" s="319">
        <f t="shared" ca="1" si="113"/>
        <v>6883.5010553231186</v>
      </c>
    </row>
    <row r="323" spans="2:15">
      <c r="J323" s="233"/>
      <c r="K323" s="233"/>
      <c r="L323" s="233"/>
      <c r="M323" s="233"/>
      <c r="N323" s="233"/>
      <c r="O323" s="233"/>
    </row>
    <row r="324" spans="2:15">
      <c r="C324" s="69" t="s">
        <v>378</v>
      </c>
      <c r="J324" s="233"/>
      <c r="K324" s="233">
        <f>J326</f>
        <v>0</v>
      </c>
      <c r="L324" s="233">
        <f t="shared" ref="L324:O324" ca="1" si="114">K326</f>
        <v>0</v>
      </c>
      <c r="M324" s="233">
        <f t="shared" ca="1" si="114"/>
        <v>0</v>
      </c>
      <c r="N324" s="233">
        <f t="shared" ca="1" si="114"/>
        <v>0</v>
      </c>
      <c r="O324" s="233">
        <f t="shared" ca="1" si="114"/>
        <v>0</v>
      </c>
    </row>
    <row r="325" spans="2:15">
      <c r="C325" s="69" t="s">
        <v>379</v>
      </c>
      <c r="J325" s="233"/>
      <c r="K325" s="448">
        <f ca="1">-MIN((K322+K309),K324)</f>
        <v>0</v>
      </c>
      <c r="L325" s="448">
        <f t="shared" ref="L325:O325" ca="1" si="115">MIN(L322+L309,L324)</f>
        <v>0</v>
      </c>
      <c r="M325" s="448">
        <f t="shared" ca="1" si="115"/>
        <v>0</v>
      </c>
      <c r="N325" s="448">
        <f t="shared" ca="1" si="115"/>
        <v>0</v>
      </c>
      <c r="O325" s="448">
        <f t="shared" ca="1" si="115"/>
        <v>0</v>
      </c>
    </row>
    <row r="326" spans="2:15">
      <c r="C326" s="69" t="s">
        <v>380</v>
      </c>
      <c r="J326" s="233">
        <v>0</v>
      </c>
      <c r="K326" s="233">
        <f ca="1">SUM(K324:K325)</f>
        <v>0</v>
      </c>
      <c r="L326" s="233">
        <f t="shared" ref="L326:N326" ca="1" si="116">SUM(L324:L325)</f>
        <v>0</v>
      </c>
      <c r="M326" s="233">
        <f t="shared" ca="1" si="116"/>
        <v>0</v>
      </c>
      <c r="N326" s="233">
        <f t="shared" ca="1" si="116"/>
        <v>0</v>
      </c>
      <c r="O326" s="233">
        <f ca="1">SUM(O324:O325)</f>
        <v>0</v>
      </c>
    </row>
    <row r="328" spans="2:15">
      <c r="C328" s="69" t="s">
        <v>370</v>
      </c>
      <c r="K328" s="102">
        <f>Assumptions!$H$32</f>
        <v>5.5E-2</v>
      </c>
      <c r="L328" s="102">
        <f>Assumptions!$H$32</f>
        <v>5.5E-2</v>
      </c>
      <c r="M328" s="102">
        <f>Assumptions!$H$32</f>
        <v>5.5E-2</v>
      </c>
      <c r="N328" s="102">
        <f>Assumptions!$H$32</f>
        <v>5.5E-2</v>
      </c>
      <c r="O328" s="102">
        <f>Assumptions!$H$32</f>
        <v>5.5E-2</v>
      </c>
    </row>
    <row r="329" spans="2:15">
      <c r="C329" s="112" t="s">
        <v>381</v>
      </c>
      <c r="J329" s="102"/>
      <c r="K329" s="216">
        <f ca="1">K328*AVERAGE(K326,K324)</f>
        <v>0</v>
      </c>
      <c r="L329" s="216">
        <f t="shared" ref="L329:O329" ca="1" si="117">L328*AVERAGE(L326,L324)</f>
        <v>0</v>
      </c>
      <c r="M329" s="216">
        <f t="shared" ca="1" si="117"/>
        <v>0</v>
      </c>
      <c r="N329" s="216">
        <f t="shared" ca="1" si="117"/>
        <v>0</v>
      </c>
      <c r="O329" s="216">
        <f t="shared" ca="1" si="117"/>
        <v>0</v>
      </c>
    </row>
    <row r="330" spans="2:15">
      <c r="K330" s="160"/>
      <c r="L330" s="160"/>
      <c r="M330" s="160"/>
      <c r="N330" s="160"/>
      <c r="O330" s="160"/>
    </row>
    <row r="331" spans="2:15">
      <c r="B331" s="112" t="s">
        <v>382</v>
      </c>
      <c r="J331" s="233"/>
      <c r="K331" s="233"/>
      <c r="L331" s="233"/>
      <c r="M331" s="233"/>
      <c r="N331" s="233"/>
      <c r="O331" s="233"/>
    </row>
    <row r="332" spans="2:15">
      <c r="C332" s="69" t="s">
        <v>367</v>
      </c>
      <c r="J332" s="233"/>
      <c r="K332" s="233">
        <f>J334</f>
        <v>10241</v>
      </c>
      <c r="L332" s="233">
        <f>K334</f>
        <v>10141</v>
      </c>
      <c r="M332" s="233">
        <f t="shared" ref="M332:O332" si="118">L334</f>
        <v>10041</v>
      </c>
      <c r="N332" s="233">
        <f t="shared" si="118"/>
        <v>9941</v>
      </c>
      <c r="O332" s="233">
        <f t="shared" si="118"/>
        <v>9841</v>
      </c>
    </row>
    <row r="333" spans="2:15">
      <c r="C333" s="69" t="s">
        <v>379</v>
      </c>
      <c r="J333" s="233"/>
      <c r="K333" s="233">
        <f>K319</f>
        <v>-100</v>
      </c>
      <c r="L333" s="233">
        <f t="shared" ref="L333:O333" si="119">L319</f>
        <v>-100</v>
      </c>
      <c r="M333" s="233">
        <f t="shared" si="119"/>
        <v>-100</v>
      </c>
      <c r="N333" s="233">
        <f t="shared" si="119"/>
        <v>-100</v>
      </c>
      <c r="O333" s="233">
        <f t="shared" si="119"/>
        <v>-100</v>
      </c>
    </row>
    <row r="334" spans="2:15">
      <c r="C334" s="69" t="s">
        <v>369</v>
      </c>
      <c r="J334" s="455">
        <f>J191</f>
        <v>10241</v>
      </c>
      <c r="K334" s="233">
        <f>K332+K333</f>
        <v>10141</v>
      </c>
      <c r="L334" s="233">
        <f t="shared" ref="L334:O334" si="120">L332+L333</f>
        <v>10041</v>
      </c>
      <c r="M334" s="233">
        <f t="shared" si="120"/>
        <v>9941</v>
      </c>
      <c r="N334" s="233">
        <f t="shared" si="120"/>
        <v>9841</v>
      </c>
      <c r="O334" s="233">
        <f t="shared" si="120"/>
        <v>9741</v>
      </c>
    </row>
    <row r="336" spans="2:15">
      <c r="C336" s="69" t="s">
        <v>370</v>
      </c>
      <c r="K336" s="246">
        <f>Assumptions!H33</f>
        <v>4.4999999999999998E-2</v>
      </c>
      <c r="L336" s="246">
        <f>K336</f>
        <v>4.4999999999999998E-2</v>
      </c>
      <c r="M336" s="246">
        <f t="shared" ref="M336:O336" si="121">L336</f>
        <v>4.4999999999999998E-2</v>
      </c>
      <c r="N336" s="246">
        <f t="shared" si="121"/>
        <v>4.4999999999999998E-2</v>
      </c>
      <c r="O336" s="246">
        <f t="shared" si="121"/>
        <v>4.4999999999999998E-2</v>
      </c>
    </row>
    <row r="337" spans="2:16">
      <c r="C337" s="112" t="s">
        <v>381</v>
      </c>
      <c r="K337" s="216">
        <f>K336*AVERAGE(K332,K334)</f>
        <v>458.59499999999997</v>
      </c>
      <c r="L337" s="216">
        <f t="shared" ref="L337:O337" si="122">L336*AVERAGE(L332,L334)</f>
        <v>454.09499999999997</v>
      </c>
      <c r="M337" s="216">
        <f t="shared" si="122"/>
        <v>449.59499999999997</v>
      </c>
      <c r="N337" s="216">
        <f t="shared" si="122"/>
        <v>445.09499999999997</v>
      </c>
      <c r="O337" s="216">
        <f t="shared" si="122"/>
        <v>440.59499999999997</v>
      </c>
    </row>
    <row r="339" spans="2:16">
      <c r="B339" s="112" t="s">
        <v>383</v>
      </c>
      <c r="K339" s="216">
        <f ca="1">K337+K329-K314</f>
        <v>415.75531471603421</v>
      </c>
      <c r="L339" s="216">
        <f t="shared" ref="L339:O339" ca="1" si="123">L337+L329-L314</f>
        <v>393.64316165444916</v>
      </c>
      <c r="M339" s="216">
        <f t="shared" ca="1" si="123"/>
        <v>383.57398441805162</v>
      </c>
      <c r="N339" s="216">
        <f t="shared" ca="1" si="123"/>
        <v>369.47629113265106</v>
      </c>
      <c r="O339" s="216">
        <f t="shared" ca="1" si="123"/>
        <v>350.44843098687488</v>
      </c>
    </row>
    <row r="340" spans="2:16">
      <c r="B340" s="166"/>
      <c r="C340" s="167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</row>
    <row r="341" spans="2:16">
      <c r="C341" s="112"/>
    </row>
    <row r="342" spans="2:16">
      <c r="C342" s="112"/>
      <c r="N342" s="143" t="str">
        <f>N301</f>
        <v>CURRENTLY RUNNING: BASE CASE SCENARIO</v>
      </c>
    </row>
    <row r="343" spans="2:16" ht="26">
      <c r="B343" s="193" t="str">
        <f>B302</f>
        <v>PAYPAL HOLDINGS, INC.</v>
      </c>
      <c r="C343" s="237"/>
      <c r="D343" s="236"/>
      <c r="E343" s="236"/>
      <c r="F343" s="236"/>
      <c r="G343" s="236"/>
      <c r="H343" s="236"/>
      <c r="I343" s="236"/>
      <c r="J343" s="236"/>
      <c r="K343" s="236"/>
      <c r="L343" s="236"/>
      <c r="M343" s="236"/>
      <c r="N343" s="236"/>
      <c r="O343" s="236"/>
      <c r="P343" s="236"/>
    </row>
    <row r="344" spans="2:16" ht="20" thickBot="1">
      <c r="B344" s="240" t="s">
        <v>384</v>
      </c>
      <c r="C344" s="194"/>
      <c r="D344" s="194"/>
      <c r="E344" s="194"/>
      <c r="F344" s="194"/>
      <c r="G344" s="270"/>
      <c r="H344" s="239"/>
      <c r="I344" s="239"/>
      <c r="J344" s="239"/>
      <c r="K344" s="239"/>
      <c r="L344" s="239"/>
      <c r="M344" s="239"/>
      <c r="N344" s="239"/>
      <c r="O344" s="239"/>
      <c r="P344" s="239"/>
    </row>
    <row r="345" spans="2:16">
      <c r="C345" s="132" t="str">
        <f>C304</f>
        <v>($ Millions)</v>
      </c>
    </row>
    <row r="346" spans="2:16">
      <c r="K346" s="148" t="s">
        <v>282</v>
      </c>
      <c r="L346" s="101"/>
      <c r="M346" s="101"/>
      <c r="N346" s="101"/>
      <c r="O346" s="101"/>
      <c r="P346" s="101"/>
    </row>
    <row r="347" spans="2:16">
      <c r="H347" s="253"/>
      <c r="I347" s="253"/>
      <c r="J347" s="254">
        <f t="shared" ref="J347:O347" si="124">J306</f>
        <v>2022</v>
      </c>
      <c r="K347" s="111">
        <f t="shared" si="124"/>
        <v>2023</v>
      </c>
      <c r="L347" s="111">
        <f t="shared" si="124"/>
        <v>2024</v>
      </c>
      <c r="M347" s="111">
        <f t="shared" si="124"/>
        <v>2025</v>
      </c>
      <c r="N347" s="111">
        <f t="shared" si="124"/>
        <v>2026</v>
      </c>
      <c r="O347" s="111">
        <f t="shared" si="124"/>
        <v>2027</v>
      </c>
    </row>
    <row r="349" spans="2:16">
      <c r="B349" s="112" t="s">
        <v>385</v>
      </c>
    </row>
    <row r="350" spans="2:16">
      <c r="C350" s="69" t="s">
        <v>367</v>
      </c>
      <c r="K350" s="69">
        <f>J352</f>
        <v>2231</v>
      </c>
      <c r="L350" s="69">
        <f t="shared" ref="L350:O350" si="125">K352</f>
        <v>2231</v>
      </c>
      <c r="M350" s="69">
        <f t="shared" si="125"/>
        <v>2231</v>
      </c>
      <c r="N350" s="69">
        <f t="shared" si="125"/>
        <v>2231</v>
      </c>
      <c r="O350" s="69">
        <f t="shared" si="125"/>
        <v>2231</v>
      </c>
    </row>
    <row r="351" spans="2:16">
      <c r="C351" s="69" t="s">
        <v>386</v>
      </c>
      <c r="K351" s="242">
        <f>Assumptions!F90</f>
        <v>0</v>
      </c>
      <c r="L351" s="242">
        <f>Assumptions!G90</f>
        <v>0</v>
      </c>
      <c r="M351" s="242">
        <f>Assumptions!H90</f>
        <v>0</v>
      </c>
      <c r="N351" s="242">
        <f>Assumptions!I90</f>
        <v>0</v>
      </c>
      <c r="O351" s="242">
        <f>Assumptions!J90</f>
        <v>0</v>
      </c>
    </row>
    <row r="352" spans="2:16">
      <c r="C352" s="69" t="s">
        <v>369</v>
      </c>
      <c r="J352" s="198">
        <f>J195</f>
        <v>2231</v>
      </c>
      <c r="K352" s="198">
        <f>SUM(K350:K351)</f>
        <v>2231</v>
      </c>
      <c r="L352" s="198">
        <f>SUM(L350:L351)</f>
        <v>2231</v>
      </c>
      <c r="M352" s="198">
        <f>SUM(M350:M351)</f>
        <v>2231</v>
      </c>
      <c r="N352" s="198">
        <f>SUM(N350:N351)</f>
        <v>2231</v>
      </c>
      <c r="O352" s="198">
        <f>SUM(O350:O351)</f>
        <v>2231</v>
      </c>
    </row>
    <row r="354" spans="2:16">
      <c r="C354" s="69" t="s">
        <v>387</v>
      </c>
      <c r="J354" s="114"/>
      <c r="K354" s="243">
        <f>Assumptions!N8</f>
        <v>0</v>
      </c>
      <c r="L354" s="114">
        <f>K354</f>
        <v>0</v>
      </c>
      <c r="M354" s="114">
        <f>L354</f>
        <v>0</v>
      </c>
      <c r="N354" s="114">
        <f>M354</f>
        <v>0</v>
      </c>
      <c r="O354" s="114">
        <f>N354</f>
        <v>0</v>
      </c>
    </row>
    <row r="355" spans="2:16">
      <c r="C355" s="69" t="s">
        <v>388</v>
      </c>
      <c r="K355" s="233">
        <f ca="1">K116</f>
        <v>1100.1784623629774</v>
      </c>
      <c r="L355" s="233">
        <f ca="1">L116</f>
        <v>2124.6702983591604</v>
      </c>
      <c r="M355" s="233">
        <f ca="1">M116</f>
        <v>3576.7422408644597</v>
      </c>
      <c r="N355" s="233">
        <f ca="1">N116</f>
        <v>5302.0661023855164</v>
      </c>
      <c r="O355" s="233">
        <f ca="1">O116</f>
        <v>7455.8148090668437</v>
      </c>
    </row>
    <row r="356" spans="2:16">
      <c r="C356" s="112" t="s">
        <v>389</v>
      </c>
      <c r="K356" s="244">
        <f ca="1">MAX(K354*K355,0)</f>
        <v>0</v>
      </c>
      <c r="L356" s="244">
        <f ca="1">MAX(L354*L355,0)</f>
        <v>0</v>
      </c>
      <c r="M356" s="244">
        <f ca="1">MAX(M354*M355,0)</f>
        <v>0</v>
      </c>
      <c r="N356" s="244">
        <f ca="1">MAX(N354*N355,0)</f>
        <v>0</v>
      </c>
      <c r="O356" s="244">
        <f ca="1">MAX(O354*O355,0)</f>
        <v>0</v>
      </c>
    </row>
    <row r="358" spans="2:16">
      <c r="B358" s="112" t="s">
        <v>106</v>
      </c>
    </row>
    <row r="359" spans="2:16">
      <c r="C359" s="69" t="s">
        <v>367</v>
      </c>
      <c r="J359" s="233"/>
      <c r="K359" s="233">
        <f>J362</f>
        <v>18033</v>
      </c>
      <c r="L359" s="233">
        <f t="shared" ref="L359:O359" ca="1" si="126">K362</f>
        <v>19133.178462362979</v>
      </c>
      <c r="M359" s="233">
        <f t="shared" ca="1" si="126"/>
        <v>21257.84876072214</v>
      </c>
      <c r="N359" s="233">
        <f t="shared" ca="1" si="126"/>
        <v>24834.591001586599</v>
      </c>
      <c r="O359" s="233">
        <f t="shared" ca="1" si="126"/>
        <v>30136.657103972117</v>
      </c>
    </row>
    <row r="360" spans="2:16">
      <c r="C360" s="69" t="s">
        <v>388</v>
      </c>
      <c r="J360" s="233"/>
      <c r="K360" s="233">
        <f ca="1">K355</f>
        <v>1100.1784623629774</v>
      </c>
      <c r="L360" s="233">
        <f t="shared" ref="L360:O360" ca="1" si="127">L355</f>
        <v>2124.6702983591604</v>
      </c>
      <c r="M360" s="233">
        <f t="shared" ca="1" si="127"/>
        <v>3576.7422408644597</v>
      </c>
      <c r="N360" s="233">
        <f t="shared" ca="1" si="127"/>
        <v>5302.0661023855164</v>
      </c>
      <c r="O360" s="233">
        <f t="shared" ca="1" si="127"/>
        <v>7455.8148090668437</v>
      </c>
    </row>
    <row r="361" spans="2:16">
      <c r="C361" s="69" t="s">
        <v>389</v>
      </c>
      <c r="J361" s="233"/>
      <c r="K361" s="233">
        <f ca="1">K356</f>
        <v>0</v>
      </c>
      <c r="L361" s="233">
        <f t="shared" ref="L361:O361" ca="1" si="128">L356</f>
        <v>0</v>
      </c>
      <c r="M361" s="233">
        <f t="shared" ca="1" si="128"/>
        <v>0</v>
      </c>
      <c r="N361" s="233">
        <f t="shared" ca="1" si="128"/>
        <v>0</v>
      </c>
      <c r="O361" s="233">
        <f t="shared" ca="1" si="128"/>
        <v>0</v>
      </c>
      <c r="P361" s="160"/>
    </row>
    <row r="362" spans="2:16">
      <c r="C362" s="112" t="s">
        <v>369</v>
      </c>
      <c r="J362" s="327">
        <f>J196</f>
        <v>18033</v>
      </c>
      <c r="K362" s="327">
        <f ca="1">K359+K360-K361</f>
        <v>19133.178462362979</v>
      </c>
      <c r="L362" s="327">
        <f t="shared" ref="L362:O362" ca="1" si="129">L359+L360-L361</f>
        <v>21257.84876072214</v>
      </c>
      <c r="M362" s="327">
        <f t="shared" ca="1" si="129"/>
        <v>24834.591001586599</v>
      </c>
      <c r="N362" s="327">
        <f t="shared" ca="1" si="129"/>
        <v>30136.657103972117</v>
      </c>
      <c r="O362" s="327">
        <f t="shared" ca="1" si="129"/>
        <v>37592.471913038957</v>
      </c>
    </row>
    <row r="364" spans="2:16">
      <c r="B364" s="112" t="s">
        <v>390</v>
      </c>
    </row>
    <row r="365" spans="2:16">
      <c r="C365" s="69" t="s">
        <v>391</v>
      </c>
      <c r="K365" s="246">
        <f>Assumptions!N13</f>
        <v>0.11600000000000001</v>
      </c>
      <c r="L365" s="102">
        <f>K365</f>
        <v>0.11600000000000001</v>
      </c>
      <c r="M365" s="102">
        <f t="shared" ref="M365:O365" si="130">L365</f>
        <v>0.11600000000000001</v>
      </c>
      <c r="N365" s="102">
        <f t="shared" si="130"/>
        <v>0.11600000000000001</v>
      </c>
      <c r="O365" s="102">
        <f t="shared" si="130"/>
        <v>0.11600000000000001</v>
      </c>
    </row>
    <row r="366" spans="2:16">
      <c r="C366" s="69" t="s">
        <v>392</v>
      </c>
      <c r="J366" s="247">
        <f>Assumptions!N6</f>
        <v>73.569999999999993</v>
      </c>
      <c r="K366" s="248">
        <f>J366*(1+K365)</f>
        <v>82.104119999999995</v>
      </c>
      <c r="L366" s="248">
        <f t="shared" ref="L366:O366" si="131">K366*(1+L365)</f>
        <v>91.628197920000005</v>
      </c>
      <c r="M366" s="248">
        <f t="shared" si="131"/>
        <v>102.25706887872002</v>
      </c>
      <c r="N366" s="248">
        <f t="shared" si="131"/>
        <v>114.11888886865155</v>
      </c>
      <c r="O366" s="248">
        <f t="shared" si="131"/>
        <v>127.35667997741514</v>
      </c>
    </row>
    <row r="368" spans="2:16">
      <c r="C368" s="69" t="s">
        <v>393</v>
      </c>
      <c r="K368" s="69">
        <f>J371</f>
        <v>1600</v>
      </c>
      <c r="L368" s="69">
        <f>K371</f>
        <v>1600</v>
      </c>
      <c r="M368" s="69">
        <f t="shared" ref="M368:O368" si="132">L371</f>
        <v>1600</v>
      </c>
      <c r="N368" s="69">
        <f t="shared" si="132"/>
        <v>1600</v>
      </c>
      <c r="O368" s="69">
        <f t="shared" si="132"/>
        <v>1600</v>
      </c>
    </row>
    <row r="369" spans="2:16">
      <c r="C369" s="69" t="s">
        <v>386</v>
      </c>
      <c r="K369" s="69">
        <f>K351/K366</f>
        <v>0</v>
      </c>
      <c r="L369" s="69">
        <f t="shared" ref="L369:O369" si="133">L351/L366</f>
        <v>0</v>
      </c>
      <c r="M369" s="69">
        <f t="shared" si="133"/>
        <v>0</v>
      </c>
      <c r="N369" s="69">
        <f t="shared" si="133"/>
        <v>0</v>
      </c>
      <c r="O369" s="69">
        <f t="shared" si="133"/>
        <v>0</v>
      </c>
    </row>
    <row r="370" spans="2:16">
      <c r="C370" s="69" t="s">
        <v>394</v>
      </c>
      <c r="K370" s="242">
        <f>Assumptions!F92</f>
        <v>0</v>
      </c>
      <c r="L370" s="242">
        <f>Assumptions!G92</f>
        <v>0</v>
      </c>
      <c r="M370" s="242">
        <f>Assumptions!H92</f>
        <v>0</v>
      </c>
      <c r="N370" s="242">
        <f>Assumptions!I92</f>
        <v>0</v>
      </c>
      <c r="O370" s="242">
        <f>Assumptions!J92</f>
        <v>0</v>
      </c>
    </row>
    <row r="371" spans="2:16">
      <c r="C371" s="69" t="s">
        <v>395</v>
      </c>
      <c r="J371" s="245">
        <f>Assumptions!N9</f>
        <v>1600</v>
      </c>
      <c r="K371" s="198">
        <f>SUM(K368:K370)</f>
        <v>1600</v>
      </c>
      <c r="L371" s="198">
        <f>SUM(L368:L370)</f>
        <v>1600</v>
      </c>
      <c r="M371" s="198">
        <f>SUM(M368:M370)</f>
        <v>1600</v>
      </c>
      <c r="N371" s="198">
        <f>SUM(N368:N370)</f>
        <v>1600</v>
      </c>
      <c r="O371" s="198">
        <f>SUM(O368:O370)</f>
        <v>1600</v>
      </c>
    </row>
    <row r="372" spans="2:16">
      <c r="C372" s="112" t="s">
        <v>396</v>
      </c>
      <c r="K372" s="249">
        <f>AVERAGE(K368,K371)</f>
        <v>1600</v>
      </c>
      <c r="L372" s="249">
        <f>AVERAGE(L368,L371)</f>
        <v>1600</v>
      </c>
      <c r="M372" s="249">
        <f>AVERAGE(M368,M371)</f>
        <v>1600</v>
      </c>
      <c r="N372" s="249">
        <f>AVERAGE(N368,N371)</f>
        <v>1600</v>
      </c>
      <c r="O372" s="249">
        <f>AVERAGE(O368,O371)</f>
        <v>1600</v>
      </c>
    </row>
    <row r="373" spans="2:16">
      <c r="B373" s="166"/>
      <c r="C373" s="167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</row>
    <row r="374" spans="2:16">
      <c r="C374" s="112"/>
    </row>
    <row r="375" spans="2:16">
      <c r="C375" s="112"/>
      <c r="N375" s="143" t="str">
        <f>N342</f>
        <v>CURRENTLY RUNNING: BASE CASE SCENARIO</v>
      </c>
    </row>
    <row r="376" spans="2:16" ht="30.5">
      <c r="B376" s="280" t="str">
        <f>B343</f>
        <v>PAYPAL HOLDINGS, INC.</v>
      </c>
      <c r="C376" s="238"/>
      <c r="D376" s="193"/>
      <c r="E376" s="193"/>
      <c r="F376" s="193"/>
      <c r="G376" s="193"/>
      <c r="H376" s="193"/>
      <c r="I376" s="193"/>
      <c r="J376" s="193"/>
      <c r="K376" s="193"/>
      <c r="L376" s="193"/>
      <c r="M376" s="193"/>
      <c r="N376" s="193"/>
      <c r="O376" s="193"/>
      <c r="P376" s="193"/>
    </row>
    <row r="377" spans="2:16" ht="20" thickBot="1">
      <c r="B377" s="255" t="s">
        <v>397</v>
      </c>
      <c r="C377" s="240"/>
      <c r="D377" s="240"/>
      <c r="E377" s="240"/>
      <c r="F377" s="240"/>
      <c r="G377" s="272"/>
      <c r="H377" s="241"/>
      <c r="I377" s="241"/>
      <c r="J377" s="241"/>
      <c r="K377" s="241"/>
      <c r="L377" s="241"/>
      <c r="M377" s="241"/>
      <c r="N377" s="241"/>
      <c r="O377" s="241"/>
      <c r="P377" s="241"/>
    </row>
    <row r="378" spans="2:16">
      <c r="C378" s="132" t="str">
        <f>C345</f>
        <v>($ Millions)</v>
      </c>
    </row>
    <row r="379" spans="2:16">
      <c r="K379" s="148" t="s">
        <v>282</v>
      </c>
      <c r="L379" s="101"/>
      <c r="M379" s="101"/>
      <c r="N379" s="101"/>
      <c r="O379" s="101"/>
      <c r="P379" s="101"/>
    </row>
    <row r="380" spans="2:16">
      <c r="H380" s="253"/>
      <c r="I380" s="253"/>
      <c r="J380" s="254">
        <f t="shared" ref="J380:O380" si="134">J347</f>
        <v>2022</v>
      </c>
      <c r="K380" s="111">
        <f t="shared" si="134"/>
        <v>2023</v>
      </c>
      <c r="L380" s="111">
        <f t="shared" si="134"/>
        <v>2024</v>
      </c>
      <c r="M380" s="111">
        <f t="shared" si="134"/>
        <v>2025</v>
      </c>
      <c r="N380" s="111">
        <f t="shared" si="134"/>
        <v>2026</v>
      </c>
      <c r="O380" s="111">
        <f t="shared" si="134"/>
        <v>2027</v>
      </c>
    </row>
    <row r="382" spans="2:16">
      <c r="B382" s="256" t="s">
        <v>454</v>
      </c>
      <c r="C382" s="257"/>
      <c r="D382" s="257"/>
      <c r="E382" s="257"/>
      <c r="F382" s="258"/>
      <c r="G382" s="259"/>
      <c r="H382" s="259"/>
      <c r="I382" s="259"/>
      <c r="J382" s="259"/>
      <c r="K382" s="259"/>
      <c r="L382" s="259"/>
      <c r="M382" s="259"/>
      <c r="N382" s="259"/>
      <c r="O382" s="260"/>
      <c r="P382" s="450"/>
    </row>
    <row r="383" spans="2:16">
      <c r="B383" s="261"/>
      <c r="C383" s="262" t="s">
        <v>46</v>
      </c>
      <c r="D383" s="262"/>
      <c r="E383" s="262"/>
      <c r="F383" s="263" t="s">
        <v>455</v>
      </c>
      <c r="G383" s="264"/>
      <c r="H383" s="264"/>
      <c r="I383" s="264"/>
      <c r="J383" s="451">
        <f>J104</f>
        <v>4616.4714533186689</v>
      </c>
      <c r="K383" s="451">
        <f t="shared" ref="K383:O383" si="135">K104</f>
        <v>2414.2349312000042</v>
      </c>
      <c r="L383" s="451">
        <f t="shared" si="135"/>
        <v>3879.986892799996</v>
      </c>
      <c r="M383" s="451">
        <f t="shared" si="135"/>
        <v>5933.8261389039981</v>
      </c>
      <c r="N383" s="451">
        <f t="shared" si="135"/>
        <v>8353.3977609800058</v>
      </c>
      <c r="O383" s="452">
        <f t="shared" si="135"/>
        <v>11344.262218076001</v>
      </c>
      <c r="P383" s="262"/>
    </row>
    <row r="384" spans="2:16">
      <c r="B384" s="261"/>
      <c r="C384" s="262" t="s">
        <v>131</v>
      </c>
      <c r="D384" s="262"/>
      <c r="E384" s="262"/>
      <c r="F384" s="263" t="s">
        <v>455</v>
      </c>
      <c r="G384" s="264"/>
      <c r="H384" s="264"/>
      <c r="I384" s="264"/>
      <c r="J384" s="451">
        <f>-J144</f>
        <v>730.66666666666663</v>
      </c>
      <c r="K384" s="451">
        <f t="shared" ref="K384:O384" si="136">-K144</f>
        <v>950</v>
      </c>
      <c r="L384" s="451">
        <f t="shared" si="136"/>
        <v>1000</v>
      </c>
      <c r="M384" s="451">
        <f t="shared" si="136"/>
        <v>1045</v>
      </c>
      <c r="N384" s="451">
        <f t="shared" si="136"/>
        <v>1086.8</v>
      </c>
      <c r="O384" s="452">
        <f t="shared" si="136"/>
        <v>1124.838</v>
      </c>
      <c r="P384" s="262"/>
    </row>
    <row r="385" spans="2:16">
      <c r="B385" s="261"/>
      <c r="C385" s="262" t="s">
        <v>456</v>
      </c>
      <c r="D385" s="262"/>
      <c r="E385" s="262"/>
      <c r="F385" s="263" t="s">
        <v>455</v>
      </c>
      <c r="G385" s="264"/>
      <c r="H385" s="264"/>
      <c r="I385" s="264"/>
      <c r="J385" s="451">
        <f>J334+J326</f>
        <v>10241</v>
      </c>
      <c r="K385" s="451">
        <f t="shared" ref="K385:O385" ca="1" si="137">K334+K326</f>
        <v>10141</v>
      </c>
      <c r="L385" s="451">
        <f t="shared" ca="1" si="137"/>
        <v>10041</v>
      </c>
      <c r="M385" s="451">
        <f t="shared" ca="1" si="137"/>
        <v>9941</v>
      </c>
      <c r="N385" s="451">
        <f t="shared" ca="1" si="137"/>
        <v>9841</v>
      </c>
      <c r="O385" s="452">
        <f t="shared" ca="1" si="137"/>
        <v>9741</v>
      </c>
      <c r="P385" s="262"/>
    </row>
    <row r="386" spans="2:16">
      <c r="B386" s="261"/>
      <c r="C386" s="262" t="s">
        <v>457</v>
      </c>
      <c r="D386" s="262"/>
      <c r="E386" s="262"/>
      <c r="F386" s="263" t="s">
        <v>455</v>
      </c>
      <c r="G386" s="264"/>
      <c r="H386" s="264"/>
      <c r="I386" s="264"/>
      <c r="J386" s="451">
        <f>MAX((J385-J311),0)</f>
        <v>0</v>
      </c>
      <c r="K386" s="451">
        <f t="shared" ref="K386:O386" ca="1" si="138">MAX((K385-K311),0)</f>
        <v>0</v>
      </c>
      <c r="L386" s="451">
        <f t="shared" ca="1" si="138"/>
        <v>0</v>
      </c>
      <c r="M386" s="451">
        <f t="shared" ca="1" si="138"/>
        <v>0</v>
      </c>
      <c r="N386" s="451">
        <f t="shared" ca="1" si="138"/>
        <v>0</v>
      </c>
      <c r="O386" s="452">
        <f t="shared" ca="1" si="138"/>
        <v>0</v>
      </c>
      <c r="P386" s="262"/>
    </row>
    <row r="387" spans="2:16">
      <c r="B387" s="261"/>
      <c r="C387" s="262" t="s">
        <v>23</v>
      </c>
      <c r="D387" s="262"/>
      <c r="E387" s="262"/>
      <c r="F387" s="263" t="s">
        <v>455</v>
      </c>
      <c r="G387" s="264"/>
      <c r="H387" s="264"/>
      <c r="I387" s="264"/>
      <c r="J387" s="451">
        <f>J109</f>
        <v>286.66666666666669</v>
      </c>
      <c r="K387" s="451">
        <f t="shared" ref="K387:O387" ca="1" si="139">K109</f>
        <v>415.75531471603421</v>
      </c>
      <c r="L387" s="451">
        <f t="shared" ca="1" si="139"/>
        <v>393.64316165444916</v>
      </c>
      <c r="M387" s="451">
        <f t="shared" ca="1" si="139"/>
        <v>383.57398441805162</v>
      </c>
      <c r="N387" s="451">
        <f t="shared" ca="1" si="139"/>
        <v>369.47629113265106</v>
      </c>
      <c r="O387" s="452">
        <f t="shared" ca="1" si="139"/>
        <v>350.44843098687488</v>
      </c>
      <c r="P387" s="262"/>
    </row>
    <row r="388" spans="2:16">
      <c r="B388" s="266"/>
      <c r="C388" s="267" t="s">
        <v>458</v>
      </c>
      <c r="D388" s="267"/>
      <c r="E388" s="267"/>
      <c r="F388" s="268" t="s">
        <v>455</v>
      </c>
      <c r="G388" s="269"/>
      <c r="H388" s="269"/>
      <c r="I388" s="269"/>
      <c r="J388" s="449">
        <f>J387+J197</f>
        <v>20550.666666666668</v>
      </c>
      <c r="K388" s="449">
        <f t="shared" ref="K388:O388" ca="1" si="140">K387+K197</f>
        <v>21779.933777079012</v>
      </c>
      <c r="L388" s="449">
        <f t="shared" ca="1" si="140"/>
        <v>23882.49192237659</v>
      </c>
      <c r="M388" s="449">
        <f t="shared" ca="1" si="140"/>
        <v>27449.164986004653</v>
      </c>
      <c r="N388" s="449">
        <f t="shared" ca="1" si="140"/>
        <v>32737.133395104767</v>
      </c>
      <c r="O388" s="453">
        <f t="shared" ca="1" si="140"/>
        <v>40173.920344025828</v>
      </c>
      <c r="P388" s="262"/>
    </row>
    <row r="389" spans="2:16">
      <c r="B389" s="262"/>
      <c r="C389" s="262"/>
      <c r="D389" s="262"/>
      <c r="E389" s="262"/>
      <c r="F389" s="263"/>
      <c r="G389" s="264"/>
      <c r="H389" s="264"/>
      <c r="I389" s="264"/>
      <c r="J389" s="265"/>
      <c r="K389" s="265"/>
      <c r="L389" s="265"/>
      <c r="M389" s="265"/>
      <c r="N389" s="265"/>
      <c r="O389" s="265"/>
    </row>
    <row r="392" spans="2:16">
      <c r="B392" s="112" t="s">
        <v>459</v>
      </c>
    </row>
    <row r="393" spans="2:16">
      <c r="B393" s="262" t="s">
        <v>460</v>
      </c>
      <c r="C393" s="262"/>
      <c r="H393" s="276" t="s">
        <v>465</v>
      </c>
      <c r="I393" s="277">
        <f>Assumptions!H36</f>
        <v>4.5</v>
      </c>
      <c r="J393" s="275">
        <f t="shared" ref="J393:O393" si="141">J386/J383</f>
        <v>0</v>
      </c>
      <c r="K393" s="275">
        <f t="shared" ca="1" si="141"/>
        <v>0</v>
      </c>
      <c r="L393" s="275">
        <f t="shared" ca="1" si="141"/>
        <v>0</v>
      </c>
      <c r="M393" s="275">
        <f t="shared" ca="1" si="141"/>
        <v>0</v>
      </c>
      <c r="N393" s="275">
        <f t="shared" ca="1" si="141"/>
        <v>0</v>
      </c>
      <c r="O393" s="275">
        <f t="shared" ca="1" si="141"/>
        <v>0</v>
      </c>
    </row>
    <row r="394" spans="2:16">
      <c r="B394" s="262"/>
      <c r="C394" s="273" t="s">
        <v>461</v>
      </c>
      <c r="I394" s="242"/>
      <c r="J394" s="274">
        <f t="shared" ref="J394:O394" si="142">J383-(J386/$I393)</f>
        <v>4616.4714533186689</v>
      </c>
      <c r="K394" s="274">
        <f t="shared" ca="1" si="142"/>
        <v>2414.2349312000042</v>
      </c>
      <c r="L394" s="274">
        <f t="shared" ca="1" si="142"/>
        <v>3879.986892799996</v>
      </c>
      <c r="M394" s="274">
        <f t="shared" ca="1" si="142"/>
        <v>5933.8261389039981</v>
      </c>
      <c r="N394" s="274">
        <f t="shared" ca="1" si="142"/>
        <v>8353.3977609800058</v>
      </c>
      <c r="O394" s="274">
        <f t="shared" ca="1" si="142"/>
        <v>11344.262218076001</v>
      </c>
    </row>
    <row r="395" spans="2:16">
      <c r="B395" s="262"/>
      <c r="C395" s="262"/>
      <c r="I395" s="242"/>
    </row>
    <row r="396" spans="2:16">
      <c r="B396" s="262" t="s">
        <v>462</v>
      </c>
      <c r="C396" s="262"/>
      <c r="H396" s="276" t="s">
        <v>465</v>
      </c>
      <c r="I396" s="278">
        <f>Assumptions!H37</f>
        <v>1.5</v>
      </c>
      <c r="J396" s="275">
        <f t="shared" ref="J396:O396" si="143">J383/J387</f>
        <v>16.103970185995355</v>
      </c>
      <c r="K396" s="275">
        <f t="shared" ca="1" si="143"/>
        <v>5.8068648691814202</v>
      </c>
      <c r="L396" s="275">
        <f t="shared" ca="1" si="143"/>
        <v>9.856609413695228</v>
      </c>
      <c r="M396" s="275">
        <f t="shared" ca="1" si="143"/>
        <v>15.46983471234798</v>
      </c>
      <c r="N396" s="275">
        <f t="shared" ca="1" si="143"/>
        <v>22.608751796690875</v>
      </c>
      <c r="O396" s="275">
        <f t="shared" ca="1" si="143"/>
        <v>32.370703404578435</v>
      </c>
    </row>
    <row r="397" spans="2:16">
      <c r="B397" s="262"/>
      <c r="C397" s="273" t="s">
        <v>461</v>
      </c>
      <c r="I397" s="242"/>
      <c r="J397" s="274">
        <f t="shared" ref="J397:O397" si="144">J383-(J387*$I396)</f>
        <v>4186.4714533186689</v>
      </c>
      <c r="K397" s="274">
        <f t="shared" ca="1" si="144"/>
        <v>1790.6019591259528</v>
      </c>
      <c r="L397" s="274">
        <f t="shared" ca="1" si="144"/>
        <v>3289.522150318322</v>
      </c>
      <c r="M397" s="274">
        <f t="shared" ca="1" si="144"/>
        <v>5358.4651622769206</v>
      </c>
      <c r="N397" s="274">
        <f t="shared" ca="1" si="144"/>
        <v>7799.1833242810289</v>
      </c>
      <c r="O397" s="274">
        <f t="shared" ca="1" si="144"/>
        <v>10818.589571595689</v>
      </c>
    </row>
    <row r="398" spans="2:16">
      <c r="B398" s="262"/>
      <c r="C398" s="262"/>
      <c r="I398" s="242"/>
    </row>
    <row r="399" spans="2:16">
      <c r="B399" s="262" t="s">
        <v>463</v>
      </c>
      <c r="C399" s="262"/>
      <c r="H399" s="276" t="s">
        <v>465</v>
      </c>
      <c r="I399" s="278">
        <f>Assumptions!H38</f>
        <v>1.2</v>
      </c>
      <c r="J399" s="275">
        <f t="shared" ref="J399:O399" si="145">(J383-J384)/J387</f>
        <v>13.555132976693031</v>
      </c>
      <c r="K399" s="275">
        <f t="shared" ca="1" si="145"/>
        <v>3.5218670197880551</v>
      </c>
      <c r="L399" s="275">
        <f t="shared" ca="1" si="145"/>
        <v>7.316237581000145</v>
      </c>
      <c r="M399" s="275">
        <f t="shared" ca="1" si="145"/>
        <v>12.745458079804855</v>
      </c>
      <c r="N399" s="275">
        <f t="shared" ca="1" si="145"/>
        <v>19.667291069486023</v>
      </c>
      <c r="O399" s="275">
        <f t="shared" ca="1" si="145"/>
        <v>29.160992929252814</v>
      </c>
    </row>
    <row r="400" spans="2:16">
      <c r="B400" s="262"/>
      <c r="C400" s="273" t="s">
        <v>461</v>
      </c>
      <c r="I400" s="242"/>
      <c r="J400" s="274">
        <f t="shared" ref="J400:O400" si="146">J383-($I399*J387+J384)</f>
        <v>3541.8047866520023</v>
      </c>
      <c r="K400" s="274">
        <f t="shared" ca="1" si="146"/>
        <v>965.3285535407631</v>
      </c>
      <c r="L400" s="274">
        <f t="shared" ca="1" si="146"/>
        <v>2407.6150988146569</v>
      </c>
      <c r="M400" s="274">
        <f t="shared" ca="1" si="146"/>
        <v>4428.5373576023358</v>
      </c>
      <c r="N400" s="274">
        <f t="shared" ca="1" si="146"/>
        <v>6823.2262116208249</v>
      </c>
      <c r="O400" s="274">
        <f t="shared" ca="1" si="146"/>
        <v>9798.886100891752</v>
      </c>
    </row>
    <row r="401" spans="2:16">
      <c r="B401" s="262"/>
      <c r="C401" s="262"/>
      <c r="I401" s="242"/>
    </row>
    <row r="402" spans="2:16">
      <c r="B402" s="262" t="s">
        <v>464</v>
      </c>
      <c r="C402" s="262"/>
      <c r="H402" s="276" t="s">
        <v>465</v>
      </c>
      <c r="I402" s="279">
        <f>Assumptions!H39</f>
        <v>0.4</v>
      </c>
      <c r="J402" s="454">
        <f t="shared" ref="J402:O402" si="147">J386/J388</f>
        <v>0</v>
      </c>
      <c r="K402" s="454">
        <f t="shared" ca="1" si="147"/>
        <v>0</v>
      </c>
      <c r="L402" s="454">
        <f t="shared" ca="1" si="147"/>
        <v>0</v>
      </c>
      <c r="M402" s="454">
        <f t="shared" ca="1" si="147"/>
        <v>0</v>
      </c>
      <c r="N402" s="454">
        <f t="shared" ca="1" si="147"/>
        <v>0</v>
      </c>
      <c r="O402" s="454">
        <f t="shared" ca="1" si="147"/>
        <v>0</v>
      </c>
    </row>
    <row r="403" spans="2:16">
      <c r="I403" s="242"/>
    </row>
    <row r="404" spans="2:16">
      <c r="B404" s="166"/>
      <c r="C404" s="167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</row>
  </sheetData>
  <mergeCells count="2">
    <mergeCell ref="C99:D99"/>
    <mergeCell ref="C101:D101"/>
  </mergeCells>
  <conditionalFormatting sqref="J399:O399">
    <cfRule type="expression" dxfId="3" priority="4" stopIfTrue="1">
      <formula>J399&lt;=$I399</formula>
    </cfRule>
  </conditionalFormatting>
  <conditionalFormatting sqref="J402:O402">
    <cfRule type="expression" dxfId="2" priority="3" stopIfTrue="1">
      <formula>J402&gt;=$I402</formula>
    </cfRule>
  </conditionalFormatting>
  <conditionalFormatting sqref="J393:O393">
    <cfRule type="expression" dxfId="1" priority="2" stopIfTrue="1">
      <formula>J393&gt;=$I393</formula>
    </cfRule>
  </conditionalFormatting>
  <conditionalFormatting sqref="J396:O396">
    <cfRule type="expression" dxfId="0" priority="1" stopIfTrue="1">
      <formula>J396&lt;=$I396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DD4E-8F84-48C0-BBDC-CFA29BD53959}">
  <dimension ref="B1:P73"/>
  <sheetViews>
    <sheetView topLeftCell="A44" zoomScale="160" zoomScaleNormal="160" workbookViewId="0">
      <selection activeCell="Q52" sqref="Q52"/>
    </sheetView>
  </sheetViews>
  <sheetFormatPr defaultRowHeight="13"/>
  <cols>
    <col min="1" max="2" width="8.7265625" style="69"/>
    <col min="3" max="3" width="8.7265625" style="69" customWidth="1"/>
    <col min="4" max="9" width="8.7265625" style="69"/>
    <col min="10" max="13" width="9.26953125" style="69" bestFit="1" customWidth="1"/>
    <col min="14" max="14" width="10.1796875" style="69" bestFit="1" customWidth="1"/>
    <col min="15" max="15" width="11.1796875" style="69" bestFit="1" customWidth="1"/>
    <col min="16" max="16384" width="8.7265625" style="69"/>
  </cols>
  <sheetData>
    <row r="1" spans="2:16">
      <c r="C1" s="112"/>
    </row>
    <row r="2" spans="2:16">
      <c r="C2" s="112"/>
      <c r="N2" s="143" t="str">
        <f>Model!N228</f>
        <v>CURRENTLY RUNNING: BASE CASE SCENARIO</v>
      </c>
    </row>
    <row r="3" spans="2:16" ht="26">
      <c r="B3" s="193" t="str">
        <f>Model!B229</f>
        <v>PAYPAL HOLDINGS, INC.</v>
      </c>
      <c r="C3" s="237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</row>
    <row r="4" spans="2:16" ht="20" thickBot="1">
      <c r="B4" s="240" t="s">
        <v>486</v>
      </c>
      <c r="C4" s="194"/>
      <c r="D4" s="194"/>
      <c r="E4" s="194"/>
      <c r="F4" s="194"/>
      <c r="G4" s="270"/>
      <c r="H4" s="239"/>
      <c r="I4" s="239"/>
      <c r="J4" s="239"/>
      <c r="K4" s="239"/>
      <c r="L4" s="239"/>
      <c r="M4" s="239"/>
      <c r="N4" s="239"/>
      <c r="O4" s="239"/>
      <c r="P4" s="239"/>
    </row>
    <row r="5" spans="2:16">
      <c r="C5" s="132" t="str">
        <f>Model!C231</f>
        <v>($ Millions)</v>
      </c>
    </row>
    <row r="6" spans="2:16">
      <c r="J6" s="148" t="s">
        <v>282</v>
      </c>
      <c r="K6" s="101"/>
      <c r="L6" s="101"/>
      <c r="M6" s="101"/>
      <c r="N6" s="101"/>
      <c r="O6" s="101"/>
    </row>
    <row r="7" spans="2:16">
      <c r="C7" s="324" t="s">
        <v>466</v>
      </c>
      <c r="D7" s="326">
        <f>Model!D233</f>
        <v>0.25</v>
      </c>
      <c r="J7" s="111">
        <f>Model!K233</f>
        <v>2023</v>
      </c>
      <c r="K7" s="111">
        <f>Model!L233</f>
        <v>2024</v>
      </c>
      <c r="L7" s="111">
        <f>Model!M233</f>
        <v>2025</v>
      </c>
      <c r="M7" s="111">
        <f>Model!N233</f>
        <v>2026</v>
      </c>
      <c r="N7" s="111">
        <f>Model!O233</f>
        <v>2027</v>
      </c>
    </row>
    <row r="9" spans="2:16">
      <c r="C9" s="112" t="s">
        <v>467</v>
      </c>
      <c r="J9" s="248">
        <f>Model!K107</f>
        <v>1882.6599312000042</v>
      </c>
      <c r="K9" s="248">
        <f>Model!L107</f>
        <v>3226.5368927999962</v>
      </c>
      <c r="L9" s="248">
        <f>Model!M107</f>
        <v>5152.5636389039983</v>
      </c>
      <c r="M9" s="248">
        <f>Model!N107</f>
        <v>7438.8977609800058</v>
      </c>
      <c r="N9" s="248">
        <f>Model!O107</f>
        <v>10291.534843076</v>
      </c>
    </row>
    <row r="10" spans="2:16">
      <c r="D10" s="69" t="s">
        <v>333</v>
      </c>
      <c r="J10" s="233">
        <f>Model!K236</f>
        <v>531.57500000000005</v>
      </c>
      <c r="K10" s="233">
        <f>Model!L236</f>
        <v>653.45000000000005</v>
      </c>
      <c r="L10" s="233">
        <f>Model!M236</f>
        <v>781.26250000000005</v>
      </c>
      <c r="M10" s="233">
        <f>Model!N236</f>
        <v>914.5</v>
      </c>
      <c r="N10" s="233">
        <f>Model!O236</f>
        <v>1052.7273749999999</v>
      </c>
    </row>
    <row r="11" spans="2:16">
      <c r="D11" s="69" t="s">
        <v>334</v>
      </c>
      <c r="J11" s="233">
        <f>J42</f>
        <v>168.75</v>
      </c>
      <c r="K11" s="233">
        <f t="shared" ref="K11:N11" si="0">K42</f>
        <v>370.3125</v>
      </c>
      <c r="L11" s="233">
        <f t="shared" si="0"/>
        <v>533.359375</v>
      </c>
      <c r="M11" s="233">
        <f t="shared" si="0"/>
        <v>666.49453125000002</v>
      </c>
      <c r="N11" s="233">
        <f t="shared" si="0"/>
        <v>776.32564843750004</v>
      </c>
    </row>
    <row r="12" spans="2:16">
      <c r="D12" s="112" t="s">
        <v>335</v>
      </c>
      <c r="J12" s="327">
        <f>J9+J10-J11</f>
        <v>2245.4849312000042</v>
      </c>
      <c r="K12" s="327">
        <f t="shared" ref="K12:N12" si="1">K9+K10-K11</f>
        <v>3509.674392799996</v>
      </c>
      <c r="L12" s="327">
        <f t="shared" si="1"/>
        <v>5400.4667639039981</v>
      </c>
      <c r="M12" s="327">
        <f t="shared" si="1"/>
        <v>7686.9032297300055</v>
      </c>
      <c r="N12" s="327">
        <f t="shared" si="1"/>
        <v>10567.936569638501</v>
      </c>
    </row>
    <row r="13" spans="2:16">
      <c r="J13" s="233"/>
      <c r="K13" s="233"/>
      <c r="L13" s="233"/>
      <c r="M13" s="233"/>
      <c r="N13" s="233"/>
    </row>
    <row r="14" spans="2:16">
      <c r="C14" s="112" t="s">
        <v>336</v>
      </c>
      <c r="J14" s="233"/>
      <c r="K14" s="233"/>
      <c r="L14" s="233"/>
      <c r="M14" s="233"/>
      <c r="N14" s="233"/>
    </row>
    <row r="15" spans="2:16">
      <c r="D15" s="69" t="s">
        <v>337</v>
      </c>
      <c r="J15" s="233">
        <f>Model!K241</f>
        <v>317</v>
      </c>
      <c r="K15" s="233">
        <f ca="1">Model!L241</f>
        <v>0</v>
      </c>
      <c r="L15" s="233">
        <f ca="1">Model!M241</f>
        <v>0</v>
      </c>
      <c r="M15" s="233">
        <f ca="1">Model!N241</f>
        <v>0</v>
      </c>
      <c r="N15" s="233">
        <f ca="1">Model!O241</f>
        <v>0</v>
      </c>
    </row>
    <row r="16" spans="2:16">
      <c r="D16" s="69" t="s">
        <v>338</v>
      </c>
      <c r="J16" s="233">
        <f>MIN(J15,J12)</f>
        <v>317</v>
      </c>
      <c r="K16" s="233">
        <f t="shared" ref="K16:N16" ca="1" si="2">MIN(K15,K12)</f>
        <v>0</v>
      </c>
      <c r="L16" s="233">
        <f t="shared" ca="1" si="2"/>
        <v>0</v>
      </c>
      <c r="M16" s="233">
        <f t="shared" ca="1" si="2"/>
        <v>0</v>
      </c>
      <c r="N16" s="233">
        <f t="shared" ca="1" si="2"/>
        <v>0</v>
      </c>
    </row>
    <row r="17" spans="4:15">
      <c r="D17" s="112" t="s">
        <v>339</v>
      </c>
      <c r="J17" s="327">
        <f>J12-J16</f>
        <v>1928.4849312000042</v>
      </c>
      <c r="K17" s="327">
        <f t="shared" ref="K17:N17" ca="1" si="3">K12-K16</f>
        <v>3509.674392799996</v>
      </c>
      <c r="L17" s="327">
        <f t="shared" ca="1" si="3"/>
        <v>5400.4667639039981</v>
      </c>
      <c r="M17" s="327">
        <f t="shared" ca="1" si="3"/>
        <v>7686.9032297300055</v>
      </c>
      <c r="N17" s="327">
        <f t="shared" ca="1" si="3"/>
        <v>10567.936569638501</v>
      </c>
    </row>
    <row r="18" spans="4:15">
      <c r="J18" s="233"/>
      <c r="K18" s="233"/>
      <c r="L18" s="233"/>
      <c r="M18" s="233"/>
      <c r="N18" s="233"/>
    </row>
    <row r="19" spans="4:15">
      <c r="D19" s="69" t="s">
        <v>340</v>
      </c>
      <c r="J19" s="233">
        <f>Model!K245</f>
        <v>0</v>
      </c>
      <c r="K19" s="233">
        <f ca="1">Model!L245</f>
        <v>0</v>
      </c>
      <c r="L19" s="233">
        <f ca="1">Model!M245</f>
        <v>0</v>
      </c>
      <c r="M19" s="233">
        <f ca="1">Model!N245</f>
        <v>0</v>
      </c>
      <c r="N19" s="233">
        <f ca="1">Model!O245</f>
        <v>0</v>
      </c>
    </row>
    <row r="20" spans="4:15">
      <c r="D20" s="69" t="s">
        <v>341</v>
      </c>
      <c r="J20" s="233">
        <f ca="1">Model!K246</f>
        <v>0</v>
      </c>
      <c r="K20" s="233">
        <f ca="1">Model!L246</f>
        <v>0</v>
      </c>
      <c r="L20" s="233">
        <f ca="1">Model!M246</f>
        <v>0</v>
      </c>
      <c r="M20" s="233">
        <f ca="1">Model!N246</f>
        <v>0</v>
      </c>
      <c r="N20" s="233">
        <f ca="1">Model!O246</f>
        <v>0</v>
      </c>
    </row>
    <row r="21" spans="4:15">
      <c r="D21" s="69" t="s">
        <v>342</v>
      </c>
      <c r="J21" s="319">
        <f ca="1">J19-J20</f>
        <v>0</v>
      </c>
      <c r="K21" s="319">
        <f t="shared" ref="K21:N21" ca="1" si="4">K19-K20</f>
        <v>0</v>
      </c>
      <c r="L21" s="319">
        <f t="shared" ca="1" si="4"/>
        <v>0</v>
      </c>
      <c r="M21" s="319">
        <f t="shared" ca="1" si="4"/>
        <v>0</v>
      </c>
      <c r="N21" s="319">
        <f t="shared" ca="1" si="4"/>
        <v>0</v>
      </c>
    </row>
    <row r="22" spans="4:15">
      <c r="J22" s="233"/>
      <c r="K22" s="233"/>
      <c r="L22" s="233"/>
      <c r="M22" s="233"/>
      <c r="N22" s="233"/>
    </row>
    <row r="23" spans="4:15">
      <c r="D23" s="69" t="s">
        <v>343</v>
      </c>
      <c r="J23" s="233">
        <f ca="1">Model!K249</f>
        <v>0</v>
      </c>
      <c r="K23" s="233">
        <f ca="1">Model!L249</f>
        <v>0</v>
      </c>
      <c r="L23" s="233">
        <f ca="1">Model!M249</f>
        <v>0</v>
      </c>
      <c r="M23" s="233">
        <f ca="1">Model!N249</f>
        <v>0</v>
      </c>
      <c r="N23" s="233">
        <f ca="1">Model!O249</f>
        <v>0</v>
      </c>
    </row>
    <row r="24" spans="4:15">
      <c r="D24" s="112" t="s">
        <v>344</v>
      </c>
      <c r="J24" s="319">
        <f ca="1">J21+J23</f>
        <v>0</v>
      </c>
      <c r="K24" s="319">
        <f t="shared" ref="K24:N24" ca="1" si="5">K21+K23</f>
        <v>0</v>
      </c>
      <c r="L24" s="319">
        <f t="shared" ca="1" si="5"/>
        <v>0</v>
      </c>
      <c r="M24" s="319">
        <f t="shared" ca="1" si="5"/>
        <v>0</v>
      </c>
      <c r="N24" s="319">
        <f t="shared" ca="1" si="5"/>
        <v>0</v>
      </c>
    </row>
    <row r="25" spans="4:15">
      <c r="J25" s="233"/>
      <c r="K25" s="233"/>
      <c r="L25" s="233"/>
      <c r="M25" s="233"/>
      <c r="N25" s="233"/>
    </row>
    <row r="26" spans="4:15">
      <c r="D26" s="112" t="s">
        <v>345</v>
      </c>
      <c r="E26" s="112"/>
      <c r="F26" s="112"/>
      <c r="G26" s="112"/>
      <c r="H26" s="112"/>
      <c r="I26" s="112"/>
      <c r="J26" s="319">
        <f ca="1">J17-J20</f>
        <v>1928.4849312000042</v>
      </c>
      <c r="K26" s="319">
        <f t="shared" ref="K26:N26" ca="1" si="6">K17-K20</f>
        <v>3509.674392799996</v>
      </c>
      <c r="L26" s="319">
        <f t="shared" ca="1" si="6"/>
        <v>5400.4667639039981</v>
      </c>
      <c r="M26" s="319">
        <f t="shared" ca="1" si="6"/>
        <v>7686.9032297300055</v>
      </c>
      <c r="N26" s="319">
        <f t="shared" ca="1" si="6"/>
        <v>10567.936569638501</v>
      </c>
    </row>
    <row r="27" spans="4:15">
      <c r="J27" s="233"/>
      <c r="K27" s="233"/>
      <c r="L27" s="233"/>
      <c r="M27" s="233"/>
      <c r="N27" s="233"/>
    </row>
    <row r="28" spans="4:15">
      <c r="D28" s="69" t="s">
        <v>346</v>
      </c>
      <c r="J28" s="233">
        <f>J9*$D$7</f>
        <v>470.66498280000104</v>
      </c>
      <c r="K28" s="233">
        <f t="shared" ref="K28:N28" si="7">K9*$D$7</f>
        <v>806.63422319999904</v>
      </c>
      <c r="L28" s="233">
        <f t="shared" si="7"/>
        <v>1288.1409097259996</v>
      </c>
      <c r="M28" s="233">
        <f t="shared" si="7"/>
        <v>1859.7244402450015</v>
      </c>
      <c r="N28" s="233">
        <f t="shared" si="7"/>
        <v>2572.8837107690001</v>
      </c>
    </row>
    <row r="29" spans="4:15" ht="13.5" thickBot="1">
      <c r="J29" s="233"/>
      <c r="K29" s="233"/>
      <c r="L29" s="233"/>
      <c r="M29" s="233"/>
      <c r="N29" s="233"/>
    </row>
    <row r="30" spans="4:15">
      <c r="D30" s="173" t="s">
        <v>347</v>
      </c>
      <c r="E30" s="174"/>
      <c r="F30" s="174"/>
      <c r="G30" s="174"/>
      <c r="H30" s="174"/>
      <c r="I30" s="174"/>
      <c r="J30" s="322"/>
      <c r="K30" s="322"/>
      <c r="L30" s="322"/>
      <c r="M30" s="322"/>
      <c r="N30" s="322"/>
      <c r="O30" s="175"/>
    </row>
    <row r="31" spans="4:15">
      <c r="D31" s="176" t="s">
        <v>348</v>
      </c>
      <c r="J31" s="233">
        <f ca="1">J26*$D$7</f>
        <v>482.12123280000105</v>
      </c>
      <c r="K31" s="233">
        <f t="shared" ref="K31:N31" ca="1" si="8">K26*$D$7</f>
        <v>877.418598199999</v>
      </c>
      <c r="L31" s="233">
        <f t="shared" ca="1" si="8"/>
        <v>1350.1166909759995</v>
      </c>
      <c r="M31" s="233">
        <f t="shared" ca="1" si="8"/>
        <v>1921.7258074325014</v>
      </c>
      <c r="N31" s="233">
        <f t="shared" ca="1" si="8"/>
        <v>2641.9841424096253</v>
      </c>
      <c r="O31" s="177"/>
    </row>
    <row r="32" spans="4:15">
      <c r="D32" s="176" t="s">
        <v>349</v>
      </c>
      <c r="J32" s="235">
        <f ca="1">J28-J31</f>
        <v>-11.456250000000011</v>
      </c>
      <c r="K32" s="235">
        <f ca="1">K28-K31</f>
        <v>-70.784374999999955</v>
      </c>
      <c r="L32" s="235">
        <f ca="1">L28-L31</f>
        <v>-61.975781249999955</v>
      </c>
      <c r="M32" s="235">
        <f ca="1">M28-M31</f>
        <v>-62.001367187499909</v>
      </c>
      <c r="N32" s="235">
        <f ca="1">N28-N31</f>
        <v>-69.100431640625175</v>
      </c>
      <c r="O32" s="177"/>
    </row>
    <row r="33" spans="2:16" ht="13.5" thickBot="1">
      <c r="D33" s="179" t="s">
        <v>350</v>
      </c>
      <c r="E33" s="159"/>
      <c r="F33" s="159"/>
      <c r="G33" s="159"/>
      <c r="H33" s="159"/>
      <c r="I33" s="159"/>
      <c r="J33" s="323">
        <f ca="1">J31+J32</f>
        <v>470.66498280000104</v>
      </c>
      <c r="K33" s="323">
        <f ca="1">K31+K32</f>
        <v>806.63422319999904</v>
      </c>
      <c r="L33" s="323">
        <f t="shared" ref="L33:N33" ca="1" si="9">L31+L32</f>
        <v>1288.1409097259996</v>
      </c>
      <c r="M33" s="323">
        <f t="shared" ca="1" si="9"/>
        <v>1859.7244402450015</v>
      </c>
      <c r="N33" s="323">
        <f t="shared" ca="1" si="9"/>
        <v>2572.8837107690001</v>
      </c>
      <c r="O33" s="178"/>
    </row>
    <row r="35" spans="2:16">
      <c r="D35" s="133" t="s">
        <v>351</v>
      </c>
      <c r="J35" s="111">
        <f>J7</f>
        <v>2023</v>
      </c>
      <c r="K35" s="111">
        <f t="shared" ref="K35:N35" si="10">K7</f>
        <v>2024</v>
      </c>
      <c r="L35" s="111">
        <f t="shared" si="10"/>
        <v>2025</v>
      </c>
      <c r="M35" s="111">
        <f t="shared" si="10"/>
        <v>2026</v>
      </c>
      <c r="N35" s="111">
        <f t="shared" si="10"/>
        <v>2027</v>
      </c>
      <c r="O35" s="111"/>
    </row>
    <row r="36" spans="2:16">
      <c r="D36" s="324" t="s">
        <v>352</v>
      </c>
      <c r="E36" s="325"/>
      <c r="F36" s="325"/>
      <c r="G36" s="326">
        <f>Model!G262</f>
        <v>0.25</v>
      </c>
    </row>
    <row r="38" spans="2:16">
      <c r="D38" s="69" t="s">
        <v>353</v>
      </c>
      <c r="J38" s="69">
        <f>Model!K264</f>
        <v>200</v>
      </c>
      <c r="K38" s="69">
        <f>J43</f>
        <v>981.25</v>
      </c>
      <c r="L38" s="69">
        <f t="shared" ref="L38:N38" si="11">K43</f>
        <v>1610.9375</v>
      </c>
      <c r="M38" s="69">
        <f t="shared" si="11"/>
        <v>2122.578125</v>
      </c>
      <c r="N38" s="69">
        <f t="shared" si="11"/>
        <v>2542.8835937500003</v>
      </c>
    </row>
    <row r="39" spans="2:16">
      <c r="D39" s="69" t="s">
        <v>354</v>
      </c>
      <c r="J39" s="69">
        <f>Model!K265</f>
        <v>950</v>
      </c>
      <c r="K39" s="69">
        <f>Model!L265</f>
        <v>1000</v>
      </c>
      <c r="L39" s="69">
        <f>Model!M265</f>
        <v>1045</v>
      </c>
      <c r="M39" s="69">
        <f>Model!N265</f>
        <v>1086.8</v>
      </c>
      <c r="N39" s="69">
        <f>Model!O265</f>
        <v>1124.838</v>
      </c>
    </row>
    <row r="40" spans="2:16">
      <c r="D40" s="69" t="s">
        <v>355</v>
      </c>
      <c r="J40" s="69">
        <f>J39/2</f>
        <v>475</v>
      </c>
      <c r="K40" s="69">
        <f t="shared" ref="K40:N40" si="12">K39/2</f>
        <v>500</v>
      </c>
      <c r="L40" s="69">
        <f t="shared" si="12"/>
        <v>522.5</v>
      </c>
      <c r="M40" s="69">
        <f t="shared" si="12"/>
        <v>543.4</v>
      </c>
      <c r="N40" s="69">
        <f t="shared" si="12"/>
        <v>562.41899999999998</v>
      </c>
    </row>
    <row r="41" spans="2:16">
      <c r="D41" s="69" t="s">
        <v>356</v>
      </c>
      <c r="J41" s="69">
        <f>J38+J40</f>
        <v>675</v>
      </c>
      <c r="K41" s="69">
        <f>K38+K40</f>
        <v>1481.25</v>
      </c>
      <c r="L41" s="69">
        <f>L38+L40</f>
        <v>2133.4375</v>
      </c>
      <c r="M41" s="69">
        <f>M38+M40</f>
        <v>2665.9781250000001</v>
      </c>
      <c r="N41" s="69">
        <f>N38+N40</f>
        <v>3105.3025937500001</v>
      </c>
    </row>
    <row r="42" spans="2:16">
      <c r="D42" s="69" t="s">
        <v>357</v>
      </c>
      <c r="J42" s="101">
        <f>J41*$G$36</f>
        <v>168.75</v>
      </c>
      <c r="K42" s="101">
        <f t="shared" ref="K42:N42" si="13">K41*$G$36</f>
        <v>370.3125</v>
      </c>
      <c r="L42" s="101">
        <f t="shared" si="13"/>
        <v>533.359375</v>
      </c>
      <c r="M42" s="101">
        <f t="shared" si="13"/>
        <v>666.49453125000002</v>
      </c>
      <c r="N42" s="101">
        <f t="shared" si="13"/>
        <v>776.32564843750004</v>
      </c>
      <c r="O42" s="101"/>
    </row>
    <row r="43" spans="2:16">
      <c r="D43" s="112" t="s">
        <v>358</v>
      </c>
      <c r="J43" s="112">
        <f>J38+J39-J42</f>
        <v>981.25</v>
      </c>
      <c r="K43" s="112">
        <f>K38+K39-K42</f>
        <v>1610.9375</v>
      </c>
      <c r="L43" s="112">
        <f t="shared" ref="L43:N43" si="14">L38+L39-L42</f>
        <v>2122.578125</v>
      </c>
      <c r="M43" s="112">
        <f t="shared" si="14"/>
        <v>2542.8835937500003</v>
      </c>
      <c r="N43" s="112">
        <f t="shared" si="14"/>
        <v>2891.3959453125003</v>
      </c>
    </row>
    <row r="45" spans="2:16">
      <c r="C45" s="112"/>
    </row>
    <row r="46" spans="2:16">
      <c r="C46" s="112"/>
      <c r="N46" s="143" t="str">
        <f>Model!N272</f>
        <v>CURRENTLY RUNNING: BASE CASE SCENARIO</v>
      </c>
    </row>
    <row r="47" spans="2:16" ht="26">
      <c r="B47" s="193" t="str">
        <f>Model!B273</f>
        <v>PAYPAL HOLDINGS, INC.</v>
      </c>
      <c r="C47" s="237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</row>
    <row r="48" spans="2:16" ht="20" thickBot="1">
      <c r="B48" s="240" t="s">
        <v>468</v>
      </c>
      <c r="C48" s="194"/>
      <c r="D48" s="194"/>
      <c r="E48" s="194"/>
      <c r="F48" s="194"/>
      <c r="G48" s="270"/>
      <c r="H48" s="239"/>
      <c r="I48" s="239"/>
      <c r="J48" s="239"/>
      <c r="K48" s="239"/>
      <c r="L48" s="239"/>
      <c r="M48" s="239"/>
      <c r="N48" s="239"/>
      <c r="O48" s="239"/>
      <c r="P48" s="239"/>
    </row>
    <row r="49" spans="2:16">
      <c r="C49" s="132" t="str">
        <f>Model!C275</f>
        <v>($ Millions)</v>
      </c>
    </row>
    <row r="50" spans="2:16">
      <c r="J50" s="148" t="s">
        <v>282</v>
      </c>
      <c r="K50" s="101"/>
      <c r="L50" s="101"/>
      <c r="M50" s="101"/>
      <c r="N50" s="101"/>
      <c r="O50" s="101"/>
    </row>
    <row r="51" spans="2:16">
      <c r="D51" s="114"/>
      <c r="G51" s="253"/>
      <c r="H51" s="253"/>
      <c r="I51" s="254"/>
      <c r="J51" s="111">
        <f>Model!K212</f>
        <v>2023</v>
      </c>
      <c r="K51" s="111">
        <f>Model!L277</f>
        <v>2024</v>
      </c>
      <c r="L51" s="111">
        <f>Model!M277</f>
        <v>2025</v>
      </c>
      <c r="M51" s="111">
        <f>Model!N277</f>
        <v>2026</v>
      </c>
      <c r="N51" s="111">
        <f>Model!O277</f>
        <v>2027</v>
      </c>
      <c r="O51" s="162" t="s">
        <v>221</v>
      </c>
    </row>
    <row r="53" spans="2:16">
      <c r="B53" s="112" t="s">
        <v>469</v>
      </c>
    </row>
    <row r="54" spans="2:16">
      <c r="C54" s="69" t="s">
        <v>46</v>
      </c>
      <c r="J54" s="233">
        <f>Model!K104</f>
        <v>2414.2349312000042</v>
      </c>
      <c r="K54" s="233">
        <f>Model!L104</f>
        <v>3879.986892799996</v>
      </c>
      <c r="L54" s="233">
        <f>Model!M104</f>
        <v>5933.8261389039981</v>
      </c>
      <c r="M54" s="233">
        <f>Model!N104</f>
        <v>8353.3977609800058</v>
      </c>
      <c r="N54" s="233">
        <f>Model!O104</f>
        <v>11344.262218076001</v>
      </c>
      <c r="O54" s="233">
        <f>Model!P104</f>
        <v>10403.945045675689</v>
      </c>
    </row>
    <row r="55" spans="2:16">
      <c r="C55" s="69" t="s">
        <v>470</v>
      </c>
      <c r="J55" s="233">
        <f ca="1">-Model!K112</f>
        <v>-378.18240412099249</v>
      </c>
      <c r="K55" s="233">
        <f ca="1">-Model!L112</f>
        <v>-779.00780778638682</v>
      </c>
      <c r="L55" s="233">
        <f ca="1">-Model!M112</f>
        <v>-1254.2231948714866</v>
      </c>
      <c r="M55" s="233">
        <f ca="1">-Model!N112</f>
        <v>-1829.3567346493387</v>
      </c>
      <c r="N55" s="233">
        <f ca="1">-Model!O112</f>
        <v>-2554.3720346629066</v>
      </c>
      <c r="O55" s="233">
        <f>-Model!P112</f>
        <v>-2311.3404764189222</v>
      </c>
    </row>
    <row r="56" spans="2:16">
      <c r="B56" s="264"/>
      <c r="C56" s="264" t="s">
        <v>471</v>
      </c>
      <c r="D56" s="264"/>
      <c r="J56" s="233">
        <f>Model!K140</f>
        <v>11134.238705609618</v>
      </c>
      <c r="K56" s="233">
        <f>Model!L140</f>
        <v>-1310.6291198137087</v>
      </c>
      <c r="L56" s="233">
        <f>Model!M140</f>
        <v>-1893.315569905852</v>
      </c>
      <c r="M56" s="233">
        <f>Model!N140</f>
        <v>-2404.9980322051861</v>
      </c>
      <c r="N56" s="233">
        <f>Model!O140</f>
        <v>-3090.9051270691011</v>
      </c>
      <c r="O56" s="308">
        <v>0</v>
      </c>
    </row>
    <row r="57" spans="2:16">
      <c r="B57" s="264"/>
      <c r="C57" s="264" t="s">
        <v>272</v>
      </c>
      <c r="D57" s="264"/>
      <c r="J57" s="429">
        <f>-Assumptions!F60</f>
        <v>-950</v>
      </c>
      <c r="K57" s="429">
        <f>-Assumptions!G60</f>
        <v>-1000</v>
      </c>
      <c r="L57" s="429">
        <f>-Assumptions!H60</f>
        <v>-1045</v>
      </c>
      <c r="M57" s="429">
        <f>-Assumptions!I60</f>
        <v>-1086.8</v>
      </c>
      <c r="N57" s="429">
        <f>-Assumptions!J60</f>
        <v>-1124.838</v>
      </c>
      <c r="O57" s="429">
        <f>-Assumptions!K60</f>
        <v>-1158.58314</v>
      </c>
    </row>
    <row r="58" spans="2:16">
      <c r="B58" s="264"/>
      <c r="C58" s="301" t="s">
        <v>472</v>
      </c>
      <c r="D58" s="264"/>
      <c r="J58" s="327">
        <f ca="1">SUM(J54:J57)</f>
        <v>12220.291232688629</v>
      </c>
      <c r="K58" s="327">
        <f t="shared" ref="K58:N58" ca="1" si="15">SUM(K54:K57)</f>
        <v>790.34996519990045</v>
      </c>
      <c r="L58" s="327">
        <f t="shared" ca="1" si="15"/>
        <v>1741.287374126659</v>
      </c>
      <c r="M58" s="327">
        <f t="shared" ca="1" si="15"/>
        <v>3032.2429941254813</v>
      </c>
      <c r="N58" s="327">
        <f t="shared" ca="1" si="15"/>
        <v>4574.1470563439925</v>
      </c>
      <c r="O58" s="327">
        <f t="shared" ref="O58" si="16">SUM(O54:O57)</f>
        <v>6934.021429256768</v>
      </c>
      <c r="P58" s="197"/>
    </row>
    <row r="59" spans="2:16">
      <c r="B59" s="264"/>
      <c r="C59" s="301"/>
      <c r="D59" s="264"/>
      <c r="J59" s="233"/>
      <c r="K59" s="233"/>
      <c r="L59" s="233"/>
      <c r="M59" s="233"/>
      <c r="N59" s="233"/>
      <c r="O59" s="233"/>
    </row>
    <row r="60" spans="2:16">
      <c r="B60" s="264"/>
      <c r="C60" s="301"/>
      <c r="D60" s="264"/>
      <c r="J60" s="233"/>
      <c r="K60" s="233"/>
      <c r="L60" s="233"/>
      <c r="M60" s="233"/>
      <c r="N60" s="233"/>
      <c r="O60" s="233"/>
    </row>
    <row r="61" spans="2:16" hidden="1">
      <c r="B61" s="302" t="s">
        <v>473</v>
      </c>
      <c r="C61" s="264"/>
      <c r="D61" s="264"/>
      <c r="J61" s="233"/>
      <c r="K61" s="233"/>
      <c r="L61" s="233"/>
      <c r="M61" s="233"/>
      <c r="N61" s="233"/>
      <c r="O61" s="233"/>
    </row>
    <row r="62" spans="2:16" hidden="1">
      <c r="B62" s="264"/>
      <c r="C62" s="264"/>
      <c r="D62" s="264"/>
      <c r="J62" s="233"/>
      <c r="K62" s="233"/>
      <c r="L62" s="233"/>
      <c r="M62" s="233"/>
      <c r="N62" s="233"/>
      <c r="O62" s="233"/>
    </row>
    <row r="63" spans="2:16" hidden="1">
      <c r="B63" s="303" t="s">
        <v>469</v>
      </c>
      <c r="C63" s="264"/>
      <c r="D63" s="264"/>
      <c r="J63" s="233"/>
      <c r="K63" s="233"/>
      <c r="L63" s="233"/>
      <c r="M63" s="233"/>
      <c r="N63" s="233"/>
      <c r="O63" s="233"/>
    </row>
    <row r="64" spans="2:16" hidden="1">
      <c r="B64" s="264"/>
      <c r="C64" s="264" t="s">
        <v>35</v>
      </c>
      <c r="D64" s="264"/>
      <c r="J64" s="233">
        <f ca="1">Model!K116</f>
        <v>1100.1784623629774</v>
      </c>
      <c r="K64" s="233">
        <f ca="1">Model!L116</f>
        <v>2124.6702983591604</v>
      </c>
      <c r="L64" s="233">
        <f ca="1">Model!M116</f>
        <v>3576.7422408644597</v>
      </c>
      <c r="M64" s="233">
        <f ca="1">Model!N116</f>
        <v>5302.0661023855164</v>
      </c>
      <c r="N64" s="233">
        <f ca="1">Model!O116</f>
        <v>7455.8148090668437</v>
      </c>
      <c r="O64" s="233">
        <f>Model!P116</f>
        <v>6934.0214292567671</v>
      </c>
    </row>
    <row r="65" spans="2:15" hidden="1">
      <c r="B65" s="264"/>
      <c r="C65" s="264" t="s">
        <v>8</v>
      </c>
      <c r="D65" s="264"/>
      <c r="J65" s="233">
        <f>Model!K137</f>
        <v>531.57500000000005</v>
      </c>
      <c r="K65" s="233">
        <f>Model!L137</f>
        <v>653.45000000000005</v>
      </c>
      <c r="L65" s="233">
        <f>Model!M137</f>
        <v>781.26250000000005</v>
      </c>
      <c r="M65" s="233">
        <f>Model!N137</f>
        <v>914.5</v>
      </c>
      <c r="N65" s="233">
        <f>Model!O137</f>
        <v>1052.7273749999999</v>
      </c>
      <c r="O65" s="233">
        <f>-O57</f>
        <v>1158.58314</v>
      </c>
    </row>
    <row r="66" spans="2:15" hidden="1">
      <c r="B66" s="264"/>
      <c r="C66" s="264" t="s">
        <v>97</v>
      </c>
      <c r="D66" s="264"/>
      <c r="J66" s="233">
        <f ca="1">Model!K113</f>
        <v>-11.456250000000011</v>
      </c>
      <c r="K66" s="233">
        <f ca="1">Model!L113</f>
        <v>-70.784375000000068</v>
      </c>
      <c r="L66" s="233">
        <f ca="1">Model!M113</f>
        <v>-61.975781249999955</v>
      </c>
      <c r="M66" s="233">
        <f ca="1">Model!N113</f>
        <v>-62.001367187499909</v>
      </c>
      <c r="N66" s="233">
        <f ca="1">Model!O113</f>
        <v>-69.100431640625175</v>
      </c>
      <c r="O66" s="233">
        <f>Model!P113</f>
        <v>0</v>
      </c>
    </row>
    <row r="67" spans="2:15" hidden="1">
      <c r="B67" s="264"/>
      <c r="C67" s="264" t="s">
        <v>23</v>
      </c>
      <c r="D67" s="264"/>
      <c r="J67" s="233">
        <f ca="1">Model!K109</f>
        <v>415.75531471603421</v>
      </c>
      <c r="K67" s="233">
        <f ca="1">Model!L109</f>
        <v>393.64316165444916</v>
      </c>
      <c r="L67" s="233">
        <f ca="1">Model!M109</f>
        <v>383.57398441805162</v>
      </c>
      <c r="M67" s="233">
        <f ca="1">Model!N109</f>
        <v>369.47629113265106</v>
      </c>
      <c r="N67" s="233">
        <f ca="1">Model!O109</f>
        <v>350.44843098687488</v>
      </c>
      <c r="O67" s="233">
        <f>Model!P109</f>
        <v>0</v>
      </c>
    </row>
    <row r="68" spans="2:15" hidden="1">
      <c r="B68" s="264"/>
      <c r="C68" s="264" t="s">
        <v>474</v>
      </c>
      <c r="D68" s="264"/>
      <c r="J68" s="328">
        <f ca="1">Model!K257-UFCF!J31</f>
        <v>-103.93882867900857</v>
      </c>
      <c r="K68" s="328">
        <f ca="1">Model!L257-UFCF!K31</f>
        <v>-98.410790413612176</v>
      </c>
      <c r="L68" s="328">
        <f ca="1">Model!M257-UFCF!L31</f>
        <v>-95.893496104512906</v>
      </c>
      <c r="M68" s="328">
        <f ca="1">Model!N257-UFCF!M31</f>
        <v>-92.369072783162665</v>
      </c>
      <c r="N68" s="328">
        <f ca="1">Model!O257-UFCF!N31</f>
        <v>-87.612107746718721</v>
      </c>
      <c r="O68" s="308">
        <v>0</v>
      </c>
    </row>
    <row r="69" spans="2:15" hidden="1">
      <c r="B69" s="264"/>
      <c r="C69" s="264" t="s">
        <v>471</v>
      </c>
      <c r="D69" s="264"/>
      <c r="J69" s="233">
        <f>J56</f>
        <v>11134.238705609618</v>
      </c>
      <c r="K69" s="233">
        <f t="shared" ref="K69:N69" si="17">K56</f>
        <v>-1310.6291198137087</v>
      </c>
      <c r="L69" s="233">
        <f t="shared" si="17"/>
        <v>-1893.315569905852</v>
      </c>
      <c r="M69" s="233">
        <f t="shared" si="17"/>
        <v>-2404.9980322051861</v>
      </c>
      <c r="N69" s="233">
        <f t="shared" si="17"/>
        <v>-3090.9051270691011</v>
      </c>
      <c r="O69" s="308">
        <v>0</v>
      </c>
    </row>
    <row r="70" spans="2:15" hidden="1">
      <c r="B70" s="264"/>
      <c r="C70" s="264" t="s">
        <v>272</v>
      </c>
      <c r="D70" s="264"/>
      <c r="J70" s="233">
        <f>J57</f>
        <v>-950</v>
      </c>
      <c r="K70" s="233">
        <f t="shared" ref="K70:O70" si="18">K57</f>
        <v>-1000</v>
      </c>
      <c r="L70" s="233">
        <f t="shared" si="18"/>
        <v>-1045</v>
      </c>
      <c r="M70" s="233">
        <f t="shared" si="18"/>
        <v>-1086.8</v>
      </c>
      <c r="N70" s="233">
        <f t="shared" si="18"/>
        <v>-1124.838</v>
      </c>
      <c r="O70" s="233">
        <f t="shared" si="18"/>
        <v>-1158.58314</v>
      </c>
    </row>
    <row r="71" spans="2:15" hidden="1">
      <c r="B71" s="264"/>
      <c r="C71" s="303" t="s">
        <v>469</v>
      </c>
      <c r="D71" s="264"/>
      <c r="J71" s="327">
        <f ca="1">SUM(J64:J70)</f>
        <v>12116.35240400962</v>
      </c>
      <c r="K71" s="327">
        <f t="shared" ref="K71:O71" ca="1" si="19">SUM(K64:K70)</f>
        <v>691.93917478628828</v>
      </c>
      <c r="L71" s="327">
        <f t="shared" ca="1" si="19"/>
        <v>1645.3938780221465</v>
      </c>
      <c r="M71" s="327">
        <f t="shared" ca="1" si="19"/>
        <v>2939.8739213423187</v>
      </c>
      <c r="N71" s="327">
        <f t="shared" ca="1" si="19"/>
        <v>4486.5349485972729</v>
      </c>
      <c r="O71" s="327">
        <f t="shared" si="19"/>
        <v>6934.0214292567671</v>
      </c>
    </row>
    <row r="72" spans="2:15" hidden="1"/>
    <row r="73" spans="2:15" hidden="1">
      <c r="C73" s="329" t="s">
        <v>475</v>
      </c>
      <c r="D73" s="264"/>
      <c r="E73" s="330"/>
      <c r="F73" s="264"/>
      <c r="G73" s="264"/>
      <c r="H73" s="264"/>
      <c r="I73" s="264"/>
      <c r="J73" s="331">
        <f t="shared" ref="J73:O73" ca="1" si="20">J58-J71</f>
        <v>103.93882867900902</v>
      </c>
      <c r="K73" s="331">
        <f t="shared" ca="1" si="20"/>
        <v>98.410790413612176</v>
      </c>
      <c r="L73" s="331">
        <f t="shared" ca="1" si="20"/>
        <v>95.893496104512451</v>
      </c>
      <c r="M73" s="331">
        <f t="shared" ca="1" si="20"/>
        <v>92.369072783162665</v>
      </c>
      <c r="N73" s="331">
        <f t="shared" ca="1" si="20"/>
        <v>87.61210774671963</v>
      </c>
      <c r="O73" s="331">
        <f t="shared" si="2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43D5-336B-4A10-AB1F-DD8A734AC513}">
  <dimension ref="A1:Q52"/>
  <sheetViews>
    <sheetView topLeftCell="A3" zoomScale="145" zoomScaleNormal="145" workbookViewId="0">
      <selection activeCell="E18" sqref="E18"/>
    </sheetView>
  </sheetViews>
  <sheetFormatPr defaultRowHeight="13"/>
  <cols>
    <col min="1" max="2" width="8.7265625" style="69"/>
    <col min="3" max="3" width="9.7265625" style="69" bestFit="1" customWidth="1"/>
    <col min="4" max="4" width="8.7265625" style="69"/>
    <col min="5" max="5" width="25.54296875" style="69" bestFit="1" customWidth="1"/>
    <col min="6" max="6" width="23.6328125" style="69" bestFit="1" customWidth="1"/>
    <col min="7" max="7" width="10.6328125" style="69" bestFit="1" customWidth="1"/>
    <col min="8" max="8" width="5.54296875" style="69" bestFit="1" customWidth="1"/>
    <col min="9" max="9" width="8.7265625" style="69"/>
    <col min="10" max="10" width="10.6328125" style="69" bestFit="1" customWidth="1"/>
    <col min="11" max="11" width="5.54296875" style="69" bestFit="1" customWidth="1"/>
    <col min="12" max="12" width="8.7265625" style="69"/>
    <col min="13" max="13" width="10.6328125" style="69" bestFit="1" customWidth="1"/>
    <col min="14" max="14" width="21.54296875" style="69" customWidth="1"/>
    <col min="15" max="15" width="8.7265625" style="69"/>
    <col min="16" max="16" width="10.6328125" style="69" bestFit="1" customWidth="1"/>
    <col min="17" max="17" width="5.54296875" style="69" bestFit="1" customWidth="1"/>
    <col min="18" max="16384" width="8.7265625" style="69"/>
  </cols>
  <sheetData>
    <row r="1" spans="1:17">
      <c r="C1" s="112"/>
    </row>
    <row r="2" spans="1:17">
      <c r="C2" s="112"/>
      <c r="N2" s="143" t="str">
        <f>Model!N228</f>
        <v>CURRENTLY RUNNING: BASE CASE SCENARIO</v>
      </c>
    </row>
    <row r="3" spans="1:17" ht="26">
      <c r="B3" s="193" t="str">
        <f>Model!B229</f>
        <v>PAYPAL HOLDINGS, INC.</v>
      </c>
      <c r="C3" s="237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</row>
    <row r="4" spans="1:17" ht="20" thickBot="1">
      <c r="B4" s="240" t="s">
        <v>485</v>
      </c>
      <c r="C4" s="194"/>
      <c r="D4" s="194"/>
      <c r="E4" s="194"/>
      <c r="F4" s="194"/>
      <c r="G4" s="270"/>
      <c r="H4" s="239"/>
      <c r="I4" s="239"/>
      <c r="J4" s="239"/>
      <c r="K4" s="239"/>
      <c r="L4" s="239"/>
      <c r="M4" s="239"/>
      <c r="N4" s="239"/>
      <c r="O4" s="239"/>
      <c r="P4" s="239"/>
    </row>
    <row r="5" spans="1:17">
      <c r="C5" s="132" t="str">
        <f>Model!C231</f>
        <v>($ Millions)</v>
      </c>
    </row>
    <row r="6" spans="1:17">
      <c r="C6" s="132"/>
    </row>
    <row r="7" spans="1:17">
      <c r="C7" s="112" t="s">
        <v>478</v>
      </c>
      <c r="F7" s="148" t="s">
        <v>479</v>
      </c>
      <c r="K7" s="101"/>
      <c r="L7" s="101"/>
      <c r="M7" s="101"/>
      <c r="N7" s="101"/>
      <c r="O7" s="101"/>
    </row>
    <row r="8" spans="1:17">
      <c r="A8" s="297"/>
      <c r="B8" s="300"/>
      <c r="C8" s="300"/>
      <c r="D8" s="332"/>
      <c r="E8" s="333"/>
      <c r="F8" s="333"/>
      <c r="G8" s="456">
        <f>Assumptions!N16</f>
        <v>0.05</v>
      </c>
      <c r="H8" s="334"/>
      <c r="I8" s="334"/>
      <c r="J8" s="334">
        <f>G8+0.005</f>
        <v>5.5E-2</v>
      </c>
      <c r="K8" s="334"/>
      <c r="L8" s="334"/>
      <c r="M8" s="334">
        <f>J8+0.005</f>
        <v>0.06</v>
      </c>
      <c r="N8" s="334"/>
      <c r="O8" s="334"/>
      <c r="P8" s="334">
        <f>M8+0.005</f>
        <v>6.5000000000000002E-2</v>
      </c>
      <c r="Q8" s="335"/>
    </row>
    <row r="9" spans="1:17">
      <c r="A9" s="297"/>
      <c r="B9" s="300"/>
      <c r="C9" s="300"/>
      <c r="D9" s="332"/>
      <c r="E9" s="336"/>
      <c r="F9" s="336"/>
      <c r="G9" s="337"/>
      <c r="H9" s="338"/>
      <c r="I9" s="338"/>
      <c r="J9" s="338"/>
      <c r="K9" s="338"/>
      <c r="L9" s="338"/>
      <c r="M9" s="338"/>
      <c r="N9" s="338"/>
      <c r="O9" s="338"/>
      <c r="P9" s="338"/>
      <c r="Q9" s="338"/>
    </row>
    <row r="10" spans="1:17">
      <c r="A10" s="297"/>
      <c r="B10" s="297"/>
      <c r="C10" s="457">
        <f>Assumptions!N14</f>
        <v>8.5000000000000006E-2</v>
      </c>
      <c r="D10" s="304"/>
      <c r="E10" s="297" t="s">
        <v>480</v>
      </c>
      <c r="F10" s="297"/>
      <c r="G10" s="339">
        <f ca="1">NPV('DCF Schedule'!$C10,UFCF!$J$58:$N$58)*(1+'DCF Schedule'!$C10)^0.5</f>
        <v>19298.94522184251</v>
      </c>
      <c r="H10" s="340">
        <f ca="1">G10/G12</f>
        <v>0.12328461616064178</v>
      </c>
      <c r="I10" s="297"/>
      <c r="J10" s="339">
        <f ca="1">NPV('DCF Schedule'!$C10,UFCF!$J$58:$N$58)*(1+'DCF Schedule'!$C10)^0.5</f>
        <v>19298.94522184251</v>
      </c>
      <c r="K10" s="340">
        <f ca="1">J10/J12</f>
        <v>0.10756700774648936</v>
      </c>
      <c r="L10" s="297"/>
      <c r="M10" s="339">
        <f ca="1">NPV('DCF Schedule'!$C10,UFCF!$J$58:$N$58)*(1+'DCF Schedule'!$C10)^0.5</f>
        <v>19298.94522184251</v>
      </c>
      <c r="N10" s="340">
        <f ca="1">M10/M12</f>
        <v>9.127554601630801E-2</v>
      </c>
      <c r="O10" s="297"/>
      <c r="P10" s="339">
        <f ca="1">NPV('DCF Schedule'!$C10,UFCF!$J$58:$N$58)*(1+'DCF Schedule'!$C10)^0.5</f>
        <v>19298.94522184251</v>
      </c>
      <c r="Q10" s="340">
        <f ca="1">P10/P12</f>
        <v>7.4378219329245918E-2</v>
      </c>
    </row>
    <row r="11" spans="1:17">
      <c r="A11" s="297"/>
      <c r="B11" s="298"/>
      <c r="C11" s="341"/>
      <c r="D11" s="304"/>
      <c r="E11" s="297" t="s">
        <v>481</v>
      </c>
      <c r="F11" s="297"/>
      <c r="G11" s="342">
        <f>(UFCF!$O$58/('DCF Schedule'!$C10-'DCF Schedule'!G$8)/(1+'DCF Schedule'!$C10)^4.5)</f>
        <v>137240.82285997304</v>
      </c>
      <c r="H11" s="343">
        <f ca="1">G11/G12</f>
        <v>0.87671538383935832</v>
      </c>
      <c r="I11" s="297"/>
      <c r="J11" s="342">
        <f>(UFCF!$O$58/('DCF Schedule'!$C10-'DCF Schedule'!J$8)/(1+'DCF Schedule'!$C10)^4.5)</f>
        <v>160114.29333663516</v>
      </c>
      <c r="K11" s="343">
        <f ca="1">J11/J12</f>
        <v>0.89243299225351069</v>
      </c>
      <c r="L11" s="297"/>
      <c r="M11" s="342">
        <f>(UFCF!$O$58/('DCF Schedule'!$C10-'DCF Schedule'!M$8)/(1+'DCF Schedule'!$C10)^4.5)</f>
        <v>192137.1520039622</v>
      </c>
      <c r="N11" s="343">
        <f ca="1">M11/M12</f>
        <v>0.90872445398369206</v>
      </c>
      <c r="O11" s="297"/>
      <c r="P11" s="342">
        <f>(UFCF!$O$58/('DCF Schedule'!$C10-'DCF Schedule'!P$8)/(1+'DCF Schedule'!$C10)^4.5)</f>
        <v>240171.44000495278</v>
      </c>
      <c r="Q11" s="343">
        <f ca="1">P11/P12</f>
        <v>0.92562178067075407</v>
      </c>
    </row>
    <row r="12" spans="1:17">
      <c r="A12" s="297"/>
      <c r="B12" s="297"/>
      <c r="C12" s="341"/>
      <c r="D12" s="344"/>
      <c r="E12" s="345" t="s">
        <v>482</v>
      </c>
      <c r="F12" s="346"/>
      <c r="G12" s="347">
        <f ca="1">SUM(G10:G11)</f>
        <v>156539.76808181553</v>
      </c>
      <c r="H12" s="340">
        <f ca="1">SUM(H10:H11)</f>
        <v>1</v>
      </c>
      <c r="I12" s="339"/>
      <c r="J12" s="345">
        <f ca="1">SUM(J10:J11)</f>
        <v>179413.23855847766</v>
      </c>
      <c r="K12" s="340">
        <f ca="1">SUM(K10:K11)</f>
        <v>1</v>
      </c>
      <c r="L12" s="339"/>
      <c r="M12" s="345">
        <f ca="1">SUM(M10:M11)</f>
        <v>211436.0972258047</v>
      </c>
      <c r="N12" s="340">
        <f ca="1">SUM(N10:N11)</f>
        <v>1</v>
      </c>
      <c r="O12" s="339"/>
      <c r="P12" s="345">
        <f ca="1">SUM(P10:P11)</f>
        <v>259470.38522679528</v>
      </c>
      <c r="Q12" s="340">
        <f ca="1">SUM(Q10:Q11)</f>
        <v>1</v>
      </c>
    </row>
    <row r="13" spans="1:17">
      <c r="A13" s="297"/>
      <c r="B13" s="297"/>
      <c r="C13" s="341"/>
      <c r="D13" s="344"/>
      <c r="E13" s="345"/>
      <c r="F13" s="346"/>
      <c r="G13" s="347"/>
      <c r="H13" s="348"/>
      <c r="I13" s="339"/>
      <c r="J13" s="345"/>
      <c r="K13" s="348"/>
      <c r="L13" s="339"/>
      <c r="M13" s="345"/>
      <c r="N13" s="348"/>
      <c r="O13" s="339"/>
      <c r="P13" s="345"/>
      <c r="Q13" s="348"/>
    </row>
    <row r="14" spans="1:17">
      <c r="A14" s="297"/>
      <c r="B14" s="297"/>
      <c r="C14" s="341"/>
      <c r="D14" s="344"/>
      <c r="E14" s="349" t="str">
        <f>"Less Net Debt (12/31/"&amp;RIGHT(Model!J169,2)&amp;")"</f>
        <v>Less Net Debt (12/31/22)</v>
      </c>
      <c r="F14" s="350"/>
      <c r="G14" s="351">
        <f>Model!J185+Model!J191-Model!J171</f>
        <v>-456</v>
      </c>
      <c r="H14" s="350"/>
      <c r="I14" s="350"/>
      <c r="J14" s="351">
        <f>G14</f>
        <v>-456</v>
      </c>
      <c r="K14" s="350"/>
      <c r="L14" s="350"/>
      <c r="M14" s="351">
        <f>J14</f>
        <v>-456</v>
      </c>
      <c r="N14" s="350"/>
      <c r="O14" s="350"/>
      <c r="P14" s="351">
        <f>M14</f>
        <v>-456</v>
      </c>
      <c r="Q14" s="339"/>
    </row>
    <row r="15" spans="1:17">
      <c r="A15" s="297"/>
      <c r="B15" s="297"/>
      <c r="C15" s="352"/>
      <c r="D15" s="344"/>
      <c r="E15" s="339" t="s">
        <v>483</v>
      </c>
      <c r="F15" s="346"/>
      <c r="G15" s="353">
        <f ca="1">G12-G14</f>
        <v>156995.76808181553</v>
      </c>
      <c r="H15" s="339"/>
      <c r="I15" s="339"/>
      <c r="J15" s="353">
        <f ca="1">J12-J14</f>
        <v>179869.23855847766</v>
      </c>
      <c r="K15" s="339"/>
      <c r="L15" s="339"/>
      <c r="M15" s="353">
        <f ca="1">M12-M14</f>
        <v>211892.0972258047</v>
      </c>
      <c r="N15" s="339"/>
      <c r="O15" s="339"/>
      <c r="P15" s="353">
        <f ca="1">P12-P14</f>
        <v>259926.38522679528</v>
      </c>
      <c r="Q15" s="339"/>
    </row>
    <row r="16" spans="1:17">
      <c r="A16" s="297"/>
      <c r="B16" s="297"/>
      <c r="C16" s="352"/>
      <c r="D16" s="344"/>
      <c r="E16" s="345"/>
      <c r="F16" s="346"/>
      <c r="G16" s="347"/>
      <c r="H16" s="339"/>
      <c r="I16" s="339"/>
      <c r="J16" s="347"/>
      <c r="K16" s="339"/>
      <c r="L16" s="339"/>
      <c r="M16" s="347"/>
      <c r="N16" s="339"/>
      <c r="O16" s="339"/>
      <c r="P16" s="347"/>
      <c r="Q16" s="339"/>
    </row>
    <row r="17" spans="1:17">
      <c r="A17" s="297"/>
      <c r="B17" s="297"/>
      <c r="C17" s="352"/>
      <c r="D17" s="344"/>
      <c r="E17" s="339" t="str">
        <f>"Share O/S (MM) (12/31/"&amp;RIGHT(Model!J169,2)&amp;")"</f>
        <v>Share O/S (MM) (12/31/22)</v>
      </c>
      <c r="F17" s="346"/>
      <c r="G17" s="458">
        <f>Assumptions!N9</f>
        <v>1600</v>
      </c>
      <c r="H17" s="354"/>
      <c r="I17" s="354"/>
      <c r="J17" s="355">
        <f>G17</f>
        <v>1600</v>
      </c>
      <c r="K17" s="354"/>
      <c r="L17" s="354"/>
      <c r="M17" s="355">
        <f>J17</f>
        <v>1600</v>
      </c>
      <c r="N17" s="354"/>
      <c r="O17" s="354"/>
      <c r="P17" s="355">
        <f>M17</f>
        <v>1600</v>
      </c>
      <c r="Q17" s="339"/>
    </row>
    <row r="18" spans="1:17">
      <c r="A18" s="297"/>
      <c r="B18" s="297"/>
      <c r="C18" s="341"/>
      <c r="D18" s="344"/>
      <c r="E18" s="345" t="s">
        <v>484</v>
      </c>
      <c r="F18" s="345"/>
      <c r="G18" s="356">
        <f ca="1">G15/G17</f>
        <v>98.122355051134704</v>
      </c>
      <c r="H18" s="345"/>
      <c r="I18" s="345"/>
      <c r="J18" s="356">
        <f ca="1">J15/J17</f>
        <v>112.41827409904855</v>
      </c>
      <c r="K18" s="345"/>
      <c r="L18" s="345"/>
      <c r="M18" s="356">
        <f ca="1">M15/M17</f>
        <v>132.43256076612795</v>
      </c>
      <c r="N18" s="345"/>
      <c r="O18" s="345"/>
      <c r="P18" s="356">
        <f ca="1">P15/P17</f>
        <v>162.45399076674704</v>
      </c>
      <c r="Q18" s="345"/>
    </row>
    <row r="19" spans="1:17">
      <c r="A19" s="297"/>
      <c r="B19" s="297"/>
      <c r="C19" s="341"/>
      <c r="D19" s="357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</row>
    <row r="20" spans="1:17">
      <c r="A20" s="297"/>
      <c r="B20" s="297"/>
      <c r="C20" s="341"/>
      <c r="D20" s="357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</row>
    <row r="21" spans="1:17">
      <c r="A21" s="297"/>
      <c r="B21" s="300"/>
      <c r="C21" s="358">
        <f>C10+0.005</f>
        <v>9.0000000000000011E-2</v>
      </c>
      <c r="D21" s="304"/>
      <c r="E21" s="297" t="s">
        <v>480</v>
      </c>
      <c r="F21" s="346"/>
      <c r="G21" s="339">
        <f ca="1">NPV('DCF Schedule'!$C21,UFCF!$J$58:$N$58)*(1+'DCF Schedule'!$C21)^0.5</f>
        <v>19149.704765445502</v>
      </c>
      <c r="H21" s="340">
        <f ca="1">G21/G23</f>
        <v>0.1400073608997405</v>
      </c>
      <c r="I21" s="346"/>
      <c r="J21" s="339">
        <f ca="1">NPV('DCF Schedule'!$C21,UFCF!$J$58:$N$58)*(1+'DCF Schedule'!$C21)^0.5</f>
        <v>19149.704765445502</v>
      </c>
      <c r="K21" s="340">
        <f ca="1">J21/J23</f>
        <v>0.12468860612194811</v>
      </c>
      <c r="L21" s="346"/>
      <c r="M21" s="339">
        <f ca="1">NPV('DCF Schedule'!$C21,UFCF!$J$58:$N$58)*(1+'DCF Schedule'!$C21)^0.5</f>
        <v>19149.704765445502</v>
      </c>
      <c r="N21" s="340">
        <f ca="1">M21/M23</f>
        <v>0.1088142185672992</v>
      </c>
      <c r="O21" s="348"/>
      <c r="P21" s="339">
        <f ca="1">NPV('DCF Schedule'!$C21,UFCF!$J$58:$N$58)*(1+'DCF Schedule'!$C21)^0.5</f>
        <v>19149.704765445502</v>
      </c>
      <c r="Q21" s="340">
        <f ca="1">P21/P23</f>
        <v>9.2353409486974472E-2</v>
      </c>
    </row>
    <row r="22" spans="1:17">
      <c r="A22" s="297"/>
      <c r="B22" s="297"/>
      <c r="C22" s="341"/>
      <c r="D22" s="304"/>
      <c r="E22" s="297" t="s">
        <v>481</v>
      </c>
      <c r="F22" s="346"/>
      <c r="G22" s="342">
        <f>(UFCF!$O$58/('DCF Schedule'!$C21-'DCF Schedule'!G$8)/(1+'DCF Schedule'!$C21)^4.5)</f>
        <v>117626.70929151708</v>
      </c>
      <c r="H22" s="343">
        <f ca="1">G22/G23</f>
        <v>0.85999263910025947</v>
      </c>
      <c r="I22" s="339"/>
      <c r="J22" s="342">
        <f>(UFCF!$O$58/('DCF Schedule'!$C21-'DCF Schedule'!J$8)/(1+'DCF Schedule'!$C21)^4.5)</f>
        <v>134430.52490459094</v>
      </c>
      <c r="K22" s="343">
        <f ca="1">J22/J23</f>
        <v>0.8753113938780519</v>
      </c>
      <c r="L22" s="339"/>
      <c r="M22" s="342">
        <f>(UFCF!$O$58/('DCF Schedule'!$C21-'DCF Schedule'!M$8)/(1+'DCF Schedule'!$C21)^4.5)</f>
        <v>156835.61238868939</v>
      </c>
      <c r="N22" s="343">
        <f ca="1">M22/M23</f>
        <v>0.89118578143270089</v>
      </c>
      <c r="O22" s="348"/>
      <c r="P22" s="342">
        <f>(UFCF!$O$58/('DCF Schedule'!$C21-'DCF Schedule'!P$8)/(1+'DCF Schedule'!$C21)^4.5)</f>
        <v>188202.73486642729</v>
      </c>
      <c r="Q22" s="343">
        <f ca="1">P22/P23</f>
        <v>0.90764659051302554</v>
      </c>
    </row>
    <row r="23" spans="1:17">
      <c r="A23" s="297"/>
      <c r="B23" s="297"/>
      <c r="C23" s="341"/>
      <c r="D23" s="344"/>
      <c r="E23" s="345" t="s">
        <v>482</v>
      </c>
      <c r="F23" s="344"/>
      <c r="G23" s="345">
        <f ca="1">SUM(G21:G22)</f>
        <v>136776.41405696259</v>
      </c>
      <c r="H23" s="340">
        <f ca="1">SUM(H21:H22)</f>
        <v>1</v>
      </c>
      <c r="I23" s="344"/>
      <c r="J23" s="345">
        <f ca="1">SUM(J21:J22)</f>
        <v>153580.22967003644</v>
      </c>
      <c r="K23" s="340">
        <f ca="1">SUM(K21:K22)</f>
        <v>1</v>
      </c>
      <c r="L23" s="344"/>
      <c r="M23" s="345">
        <f ca="1">SUM(M21:M22)</f>
        <v>175985.31715413489</v>
      </c>
      <c r="N23" s="340">
        <f ca="1">SUM(N21:N22)</f>
        <v>1</v>
      </c>
      <c r="O23" s="348"/>
      <c r="P23" s="345">
        <f ca="1">SUM(P21:P22)</f>
        <v>207352.43963187278</v>
      </c>
      <c r="Q23" s="340">
        <f ca="1">SUM(Q21:Q22)</f>
        <v>1</v>
      </c>
    </row>
    <row r="24" spans="1:17">
      <c r="A24" s="297"/>
      <c r="B24" s="297"/>
      <c r="C24" s="341"/>
      <c r="D24" s="344"/>
      <c r="E24" s="345"/>
      <c r="F24" s="344"/>
      <c r="G24" s="345"/>
      <c r="H24" s="348"/>
      <c r="I24" s="344"/>
      <c r="J24" s="345"/>
      <c r="K24" s="348"/>
      <c r="L24" s="344"/>
      <c r="M24" s="345"/>
      <c r="N24" s="348"/>
      <c r="O24" s="348"/>
      <c r="P24" s="345"/>
      <c r="Q24" s="348"/>
    </row>
    <row r="25" spans="1:17">
      <c r="A25" s="297"/>
      <c r="B25" s="297"/>
      <c r="C25" s="341"/>
      <c r="D25" s="344"/>
      <c r="E25" s="349" t="str">
        <f>E14</f>
        <v>Less Net Debt (12/31/22)</v>
      </c>
      <c r="F25" s="346"/>
      <c r="G25" s="351">
        <f>G14</f>
        <v>-456</v>
      </c>
      <c r="H25" s="339"/>
      <c r="I25" s="346"/>
      <c r="J25" s="351">
        <f>J14</f>
        <v>-456</v>
      </c>
      <c r="K25" s="339"/>
      <c r="L25" s="346"/>
      <c r="M25" s="351">
        <f>M14</f>
        <v>-456</v>
      </c>
      <c r="N25" s="339"/>
      <c r="O25" s="346"/>
      <c r="P25" s="351">
        <f>P14</f>
        <v>-456</v>
      </c>
      <c r="Q25" s="339"/>
    </row>
    <row r="26" spans="1:17">
      <c r="A26" s="297"/>
      <c r="B26" s="298"/>
      <c r="C26" s="352"/>
      <c r="D26" s="344"/>
      <c r="E26" s="339" t="s">
        <v>483</v>
      </c>
      <c r="F26" s="339"/>
      <c r="G26" s="353">
        <f ca="1">G23-G25</f>
        <v>137232.41405696259</v>
      </c>
      <c r="H26" s="339"/>
      <c r="I26" s="339"/>
      <c r="J26" s="353">
        <f ca="1">J23-J25</f>
        <v>154036.22967003644</v>
      </c>
      <c r="K26" s="339"/>
      <c r="L26" s="339"/>
      <c r="M26" s="353">
        <f ca="1">M23-M25</f>
        <v>176441.31715413489</v>
      </c>
      <c r="N26" s="339"/>
      <c r="O26" s="339"/>
      <c r="P26" s="353">
        <f ca="1">P23-P25</f>
        <v>207808.43963187278</v>
      </c>
      <c r="Q26" s="339"/>
    </row>
    <row r="27" spans="1:17">
      <c r="A27" s="297"/>
      <c r="B27" s="298"/>
      <c r="C27" s="352"/>
      <c r="D27" s="344"/>
      <c r="E27" s="345"/>
      <c r="F27" s="339"/>
      <c r="G27" s="347"/>
      <c r="H27" s="339"/>
      <c r="I27" s="339"/>
      <c r="J27" s="347"/>
      <c r="K27" s="339"/>
      <c r="L27" s="339"/>
      <c r="M27" s="347"/>
      <c r="N27" s="339"/>
      <c r="O27" s="339"/>
      <c r="P27" s="347"/>
      <c r="Q27" s="339"/>
    </row>
    <row r="28" spans="1:17">
      <c r="A28" s="297"/>
      <c r="B28" s="297"/>
      <c r="C28" s="352"/>
      <c r="D28" s="344"/>
      <c r="E28" s="339" t="str">
        <f>E17</f>
        <v>Share O/S (MM) (12/31/22)</v>
      </c>
      <c r="F28" s="346"/>
      <c r="G28" s="355">
        <f>G17</f>
        <v>1600</v>
      </c>
      <c r="H28" s="359"/>
      <c r="I28" s="359"/>
      <c r="J28" s="355">
        <f>J17</f>
        <v>1600</v>
      </c>
      <c r="K28" s="359"/>
      <c r="L28" s="359"/>
      <c r="M28" s="355">
        <f>M17</f>
        <v>1600</v>
      </c>
      <c r="N28" s="359"/>
      <c r="O28" s="359"/>
      <c r="P28" s="355">
        <f>P17</f>
        <v>1600</v>
      </c>
      <c r="Q28" s="339"/>
    </row>
    <row r="29" spans="1:17">
      <c r="A29" s="297"/>
      <c r="B29" s="297"/>
      <c r="C29" s="341"/>
      <c r="D29" s="344"/>
      <c r="E29" s="345" t="s">
        <v>484</v>
      </c>
      <c r="F29" s="345"/>
      <c r="G29" s="356">
        <f ca="1">G26/G28</f>
        <v>85.770258785601612</v>
      </c>
      <c r="H29" s="345"/>
      <c r="I29" s="345"/>
      <c r="J29" s="356">
        <f ca="1">J26/J28</f>
        <v>96.272643543772773</v>
      </c>
      <c r="K29" s="345"/>
      <c r="L29" s="345"/>
      <c r="M29" s="356">
        <f ca="1">M26/M28</f>
        <v>110.27582322133431</v>
      </c>
      <c r="N29" s="345"/>
      <c r="O29" s="345"/>
      <c r="P29" s="356">
        <f ca="1">P26/P28</f>
        <v>129.88027476992048</v>
      </c>
      <c r="Q29" s="345"/>
    </row>
    <row r="30" spans="1:17">
      <c r="A30" s="297"/>
      <c r="B30" s="297"/>
      <c r="C30" s="341"/>
      <c r="D30" s="357"/>
      <c r="E30" s="339"/>
      <c r="F30" s="339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</row>
    <row r="31" spans="1:17">
      <c r="A31" s="297"/>
      <c r="B31" s="297"/>
      <c r="C31" s="341"/>
      <c r="D31" s="357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</row>
    <row r="32" spans="1:17">
      <c r="A32" s="297"/>
      <c r="B32" s="297"/>
      <c r="C32" s="358">
        <f>C21+0.005</f>
        <v>9.5000000000000015E-2</v>
      </c>
      <c r="D32" s="304"/>
      <c r="E32" s="297" t="s">
        <v>480</v>
      </c>
      <c r="F32" s="346"/>
      <c r="G32" s="339">
        <f ca="1">NPV('DCF Schedule'!$C32,UFCF!$J$58:$N$58)*(1+'DCF Schedule'!$C32)^0.5</f>
        <v>19003.322168789568</v>
      </c>
      <c r="H32" s="340">
        <f ca="1">G32/G34</f>
        <v>0.15649730899514741</v>
      </c>
      <c r="I32" s="346"/>
      <c r="J32" s="339">
        <f ca="1">NPV('DCF Schedule'!$C32,UFCF!$J$58:$N$58)*(1+'DCF Schedule'!$C32)^0.5</f>
        <v>19003.322168789568</v>
      </c>
      <c r="K32" s="340">
        <f ca="1">J32/J34</f>
        <v>0.14157042924119043</v>
      </c>
      <c r="L32" s="346"/>
      <c r="M32" s="339">
        <f ca="1">NPV('DCF Schedule'!$C32,UFCF!$J$58:$N$58)*(1+'DCF Schedule'!$C32)^0.5</f>
        <v>19003.322168789568</v>
      </c>
      <c r="N32" s="340">
        <f ca="1">M32/M34</f>
        <v>0.12610573089257107</v>
      </c>
      <c r="O32" s="346"/>
      <c r="P32" s="339">
        <f ca="1">NPV('DCF Schedule'!$C32,UFCF!$J$58:$N$58)*(1+'DCF Schedule'!$C32)^0.5</f>
        <v>19003.322168789568</v>
      </c>
      <c r="Q32" s="340">
        <f ca="1">P32/P34</f>
        <v>0.11007361413105861</v>
      </c>
    </row>
    <row r="33" spans="1:17">
      <c r="A33" s="297"/>
      <c r="B33" s="299"/>
      <c r="C33" s="341"/>
      <c r="D33" s="304"/>
      <c r="E33" s="297" t="s">
        <v>481</v>
      </c>
      <c r="F33" s="346"/>
      <c r="G33" s="342">
        <f>(UFCF!$O$58/('DCF Schedule'!$C32-'DCF Schedule'!G$8)/(1+'DCF Schedule'!$C32)^4.5)</f>
        <v>102425.74450850909</v>
      </c>
      <c r="H33" s="343">
        <f ca="1">G33/G34</f>
        <v>0.84350269100485253</v>
      </c>
      <c r="I33" s="346"/>
      <c r="J33" s="342">
        <f>(UFCF!$O$58/('DCF Schedule'!$C32-'DCF Schedule'!J$8)/(1+'DCF Schedule'!$C32)^4.5)</f>
        <v>115228.96257207271</v>
      </c>
      <c r="K33" s="343">
        <f ca="1">J33/J34</f>
        <v>0.85842957075880966</v>
      </c>
      <c r="L33" s="346"/>
      <c r="M33" s="342">
        <f>(UFCF!$O$58/('DCF Schedule'!$C32-'DCF Schedule'!M$8)/(1+'DCF Schedule'!$C32)^4.5)</f>
        <v>131690.24293951163</v>
      </c>
      <c r="N33" s="343">
        <f ca="1">M33/M34</f>
        <v>0.87389426910742896</v>
      </c>
      <c r="O33" s="346"/>
      <c r="P33" s="342">
        <f>(UFCF!$O$58/('DCF Schedule'!$C32-'DCF Schedule'!P$8)/(1+'DCF Schedule'!$C32)^4.5)</f>
        <v>153638.61676276359</v>
      </c>
      <c r="Q33" s="343">
        <f ca="1">P33/P34</f>
        <v>0.88992638586894135</v>
      </c>
    </row>
    <row r="34" spans="1:17">
      <c r="A34" s="297"/>
      <c r="B34" s="297"/>
      <c r="C34" s="341"/>
      <c r="D34" s="344"/>
      <c r="E34" s="345" t="s">
        <v>482</v>
      </c>
      <c r="F34" s="357"/>
      <c r="G34" s="345">
        <f ca="1">SUM(G32:G33)</f>
        <v>121429.06667729866</v>
      </c>
      <c r="H34" s="340">
        <f ca="1">SUM(H32:H33)</f>
        <v>1</v>
      </c>
      <c r="I34" s="344"/>
      <c r="J34" s="345">
        <f ca="1">SUM(J32:J33)</f>
        <v>134232.28474086226</v>
      </c>
      <c r="K34" s="340">
        <f ca="1">SUM(K32:K33)</f>
        <v>1</v>
      </c>
      <c r="L34" s="344"/>
      <c r="M34" s="345">
        <f ca="1">SUM(M32:M33)</f>
        <v>150693.56510830121</v>
      </c>
      <c r="N34" s="340">
        <f ca="1">SUM(N32:N33)</f>
        <v>1</v>
      </c>
      <c r="O34" s="344"/>
      <c r="P34" s="345">
        <f ca="1">SUM(P32:P33)</f>
        <v>172641.93893155316</v>
      </c>
      <c r="Q34" s="340">
        <f ca="1">SUM(Q32:Q33)</f>
        <v>1</v>
      </c>
    </row>
    <row r="35" spans="1:17">
      <c r="A35" s="297"/>
      <c r="B35" s="297"/>
      <c r="C35" s="341"/>
      <c r="D35" s="344"/>
      <c r="E35" s="345"/>
      <c r="F35" s="357"/>
      <c r="G35" s="345"/>
      <c r="H35" s="348"/>
      <c r="I35" s="344"/>
      <c r="J35" s="345"/>
      <c r="K35" s="348"/>
      <c r="L35" s="344"/>
      <c r="M35" s="345"/>
      <c r="N35" s="348"/>
      <c r="O35" s="344"/>
      <c r="P35" s="345"/>
      <c r="Q35" s="348"/>
    </row>
    <row r="36" spans="1:17">
      <c r="A36" s="297"/>
      <c r="B36" s="297"/>
      <c r="C36" s="341"/>
      <c r="D36" s="344"/>
      <c r="E36" s="349" t="str">
        <f>E25</f>
        <v>Less Net Debt (12/31/22)</v>
      </c>
      <c r="F36" s="360"/>
      <c r="G36" s="351">
        <f>G25</f>
        <v>-456</v>
      </c>
      <c r="H36" s="339"/>
      <c r="I36" s="360"/>
      <c r="J36" s="351">
        <f>J25</f>
        <v>-456</v>
      </c>
      <c r="K36" s="339"/>
      <c r="L36" s="360"/>
      <c r="M36" s="351">
        <f>M25</f>
        <v>-456</v>
      </c>
      <c r="N36" s="339"/>
      <c r="O36" s="360"/>
      <c r="P36" s="351">
        <f>P25</f>
        <v>-456</v>
      </c>
      <c r="Q36" s="339"/>
    </row>
    <row r="37" spans="1:17">
      <c r="A37" s="297"/>
      <c r="B37" s="297"/>
      <c r="C37" s="352"/>
      <c r="D37" s="344"/>
      <c r="E37" s="339" t="s">
        <v>483</v>
      </c>
      <c r="F37" s="346"/>
      <c r="G37" s="353">
        <f ca="1">G34-G36</f>
        <v>121885.06667729866</v>
      </c>
      <c r="H37" s="339"/>
      <c r="I37" s="346"/>
      <c r="J37" s="353">
        <f ca="1">J34-J36</f>
        <v>134688.28474086226</v>
      </c>
      <c r="K37" s="339"/>
      <c r="L37" s="346"/>
      <c r="M37" s="353">
        <f ca="1">M34-M36</f>
        <v>151149.56510830121</v>
      </c>
      <c r="N37" s="339"/>
      <c r="O37" s="346"/>
      <c r="P37" s="353">
        <f ca="1">P34-P36</f>
        <v>173097.93893155316</v>
      </c>
      <c r="Q37" s="339"/>
    </row>
    <row r="38" spans="1:17">
      <c r="A38" s="297"/>
      <c r="B38" s="297"/>
      <c r="C38" s="352"/>
      <c r="D38" s="344"/>
      <c r="E38" s="345"/>
      <c r="F38" s="346"/>
      <c r="G38" s="347"/>
      <c r="H38" s="339"/>
      <c r="I38" s="346"/>
      <c r="J38" s="347"/>
      <c r="K38" s="339"/>
      <c r="L38" s="346"/>
      <c r="M38" s="347"/>
      <c r="N38" s="339"/>
      <c r="O38" s="346"/>
      <c r="P38" s="347"/>
      <c r="Q38" s="339"/>
    </row>
    <row r="39" spans="1:17">
      <c r="A39" s="297"/>
      <c r="B39" s="297"/>
      <c r="C39" s="352"/>
      <c r="D39" s="344"/>
      <c r="E39" s="339" t="str">
        <f>E28</f>
        <v>Share O/S (MM) (12/31/22)</v>
      </c>
      <c r="F39" s="346"/>
      <c r="G39" s="355">
        <f>G28</f>
        <v>1600</v>
      </c>
      <c r="H39" s="359"/>
      <c r="I39" s="359"/>
      <c r="J39" s="355">
        <f>J28</f>
        <v>1600</v>
      </c>
      <c r="K39" s="359"/>
      <c r="L39" s="359"/>
      <c r="M39" s="355">
        <f>M28</f>
        <v>1600</v>
      </c>
      <c r="N39" s="359"/>
      <c r="O39" s="359"/>
      <c r="P39" s="355">
        <f>P28</f>
        <v>1600</v>
      </c>
      <c r="Q39" s="339"/>
    </row>
    <row r="40" spans="1:17">
      <c r="A40" s="297"/>
      <c r="B40" s="297"/>
      <c r="C40" s="341"/>
      <c r="D40" s="344"/>
      <c r="E40" s="345" t="s">
        <v>484</v>
      </c>
      <c r="F40" s="345"/>
      <c r="G40" s="356">
        <f ca="1">G37/G39</f>
        <v>76.178166673311665</v>
      </c>
      <c r="H40" s="345"/>
      <c r="I40" s="345"/>
      <c r="J40" s="356">
        <f ca="1">J37/J39</f>
        <v>84.180177963038915</v>
      </c>
      <c r="K40" s="345"/>
      <c r="L40" s="345"/>
      <c r="M40" s="356">
        <f ca="1">M37/M39</f>
        <v>94.468478192688252</v>
      </c>
      <c r="N40" s="345"/>
      <c r="O40" s="345"/>
      <c r="P40" s="356">
        <f ca="1">P37/P39</f>
        <v>108.18621183222072</v>
      </c>
      <c r="Q40" s="345"/>
    </row>
    <row r="41" spans="1:17">
      <c r="A41" s="297"/>
      <c r="B41" s="297"/>
      <c r="C41" s="352"/>
      <c r="D41" s="344"/>
      <c r="E41" s="345"/>
      <c r="F41" s="346"/>
      <c r="G41" s="347"/>
      <c r="H41" s="339"/>
      <c r="I41" s="346"/>
      <c r="J41" s="347"/>
      <c r="K41" s="339"/>
      <c r="L41" s="346"/>
      <c r="M41" s="347"/>
      <c r="N41" s="339"/>
      <c r="O41" s="346"/>
      <c r="P41" s="347"/>
      <c r="Q41" s="339"/>
    </row>
    <row r="42" spans="1:17">
      <c r="A42" s="297"/>
      <c r="B42" s="297"/>
      <c r="C42" s="341"/>
      <c r="D42" s="357"/>
      <c r="E42" s="345"/>
      <c r="F42" s="346"/>
      <c r="G42" s="356"/>
      <c r="H42" s="346"/>
      <c r="I42" s="346"/>
      <c r="J42" s="356"/>
      <c r="K42" s="346"/>
      <c r="L42" s="346"/>
      <c r="M42" s="356"/>
      <c r="N42" s="346"/>
      <c r="O42" s="346"/>
      <c r="P42" s="356"/>
      <c r="Q42" s="346"/>
    </row>
    <row r="43" spans="1:17">
      <c r="A43" s="297"/>
      <c r="B43" s="300"/>
      <c r="C43" s="341"/>
      <c r="D43" s="357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6"/>
      <c r="Q43" s="346"/>
    </row>
    <row r="44" spans="1:17">
      <c r="A44" s="297"/>
      <c r="B44" s="297"/>
      <c r="C44" s="358">
        <f>C32+0.005</f>
        <v>0.10000000000000002</v>
      </c>
      <c r="D44" s="304"/>
      <c r="E44" s="297" t="s">
        <v>480</v>
      </c>
      <c r="F44" s="339"/>
      <c r="G44" s="339">
        <f ca="1">NPV('DCF Schedule'!$C44,UFCF!$J$58:$N$58)*(1+'DCF Schedule'!$C44)^0.5</f>
        <v>18859.723330677003</v>
      </c>
      <c r="H44" s="340">
        <f ca="1">G44/G46</f>
        <v>0.17275195633479576</v>
      </c>
      <c r="I44" s="339"/>
      <c r="J44" s="339">
        <f ca="1">NPV('DCF Schedule'!$C44,UFCF!$J$58:$N$58)*(1+'DCF Schedule'!$C44)^0.5</f>
        <v>18859.723330677003</v>
      </c>
      <c r="K44" s="340">
        <f ca="1">J44/J46</f>
        <v>0.15820986710673179</v>
      </c>
      <c r="L44" s="339"/>
      <c r="M44" s="339">
        <f ca="1">NPV('DCF Schedule'!$C44,UFCF!$J$58:$N$58)*(1+'DCF Schedule'!$C44)^0.5</f>
        <v>18859.723330677003</v>
      </c>
      <c r="N44" s="340">
        <f ca="1">M44/M46</f>
        <v>0.14314736244929294</v>
      </c>
      <c r="O44" s="339"/>
      <c r="P44" s="339">
        <f ca="1">NPV('DCF Schedule'!$C44,UFCF!$J$58:$N$58)*(1+'DCF Schedule'!$C44)^0.5</f>
        <v>18859.723330677003</v>
      </c>
      <c r="Q44" s="340">
        <f ca="1">P44/P46</f>
        <v>0.12753599734784177</v>
      </c>
    </row>
    <row r="45" spans="1:17">
      <c r="A45" s="297"/>
      <c r="B45" s="297"/>
      <c r="C45" s="341"/>
      <c r="D45" s="304"/>
      <c r="E45" s="297" t="s">
        <v>481</v>
      </c>
      <c r="F45" s="339"/>
      <c r="G45" s="342">
        <f>(UFCF!$O$58/('DCF Schedule'!$C44-'DCF Schedule'!G$8)/(1+'DCF Schedule'!$C44)^4.5)</f>
        <v>90312.547309932066</v>
      </c>
      <c r="H45" s="343">
        <f ca="1">G45/G46</f>
        <v>0.82724804366520421</v>
      </c>
      <c r="I45" s="339"/>
      <c r="J45" s="342">
        <f>(UFCF!$O$58/('DCF Schedule'!$C44-'DCF Schedule'!J$8)/(1+'DCF Schedule'!$C44)^4.5)</f>
        <v>100347.27478881339</v>
      </c>
      <c r="K45" s="343">
        <f ca="1">J45/J46</f>
        <v>0.84179013289326821</v>
      </c>
      <c r="L45" s="339"/>
      <c r="M45" s="342">
        <f>(UFCF!$O$58/('DCF Schedule'!$C44-'DCF Schedule'!M$8)/(1+'DCF Schedule'!$C44)^4.5)</f>
        <v>112890.68413741505</v>
      </c>
      <c r="N45" s="343">
        <f ca="1">M45/M46</f>
        <v>0.85685263755070717</v>
      </c>
      <c r="O45" s="339"/>
      <c r="P45" s="342">
        <f>(UFCF!$O$58/('DCF Schedule'!$C44-'DCF Schedule'!P$8)/(1+'DCF Schedule'!$C44)^4.5)</f>
        <v>129017.92472847435</v>
      </c>
      <c r="Q45" s="343">
        <f ca="1">P45/P46</f>
        <v>0.87246400265215829</v>
      </c>
    </row>
    <row r="46" spans="1:17">
      <c r="A46" s="297"/>
      <c r="B46" s="297"/>
      <c r="C46" s="341"/>
      <c r="D46" s="344"/>
      <c r="E46" s="345" t="s">
        <v>482</v>
      </c>
      <c r="F46" s="346"/>
      <c r="G46" s="345">
        <f ca="1">SUM(G44:G45)</f>
        <v>109172.27064060907</v>
      </c>
      <c r="H46" s="340">
        <f ca="1">SUM(H44:H45)</f>
        <v>1</v>
      </c>
      <c r="I46" s="346"/>
      <c r="J46" s="345">
        <f ca="1">SUM(J44:J45)</f>
        <v>119206.9981194904</v>
      </c>
      <c r="K46" s="340">
        <f ca="1">SUM(K44:K45)</f>
        <v>1</v>
      </c>
      <c r="L46" s="346"/>
      <c r="M46" s="345">
        <f ca="1">SUM(M44:M45)</f>
        <v>131750.40746809205</v>
      </c>
      <c r="N46" s="340">
        <f ca="1">SUM(N44:N45)</f>
        <v>1</v>
      </c>
      <c r="O46" s="346"/>
      <c r="P46" s="345">
        <f ca="1">SUM(P44:P45)</f>
        <v>147877.64805915134</v>
      </c>
      <c r="Q46" s="340">
        <f ca="1">SUM(Q44:Q45)</f>
        <v>1</v>
      </c>
    </row>
    <row r="47" spans="1:17">
      <c r="A47" s="297"/>
      <c r="B47" s="297"/>
      <c r="C47" s="341"/>
      <c r="D47" s="344"/>
      <c r="E47" s="345"/>
      <c r="F47" s="346"/>
      <c r="G47" s="345"/>
      <c r="H47" s="348"/>
      <c r="I47" s="346"/>
      <c r="J47" s="345"/>
      <c r="K47" s="348"/>
      <c r="L47" s="346"/>
      <c r="M47" s="345"/>
      <c r="N47" s="348"/>
      <c r="O47" s="346"/>
      <c r="P47" s="345"/>
      <c r="Q47" s="348"/>
    </row>
    <row r="48" spans="1:17">
      <c r="A48" s="297"/>
      <c r="B48" s="297"/>
      <c r="C48" s="341"/>
      <c r="D48" s="344"/>
      <c r="E48" s="349" t="str">
        <f>E36</f>
        <v>Less Net Debt (12/31/22)</v>
      </c>
      <c r="F48" s="346"/>
      <c r="G48" s="351">
        <f>G36</f>
        <v>-456</v>
      </c>
      <c r="H48" s="339"/>
      <c r="I48" s="346"/>
      <c r="J48" s="351">
        <f>J36</f>
        <v>-456</v>
      </c>
      <c r="K48" s="339"/>
      <c r="L48" s="346"/>
      <c r="M48" s="351">
        <f>M36</f>
        <v>-456</v>
      </c>
      <c r="N48" s="339"/>
      <c r="O48" s="346"/>
      <c r="P48" s="351">
        <f>P36</f>
        <v>-456</v>
      </c>
      <c r="Q48" s="339"/>
    </row>
    <row r="49" spans="1:17">
      <c r="A49" s="297"/>
      <c r="B49" s="297"/>
      <c r="C49" s="352"/>
      <c r="D49" s="344"/>
      <c r="E49" s="339" t="s">
        <v>483</v>
      </c>
      <c r="F49" s="297"/>
      <c r="G49" s="353">
        <f ca="1">G46-G48</f>
        <v>109628.27064060907</v>
      </c>
      <c r="H49" s="339"/>
      <c r="I49" s="297"/>
      <c r="J49" s="353">
        <f ca="1">J46-J48</f>
        <v>119662.9981194904</v>
      </c>
      <c r="K49" s="339"/>
      <c r="L49" s="297"/>
      <c r="M49" s="353">
        <f ca="1">M46-M48</f>
        <v>132206.40746809205</v>
      </c>
      <c r="N49" s="339"/>
      <c r="O49" s="297"/>
      <c r="P49" s="353">
        <f ca="1">P46-P48</f>
        <v>148333.64805915134</v>
      </c>
      <c r="Q49" s="339"/>
    </row>
    <row r="50" spans="1:17">
      <c r="A50" s="297"/>
      <c r="B50" s="297"/>
      <c r="C50" s="352"/>
      <c r="D50" s="344"/>
      <c r="E50" s="339"/>
      <c r="F50" s="297"/>
      <c r="G50" s="353"/>
      <c r="H50" s="339"/>
      <c r="I50" s="297"/>
      <c r="J50" s="353"/>
      <c r="K50" s="339"/>
      <c r="L50" s="297"/>
      <c r="M50" s="353"/>
      <c r="N50" s="339"/>
      <c r="O50" s="297"/>
      <c r="P50" s="353"/>
      <c r="Q50" s="339"/>
    </row>
    <row r="51" spans="1:17">
      <c r="A51" s="297"/>
      <c r="B51" s="297"/>
      <c r="C51" s="352"/>
      <c r="D51" s="344"/>
      <c r="E51" s="339" t="str">
        <f>E39</f>
        <v>Share O/S (MM) (12/31/22)</v>
      </c>
      <c r="F51" s="346"/>
      <c r="G51" s="355">
        <f>G39</f>
        <v>1600</v>
      </c>
      <c r="H51" s="359"/>
      <c r="I51" s="359"/>
      <c r="J51" s="355">
        <f>J39</f>
        <v>1600</v>
      </c>
      <c r="K51" s="359"/>
      <c r="L51" s="359"/>
      <c r="M51" s="355">
        <f>M39</f>
        <v>1600</v>
      </c>
      <c r="N51" s="359"/>
      <c r="O51" s="359"/>
      <c r="P51" s="355">
        <f>P39</f>
        <v>1600</v>
      </c>
      <c r="Q51" s="339"/>
    </row>
    <row r="52" spans="1:17">
      <c r="A52" s="297"/>
      <c r="B52" s="297"/>
      <c r="C52" s="341"/>
      <c r="D52" s="344"/>
      <c r="E52" s="345" t="s">
        <v>484</v>
      </c>
      <c r="F52" s="345"/>
      <c r="G52" s="356">
        <f ca="1">G49/G51</f>
        <v>68.517669150380669</v>
      </c>
      <c r="H52" s="345"/>
      <c r="I52" s="345"/>
      <c r="J52" s="356">
        <f ca="1">J49/J51</f>
        <v>74.789373824681491</v>
      </c>
      <c r="K52" s="345"/>
      <c r="L52" s="345"/>
      <c r="M52" s="356">
        <f ca="1">M49/M51</f>
        <v>82.629004667557524</v>
      </c>
      <c r="N52" s="345"/>
      <c r="O52" s="345"/>
      <c r="P52" s="356">
        <f ca="1">P49/P51</f>
        <v>92.708530036969591</v>
      </c>
      <c r="Q52" s="34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workbookViewId="0">
      <selection activeCell="D7" sqref="D7"/>
    </sheetView>
  </sheetViews>
  <sheetFormatPr defaultColWidth="12.54296875" defaultRowHeight="15.75" customHeight="1"/>
  <cols>
    <col min="1" max="1" width="43.7265625" customWidth="1"/>
  </cols>
  <sheetData>
    <row r="1" spans="1:13" ht="15.75" customHeight="1">
      <c r="A1" s="1" t="s">
        <v>0</v>
      </c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 t="s">
        <v>1</v>
      </c>
      <c r="I1" s="2"/>
      <c r="J1" s="2"/>
      <c r="K1" s="2"/>
      <c r="L1" s="2"/>
      <c r="M1" s="2"/>
    </row>
    <row r="2" spans="1:13" ht="15.75" customHeight="1">
      <c r="A2" s="3" t="s">
        <v>2</v>
      </c>
      <c r="B2" s="4">
        <v>13077</v>
      </c>
      <c r="C2" s="5">
        <v>15481</v>
      </c>
      <c r="D2" s="5">
        <v>17534</v>
      </c>
      <c r="E2" s="5">
        <v>21434</v>
      </c>
      <c r="F2" s="6">
        <v>25561</v>
      </c>
      <c r="G2" s="7"/>
      <c r="I2" s="8"/>
      <c r="J2" s="8"/>
      <c r="K2" s="8"/>
      <c r="L2" s="8"/>
      <c r="M2" s="8"/>
    </row>
    <row r="3" spans="1:13" ht="15.75" customHeight="1">
      <c r="A3" s="3" t="s">
        <v>3</v>
      </c>
      <c r="B3" s="9" t="s">
        <v>4</v>
      </c>
      <c r="C3" s="10">
        <v>0.18379999999999999</v>
      </c>
      <c r="D3" s="10">
        <v>0.1326</v>
      </c>
      <c r="E3" s="10">
        <v>0.22239999999999999</v>
      </c>
      <c r="F3" s="11">
        <v>0.1925</v>
      </c>
      <c r="G3" s="7"/>
      <c r="I3" s="7"/>
      <c r="J3" s="12"/>
      <c r="K3" s="12"/>
      <c r="L3" s="12"/>
      <c r="M3" s="12"/>
    </row>
    <row r="4" spans="1:13" ht="15.75" customHeight="1">
      <c r="A4" s="3" t="s">
        <v>5</v>
      </c>
      <c r="B4" s="4">
        <v>6240</v>
      </c>
      <c r="C4" s="5">
        <v>7549</v>
      </c>
      <c r="D4" s="5">
        <v>8368</v>
      </c>
      <c r="E4" s="5">
        <v>9629</v>
      </c>
      <c r="F4" s="6">
        <v>13450</v>
      </c>
      <c r="G4" s="7"/>
      <c r="I4" s="8"/>
      <c r="J4" s="8"/>
      <c r="K4" s="8"/>
      <c r="L4" s="8"/>
      <c r="M4" s="8"/>
    </row>
    <row r="5" spans="1:13" ht="15.75" customHeight="1">
      <c r="A5" s="3" t="s">
        <v>6</v>
      </c>
      <c r="B5" s="4">
        <v>5697</v>
      </c>
      <c r="C5" s="5">
        <v>7035</v>
      </c>
      <c r="D5" s="5">
        <v>7754</v>
      </c>
      <c r="E5" s="5">
        <v>8440</v>
      </c>
      <c r="F5" s="6">
        <v>12185</v>
      </c>
      <c r="G5" s="7"/>
      <c r="I5" s="8"/>
      <c r="J5" s="8"/>
      <c r="K5" s="8"/>
      <c r="L5" s="8"/>
      <c r="M5" s="8"/>
    </row>
    <row r="6" spans="1:13" ht="15.75" customHeight="1">
      <c r="A6" s="3" t="s">
        <v>7</v>
      </c>
      <c r="B6" s="4">
        <v>543</v>
      </c>
      <c r="C6" s="5">
        <v>514</v>
      </c>
      <c r="D6" s="13">
        <v>614</v>
      </c>
      <c r="E6" s="5">
        <v>1189</v>
      </c>
      <c r="F6" s="6">
        <v>1265</v>
      </c>
      <c r="G6" s="7"/>
      <c r="I6" s="7"/>
      <c r="J6" s="7"/>
      <c r="K6" s="7"/>
      <c r="L6" s="8"/>
      <c r="M6" s="8"/>
    </row>
    <row r="7" spans="1:13" ht="15.75" customHeight="1">
      <c r="A7" s="3" t="s">
        <v>8</v>
      </c>
      <c r="B7" s="14">
        <v>387</v>
      </c>
      <c r="C7" s="13">
        <v>365</v>
      </c>
      <c r="D7" s="13">
        <v>403</v>
      </c>
      <c r="E7" s="13">
        <v>738</v>
      </c>
      <c r="F7" s="15">
        <v>822</v>
      </c>
      <c r="G7" s="7"/>
      <c r="I7" s="7"/>
      <c r="J7" s="7"/>
      <c r="K7" s="7"/>
      <c r="L7" s="7"/>
      <c r="M7" s="7"/>
    </row>
    <row r="8" spans="1:13" ht="15.75" customHeight="1">
      <c r="A8" s="3" t="s">
        <v>9</v>
      </c>
      <c r="B8" s="14">
        <v>156</v>
      </c>
      <c r="C8" s="13">
        <v>149</v>
      </c>
      <c r="D8" s="13">
        <v>211</v>
      </c>
      <c r="E8" s="13">
        <v>451</v>
      </c>
      <c r="F8" s="15">
        <v>443</v>
      </c>
      <c r="G8" s="7"/>
      <c r="I8" s="7"/>
      <c r="J8" s="7"/>
      <c r="K8" s="7"/>
      <c r="L8" s="7"/>
      <c r="M8" s="7"/>
    </row>
    <row r="9" spans="1:13" ht="15.75" customHeight="1">
      <c r="A9" s="3" t="s">
        <v>10</v>
      </c>
      <c r="B9" s="9" t="s">
        <v>4</v>
      </c>
      <c r="C9" s="10">
        <v>0.20979999999999999</v>
      </c>
      <c r="D9" s="10">
        <v>0.1085</v>
      </c>
      <c r="E9" s="10">
        <v>0.1507</v>
      </c>
      <c r="F9" s="11">
        <v>0.39679999999999999</v>
      </c>
      <c r="G9" s="7"/>
      <c r="I9" s="7"/>
      <c r="J9" s="12"/>
      <c r="K9" s="12"/>
      <c r="L9" s="12"/>
      <c r="M9" s="12"/>
    </row>
    <row r="10" spans="1:13" ht="15.75" customHeight="1">
      <c r="A10" s="3" t="s">
        <v>11</v>
      </c>
      <c r="B10" s="4">
        <v>6837</v>
      </c>
      <c r="C10" s="5">
        <v>7932</v>
      </c>
      <c r="D10" s="5">
        <v>9166</v>
      </c>
      <c r="E10" s="5">
        <v>11805</v>
      </c>
      <c r="F10" s="6">
        <v>12111</v>
      </c>
      <c r="G10" s="7"/>
      <c r="I10" s="8"/>
      <c r="J10" s="8"/>
      <c r="K10" s="8"/>
      <c r="L10" s="8"/>
      <c r="M10" s="8"/>
    </row>
    <row r="11" spans="1:13" ht="15.75" customHeight="1">
      <c r="A11" s="3" t="s">
        <v>12</v>
      </c>
      <c r="B11" s="9" t="s">
        <v>4</v>
      </c>
      <c r="C11" s="10">
        <v>0.16020000000000001</v>
      </c>
      <c r="D11" s="10">
        <v>0.15559999999999999</v>
      </c>
      <c r="E11" s="10">
        <v>0.28789999999999999</v>
      </c>
      <c r="F11" s="11">
        <v>2.5899999999999999E-2</v>
      </c>
      <c r="G11" s="7"/>
      <c r="I11" s="7"/>
      <c r="J11" s="12"/>
      <c r="K11" s="12"/>
      <c r="L11" s="12"/>
      <c r="M11" s="12"/>
    </row>
    <row r="12" spans="1:13" ht="15.75" customHeight="1">
      <c r="A12" s="3" t="s">
        <v>13</v>
      </c>
      <c r="B12" s="9" t="s">
        <v>4</v>
      </c>
      <c r="C12" s="13" t="s">
        <v>4</v>
      </c>
      <c r="D12" s="13" t="s">
        <v>4</v>
      </c>
      <c r="E12" s="13" t="s">
        <v>4</v>
      </c>
      <c r="F12" s="11">
        <v>0.4738</v>
      </c>
      <c r="G12" s="7"/>
      <c r="I12" s="7"/>
      <c r="J12" s="7"/>
      <c r="K12" s="7"/>
      <c r="L12" s="7"/>
      <c r="M12" s="12"/>
    </row>
    <row r="13" spans="1:13" ht="15.75" customHeight="1">
      <c r="A13" s="3" t="s">
        <v>14</v>
      </c>
      <c r="B13" s="4">
        <v>4595</v>
      </c>
      <c r="C13" s="5">
        <v>5399</v>
      </c>
      <c r="D13" s="5">
        <v>6614</v>
      </c>
      <c r="E13" s="5">
        <v>8397</v>
      </c>
      <c r="F13" s="6">
        <v>8646</v>
      </c>
      <c r="G13" s="7"/>
      <c r="I13" s="8"/>
      <c r="J13" s="8"/>
      <c r="K13" s="8"/>
      <c r="L13" s="8"/>
      <c r="M13" s="8"/>
    </row>
    <row r="14" spans="1:13" ht="15.75" customHeight="1">
      <c r="A14" s="3" t="s">
        <v>15</v>
      </c>
      <c r="B14" s="4">
        <v>1215</v>
      </c>
      <c r="C14" s="5">
        <v>1333</v>
      </c>
      <c r="D14" s="5">
        <v>2085</v>
      </c>
      <c r="E14" s="5">
        <v>2642</v>
      </c>
      <c r="F14" s="6">
        <v>3038</v>
      </c>
      <c r="G14" s="7"/>
      <c r="I14" s="8"/>
      <c r="J14" s="8"/>
      <c r="K14" s="8"/>
      <c r="L14" s="8"/>
      <c r="M14" s="8"/>
    </row>
    <row r="15" spans="1:13" ht="15.75" customHeight="1">
      <c r="A15" s="3" t="s">
        <v>16</v>
      </c>
      <c r="B15" s="4">
        <v>3380</v>
      </c>
      <c r="C15" s="5">
        <v>4066</v>
      </c>
      <c r="D15" s="5">
        <v>4529</v>
      </c>
      <c r="E15" s="5">
        <v>5755</v>
      </c>
      <c r="F15" s="6" t="s">
        <v>4</v>
      </c>
      <c r="G15" s="7"/>
      <c r="I15" s="8"/>
      <c r="J15" s="8"/>
      <c r="K15" s="8"/>
      <c r="L15" s="8"/>
      <c r="M15" s="7"/>
    </row>
    <row r="16" spans="1:13" ht="15.75" customHeight="1">
      <c r="A16" s="3" t="s">
        <v>17</v>
      </c>
      <c r="B16" s="9" t="s">
        <v>4</v>
      </c>
      <c r="C16" s="10">
        <v>0.17499999999999999</v>
      </c>
      <c r="D16" s="10">
        <v>0.22500000000000001</v>
      </c>
      <c r="E16" s="10">
        <v>0.26960000000000001</v>
      </c>
      <c r="F16" s="11">
        <v>2.9700000000000001E-2</v>
      </c>
      <c r="G16" s="7"/>
      <c r="I16" s="7"/>
      <c r="J16" s="12"/>
      <c r="K16" s="12"/>
      <c r="L16" s="12"/>
      <c r="M16" s="12"/>
    </row>
    <row r="17" spans="1:13" ht="15.75" customHeight="1">
      <c r="A17" s="3" t="s">
        <v>18</v>
      </c>
      <c r="B17" s="4" t="s">
        <v>4</v>
      </c>
      <c r="C17" s="13" t="s">
        <v>4</v>
      </c>
      <c r="D17" s="13" t="s">
        <v>4</v>
      </c>
      <c r="E17" s="13" t="s">
        <v>4</v>
      </c>
      <c r="F17" s="6">
        <v>-1049</v>
      </c>
      <c r="G17" s="7"/>
      <c r="I17" s="7"/>
      <c r="J17" s="7"/>
      <c r="K17" s="7"/>
      <c r="L17" s="7"/>
      <c r="M17" s="8"/>
    </row>
    <row r="18" spans="1:13" ht="15.75" customHeight="1">
      <c r="A18" s="3" t="s">
        <v>19</v>
      </c>
      <c r="B18" s="4">
        <v>2242</v>
      </c>
      <c r="C18" s="5">
        <v>2533</v>
      </c>
      <c r="D18" s="5">
        <v>2552</v>
      </c>
      <c r="E18" s="5">
        <v>3408</v>
      </c>
      <c r="F18" s="6">
        <v>4514</v>
      </c>
      <c r="G18" s="7"/>
      <c r="I18" s="8"/>
      <c r="J18" s="8"/>
      <c r="K18" s="8"/>
      <c r="L18" s="8"/>
      <c r="M18" s="8"/>
    </row>
    <row r="19" spans="1:13" ht="15.75" customHeight="1">
      <c r="A19" s="3" t="s">
        <v>20</v>
      </c>
      <c r="B19" s="14">
        <v>10</v>
      </c>
      <c r="C19" s="13">
        <v>388</v>
      </c>
      <c r="D19" s="13">
        <v>98</v>
      </c>
      <c r="E19" s="13">
        <v>147</v>
      </c>
      <c r="F19" s="15">
        <v>49</v>
      </c>
      <c r="G19" s="7"/>
      <c r="I19" s="7"/>
      <c r="J19" s="7"/>
      <c r="K19" s="7"/>
      <c r="L19" s="7"/>
      <c r="M19" s="7"/>
    </row>
    <row r="20" spans="1:13" ht="15.75" customHeight="1">
      <c r="A20" s="3" t="s">
        <v>21</v>
      </c>
      <c r="B20" s="14">
        <v>-32</v>
      </c>
      <c r="C20" s="5">
        <v>140</v>
      </c>
      <c r="D20" s="13">
        <v>462</v>
      </c>
      <c r="E20" s="5">
        <v>1925</v>
      </c>
      <c r="F20" s="15">
        <v>-191</v>
      </c>
      <c r="G20" s="7"/>
      <c r="I20" s="7"/>
      <c r="J20" s="7"/>
      <c r="K20" s="7"/>
      <c r="L20" s="8"/>
      <c r="M20" s="7"/>
    </row>
    <row r="21" spans="1:13" ht="15.75" customHeight="1">
      <c r="A21" s="3" t="s">
        <v>22</v>
      </c>
      <c r="B21" s="14" t="s">
        <v>4</v>
      </c>
      <c r="C21" s="13">
        <v>168</v>
      </c>
      <c r="D21" s="13">
        <v>197</v>
      </c>
      <c r="E21" s="13">
        <v>88</v>
      </c>
      <c r="F21" s="15">
        <v>57</v>
      </c>
      <c r="G21" s="7"/>
      <c r="I21" s="7"/>
      <c r="J21" s="7"/>
      <c r="K21" s="7"/>
      <c r="L21" s="7"/>
      <c r="M21" s="7"/>
    </row>
    <row r="22" spans="1:13" ht="15.75" customHeight="1">
      <c r="A22" s="3" t="s">
        <v>23</v>
      </c>
      <c r="B22" s="14" t="s">
        <v>4</v>
      </c>
      <c r="C22" s="13">
        <v>77</v>
      </c>
      <c r="D22" s="13">
        <v>115</v>
      </c>
      <c r="E22" s="13">
        <v>209</v>
      </c>
      <c r="F22" s="15">
        <v>232</v>
      </c>
      <c r="G22" s="7"/>
      <c r="I22" s="7"/>
      <c r="J22" s="7"/>
      <c r="K22" s="7"/>
      <c r="L22" s="7"/>
      <c r="M22" s="7"/>
    </row>
    <row r="23" spans="1:13" ht="15.75" customHeight="1">
      <c r="A23" s="3" t="s">
        <v>24</v>
      </c>
      <c r="B23" s="9" t="s">
        <v>4</v>
      </c>
      <c r="C23" s="16">
        <v>0</v>
      </c>
      <c r="D23" s="10">
        <v>0.49349999999999999</v>
      </c>
      <c r="E23" s="10">
        <v>0.81740000000000002</v>
      </c>
      <c r="F23" s="11">
        <v>0.11</v>
      </c>
      <c r="G23" s="7"/>
      <c r="I23" s="7"/>
      <c r="J23" s="17"/>
      <c r="K23" s="12"/>
      <c r="L23" s="12"/>
      <c r="M23" s="12"/>
    </row>
    <row r="24" spans="1:13" ht="15.75" customHeight="1">
      <c r="A24" s="3" t="s">
        <v>25</v>
      </c>
      <c r="B24" s="14" t="s">
        <v>4</v>
      </c>
      <c r="C24" s="13">
        <v>77</v>
      </c>
      <c r="D24" s="13">
        <v>115</v>
      </c>
      <c r="E24" s="13">
        <v>209</v>
      </c>
      <c r="F24" s="15">
        <v>232</v>
      </c>
      <c r="G24" s="7"/>
      <c r="I24" s="7"/>
      <c r="J24" s="7"/>
      <c r="K24" s="7"/>
      <c r="L24" s="7"/>
      <c r="M24" s="7"/>
    </row>
    <row r="25" spans="1:13" ht="15.75" customHeight="1">
      <c r="A25" s="3" t="s">
        <v>26</v>
      </c>
      <c r="B25" s="4">
        <v>2200</v>
      </c>
      <c r="C25" s="5">
        <v>2376</v>
      </c>
      <c r="D25" s="5">
        <v>2998</v>
      </c>
      <c r="E25" s="5">
        <v>5065</v>
      </c>
      <c r="F25" s="6">
        <v>4099</v>
      </c>
      <c r="G25" s="7"/>
      <c r="I25" s="8"/>
      <c r="J25" s="8"/>
      <c r="K25" s="8"/>
      <c r="L25" s="8"/>
      <c r="M25" s="8"/>
    </row>
    <row r="26" spans="1:13" ht="15.75" customHeight="1">
      <c r="A26" s="3" t="s">
        <v>27</v>
      </c>
      <c r="B26" s="9" t="s">
        <v>4</v>
      </c>
      <c r="C26" s="10">
        <v>0.08</v>
      </c>
      <c r="D26" s="10">
        <v>0.26179999999999998</v>
      </c>
      <c r="E26" s="10">
        <v>0.6895</v>
      </c>
      <c r="F26" s="18">
        <v>-0.19070000000000001</v>
      </c>
      <c r="G26" s="7"/>
      <c r="I26" s="7"/>
      <c r="J26" s="12"/>
      <c r="K26" s="12"/>
      <c r="L26" s="12"/>
      <c r="M26" s="19"/>
    </row>
    <row r="27" spans="1:13" ht="15.75" customHeight="1">
      <c r="A27" s="3" t="s">
        <v>28</v>
      </c>
      <c r="B27" s="9" t="s">
        <v>4</v>
      </c>
      <c r="C27" s="13" t="s">
        <v>4</v>
      </c>
      <c r="D27" s="13" t="s">
        <v>4</v>
      </c>
      <c r="E27" s="13" t="s">
        <v>4</v>
      </c>
      <c r="F27" s="11">
        <v>0.16039999999999999</v>
      </c>
      <c r="G27" s="7"/>
      <c r="I27" s="7"/>
      <c r="J27" s="7"/>
      <c r="K27" s="7"/>
      <c r="L27" s="7"/>
      <c r="M27" s="12"/>
    </row>
    <row r="28" spans="1:13" ht="15.75" customHeight="1">
      <c r="A28" s="3" t="s">
        <v>29</v>
      </c>
      <c r="B28" s="14">
        <v>405</v>
      </c>
      <c r="C28" s="13">
        <v>319</v>
      </c>
      <c r="D28" s="13">
        <v>539</v>
      </c>
      <c r="E28" s="13">
        <v>863</v>
      </c>
      <c r="F28" s="15">
        <v>-70</v>
      </c>
      <c r="G28" s="7"/>
      <c r="I28" s="7"/>
      <c r="J28" s="7"/>
      <c r="K28" s="7"/>
      <c r="L28" s="7"/>
      <c r="M28" s="7"/>
    </row>
    <row r="29" spans="1:13" ht="15.75" customHeight="1">
      <c r="A29" s="3" t="s">
        <v>30</v>
      </c>
      <c r="B29" s="4">
        <v>1558</v>
      </c>
      <c r="C29" s="13">
        <v>212</v>
      </c>
      <c r="D29" s="13">
        <v>179</v>
      </c>
      <c r="E29" s="13">
        <v>453</v>
      </c>
      <c r="F29" s="6">
        <v>86</v>
      </c>
      <c r="G29" s="7"/>
      <c r="I29" s="8"/>
      <c r="J29" s="7"/>
      <c r="K29" s="7"/>
      <c r="L29" s="7"/>
      <c r="M29" s="7"/>
    </row>
    <row r="30" spans="1:13" ht="15.75" customHeight="1">
      <c r="A30" s="3" t="s">
        <v>31</v>
      </c>
      <c r="B30" s="14">
        <v>146</v>
      </c>
      <c r="C30" s="13">
        <v>278</v>
      </c>
      <c r="D30" s="13">
        <v>629</v>
      </c>
      <c r="E30" s="13">
        <v>245</v>
      </c>
      <c r="F30" s="15">
        <v>326</v>
      </c>
      <c r="G30" s="7"/>
      <c r="I30" s="7"/>
      <c r="J30" s="7"/>
      <c r="K30" s="7"/>
      <c r="L30" s="7"/>
      <c r="M30" s="7"/>
    </row>
    <row r="31" spans="1:13" ht="15.75" customHeight="1">
      <c r="A31" s="3" t="s">
        <v>32</v>
      </c>
      <c r="B31" s="4">
        <v>-1307</v>
      </c>
      <c r="C31" s="13">
        <v>-150</v>
      </c>
      <c r="D31" s="13">
        <v>-146</v>
      </c>
      <c r="E31" s="13">
        <v>227</v>
      </c>
      <c r="F31" s="6">
        <v>-446</v>
      </c>
      <c r="G31" s="7"/>
      <c r="I31" s="8"/>
      <c r="J31" s="7"/>
      <c r="K31" s="7"/>
      <c r="L31" s="7"/>
      <c r="M31" s="7"/>
    </row>
    <row r="32" spans="1:13" ht="15.75" customHeight="1">
      <c r="A32" s="3" t="s">
        <v>33</v>
      </c>
      <c r="B32" s="14">
        <v>8</v>
      </c>
      <c r="C32" s="13">
        <v>-21</v>
      </c>
      <c r="D32" s="13">
        <v>-123</v>
      </c>
      <c r="E32" s="13">
        <v>-62</v>
      </c>
      <c r="F32" s="15">
        <v>-36</v>
      </c>
      <c r="G32" s="7"/>
      <c r="I32" s="7"/>
      <c r="J32" s="7"/>
      <c r="K32" s="7"/>
      <c r="L32" s="7"/>
      <c r="M32" s="7"/>
    </row>
    <row r="33" spans="1:13" ht="15.75" customHeight="1">
      <c r="A33" s="3" t="s">
        <v>34</v>
      </c>
      <c r="B33" s="4">
        <v>1795</v>
      </c>
      <c r="C33" s="5">
        <v>2057</v>
      </c>
      <c r="D33" s="5">
        <v>2459</v>
      </c>
      <c r="E33" s="5">
        <v>4202</v>
      </c>
      <c r="F33" s="6">
        <v>4169</v>
      </c>
      <c r="G33" s="7"/>
      <c r="I33" s="8"/>
      <c r="J33" s="8"/>
      <c r="K33" s="8"/>
      <c r="L33" s="8"/>
      <c r="M33" s="8"/>
    </row>
    <row r="34" spans="1:13" ht="15.75" customHeight="1">
      <c r="A34" s="3" t="s">
        <v>35</v>
      </c>
      <c r="B34" s="4">
        <v>1795</v>
      </c>
      <c r="C34" s="5">
        <v>2057</v>
      </c>
      <c r="D34" s="5">
        <v>2459</v>
      </c>
      <c r="E34" s="5">
        <v>4202</v>
      </c>
      <c r="F34" s="6">
        <v>4169</v>
      </c>
      <c r="G34" s="7"/>
      <c r="I34" s="8"/>
      <c r="J34" s="8"/>
      <c r="K34" s="8"/>
      <c r="L34" s="8"/>
      <c r="M34" s="8"/>
    </row>
    <row r="35" spans="1:13" ht="15.75" customHeight="1">
      <c r="A35" s="3" t="s">
        <v>36</v>
      </c>
      <c r="B35" s="9" t="s">
        <v>4</v>
      </c>
      <c r="C35" s="10">
        <v>0.14599999999999999</v>
      </c>
      <c r="D35" s="10">
        <v>0.19539999999999999</v>
      </c>
      <c r="E35" s="10">
        <v>0.70879999999999999</v>
      </c>
      <c r="F35" s="18">
        <v>-7.9000000000000008E-3</v>
      </c>
      <c r="G35" s="7"/>
      <c r="I35" s="7"/>
      <c r="J35" s="12"/>
      <c r="K35" s="12"/>
      <c r="L35" s="12"/>
      <c r="M35" s="19"/>
    </row>
    <row r="36" spans="1:13" ht="15.75" customHeight="1">
      <c r="A36" s="3" t="s">
        <v>37</v>
      </c>
      <c r="B36" s="9" t="s">
        <v>4</v>
      </c>
      <c r="C36" s="13" t="s">
        <v>4</v>
      </c>
      <c r="D36" s="13" t="s">
        <v>4</v>
      </c>
      <c r="E36" s="13" t="s">
        <v>4</v>
      </c>
      <c r="F36" s="11">
        <v>0.16309999999999999</v>
      </c>
      <c r="G36" s="7"/>
      <c r="I36" s="7"/>
      <c r="J36" s="7"/>
      <c r="K36" s="7"/>
      <c r="L36" s="7"/>
      <c r="M36" s="12"/>
    </row>
    <row r="37" spans="1:13" ht="15.75" customHeight="1">
      <c r="A37" s="3" t="s">
        <v>38</v>
      </c>
      <c r="B37" s="4">
        <v>1795</v>
      </c>
      <c r="C37" s="5">
        <v>2057</v>
      </c>
      <c r="D37" s="5">
        <v>2459</v>
      </c>
      <c r="E37" s="5">
        <v>4202</v>
      </c>
      <c r="F37" s="6">
        <v>4169</v>
      </c>
      <c r="G37" s="7"/>
      <c r="I37" s="8"/>
      <c r="J37" s="8"/>
      <c r="K37" s="8"/>
      <c r="L37" s="8"/>
      <c r="M37" s="8"/>
    </row>
    <row r="38" spans="1:13" ht="15.75" customHeight="1">
      <c r="A38" s="3" t="s">
        <v>39</v>
      </c>
      <c r="B38" s="4">
        <v>1795</v>
      </c>
      <c r="C38" s="5">
        <v>2057</v>
      </c>
      <c r="D38" s="5">
        <v>2459</v>
      </c>
      <c r="E38" s="5">
        <v>4202</v>
      </c>
      <c r="F38" s="6">
        <v>4169</v>
      </c>
      <c r="G38" s="7"/>
      <c r="I38" s="8"/>
      <c r="J38" s="8"/>
      <c r="K38" s="8"/>
      <c r="L38" s="8"/>
      <c r="M38" s="8"/>
    </row>
    <row r="39" spans="1:13" ht="15.75" customHeight="1">
      <c r="A39" s="3" t="s">
        <v>40</v>
      </c>
      <c r="B39" s="14">
        <v>1.47</v>
      </c>
      <c r="C39" s="13">
        <v>1.71</v>
      </c>
      <c r="D39" s="13">
        <v>2.0699999999999998</v>
      </c>
      <c r="E39" s="13">
        <v>3.54</v>
      </c>
      <c r="F39" s="15">
        <v>3.52</v>
      </c>
      <c r="G39" s="7"/>
      <c r="I39" s="7"/>
      <c r="J39" s="7"/>
      <c r="K39" s="7"/>
      <c r="L39" s="7"/>
      <c r="M39" s="7"/>
    </row>
    <row r="40" spans="1:13" ht="15.75" customHeight="1">
      <c r="A40" s="3" t="s">
        <v>41</v>
      </c>
      <c r="B40" s="9" t="s">
        <v>4</v>
      </c>
      <c r="C40" s="10">
        <v>0.16320000000000001</v>
      </c>
      <c r="D40" s="10">
        <v>0.21049999999999999</v>
      </c>
      <c r="E40" s="10">
        <v>0.71020000000000005</v>
      </c>
      <c r="F40" s="18">
        <v>-7.0000000000000001E-3</v>
      </c>
      <c r="G40" s="7"/>
      <c r="I40" s="7"/>
      <c r="J40" s="12"/>
      <c r="K40" s="12"/>
      <c r="L40" s="12"/>
      <c r="M40" s="19"/>
    </row>
    <row r="41" spans="1:13" ht="15.75" customHeight="1">
      <c r="A41" s="3" t="s">
        <v>42</v>
      </c>
      <c r="B41" s="4">
        <v>1203</v>
      </c>
      <c r="C41" s="5">
        <v>1184</v>
      </c>
      <c r="D41" s="5">
        <v>1174</v>
      </c>
      <c r="E41" s="5">
        <v>1173</v>
      </c>
      <c r="F41" s="6">
        <v>1174</v>
      </c>
      <c r="G41" s="7"/>
      <c r="I41" s="8"/>
      <c r="J41" s="8"/>
      <c r="K41" s="8"/>
      <c r="L41" s="8"/>
      <c r="M41" s="8"/>
    </row>
    <row r="42" spans="1:13" ht="15.75" customHeight="1">
      <c r="A42" s="3" t="s">
        <v>43</v>
      </c>
      <c r="B42" s="14">
        <v>1.47</v>
      </c>
      <c r="C42" s="13">
        <v>1.71</v>
      </c>
      <c r="D42" s="13">
        <v>2.0699999999999998</v>
      </c>
      <c r="E42" s="13">
        <v>3.54</v>
      </c>
      <c r="F42" s="15" t="s">
        <v>4</v>
      </c>
      <c r="G42" s="7"/>
      <c r="I42" s="7"/>
      <c r="J42" s="7"/>
      <c r="K42" s="7"/>
      <c r="L42" s="7"/>
      <c r="M42" s="7"/>
    </row>
    <row r="43" spans="1:13" ht="15.75" customHeight="1">
      <c r="A43" s="3" t="s">
        <v>44</v>
      </c>
      <c r="B43" s="9" t="s">
        <v>4</v>
      </c>
      <c r="C43" s="10">
        <v>0.16309999999999999</v>
      </c>
      <c r="D43" s="10">
        <v>0.21049999999999999</v>
      </c>
      <c r="E43" s="10">
        <v>0.71030000000000004</v>
      </c>
      <c r="F43" s="20">
        <v>0</v>
      </c>
      <c r="G43" s="7"/>
      <c r="I43" s="7"/>
      <c r="J43" s="12"/>
      <c r="K43" s="12"/>
      <c r="L43" s="12"/>
      <c r="M43" s="17"/>
    </row>
    <row r="44" spans="1:13" ht="15.75" customHeight="1">
      <c r="A44" s="3" t="s">
        <v>45</v>
      </c>
      <c r="B44" s="4">
        <v>1221</v>
      </c>
      <c r="C44" s="5">
        <v>1203</v>
      </c>
      <c r="D44" s="5">
        <v>1188</v>
      </c>
      <c r="E44" s="5">
        <v>1187</v>
      </c>
      <c r="F44" s="6">
        <v>1186</v>
      </c>
      <c r="G44" s="7"/>
      <c r="I44" s="8"/>
      <c r="J44" s="8"/>
      <c r="K44" s="8"/>
      <c r="L44" s="8"/>
      <c r="M44" s="8"/>
    </row>
    <row r="45" spans="1:13" ht="15.75" customHeight="1">
      <c r="A45" s="3" t="s">
        <v>46</v>
      </c>
      <c r="B45" s="4">
        <v>2785</v>
      </c>
      <c r="C45" s="5">
        <v>3047</v>
      </c>
      <c r="D45" s="5">
        <v>3166</v>
      </c>
      <c r="E45" s="5">
        <v>4597</v>
      </c>
      <c r="F45" s="6">
        <v>5779</v>
      </c>
      <c r="G45" s="7"/>
      <c r="I45" s="8"/>
      <c r="J45" s="8"/>
      <c r="K45" s="8"/>
      <c r="L45" s="8"/>
      <c r="M45" s="8"/>
    </row>
    <row r="46" spans="1:13" ht="15.75" customHeight="1">
      <c r="A46" s="3" t="s">
        <v>47</v>
      </c>
      <c r="B46" s="9" t="s">
        <v>4</v>
      </c>
      <c r="C46" s="10">
        <v>9.4100000000000003E-2</v>
      </c>
      <c r="D46" s="10">
        <v>3.9100000000000003E-2</v>
      </c>
      <c r="E46" s="10">
        <v>0.45200000000000001</v>
      </c>
      <c r="F46" s="11">
        <v>0.2571</v>
      </c>
      <c r="G46" s="7"/>
      <c r="I46" s="7"/>
      <c r="J46" s="12"/>
      <c r="K46" s="12"/>
      <c r="L46" s="12"/>
      <c r="M46" s="12"/>
    </row>
    <row r="47" spans="1:13" ht="15.75" customHeight="1">
      <c r="A47" s="3" t="s">
        <v>48</v>
      </c>
      <c r="B47" s="14" t="s">
        <v>4</v>
      </c>
      <c r="C47" s="13" t="s">
        <v>4</v>
      </c>
      <c r="D47" s="13" t="s">
        <v>4</v>
      </c>
      <c r="E47" s="13" t="s">
        <v>4</v>
      </c>
      <c r="F47" s="21"/>
      <c r="G47" s="7"/>
      <c r="I47" s="7"/>
      <c r="J47" s="7"/>
      <c r="K47" s="7"/>
      <c r="L47" s="7"/>
      <c r="M47" s="7"/>
    </row>
    <row r="48" spans="1:13" ht="15.75" customHeight="1">
      <c r="A48" s="3" t="s">
        <v>19</v>
      </c>
      <c r="B48" s="4">
        <v>2242</v>
      </c>
      <c r="C48" s="5">
        <v>2533</v>
      </c>
      <c r="D48" s="5">
        <v>2552</v>
      </c>
      <c r="E48" s="5">
        <v>3408</v>
      </c>
      <c r="F48" s="6">
        <v>4514</v>
      </c>
      <c r="I48" s="8"/>
      <c r="J48" s="8"/>
      <c r="K48" s="8"/>
      <c r="L48" s="8"/>
      <c r="M48" s="8"/>
    </row>
    <row r="49" spans="2:6" ht="15.75" customHeight="1">
      <c r="B49" s="22"/>
      <c r="C49" s="22"/>
      <c r="D49" s="22"/>
      <c r="E49" s="22"/>
      <c r="F49" s="22"/>
    </row>
    <row r="50" spans="2:6" ht="15.75" customHeight="1">
      <c r="B50" s="22"/>
      <c r="C50" s="22"/>
      <c r="D50" s="22"/>
      <c r="E50" s="22"/>
      <c r="F50" s="22"/>
    </row>
    <row r="51" spans="2:6" ht="15.75" customHeight="1">
      <c r="B51" s="22"/>
      <c r="C51" s="22"/>
      <c r="D51" s="22"/>
      <c r="E51" s="22"/>
      <c r="F51" s="22"/>
    </row>
    <row r="52" spans="2:6" ht="15.75" customHeight="1">
      <c r="B52" s="22"/>
      <c r="C52" s="22"/>
      <c r="D52" s="22"/>
      <c r="E52" s="22"/>
      <c r="F52" s="22"/>
    </row>
    <row r="53" spans="2:6" ht="15.75" customHeight="1">
      <c r="B53" s="22"/>
      <c r="C53" s="22"/>
      <c r="D53" s="22"/>
      <c r="E53" s="22"/>
      <c r="F53" s="22"/>
    </row>
    <row r="54" spans="2:6" ht="12.5">
      <c r="B54" s="22"/>
      <c r="C54" s="22"/>
      <c r="D54" s="22"/>
      <c r="E54" s="22"/>
      <c r="F54" s="22"/>
    </row>
    <row r="55" spans="2:6" ht="12.5">
      <c r="B55" s="22"/>
      <c r="C55" s="22"/>
      <c r="D55" s="22"/>
      <c r="E55" s="22"/>
      <c r="F55" s="22"/>
    </row>
    <row r="56" spans="2:6" ht="12.5">
      <c r="B56" s="22"/>
      <c r="C56" s="22"/>
      <c r="D56" s="22"/>
      <c r="E56" s="22"/>
      <c r="F56" s="22"/>
    </row>
    <row r="57" spans="2:6" ht="12.5">
      <c r="B57" s="22"/>
      <c r="C57" s="22"/>
      <c r="D57" s="22"/>
      <c r="E57" s="22"/>
      <c r="F57" s="22"/>
    </row>
    <row r="58" spans="2:6" ht="12.5">
      <c r="B58" s="22"/>
      <c r="C58" s="22"/>
      <c r="D58" s="22"/>
      <c r="E58" s="22"/>
      <c r="F58" s="22"/>
    </row>
    <row r="59" spans="2:6" ht="12.5">
      <c r="B59" s="22"/>
      <c r="C59" s="22"/>
      <c r="D59" s="22"/>
      <c r="E59" s="22"/>
      <c r="F59" s="22"/>
    </row>
    <row r="60" spans="2:6" ht="12.5">
      <c r="B60" s="22"/>
      <c r="C60" s="22"/>
      <c r="D60" s="22"/>
      <c r="E60" s="22"/>
      <c r="F60" s="22"/>
    </row>
    <row r="61" spans="2:6" ht="12.5">
      <c r="B61" s="22"/>
      <c r="C61" s="22"/>
      <c r="D61" s="22"/>
      <c r="E61" s="22"/>
      <c r="F61" s="22"/>
    </row>
    <row r="62" spans="2:6" ht="12.5">
      <c r="B62" s="22"/>
      <c r="C62" s="22"/>
      <c r="D62" s="22"/>
      <c r="E62" s="22"/>
      <c r="F62" s="22"/>
    </row>
    <row r="63" spans="2:6" ht="12.5">
      <c r="B63" s="22"/>
      <c r="C63" s="22"/>
      <c r="D63" s="22"/>
      <c r="E63" s="22"/>
      <c r="F63" s="22"/>
    </row>
    <row r="64" spans="2:6" ht="12.5">
      <c r="B64" s="22"/>
      <c r="C64" s="22"/>
      <c r="D64" s="22"/>
      <c r="E64" s="22"/>
      <c r="F64" s="22"/>
    </row>
    <row r="65" spans="2:6" ht="12.5">
      <c r="B65" s="22"/>
      <c r="C65" s="22"/>
      <c r="D65" s="22"/>
      <c r="E65" s="22"/>
      <c r="F65" s="22"/>
    </row>
    <row r="66" spans="2:6" ht="12.5">
      <c r="B66" s="22"/>
      <c r="C66" s="22"/>
      <c r="D66" s="22"/>
      <c r="E66" s="22"/>
      <c r="F66" s="22"/>
    </row>
    <row r="67" spans="2:6" ht="12.5">
      <c r="B67" s="22"/>
      <c r="C67" s="22"/>
      <c r="D67" s="22"/>
      <c r="E67" s="22"/>
      <c r="F67" s="22"/>
    </row>
    <row r="68" spans="2:6" ht="12.5">
      <c r="B68" s="22"/>
      <c r="C68" s="22"/>
      <c r="D68" s="22"/>
      <c r="E68" s="22"/>
      <c r="F68" s="22"/>
    </row>
    <row r="69" spans="2:6" ht="12.5">
      <c r="B69" s="22"/>
      <c r="C69" s="22"/>
      <c r="D69" s="22"/>
      <c r="E69" s="22"/>
      <c r="F69" s="22"/>
    </row>
    <row r="70" spans="2:6" ht="12.5">
      <c r="B70" s="22"/>
      <c r="C70" s="22"/>
      <c r="D70" s="22"/>
      <c r="E70" s="22"/>
      <c r="F70" s="22"/>
    </row>
    <row r="71" spans="2:6" ht="12.5">
      <c r="B71" s="22"/>
      <c r="C71" s="22"/>
      <c r="D71" s="22"/>
      <c r="E71" s="22"/>
      <c r="F71" s="22"/>
    </row>
    <row r="72" spans="2:6" ht="12.5">
      <c r="B72" s="22"/>
      <c r="C72" s="22"/>
      <c r="D72" s="22"/>
      <c r="E72" s="22"/>
      <c r="F72" s="22"/>
    </row>
    <row r="73" spans="2:6" ht="12.5">
      <c r="B73" s="22"/>
      <c r="C73" s="22"/>
      <c r="D73" s="22"/>
      <c r="E73" s="22"/>
      <c r="F73" s="22"/>
    </row>
    <row r="74" spans="2:6" ht="12.5">
      <c r="B74" s="22"/>
      <c r="C74" s="22"/>
      <c r="D74" s="22"/>
      <c r="E74" s="22"/>
      <c r="F74" s="22"/>
    </row>
    <row r="75" spans="2:6" ht="12.5">
      <c r="B75" s="22"/>
      <c r="C75" s="22"/>
      <c r="D75" s="22"/>
      <c r="E75" s="22"/>
      <c r="F75" s="22"/>
    </row>
    <row r="76" spans="2:6" ht="12.5">
      <c r="B76" s="22"/>
      <c r="C76" s="22"/>
      <c r="D76" s="22"/>
      <c r="E76" s="22"/>
      <c r="F76" s="22"/>
    </row>
    <row r="77" spans="2:6" ht="12.5">
      <c r="B77" s="22"/>
      <c r="C77" s="22"/>
      <c r="D77" s="22"/>
      <c r="E77" s="22"/>
      <c r="F77" s="22"/>
    </row>
    <row r="78" spans="2:6" ht="12.5">
      <c r="B78" s="22"/>
      <c r="C78" s="22"/>
      <c r="D78" s="22"/>
      <c r="E78" s="22"/>
      <c r="F78" s="22"/>
    </row>
    <row r="79" spans="2:6" ht="12.5">
      <c r="B79" s="22"/>
      <c r="C79" s="22"/>
      <c r="D79" s="22"/>
      <c r="E79" s="22"/>
      <c r="F79" s="22"/>
    </row>
    <row r="80" spans="2:6" ht="12.5">
      <c r="B80" s="22"/>
      <c r="C80" s="22"/>
      <c r="D80" s="22"/>
      <c r="E80" s="22"/>
      <c r="F80" s="22"/>
    </row>
    <row r="81" spans="2:6" ht="12.5">
      <c r="B81" s="22"/>
      <c r="C81" s="22"/>
      <c r="D81" s="22"/>
      <c r="E81" s="22"/>
      <c r="F81" s="22"/>
    </row>
    <row r="82" spans="2:6" ht="12.5">
      <c r="B82" s="22"/>
      <c r="C82" s="22"/>
      <c r="D82" s="22"/>
      <c r="E82" s="22"/>
      <c r="F82" s="22"/>
    </row>
    <row r="83" spans="2:6" ht="12.5">
      <c r="B83" s="22"/>
      <c r="C83" s="22"/>
      <c r="D83" s="22"/>
      <c r="E83" s="22"/>
      <c r="F83" s="22"/>
    </row>
    <row r="84" spans="2:6" ht="12.5">
      <c r="B84" s="22"/>
      <c r="C84" s="22"/>
      <c r="D84" s="22"/>
      <c r="E84" s="22"/>
      <c r="F84" s="22"/>
    </row>
    <row r="85" spans="2:6" ht="12.5">
      <c r="B85" s="22"/>
      <c r="C85" s="22"/>
      <c r="D85" s="22"/>
      <c r="E85" s="22"/>
      <c r="F85" s="22"/>
    </row>
    <row r="86" spans="2:6" ht="12.5">
      <c r="B86" s="22"/>
      <c r="C86" s="22"/>
      <c r="D86" s="22"/>
      <c r="E86" s="22"/>
      <c r="F86" s="22"/>
    </row>
    <row r="87" spans="2:6" ht="12.5">
      <c r="B87" s="22"/>
      <c r="C87" s="22"/>
      <c r="D87" s="22"/>
      <c r="E87" s="22"/>
      <c r="F87" s="22"/>
    </row>
    <row r="88" spans="2:6" ht="12.5">
      <c r="B88" s="22"/>
      <c r="C88" s="22"/>
      <c r="D88" s="22"/>
      <c r="E88" s="22"/>
      <c r="F88" s="22"/>
    </row>
    <row r="89" spans="2:6" ht="12.5">
      <c r="B89" s="22"/>
      <c r="C89" s="22"/>
      <c r="D89" s="22"/>
      <c r="E89" s="22"/>
      <c r="F89" s="22"/>
    </row>
    <row r="90" spans="2:6" ht="12.5">
      <c r="B90" s="22"/>
      <c r="C90" s="22"/>
      <c r="D90" s="22"/>
      <c r="E90" s="22"/>
      <c r="F90" s="22"/>
    </row>
    <row r="91" spans="2:6" ht="12.5">
      <c r="B91" s="22"/>
      <c r="C91" s="22"/>
      <c r="D91" s="22"/>
      <c r="E91" s="22"/>
      <c r="F91" s="22"/>
    </row>
    <row r="92" spans="2:6" ht="12.5">
      <c r="B92" s="22"/>
      <c r="C92" s="22"/>
      <c r="D92" s="22"/>
      <c r="E92" s="22"/>
      <c r="F92" s="22"/>
    </row>
    <row r="93" spans="2:6" ht="12.5">
      <c r="B93" s="22"/>
      <c r="C93" s="22"/>
      <c r="D93" s="22"/>
      <c r="E93" s="22"/>
      <c r="F93" s="22"/>
    </row>
    <row r="94" spans="2:6" ht="12.5">
      <c r="B94" s="22"/>
      <c r="C94" s="22"/>
      <c r="D94" s="22"/>
      <c r="E94" s="22"/>
      <c r="F94" s="22"/>
    </row>
    <row r="95" spans="2:6" ht="12.5">
      <c r="B95" s="22"/>
      <c r="C95" s="22"/>
      <c r="D95" s="22"/>
      <c r="E95" s="22"/>
      <c r="F95" s="22"/>
    </row>
    <row r="96" spans="2:6" ht="12.5">
      <c r="B96" s="22"/>
      <c r="C96" s="22"/>
      <c r="D96" s="22"/>
      <c r="E96" s="22"/>
      <c r="F96" s="22"/>
    </row>
    <row r="97" spans="2:6" ht="12.5">
      <c r="B97" s="22"/>
      <c r="C97" s="22"/>
      <c r="D97" s="22"/>
      <c r="E97" s="22"/>
      <c r="F97" s="22"/>
    </row>
    <row r="98" spans="2:6" ht="12.5">
      <c r="B98" s="22"/>
      <c r="C98" s="22"/>
      <c r="D98" s="22"/>
      <c r="E98" s="22"/>
      <c r="F98" s="22"/>
    </row>
    <row r="99" spans="2:6" ht="12.5">
      <c r="B99" s="22"/>
      <c r="C99" s="22"/>
      <c r="D99" s="22"/>
      <c r="E99" s="22"/>
      <c r="F99" s="22"/>
    </row>
    <row r="100" spans="2:6" ht="12.5">
      <c r="B100" s="22"/>
      <c r="C100" s="22"/>
      <c r="D100" s="22"/>
      <c r="E100" s="22"/>
      <c r="F100" s="22"/>
    </row>
    <row r="101" spans="2:6" ht="12.5">
      <c r="B101" s="22"/>
      <c r="C101" s="22"/>
      <c r="D101" s="22"/>
      <c r="E101" s="22"/>
      <c r="F101" s="22"/>
    </row>
    <row r="102" spans="2:6" ht="12.5">
      <c r="B102" s="22"/>
      <c r="C102" s="22"/>
      <c r="D102" s="22"/>
      <c r="E102" s="22"/>
      <c r="F102" s="22"/>
    </row>
    <row r="103" spans="2:6" ht="12.5">
      <c r="B103" s="22"/>
      <c r="C103" s="22"/>
      <c r="D103" s="22"/>
      <c r="E103" s="22"/>
      <c r="F103" s="22"/>
    </row>
    <row r="104" spans="2:6" ht="12.5">
      <c r="B104" s="22"/>
      <c r="C104" s="22"/>
      <c r="D104" s="22"/>
      <c r="E104" s="22"/>
      <c r="F104" s="22"/>
    </row>
    <row r="105" spans="2:6" ht="12.5">
      <c r="B105" s="22"/>
      <c r="C105" s="22"/>
      <c r="D105" s="22"/>
      <c r="E105" s="22"/>
      <c r="F105" s="22"/>
    </row>
    <row r="106" spans="2:6" ht="12.5">
      <c r="B106" s="22"/>
      <c r="C106" s="22"/>
      <c r="D106" s="22"/>
      <c r="E106" s="22"/>
      <c r="F106" s="22"/>
    </row>
    <row r="107" spans="2:6" ht="12.5">
      <c r="B107" s="22"/>
      <c r="C107" s="22"/>
      <c r="D107" s="22"/>
      <c r="E107" s="22"/>
      <c r="F107" s="22"/>
    </row>
    <row r="108" spans="2:6" ht="12.5">
      <c r="B108" s="22"/>
      <c r="C108" s="22"/>
      <c r="D108" s="22"/>
      <c r="E108" s="22"/>
      <c r="F108" s="22"/>
    </row>
    <row r="109" spans="2:6" ht="12.5">
      <c r="B109" s="22"/>
      <c r="C109" s="22"/>
      <c r="D109" s="22"/>
      <c r="E109" s="22"/>
      <c r="F109" s="22"/>
    </row>
    <row r="110" spans="2:6" ht="12.5">
      <c r="B110" s="22"/>
      <c r="C110" s="22"/>
      <c r="D110" s="22"/>
      <c r="E110" s="22"/>
      <c r="F110" s="22"/>
    </row>
    <row r="111" spans="2:6" ht="12.5">
      <c r="B111" s="22"/>
      <c r="C111" s="22"/>
      <c r="D111" s="22"/>
      <c r="E111" s="22"/>
      <c r="F111" s="22"/>
    </row>
    <row r="112" spans="2:6" ht="12.5">
      <c r="B112" s="22"/>
      <c r="C112" s="22"/>
      <c r="D112" s="22"/>
      <c r="E112" s="22"/>
      <c r="F112" s="22"/>
    </row>
    <row r="113" spans="2:6" ht="12.5">
      <c r="B113" s="22"/>
      <c r="C113" s="22"/>
      <c r="D113" s="22"/>
      <c r="E113" s="22"/>
      <c r="F113" s="22"/>
    </row>
    <row r="114" spans="2:6" ht="12.5">
      <c r="B114" s="22"/>
      <c r="C114" s="22"/>
      <c r="D114" s="22"/>
      <c r="E114" s="22"/>
      <c r="F114" s="22"/>
    </row>
    <row r="115" spans="2:6" ht="12.5">
      <c r="B115" s="22"/>
      <c r="C115" s="22"/>
      <c r="D115" s="22"/>
      <c r="E115" s="22"/>
      <c r="F115" s="22"/>
    </row>
    <row r="116" spans="2:6" ht="12.5">
      <c r="B116" s="22"/>
      <c r="C116" s="22"/>
      <c r="D116" s="22"/>
      <c r="E116" s="22"/>
      <c r="F116" s="22"/>
    </row>
    <row r="117" spans="2:6" ht="12.5">
      <c r="B117" s="22"/>
      <c r="C117" s="22"/>
      <c r="D117" s="22"/>
      <c r="E117" s="22"/>
      <c r="F117" s="22"/>
    </row>
    <row r="118" spans="2:6" ht="12.5">
      <c r="B118" s="22"/>
      <c r="C118" s="22"/>
      <c r="D118" s="22"/>
      <c r="E118" s="22"/>
      <c r="F118" s="22"/>
    </row>
    <row r="119" spans="2:6" ht="12.5">
      <c r="B119" s="22"/>
      <c r="C119" s="22"/>
      <c r="D119" s="22"/>
      <c r="E119" s="22"/>
      <c r="F119" s="22"/>
    </row>
    <row r="120" spans="2:6" ht="12.5">
      <c r="B120" s="22"/>
      <c r="C120" s="22"/>
      <c r="D120" s="22"/>
      <c r="E120" s="22"/>
      <c r="F120" s="22"/>
    </row>
    <row r="121" spans="2:6" ht="12.5">
      <c r="B121" s="22"/>
      <c r="C121" s="22"/>
      <c r="D121" s="22"/>
      <c r="E121" s="22"/>
      <c r="F121" s="22"/>
    </row>
    <row r="122" spans="2:6" ht="12.5">
      <c r="B122" s="22"/>
      <c r="C122" s="22"/>
      <c r="D122" s="22"/>
      <c r="E122" s="22"/>
      <c r="F122" s="22"/>
    </row>
    <row r="123" spans="2:6" ht="12.5">
      <c r="B123" s="22"/>
      <c r="C123" s="22"/>
      <c r="D123" s="22"/>
      <c r="E123" s="22"/>
      <c r="F123" s="22"/>
    </row>
    <row r="124" spans="2:6" ht="12.5">
      <c r="B124" s="22"/>
      <c r="C124" s="22"/>
      <c r="D124" s="22"/>
      <c r="E124" s="22"/>
      <c r="F124" s="22"/>
    </row>
    <row r="125" spans="2:6" ht="12.5">
      <c r="B125" s="22"/>
      <c r="C125" s="22"/>
      <c r="D125" s="22"/>
      <c r="E125" s="22"/>
      <c r="F125" s="22"/>
    </row>
    <row r="126" spans="2:6" ht="12.5">
      <c r="B126" s="22"/>
      <c r="C126" s="22"/>
      <c r="D126" s="22"/>
      <c r="E126" s="22"/>
      <c r="F126" s="22"/>
    </row>
    <row r="127" spans="2:6" ht="12.5">
      <c r="B127" s="22"/>
      <c r="C127" s="22"/>
      <c r="D127" s="22"/>
      <c r="E127" s="22"/>
      <c r="F127" s="22"/>
    </row>
    <row r="128" spans="2:6" ht="12.5">
      <c r="B128" s="22"/>
      <c r="C128" s="22"/>
      <c r="D128" s="22"/>
      <c r="E128" s="22"/>
      <c r="F128" s="22"/>
    </row>
    <row r="129" spans="2:6" ht="12.5">
      <c r="B129" s="22"/>
      <c r="C129" s="22"/>
      <c r="D129" s="22"/>
      <c r="E129" s="22"/>
      <c r="F129" s="22"/>
    </row>
    <row r="130" spans="2:6" ht="12.5">
      <c r="B130" s="22"/>
      <c r="C130" s="22"/>
      <c r="D130" s="22"/>
      <c r="E130" s="22"/>
      <c r="F130" s="22"/>
    </row>
    <row r="131" spans="2:6" ht="12.5">
      <c r="B131" s="22"/>
      <c r="C131" s="22"/>
      <c r="D131" s="22"/>
      <c r="E131" s="22"/>
      <c r="F131" s="22"/>
    </row>
    <row r="132" spans="2:6" ht="12.5">
      <c r="B132" s="22"/>
      <c r="C132" s="22"/>
      <c r="D132" s="22"/>
      <c r="E132" s="22"/>
      <c r="F132" s="22"/>
    </row>
    <row r="133" spans="2:6" ht="12.5">
      <c r="B133" s="22"/>
      <c r="C133" s="22"/>
      <c r="D133" s="22"/>
      <c r="E133" s="22"/>
      <c r="F133" s="22"/>
    </row>
    <row r="134" spans="2:6" ht="12.5">
      <c r="B134" s="22"/>
      <c r="C134" s="22"/>
      <c r="D134" s="22"/>
      <c r="E134" s="22"/>
      <c r="F134" s="22"/>
    </row>
    <row r="135" spans="2:6" ht="12.5">
      <c r="B135" s="22"/>
      <c r="C135" s="22"/>
      <c r="D135" s="22"/>
      <c r="E135" s="22"/>
      <c r="F135" s="22"/>
    </row>
    <row r="136" spans="2:6" ht="12.5">
      <c r="B136" s="22"/>
      <c r="C136" s="22"/>
      <c r="D136" s="22"/>
      <c r="E136" s="22"/>
      <c r="F136" s="22"/>
    </row>
    <row r="137" spans="2:6" ht="12.5">
      <c r="B137" s="22"/>
      <c r="C137" s="22"/>
      <c r="D137" s="22"/>
      <c r="E137" s="22"/>
      <c r="F137" s="22"/>
    </row>
    <row r="138" spans="2:6" ht="12.5">
      <c r="B138" s="22"/>
      <c r="C138" s="22"/>
      <c r="D138" s="22"/>
      <c r="E138" s="22"/>
      <c r="F138" s="22"/>
    </row>
    <row r="139" spans="2:6" ht="12.5">
      <c r="B139" s="22"/>
      <c r="C139" s="22"/>
      <c r="D139" s="22"/>
      <c r="E139" s="22"/>
      <c r="F139" s="22"/>
    </row>
    <row r="140" spans="2:6" ht="12.5">
      <c r="B140" s="22"/>
      <c r="C140" s="22"/>
      <c r="D140" s="22"/>
      <c r="E140" s="22"/>
      <c r="F140" s="22"/>
    </row>
    <row r="141" spans="2:6" ht="12.5">
      <c r="B141" s="22"/>
      <c r="C141" s="22"/>
      <c r="D141" s="22"/>
      <c r="E141" s="22"/>
      <c r="F141" s="22"/>
    </row>
    <row r="142" spans="2:6" ht="12.5">
      <c r="B142" s="22"/>
      <c r="C142" s="22"/>
      <c r="D142" s="22"/>
      <c r="E142" s="22"/>
      <c r="F142" s="22"/>
    </row>
    <row r="143" spans="2:6" ht="12.5">
      <c r="B143" s="22"/>
      <c r="C143" s="22"/>
      <c r="D143" s="22"/>
      <c r="E143" s="22"/>
      <c r="F143" s="22"/>
    </row>
    <row r="144" spans="2:6" ht="12.5">
      <c r="B144" s="22"/>
      <c r="C144" s="22"/>
      <c r="D144" s="22"/>
      <c r="E144" s="22"/>
      <c r="F144" s="22"/>
    </row>
    <row r="145" spans="2:6" ht="12.5">
      <c r="B145" s="22"/>
      <c r="C145" s="22"/>
      <c r="D145" s="22"/>
      <c r="E145" s="22"/>
      <c r="F145" s="22"/>
    </row>
    <row r="146" spans="2:6" ht="12.5">
      <c r="B146" s="22"/>
      <c r="C146" s="22"/>
      <c r="D146" s="22"/>
      <c r="E146" s="22"/>
      <c r="F146" s="22"/>
    </row>
    <row r="147" spans="2:6" ht="12.5">
      <c r="B147" s="22"/>
      <c r="C147" s="22"/>
      <c r="D147" s="22"/>
      <c r="E147" s="22"/>
      <c r="F147" s="22"/>
    </row>
    <row r="148" spans="2:6" ht="12.5">
      <c r="B148" s="22"/>
      <c r="C148" s="22"/>
      <c r="D148" s="22"/>
      <c r="E148" s="22"/>
      <c r="F148" s="22"/>
    </row>
    <row r="149" spans="2:6" ht="12.5">
      <c r="B149" s="22"/>
      <c r="C149" s="22"/>
      <c r="D149" s="22"/>
      <c r="E149" s="22"/>
      <c r="F149" s="22"/>
    </row>
    <row r="150" spans="2:6" ht="12.5">
      <c r="B150" s="22"/>
      <c r="C150" s="22"/>
      <c r="D150" s="22"/>
      <c r="E150" s="22"/>
      <c r="F150" s="22"/>
    </row>
    <row r="151" spans="2:6" ht="12.5">
      <c r="B151" s="22"/>
      <c r="C151" s="22"/>
      <c r="D151" s="22"/>
      <c r="E151" s="22"/>
      <c r="F151" s="22"/>
    </row>
    <row r="152" spans="2:6" ht="12.5">
      <c r="B152" s="22"/>
      <c r="C152" s="22"/>
      <c r="D152" s="22"/>
      <c r="E152" s="22"/>
      <c r="F152" s="22"/>
    </row>
    <row r="153" spans="2:6" ht="12.5">
      <c r="B153" s="22"/>
      <c r="C153" s="22"/>
      <c r="D153" s="22"/>
      <c r="E153" s="22"/>
      <c r="F153" s="22"/>
    </row>
    <row r="154" spans="2:6" ht="12.5">
      <c r="B154" s="22"/>
      <c r="C154" s="22"/>
      <c r="D154" s="22"/>
      <c r="E154" s="22"/>
      <c r="F154" s="22"/>
    </row>
    <row r="155" spans="2:6" ht="12.5">
      <c r="B155" s="22"/>
      <c r="C155" s="22"/>
      <c r="D155" s="22"/>
      <c r="E155" s="22"/>
      <c r="F155" s="22"/>
    </row>
    <row r="156" spans="2:6" ht="12.5">
      <c r="B156" s="22"/>
      <c r="C156" s="22"/>
      <c r="D156" s="22"/>
      <c r="E156" s="22"/>
      <c r="F156" s="22"/>
    </row>
    <row r="157" spans="2:6" ht="12.5">
      <c r="B157" s="22"/>
      <c r="C157" s="22"/>
      <c r="D157" s="22"/>
      <c r="E157" s="22"/>
      <c r="F157" s="22"/>
    </row>
    <row r="158" spans="2:6" ht="12.5">
      <c r="B158" s="22"/>
      <c r="C158" s="22"/>
      <c r="D158" s="22"/>
      <c r="E158" s="22"/>
      <c r="F158" s="22"/>
    </row>
    <row r="159" spans="2:6" ht="12.5">
      <c r="B159" s="22"/>
      <c r="C159" s="22"/>
      <c r="D159" s="22"/>
      <c r="E159" s="22"/>
      <c r="F159" s="22"/>
    </row>
    <row r="160" spans="2:6" ht="12.5">
      <c r="B160" s="22"/>
      <c r="C160" s="22"/>
      <c r="D160" s="22"/>
      <c r="E160" s="22"/>
      <c r="F160" s="22"/>
    </row>
    <row r="161" spans="2:6" ht="12.5">
      <c r="B161" s="22"/>
      <c r="C161" s="22"/>
      <c r="D161" s="22"/>
      <c r="E161" s="22"/>
      <c r="F161" s="22"/>
    </row>
    <row r="162" spans="2:6" ht="12.5">
      <c r="B162" s="22"/>
      <c r="C162" s="22"/>
      <c r="D162" s="22"/>
      <c r="E162" s="22"/>
      <c r="F162" s="22"/>
    </row>
    <row r="163" spans="2:6" ht="12.5">
      <c r="B163" s="22"/>
      <c r="C163" s="22"/>
      <c r="D163" s="22"/>
      <c r="E163" s="22"/>
      <c r="F163" s="22"/>
    </row>
    <row r="164" spans="2:6" ht="12.5">
      <c r="B164" s="22"/>
      <c r="C164" s="22"/>
      <c r="D164" s="22"/>
      <c r="E164" s="22"/>
      <c r="F164" s="22"/>
    </row>
    <row r="165" spans="2:6" ht="12.5">
      <c r="B165" s="22"/>
      <c r="C165" s="22"/>
      <c r="D165" s="22"/>
      <c r="E165" s="22"/>
      <c r="F165" s="22"/>
    </row>
    <row r="166" spans="2:6" ht="12.5">
      <c r="B166" s="22"/>
      <c r="C166" s="22"/>
      <c r="D166" s="22"/>
      <c r="E166" s="22"/>
      <c r="F166" s="22"/>
    </row>
    <row r="167" spans="2:6" ht="12.5">
      <c r="B167" s="22"/>
      <c r="C167" s="22"/>
      <c r="D167" s="22"/>
      <c r="E167" s="22"/>
      <c r="F167" s="22"/>
    </row>
    <row r="168" spans="2:6" ht="12.5">
      <c r="B168" s="22"/>
      <c r="C168" s="22"/>
      <c r="D168" s="22"/>
      <c r="E168" s="22"/>
      <c r="F168" s="22"/>
    </row>
    <row r="169" spans="2:6" ht="12.5">
      <c r="B169" s="22"/>
      <c r="C169" s="22"/>
      <c r="D169" s="22"/>
      <c r="E169" s="22"/>
      <c r="F169" s="22"/>
    </row>
    <row r="170" spans="2:6" ht="12.5">
      <c r="B170" s="22"/>
      <c r="C170" s="22"/>
      <c r="D170" s="22"/>
      <c r="E170" s="22"/>
      <c r="F170" s="22"/>
    </row>
    <row r="171" spans="2:6" ht="12.5">
      <c r="B171" s="22"/>
      <c r="C171" s="22"/>
      <c r="D171" s="22"/>
      <c r="E171" s="22"/>
      <c r="F171" s="22"/>
    </row>
    <row r="172" spans="2:6" ht="12.5">
      <c r="B172" s="22"/>
      <c r="C172" s="22"/>
      <c r="D172" s="22"/>
      <c r="E172" s="22"/>
      <c r="F172" s="22"/>
    </row>
    <row r="173" spans="2:6" ht="12.5">
      <c r="B173" s="22"/>
      <c r="C173" s="22"/>
      <c r="D173" s="22"/>
      <c r="E173" s="22"/>
      <c r="F173" s="22"/>
    </row>
    <row r="174" spans="2:6" ht="12.5">
      <c r="B174" s="22"/>
      <c r="C174" s="22"/>
      <c r="D174" s="22"/>
      <c r="E174" s="22"/>
      <c r="F174" s="22"/>
    </row>
    <row r="175" spans="2:6" ht="12.5">
      <c r="B175" s="22"/>
      <c r="C175" s="22"/>
      <c r="D175" s="22"/>
      <c r="E175" s="22"/>
      <c r="F175" s="22"/>
    </row>
    <row r="176" spans="2:6" ht="12.5">
      <c r="B176" s="22"/>
      <c r="C176" s="22"/>
      <c r="D176" s="22"/>
      <c r="E176" s="22"/>
      <c r="F176" s="22"/>
    </row>
    <row r="177" spans="2:6" ht="12.5">
      <c r="B177" s="22"/>
      <c r="C177" s="22"/>
      <c r="D177" s="22"/>
      <c r="E177" s="22"/>
      <c r="F177" s="22"/>
    </row>
    <row r="178" spans="2:6" ht="12.5">
      <c r="B178" s="22"/>
      <c r="C178" s="22"/>
      <c r="D178" s="22"/>
      <c r="E178" s="22"/>
      <c r="F178" s="22"/>
    </row>
    <row r="179" spans="2:6" ht="12.5">
      <c r="B179" s="22"/>
      <c r="C179" s="22"/>
      <c r="D179" s="22"/>
      <c r="E179" s="22"/>
      <c r="F179" s="22"/>
    </row>
    <row r="180" spans="2:6" ht="12.5">
      <c r="B180" s="22"/>
      <c r="C180" s="22"/>
      <c r="D180" s="22"/>
      <c r="E180" s="22"/>
      <c r="F180" s="22"/>
    </row>
    <row r="181" spans="2:6" ht="12.5">
      <c r="B181" s="22"/>
      <c r="C181" s="22"/>
      <c r="D181" s="22"/>
      <c r="E181" s="22"/>
      <c r="F181" s="22"/>
    </row>
    <row r="182" spans="2:6" ht="12.5">
      <c r="B182" s="22"/>
      <c r="C182" s="22"/>
      <c r="D182" s="22"/>
      <c r="E182" s="22"/>
      <c r="F182" s="22"/>
    </row>
    <row r="183" spans="2:6" ht="12.5">
      <c r="B183" s="22"/>
      <c r="C183" s="22"/>
      <c r="D183" s="22"/>
      <c r="E183" s="22"/>
      <c r="F183" s="22"/>
    </row>
    <row r="184" spans="2:6" ht="12.5">
      <c r="B184" s="22"/>
      <c r="C184" s="22"/>
      <c r="D184" s="22"/>
      <c r="E184" s="22"/>
      <c r="F184" s="22"/>
    </row>
    <row r="185" spans="2:6" ht="12.5">
      <c r="B185" s="22"/>
      <c r="C185" s="22"/>
      <c r="D185" s="22"/>
      <c r="E185" s="22"/>
      <c r="F185" s="22"/>
    </row>
    <row r="186" spans="2:6" ht="12.5">
      <c r="B186" s="22"/>
      <c r="C186" s="22"/>
      <c r="D186" s="22"/>
      <c r="E186" s="22"/>
      <c r="F186" s="22"/>
    </row>
    <row r="187" spans="2:6" ht="12.5">
      <c r="B187" s="22"/>
      <c r="C187" s="22"/>
      <c r="D187" s="22"/>
      <c r="E187" s="22"/>
      <c r="F187" s="22"/>
    </row>
    <row r="188" spans="2:6" ht="12.5">
      <c r="B188" s="22"/>
      <c r="C188" s="22"/>
      <c r="D188" s="22"/>
      <c r="E188" s="22"/>
      <c r="F188" s="22"/>
    </row>
    <row r="189" spans="2:6" ht="12.5">
      <c r="B189" s="22"/>
      <c r="C189" s="22"/>
      <c r="D189" s="22"/>
      <c r="E189" s="22"/>
      <c r="F189" s="22"/>
    </row>
    <row r="190" spans="2:6" ht="12.5">
      <c r="B190" s="22"/>
      <c r="C190" s="22"/>
      <c r="D190" s="22"/>
      <c r="E190" s="22"/>
      <c r="F190" s="22"/>
    </row>
    <row r="191" spans="2:6" ht="12.5">
      <c r="B191" s="22"/>
      <c r="C191" s="22"/>
      <c r="D191" s="22"/>
      <c r="E191" s="22"/>
      <c r="F191" s="22"/>
    </row>
    <row r="192" spans="2:6" ht="12.5">
      <c r="B192" s="22"/>
      <c r="C192" s="22"/>
      <c r="D192" s="22"/>
      <c r="E192" s="22"/>
      <c r="F192" s="22"/>
    </row>
    <row r="193" spans="2:6" ht="12.5">
      <c r="B193" s="22"/>
      <c r="C193" s="22"/>
      <c r="D193" s="22"/>
      <c r="E193" s="22"/>
      <c r="F193" s="22"/>
    </row>
    <row r="194" spans="2:6" ht="12.5">
      <c r="B194" s="22"/>
      <c r="C194" s="22"/>
      <c r="D194" s="22"/>
      <c r="E194" s="22"/>
      <c r="F194" s="22"/>
    </row>
    <row r="195" spans="2:6" ht="12.5">
      <c r="B195" s="22"/>
      <c r="C195" s="22"/>
      <c r="D195" s="22"/>
      <c r="E195" s="22"/>
      <c r="F195" s="22"/>
    </row>
    <row r="196" spans="2:6" ht="12.5">
      <c r="B196" s="22"/>
      <c r="C196" s="22"/>
      <c r="D196" s="22"/>
      <c r="E196" s="22"/>
      <c r="F196" s="22"/>
    </row>
    <row r="197" spans="2:6" ht="12.5">
      <c r="B197" s="22"/>
      <c r="C197" s="22"/>
      <c r="D197" s="22"/>
      <c r="E197" s="22"/>
      <c r="F197" s="22"/>
    </row>
    <row r="198" spans="2:6" ht="12.5">
      <c r="B198" s="22"/>
      <c r="C198" s="22"/>
      <c r="D198" s="22"/>
      <c r="E198" s="22"/>
      <c r="F198" s="22"/>
    </row>
    <row r="199" spans="2:6" ht="12.5">
      <c r="B199" s="22"/>
      <c r="C199" s="22"/>
      <c r="D199" s="22"/>
      <c r="E199" s="22"/>
      <c r="F199" s="22"/>
    </row>
    <row r="200" spans="2:6" ht="12.5">
      <c r="B200" s="22"/>
      <c r="C200" s="22"/>
      <c r="D200" s="22"/>
      <c r="E200" s="22"/>
      <c r="F200" s="22"/>
    </row>
    <row r="201" spans="2:6" ht="12.5">
      <c r="B201" s="22"/>
      <c r="C201" s="22"/>
      <c r="D201" s="22"/>
      <c r="E201" s="22"/>
      <c r="F201" s="22"/>
    </row>
    <row r="202" spans="2:6" ht="12.5">
      <c r="B202" s="22"/>
      <c r="C202" s="22"/>
      <c r="D202" s="22"/>
      <c r="E202" s="22"/>
      <c r="F202" s="22"/>
    </row>
    <row r="203" spans="2:6" ht="12.5">
      <c r="B203" s="22"/>
      <c r="C203" s="22"/>
      <c r="D203" s="22"/>
      <c r="E203" s="22"/>
      <c r="F203" s="22"/>
    </row>
    <row r="204" spans="2:6" ht="12.5">
      <c r="B204" s="22"/>
      <c r="C204" s="22"/>
      <c r="D204" s="22"/>
      <c r="E204" s="22"/>
      <c r="F204" s="22"/>
    </row>
    <row r="205" spans="2:6" ht="12.5">
      <c r="B205" s="22"/>
      <c r="C205" s="22"/>
      <c r="D205" s="22"/>
      <c r="E205" s="22"/>
      <c r="F205" s="22"/>
    </row>
    <row r="206" spans="2:6" ht="12.5">
      <c r="B206" s="22"/>
      <c r="C206" s="22"/>
      <c r="D206" s="22"/>
      <c r="E206" s="22"/>
      <c r="F206" s="22"/>
    </row>
    <row r="207" spans="2:6" ht="12.5">
      <c r="B207" s="22"/>
      <c r="C207" s="22"/>
      <c r="D207" s="22"/>
      <c r="E207" s="22"/>
      <c r="F207" s="22"/>
    </row>
    <row r="208" spans="2:6" ht="12.5">
      <c r="B208" s="22"/>
      <c r="C208" s="22"/>
      <c r="D208" s="22"/>
      <c r="E208" s="22"/>
      <c r="F208" s="22"/>
    </row>
    <row r="209" spans="2:6" ht="12.5">
      <c r="B209" s="22"/>
      <c r="C209" s="22"/>
      <c r="D209" s="22"/>
      <c r="E209" s="22"/>
      <c r="F209" s="22"/>
    </row>
    <row r="210" spans="2:6" ht="12.5">
      <c r="B210" s="22"/>
      <c r="C210" s="22"/>
      <c r="D210" s="22"/>
      <c r="E210" s="22"/>
      <c r="F210" s="22"/>
    </row>
    <row r="211" spans="2:6" ht="12.5">
      <c r="B211" s="22"/>
      <c r="C211" s="22"/>
      <c r="D211" s="22"/>
      <c r="E211" s="22"/>
      <c r="F211" s="22"/>
    </row>
    <row r="212" spans="2:6" ht="12.5">
      <c r="B212" s="22"/>
      <c r="C212" s="22"/>
      <c r="D212" s="22"/>
      <c r="E212" s="22"/>
      <c r="F212" s="22"/>
    </row>
    <row r="213" spans="2:6" ht="12.5">
      <c r="B213" s="22"/>
      <c r="C213" s="22"/>
      <c r="D213" s="22"/>
      <c r="E213" s="22"/>
      <c r="F213" s="22"/>
    </row>
    <row r="214" spans="2:6" ht="12.5">
      <c r="B214" s="22"/>
      <c r="C214" s="22"/>
      <c r="D214" s="22"/>
      <c r="E214" s="22"/>
      <c r="F214" s="22"/>
    </row>
    <row r="215" spans="2:6" ht="12.5">
      <c r="B215" s="22"/>
      <c r="C215" s="22"/>
      <c r="D215" s="22"/>
      <c r="E215" s="22"/>
      <c r="F215" s="22"/>
    </row>
    <row r="216" spans="2:6" ht="12.5">
      <c r="B216" s="22"/>
      <c r="C216" s="22"/>
      <c r="D216" s="22"/>
      <c r="E216" s="22"/>
      <c r="F216" s="22"/>
    </row>
    <row r="217" spans="2:6" ht="12.5">
      <c r="B217" s="22"/>
      <c r="C217" s="22"/>
      <c r="D217" s="22"/>
      <c r="E217" s="22"/>
      <c r="F217" s="22"/>
    </row>
    <row r="218" spans="2:6" ht="12.5">
      <c r="B218" s="22"/>
      <c r="C218" s="22"/>
      <c r="D218" s="22"/>
      <c r="E218" s="22"/>
      <c r="F218" s="22"/>
    </row>
    <row r="219" spans="2:6" ht="12.5">
      <c r="B219" s="22"/>
      <c r="C219" s="22"/>
      <c r="D219" s="22"/>
      <c r="E219" s="22"/>
      <c r="F219" s="22"/>
    </row>
    <row r="220" spans="2:6" ht="12.5">
      <c r="B220" s="22"/>
      <c r="C220" s="22"/>
      <c r="D220" s="22"/>
      <c r="E220" s="22"/>
      <c r="F220" s="22"/>
    </row>
    <row r="221" spans="2:6" ht="12.5">
      <c r="B221" s="22"/>
      <c r="C221" s="22"/>
      <c r="D221" s="22"/>
      <c r="E221" s="22"/>
      <c r="F221" s="22"/>
    </row>
    <row r="222" spans="2:6" ht="12.5">
      <c r="B222" s="22"/>
      <c r="C222" s="22"/>
      <c r="D222" s="22"/>
      <c r="E222" s="22"/>
      <c r="F222" s="22"/>
    </row>
    <row r="223" spans="2:6" ht="12.5">
      <c r="B223" s="22"/>
      <c r="C223" s="22"/>
      <c r="D223" s="22"/>
      <c r="E223" s="22"/>
      <c r="F223" s="22"/>
    </row>
    <row r="224" spans="2:6" ht="12.5">
      <c r="B224" s="22"/>
      <c r="C224" s="22"/>
      <c r="D224" s="22"/>
      <c r="E224" s="22"/>
      <c r="F224" s="22"/>
    </row>
    <row r="225" spans="2:6" ht="12.5">
      <c r="B225" s="22"/>
      <c r="C225" s="22"/>
      <c r="D225" s="22"/>
      <c r="E225" s="22"/>
      <c r="F225" s="22"/>
    </row>
    <row r="226" spans="2:6" ht="12.5">
      <c r="B226" s="22"/>
      <c r="C226" s="22"/>
      <c r="D226" s="22"/>
      <c r="E226" s="22"/>
      <c r="F226" s="22"/>
    </row>
    <row r="227" spans="2:6" ht="12.5">
      <c r="B227" s="22"/>
      <c r="C227" s="22"/>
      <c r="D227" s="22"/>
      <c r="E227" s="22"/>
      <c r="F227" s="22"/>
    </row>
    <row r="228" spans="2:6" ht="12.5">
      <c r="B228" s="22"/>
      <c r="C228" s="22"/>
      <c r="D228" s="22"/>
      <c r="E228" s="22"/>
      <c r="F228" s="22"/>
    </row>
    <row r="229" spans="2:6" ht="12.5">
      <c r="B229" s="22"/>
      <c r="C229" s="22"/>
      <c r="D229" s="22"/>
      <c r="E229" s="22"/>
      <c r="F229" s="22"/>
    </row>
    <row r="230" spans="2:6" ht="12.5">
      <c r="B230" s="22"/>
      <c r="C230" s="22"/>
      <c r="D230" s="22"/>
      <c r="E230" s="22"/>
      <c r="F230" s="22"/>
    </row>
    <row r="231" spans="2:6" ht="12.5">
      <c r="B231" s="22"/>
      <c r="C231" s="22"/>
      <c r="D231" s="22"/>
      <c r="E231" s="22"/>
      <c r="F231" s="22"/>
    </row>
    <row r="232" spans="2:6" ht="12.5">
      <c r="B232" s="22"/>
      <c r="C232" s="22"/>
      <c r="D232" s="22"/>
      <c r="E232" s="22"/>
      <c r="F232" s="22"/>
    </row>
    <row r="233" spans="2:6" ht="12.5">
      <c r="B233" s="22"/>
      <c r="C233" s="22"/>
      <c r="D233" s="22"/>
      <c r="E233" s="22"/>
      <c r="F233" s="22"/>
    </row>
    <row r="234" spans="2:6" ht="12.5">
      <c r="B234" s="22"/>
      <c r="C234" s="22"/>
      <c r="D234" s="22"/>
      <c r="E234" s="22"/>
      <c r="F234" s="22"/>
    </row>
    <row r="235" spans="2:6" ht="12.5">
      <c r="B235" s="22"/>
      <c r="C235" s="22"/>
      <c r="D235" s="22"/>
      <c r="E235" s="22"/>
      <c r="F235" s="22"/>
    </row>
    <row r="236" spans="2:6" ht="12.5">
      <c r="B236" s="22"/>
      <c r="C236" s="22"/>
      <c r="D236" s="22"/>
      <c r="E236" s="22"/>
      <c r="F236" s="22"/>
    </row>
    <row r="237" spans="2:6" ht="12.5">
      <c r="B237" s="22"/>
      <c r="C237" s="22"/>
      <c r="D237" s="22"/>
      <c r="E237" s="22"/>
      <c r="F237" s="22"/>
    </row>
    <row r="238" spans="2:6" ht="12.5">
      <c r="B238" s="22"/>
      <c r="C238" s="22"/>
      <c r="D238" s="22"/>
      <c r="E238" s="22"/>
      <c r="F238" s="22"/>
    </row>
    <row r="239" spans="2:6" ht="12.5">
      <c r="B239" s="22"/>
      <c r="C239" s="22"/>
      <c r="D239" s="22"/>
      <c r="E239" s="22"/>
      <c r="F239" s="22"/>
    </row>
    <row r="240" spans="2:6" ht="12.5">
      <c r="B240" s="22"/>
      <c r="C240" s="22"/>
      <c r="D240" s="22"/>
      <c r="E240" s="22"/>
      <c r="F240" s="22"/>
    </row>
    <row r="241" spans="2:6" ht="12.5">
      <c r="B241" s="22"/>
      <c r="C241" s="22"/>
      <c r="D241" s="22"/>
      <c r="E241" s="22"/>
      <c r="F241" s="22"/>
    </row>
    <row r="242" spans="2:6" ht="12.5">
      <c r="B242" s="22"/>
      <c r="C242" s="22"/>
      <c r="D242" s="22"/>
      <c r="E242" s="22"/>
      <c r="F242" s="22"/>
    </row>
    <row r="243" spans="2:6" ht="12.5">
      <c r="B243" s="22"/>
      <c r="C243" s="22"/>
      <c r="D243" s="22"/>
      <c r="E243" s="22"/>
      <c r="F243" s="22"/>
    </row>
    <row r="244" spans="2:6" ht="12.5">
      <c r="B244" s="22"/>
      <c r="C244" s="22"/>
      <c r="D244" s="22"/>
      <c r="E244" s="22"/>
      <c r="F244" s="22"/>
    </row>
    <row r="245" spans="2:6" ht="12.5">
      <c r="B245" s="22"/>
      <c r="C245" s="22"/>
      <c r="D245" s="22"/>
      <c r="E245" s="22"/>
      <c r="F245" s="22"/>
    </row>
    <row r="246" spans="2:6" ht="12.5">
      <c r="B246" s="22"/>
      <c r="C246" s="22"/>
      <c r="D246" s="22"/>
      <c r="E246" s="22"/>
      <c r="F246" s="22"/>
    </row>
    <row r="247" spans="2:6" ht="12.5">
      <c r="B247" s="22"/>
      <c r="C247" s="22"/>
      <c r="D247" s="22"/>
      <c r="E247" s="22"/>
      <c r="F247" s="22"/>
    </row>
    <row r="248" spans="2:6" ht="12.5">
      <c r="B248" s="22"/>
      <c r="C248" s="22"/>
      <c r="D248" s="22"/>
      <c r="E248" s="22"/>
      <c r="F248" s="22"/>
    </row>
    <row r="249" spans="2:6" ht="12.5">
      <c r="B249" s="22"/>
      <c r="C249" s="22"/>
      <c r="D249" s="22"/>
      <c r="E249" s="22"/>
      <c r="F249" s="22"/>
    </row>
    <row r="250" spans="2:6" ht="12.5">
      <c r="B250" s="22"/>
      <c r="C250" s="22"/>
      <c r="D250" s="22"/>
      <c r="E250" s="22"/>
      <c r="F250" s="22"/>
    </row>
    <row r="251" spans="2:6" ht="12.5">
      <c r="B251" s="22"/>
      <c r="C251" s="22"/>
      <c r="D251" s="22"/>
      <c r="E251" s="22"/>
      <c r="F251" s="22"/>
    </row>
    <row r="252" spans="2:6" ht="12.5">
      <c r="B252" s="22"/>
      <c r="C252" s="22"/>
      <c r="D252" s="22"/>
      <c r="E252" s="22"/>
      <c r="F252" s="22"/>
    </row>
    <row r="253" spans="2:6" ht="12.5">
      <c r="B253" s="22"/>
      <c r="C253" s="22"/>
      <c r="D253" s="22"/>
      <c r="E253" s="22"/>
      <c r="F253" s="22"/>
    </row>
    <row r="254" spans="2:6" ht="12.5">
      <c r="B254" s="22"/>
      <c r="C254" s="22"/>
      <c r="D254" s="22"/>
      <c r="E254" s="22"/>
      <c r="F254" s="22"/>
    </row>
    <row r="255" spans="2:6" ht="12.5">
      <c r="B255" s="22"/>
      <c r="C255" s="22"/>
      <c r="D255" s="22"/>
      <c r="E255" s="22"/>
      <c r="F255" s="22"/>
    </row>
    <row r="256" spans="2:6" ht="12.5">
      <c r="B256" s="22"/>
      <c r="C256" s="22"/>
      <c r="D256" s="22"/>
      <c r="E256" s="22"/>
      <c r="F256" s="22"/>
    </row>
    <row r="257" spans="2:6" ht="12.5">
      <c r="B257" s="22"/>
      <c r="C257" s="22"/>
      <c r="D257" s="22"/>
      <c r="E257" s="22"/>
      <c r="F257" s="22"/>
    </row>
    <row r="258" spans="2:6" ht="12.5">
      <c r="B258" s="22"/>
      <c r="C258" s="22"/>
      <c r="D258" s="22"/>
      <c r="E258" s="22"/>
      <c r="F258" s="22"/>
    </row>
    <row r="259" spans="2:6" ht="12.5">
      <c r="B259" s="22"/>
      <c r="C259" s="22"/>
      <c r="D259" s="22"/>
      <c r="E259" s="22"/>
      <c r="F259" s="22"/>
    </row>
    <row r="260" spans="2:6" ht="12.5">
      <c r="B260" s="22"/>
      <c r="C260" s="22"/>
      <c r="D260" s="22"/>
      <c r="E260" s="22"/>
      <c r="F260" s="22"/>
    </row>
    <row r="261" spans="2:6" ht="12.5">
      <c r="B261" s="22"/>
      <c r="C261" s="22"/>
      <c r="D261" s="22"/>
      <c r="E261" s="22"/>
      <c r="F261" s="22"/>
    </row>
    <row r="262" spans="2:6" ht="12.5">
      <c r="B262" s="22"/>
      <c r="C262" s="22"/>
      <c r="D262" s="22"/>
      <c r="E262" s="22"/>
      <c r="F262" s="22"/>
    </row>
    <row r="263" spans="2:6" ht="12.5">
      <c r="B263" s="22"/>
      <c r="C263" s="22"/>
      <c r="D263" s="22"/>
      <c r="E263" s="22"/>
      <c r="F263" s="22"/>
    </row>
    <row r="264" spans="2:6" ht="12.5">
      <c r="B264" s="22"/>
      <c r="C264" s="22"/>
      <c r="D264" s="22"/>
      <c r="E264" s="22"/>
      <c r="F264" s="22"/>
    </row>
    <row r="265" spans="2:6" ht="12.5">
      <c r="B265" s="22"/>
      <c r="C265" s="22"/>
      <c r="D265" s="22"/>
      <c r="E265" s="22"/>
      <c r="F265" s="22"/>
    </row>
    <row r="266" spans="2:6" ht="12.5">
      <c r="B266" s="22"/>
      <c r="C266" s="22"/>
      <c r="D266" s="22"/>
      <c r="E266" s="22"/>
      <c r="F266" s="22"/>
    </row>
    <row r="267" spans="2:6" ht="12.5">
      <c r="B267" s="22"/>
      <c r="C267" s="22"/>
      <c r="D267" s="22"/>
      <c r="E267" s="22"/>
      <c r="F267" s="22"/>
    </row>
    <row r="268" spans="2:6" ht="12.5">
      <c r="B268" s="22"/>
      <c r="C268" s="22"/>
      <c r="D268" s="22"/>
      <c r="E268" s="22"/>
      <c r="F268" s="22"/>
    </row>
    <row r="269" spans="2:6" ht="12.5">
      <c r="B269" s="22"/>
      <c r="C269" s="22"/>
      <c r="D269" s="22"/>
      <c r="E269" s="22"/>
      <c r="F269" s="22"/>
    </row>
    <row r="270" spans="2:6" ht="12.5">
      <c r="B270" s="22"/>
      <c r="C270" s="22"/>
      <c r="D270" s="22"/>
      <c r="E270" s="22"/>
      <c r="F270" s="22"/>
    </row>
    <row r="271" spans="2:6" ht="12.5">
      <c r="B271" s="22"/>
      <c r="C271" s="22"/>
      <c r="D271" s="22"/>
      <c r="E271" s="22"/>
      <c r="F271" s="22"/>
    </row>
    <row r="272" spans="2:6" ht="12.5">
      <c r="B272" s="22"/>
      <c r="C272" s="22"/>
      <c r="D272" s="22"/>
      <c r="E272" s="22"/>
      <c r="F272" s="22"/>
    </row>
    <row r="273" spans="2:6" ht="12.5">
      <c r="B273" s="22"/>
      <c r="C273" s="22"/>
      <c r="D273" s="22"/>
      <c r="E273" s="22"/>
      <c r="F273" s="22"/>
    </row>
    <row r="274" spans="2:6" ht="12.5">
      <c r="B274" s="22"/>
      <c r="C274" s="22"/>
      <c r="D274" s="22"/>
      <c r="E274" s="22"/>
      <c r="F274" s="22"/>
    </row>
    <row r="275" spans="2:6" ht="12.5">
      <c r="B275" s="22"/>
      <c r="C275" s="22"/>
      <c r="D275" s="22"/>
      <c r="E275" s="22"/>
      <c r="F275" s="22"/>
    </row>
    <row r="276" spans="2:6" ht="12.5">
      <c r="B276" s="22"/>
      <c r="C276" s="22"/>
      <c r="D276" s="22"/>
      <c r="E276" s="22"/>
      <c r="F276" s="22"/>
    </row>
    <row r="277" spans="2:6" ht="12.5">
      <c r="B277" s="22"/>
      <c r="C277" s="22"/>
      <c r="D277" s="22"/>
      <c r="E277" s="22"/>
      <c r="F277" s="22"/>
    </row>
    <row r="278" spans="2:6" ht="12.5">
      <c r="B278" s="22"/>
      <c r="C278" s="22"/>
      <c r="D278" s="22"/>
      <c r="E278" s="22"/>
      <c r="F278" s="22"/>
    </row>
    <row r="279" spans="2:6" ht="12.5">
      <c r="B279" s="22"/>
      <c r="C279" s="22"/>
      <c r="D279" s="22"/>
      <c r="E279" s="22"/>
      <c r="F279" s="22"/>
    </row>
    <row r="280" spans="2:6" ht="12.5">
      <c r="B280" s="22"/>
      <c r="C280" s="22"/>
      <c r="D280" s="22"/>
      <c r="E280" s="22"/>
      <c r="F280" s="22"/>
    </row>
    <row r="281" spans="2:6" ht="12.5">
      <c r="B281" s="22"/>
      <c r="C281" s="22"/>
      <c r="D281" s="22"/>
      <c r="E281" s="22"/>
      <c r="F281" s="22"/>
    </row>
    <row r="282" spans="2:6" ht="12.5">
      <c r="B282" s="22"/>
      <c r="C282" s="22"/>
      <c r="D282" s="22"/>
      <c r="E282" s="22"/>
      <c r="F282" s="22"/>
    </row>
    <row r="283" spans="2:6" ht="12.5">
      <c r="B283" s="22"/>
      <c r="C283" s="22"/>
      <c r="D283" s="22"/>
      <c r="E283" s="22"/>
      <c r="F283" s="22"/>
    </row>
    <row r="284" spans="2:6" ht="12.5">
      <c r="B284" s="22"/>
      <c r="C284" s="22"/>
      <c r="D284" s="22"/>
      <c r="E284" s="22"/>
      <c r="F284" s="22"/>
    </row>
    <row r="285" spans="2:6" ht="12.5">
      <c r="B285" s="22"/>
      <c r="C285" s="22"/>
      <c r="D285" s="22"/>
      <c r="E285" s="22"/>
      <c r="F285" s="22"/>
    </row>
    <row r="286" spans="2:6" ht="12.5">
      <c r="B286" s="22"/>
      <c r="C286" s="22"/>
      <c r="D286" s="22"/>
      <c r="E286" s="22"/>
      <c r="F286" s="22"/>
    </row>
    <row r="287" spans="2:6" ht="12.5">
      <c r="B287" s="22"/>
      <c r="C287" s="22"/>
      <c r="D287" s="22"/>
      <c r="E287" s="22"/>
      <c r="F287" s="22"/>
    </row>
    <row r="288" spans="2:6" ht="12.5">
      <c r="B288" s="22"/>
      <c r="C288" s="22"/>
      <c r="D288" s="22"/>
      <c r="E288" s="22"/>
      <c r="F288" s="22"/>
    </row>
    <row r="289" spans="2:6" ht="12.5">
      <c r="B289" s="22"/>
      <c r="C289" s="22"/>
      <c r="D289" s="22"/>
      <c r="E289" s="22"/>
      <c r="F289" s="22"/>
    </row>
    <row r="290" spans="2:6" ht="12.5">
      <c r="B290" s="22"/>
      <c r="C290" s="22"/>
      <c r="D290" s="22"/>
      <c r="E290" s="22"/>
      <c r="F290" s="22"/>
    </row>
    <row r="291" spans="2:6" ht="12.5">
      <c r="B291" s="22"/>
      <c r="C291" s="22"/>
      <c r="D291" s="22"/>
      <c r="E291" s="22"/>
      <c r="F291" s="22"/>
    </row>
    <row r="292" spans="2:6" ht="12.5">
      <c r="B292" s="22"/>
      <c r="C292" s="22"/>
      <c r="D292" s="22"/>
      <c r="E292" s="22"/>
      <c r="F292" s="22"/>
    </row>
    <row r="293" spans="2:6" ht="12.5">
      <c r="B293" s="22"/>
      <c r="C293" s="22"/>
      <c r="D293" s="22"/>
      <c r="E293" s="22"/>
      <c r="F293" s="22"/>
    </row>
    <row r="294" spans="2:6" ht="12.5">
      <c r="B294" s="22"/>
      <c r="C294" s="22"/>
      <c r="D294" s="22"/>
      <c r="E294" s="22"/>
      <c r="F294" s="22"/>
    </row>
    <row r="295" spans="2:6" ht="12.5">
      <c r="B295" s="22"/>
      <c r="C295" s="22"/>
      <c r="D295" s="22"/>
      <c r="E295" s="22"/>
      <c r="F295" s="22"/>
    </row>
    <row r="296" spans="2:6" ht="12.5">
      <c r="B296" s="22"/>
      <c r="C296" s="22"/>
      <c r="D296" s="22"/>
      <c r="E296" s="22"/>
      <c r="F296" s="22"/>
    </row>
    <row r="297" spans="2:6" ht="12.5">
      <c r="B297" s="22"/>
      <c r="C297" s="22"/>
      <c r="D297" s="22"/>
      <c r="E297" s="22"/>
      <c r="F297" s="22"/>
    </row>
    <row r="298" spans="2:6" ht="12.5">
      <c r="B298" s="22"/>
      <c r="C298" s="22"/>
      <c r="D298" s="22"/>
      <c r="E298" s="22"/>
      <c r="F298" s="22"/>
    </row>
    <row r="299" spans="2:6" ht="12.5">
      <c r="B299" s="22"/>
      <c r="C299" s="22"/>
      <c r="D299" s="22"/>
      <c r="E299" s="22"/>
      <c r="F299" s="22"/>
    </row>
    <row r="300" spans="2:6" ht="12.5">
      <c r="B300" s="22"/>
      <c r="C300" s="22"/>
      <c r="D300" s="22"/>
      <c r="E300" s="22"/>
      <c r="F300" s="22"/>
    </row>
    <row r="301" spans="2:6" ht="12.5">
      <c r="B301" s="22"/>
      <c r="C301" s="22"/>
      <c r="D301" s="22"/>
      <c r="E301" s="22"/>
      <c r="F301" s="22"/>
    </row>
    <row r="302" spans="2:6" ht="12.5">
      <c r="B302" s="22"/>
      <c r="C302" s="22"/>
      <c r="D302" s="22"/>
      <c r="E302" s="22"/>
      <c r="F302" s="22"/>
    </row>
    <row r="303" spans="2:6" ht="12.5">
      <c r="B303" s="22"/>
      <c r="C303" s="22"/>
      <c r="D303" s="22"/>
      <c r="E303" s="22"/>
      <c r="F303" s="22"/>
    </row>
    <row r="304" spans="2:6" ht="12.5">
      <c r="B304" s="22"/>
      <c r="C304" s="22"/>
      <c r="D304" s="22"/>
      <c r="E304" s="22"/>
      <c r="F304" s="22"/>
    </row>
    <row r="305" spans="2:6" ht="12.5">
      <c r="B305" s="22"/>
      <c r="C305" s="22"/>
      <c r="D305" s="22"/>
      <c r="E305" s="22"/>
      <c r="F305" s="22"/>
    </row>
    <row r="306" spans="2:6" ht="12.5">
      <c r="B306" s="22"/>
      <c r="C306" s="22"/>
      <c r="D306" s="22"/>
      <c r="E306" s="22"/>
      <c r="F306" s="22"/>
    </row>
    <row r="307" spans="2:6" ht="12.5">
      <c r="B307" s="22"/>
      <c r="C307" s="22"/>
      <c r="D307" s="22"/>
      <c r="E307" s="22"/>
      <c r="F307" s="22"/>
    </row>
    <row r="308" spans="2:6" ht="12.5">
      <c r="B308" s="22"/>
      <c r="C308" s="22"/>
      <c r="D308" s="22"/>
      <c r="E308" s="22"/>
      <c r="F308" s="22"/>
    </row>
    <row r="309" spans="2:6" ht="12.5">
      <c r="B309" s="22"/>
      <c r="C309" s="22"/>
      <c r="D309" s="22"/>
      <c r="E309" s="22"/>
      <c r="F309" s="22"/>
    </row>
    <row r="310" spans="2:6" ht="12.5">
      <c r="B310" s="22"/>
      <c r="C310" s="22"/>
      <c r="D310" s="22"/>
      <c r="E310" s="22"/>
      <c r="F310" s="22"/>
    </row>
    <row r="311" spans="2:6" ht="12.5">
      <c r="B311" s="22"/>
      <c r="C311" s="22"/>
      <c r="D311" s="22"/>
      <c r="E311" s="22"/>
      <c r="F311" s="22"/>
    </row>
    <row r="312" spans="2:6" ht="12.5">
      <c r="B312" s="22"/>
      <c r="C312" s="22"/>
      <c r="D312" s="22"/>
      <c r="E312" s="22"/>
      <c r="F312" s="22"/>
    </row>
    <row r="313" spans="2:6" ht="12.5">
      <c r="B313" s="22"/>
      <c r="C313" s="22"/>
      <c r="D313" s="22"/>
      <c r="E313" s="22"/>
      <c r="F313" s="22"/>
    </row>
    <row r="314" spans="2:6" ht="12.5">
      <c r="B314" s="22"/>
      <c r="C314" s="22"/>
      <c r="D314" s="22"/>
      <c r="E314" s="22"/>
      <c r="F314" s="22"/>
    </row>
    <row r="315" spans="2:6" ht="12.5">
      <c r="B315" s="22"/>
      <c r="C315" s="22"/>
      <c r="D315" s="22"/>
      <c r="E315" s="22"/>
      <c r="F315" s="22"/>
    </row>
    <row r="316" spans="2:6" ht="12.5">
      <c r="B316" s="22"/>
      <c r="C316" s="22"/>
      <c r="D316" s="22"/>
      <c r="E316" s="22"/>
      <c r="F316" s="22"/>
    </row>
    <row r="317" spans="2:6" ht="12.5">
      <c r="B317" s="22"/>
      <c r="C317" s="22"/>
      <c r="D317" s="22"/>
      <c r="E317" s="22"/>
      <c r="F317" s="22"/>
    </row>
    <row r="318" spans="2:6" ht="12.5">
      <c r="B318" s="22"/>
      <c r="C318" s="22"/>
      <c r="D318" s="22"/>
      <c r="E318" s="22"/>
      <c r="F318" s="22"/>
    </row>
    <row r="319" spans="2:6" ht="12.5">
      <c r="B319" s="22"/>
      <c r="C319" s="22"/>
      <c r="D319" s="22"/>
      <c r="E319" s="22"/>
      <c r="F319" s="22"/>
    </row>
    <row r="320" spans="2:6" ht="12.5">
      <c r="B320" s="22"/>
      <c r="C320" s="22"/>
      <c r="D320" s="22"/>
      <c r="E320" s="22"/>
      <c r="F320" s="22"/>
    </row>
    <row r="321" spans="2:6" ht="12.5">
      <c r="B321" s="22"/>
      <c r="C321" s="22"/>
      <c r="D321" s="22"/>
      <c r="E321" s="22"/>
      <c r="F321" s="22"/>
    </row>
    <row r="322" spans="2:6" ht="12.5">
      <c r="B322" s="22"/>
      <c r="C322" s="22"/>
      <c r="D322" s="22"/>
      <c r="E322" s="22"/>
      <c r="F322" s="22"/>
    </row>
    <row r="323" spans="2:6" ht="12.5">
      <c r="B323" s="22"/>
      <c r="C323" s="22"/>
      <c r="D323" s="22"/>
      <c r="E323" s="22"/>
      <c r="F323" s="22"/>
    </row>
    <row r="324" spans="2:6" ht="12.5">
      <c r="B324" s="22"/>
      <c r="C324" s="22"/>
      <c r="D324" s="22"/>
      <c r="E324" s="22"/>
      <c r="F324" s="22"/>
    </row>
    <row r="325" spans="2:6" ht="12.5">
      <c r="B325" s="22"/>
      <c r="C325" s="22"/>
      <c r="D325" s="22"/>
      <c r="E325" s="22"/>
      <c r="F325" s="22"/>
    </row>
    <row r="326" spans="2:6" ht="12.5">
      <c r="B326" s="22"/>
      <c r="C326" s="22"/>
      <c r="D326" s="22"/>
      <c r="E326" s="22"/>
      <c r="F326" s="22"/>
    </row>
    <row r="327" spans="2:6" ht="12.5">
      <c r="B327" s="22"/>
      <c r="C327" s="22"/>
      <c r="D327" s="22"/>
      <c r="E327" s="22"/>
      <c r="F327" s="22"/>
    </row>
    <row r="328" spans="2:6" ht="12.5">
      <c r="B328" s="22"/>
      <c r="C328" s="22"/>
      <c r="D328" s="22"/>
      <c r="E328" s="22"/>
      <c r="F328" s="22"/>
    </row>
    <row r="329" spans="2:6" ht="12.5">
      <c r="B329" s="22"/>
      <c r="C329" s="22"/>
      <c r="D329" s="22"/>
      <c r="E329" s="22"/>
      <c r="F329" s="22"/>
    </row>
    <row r="330" spans="2:6" ht="12.5">
      <c r="B330" s="22"/>
      <c r="C330" s="22"/>
      <c r="D330" s="22"/>
      <c r="E330" s="22"/>
      <c r="F330" s="22"/>
    </row>
    <row r="331" spans="2:6" ht="12.5">
      <c r="B331" s="22"/>
      <c r="C331" s="22"/>
      <c r="D331" s="22"/>
      <c r="E331" s="22"/>
      <c r="F331" s="22"/>
    </row>
    <row r="332" spans="2:6" ht="12.5">
      <c r="B332" s="22"/>
      <c r="C332" s="22"/>
      <c r="D332" s="22"/>
      <c r="E332" s="22"/>
      <c r="F332" s="22"/>
    </row>
    <row r="333" spans="2:6" ht="12.5">
      <c r="B333" s="22"/>
      <c r="C333" s="22"/>
      <c r="D333" s="22"/>
      <c r="E333" s="22"/>
      <c r="F333" s="22"/>
    </row>
    <row r="334" spans="2:6" ht="12.5">
      <c r="B334" s="22"/>
      <c r="C334" s="22"/>
      <c r="D334" s="22"/>
      <c r="E334" s="22"/>
      <c r="F334" s="22"/>
    </row>
    <row r="335" spans="2:6" ht="12.5">
      <c r="B335" s="22"/>
      <c r="C335" s="22"/>
      <c r="D335" s="22"/>
      <c r="E335" s="22"/>
      <c r="F335" s="22"/>
    </row>
    <row r="336" spans="2:6" ht="12.5">
      <c r="B336" s="22"/>
      <c r="C336" s="22"/>
      <c r="D336" s="22"/>
      <c r="E336" s="22"/>
      <c r="F336" s="22"/>
    </row>
    <row r="337" spans="2:6" ht="12.5">
      <c r="B337" s="22"/>
      <c r="C337" s="22"/>
      <c r="D337" s="22"/>
      <c r="E337" s="22"/>
      <c r="F337" s="22"/>
    </row>
    <row r="338" spans="2:6" ht="12.5">
      <c r="B338" s="22"/>
      <c r="C338" s="22"/>
      <c r="D338" s="22"/>
      <c r="E338" s="22"/>
      <c r="F338" s="22"/>
    </row>
    <row r="339" spans="2:6" ht="12.5">
      <c r="B339" s="22"/>
      <c r="C339" s="22"/>
      <c r="D339" s="22"/>
      <c r="E339" s="22"/>
      <c r="F339" s="22"/>
    </row>
    <row r="340" spans="2:6" ht="12.5">
      <c r="B340" s="22"/>
      <c r="C340" s="22"/>
      <c r="D340" s="22"/>
      <c r="E340" s="22"/>
      <c r="F340" s="22"/>
    </row>
    <row r="341" spans="2:6" ht="12.5">
      <c r="B341" s="22"/>
      <c r="C341" s="22"/>
      <c r="D341" s="22"/>
      <c r="E341" s="22"/>
      <c r="F341" s="22"/>
    </row>
    <row r="342" spans="2:6" ht="12.5">
      <c r="B342" s="22"/>
      <c r="C342" s="22"/>
      <c r="D342" s="22"/>
      <c r="E342" s="22"/>
      <c r="F342" s="22"/>
    </row>
    <row r="343" spans="2:6" ht="12.5">
      <c r="B343" s="22"/>
      <c r="C343" s="22"/>
      <c r="D343" s="22"/>
      <c r="E343" s="22"/>
      <c r="F343" s="22"/>
    </row>
    <row r="344" spans="2:6" ht="12.5">
      <c r="B344" s="22"/>
      <c r="C344" s="22"/>
      <c r="D344" s="22"/>
      <c r="E344" s="22"/>
      <c r="F344" s="22"/>
    </row>
    <row r="345" spans="2:6" ht="12.5">
      <c r="B345" s="22"/>
      <c r="C345" s="22"/>
      <c r="D345" s="22"/>
      <c r="E345" s="22"/>
      <c r="F345" s="22"/>
    </row>
    <row r="346" spans="2:6" ht="12.5">
      <c r="B346" s="22"/>
      <c r="C346" s="22"/>
      <c r="D346" s="22"/>
      <c r="E346" s="22"/>
      <c r="F346" s="22"/>
    </row>
    <row r="347" spans="2:6" ht="12.5">
      <c r="B347" s="22"/>
      <c r="C347" s="22"/>
      <c r="D347" s="22"/>
      <c r="E347" s="22"/>
      <c r="F347" s="22"/>
    </row>
    <row r="348" spans="2:6" ht="12.5">
      <c r="B348" s="22"/>
      <c r="C348" s="22"/>
      <c r="D348" s="22"/>
      <c r="E348" s="22"/>
      <c r="F348" s="22"/>
    </row>
    <row r="349" spans="2:6" ht="12.5">
      <c r="B349" s="22"/>
      <c r="C349" s="22"/>
      <c r="D349" s="22"/>
      <c r="E349" s="22"/>
      <c r="F349" s="22"/>
    </row>
    <row r="350" spans="2:6" ht="12.5">
      <c r="B350" s="22"/>
      <c r="C350" s="22"/>
      <c r="D350" s="22"/>
      <c r="E350" s="22"/>
      <c r="F350" s="22"/>
    </row>
    <row r="351" spans="2:6" ht="12.5">
      <c r="B351" s="22"/>
      <c r="C351" s="22"/>
      <c r="D351" s="22"/>
      <c r="E351" s="22"/>
      <c r="F351" s="22"/>
    </row>
    <row r="352" spans="2:6" ht="12.5">
      <c r="B352" s="22"/>
      <c r="C352" s="22"/>
      <c r="D352" s="22"/>
      <c r="E352" s="22"/>
      <c r="F352" s="22"/>
    </row>
    <row r="353" spans="2:6" ht="12.5">
      <c r="B353" s="22"/>
      <c r="C353" s="22"/>
      <c r="D353" s="22"/>
      <c r="E353" s="22"/>
      <c r="F353" s="22"/>
    </row>
    <row r="354" spans="2:6" ht="12.5">
      <c r="B354" s="22"/>
      <c r="C354" s="22"/>
      <c r="D354" s="22"/>
      <c r="E354" s="22"/>
      <c r="F354" s="22"/>
    </row>
    <row r="355" spans="2:6" ht="12.5">
      <c r="B355" s="22"/>
      <c r="C355" s="22"/>
      <c r="D355" s="22"/>
      <c r="E355" s="22"/>
      <c r="F355" s="22"/>
    </row>
    <row r="356" spans="2:6" ht="12.5">
      <c r="B356" s="22"/>
      <c r="C356" s="22"/>
      <c r="D356" s="22"/>
      <c r="E356" s="22"/>
      <c r="F356" s="22"/>
    </row>
    <row r="357" spans="2:6" ht="12.5">
      <c r="B357" s="22"/>
      <c r="C357" s="22"/>
      <c r="D357" s="22"/>
      <c r="E357" s="22"/>
      <c r="F357" s="22"/>
    </row>
    <row r="358" spans="2:6" ht="12.5">
      <c r="B358" s="22"/>
      <c r="C358" s="22"/>
      <c r="D358" s="22"/>
      <c r="E358" s="22"/>
      <c r="F358" s="22"/>
    </row>
    <row r="359" spans="2:6" ht="12.5">
      <c r="B359" s="22"/>
      <c r="C359" s="22"/>
      <c r="D359" s="22"/>
      <c r="E359" s="22"/>
      <c r="F359" s="22"/>
    </row>
    <row r="360" spans="2:6" ht="12.5">
      <c r="B360" s="22"/>
      <c r="C360" s="22"/>
      <c r="D360" s="22"/>
      <c r="E360" s="22"/>
      <c r="F360" s="22"/>
    </row>
    <row r="361" spans="2:6" ht="12.5">
      <c r="B361" s="22"/>
      <c r="C361" s="22"/>
      <c r="D361" s="22"/>
      <c r="E361" s="22"/>
      <c r="F361" s="22"/>
    </row>
    <row r="362" spans="2:6" ht="12.5">
      <c r="B362" s="22"/>
      <c r="C362" s="22"/>
      <c r="D362" s="22"/>
      <c r="E362" s="22"/>
      <c r="F362" s="22"/>
    </row>
    <row r="363" spans="2:6" ht="12.5">
      <c r="B363" s="22"/>
      <c r="C363" s="22"/>
      <c r="D363" s="22"/>
      <c r="E363" s="22"/>
      <c r="F363" s="22"/>
    </row>
    <row r="364" spans="2:6" ht="12.5">
      <c r="B364" s="22"/>
      <c r="C364" s="22"/>
      <c r="D364" s="22"/>
      <c r="E364" s="22"/>
      <c r="F364" s="22"/>
    </row>
    <row r="365" spans="2:6" ht="12.5">
      <c r="B365" s="22"/>
      <c r="C365" s="22"/>
      <c r="D365" s="22"/>
      <c r="E365" s="22"/>
      <c r="F365" s="22"/>
    </row>
    <row r="366" spans="2:6" ht="12.5">
      <c r="B366" s="22"/>
      <c r="C366" s="22"/>
      <c r="D366" s="22"/>
      <c r="E366" s="22"/>
      <c r="F366" s="22"/>
    </row>
    <row r="367" spans="2:6" ht="12.5">
      <c r="B367" s="22"/>
      <c r="C367" s="22"/>
      <c r="D367" s="22"/>
      <c r="E367" s="22"/>
      <c r="F367" s="22"/>
    </row>
    <row r="368" spans="2:6" ht="12.5">
      <c r="B368" s="22"/>
      <c r="C368" s="22"/>
      <c r="D368" s="22"/>
      <c r="E368" s="22"/>
      <c r="F368" s="22"/>
    </row>
    <row r="369" spans="2:6" ht="12.5">
      <c r="B369" s="22"/>
      <c r="C369" s="22"/>
      <c r="D369" s="22"/>
      <c r="E369" s="22"/>
      <c r="F369" s="22"/>
    </row>
    <row r="370" spans="2:6" ht="12.5">
      <c r="B370" s="22"/>
      <c r="C370" s="22"/>
      <c r="D370" s="22"/>
      <c r="E370" s="22"/>
      <c r="F370" s="22"/>
    </row>
    <row r="371" spans="2:6" ht="12.5">
      <c r="B371" s="22"/>
      <c r="C371" s="22"/>
      <c r="D371" s="22"/>
      <c r="E371" s="22"/>
      <c r="F371" s="22"/>
    </row>
    <row r="372" spans="2:6" ht="12.5">
      <c r="B372" s="22"/>
      <c r="C372" s="22"/>
      <c r="D372" s="22"/>
      <c r="E372" s="22"/>
      <c r="F372" s="22"/>
    </row>
    <row r="373" spans="2:6" ht="12.5">
      <c r="B373" s="22"/>
      <c r="C373" s="22"/>
      <c r="D373" s="22"/>
      <c r="E373" s="22"/>
      <c r="F373" s="22"/>
    </row>
    <row r="374" spans="2:6" ht="12.5">
      <c r="B374" s="22"/>
      <c r="C374" s="22"/>
      <c r="D374" s="22"/>
      <c r="E374" s="22"/>
      <c r="F374" s="22"/>
    </row>
    <row r="375" spans="2:6" ht="12.5">
      <c r="B375" s="22"/>
      <c r="C375" s="22"/>
      <c r="D375" s="22"/>
      <c r="E375" s="22"/>
      <c r="F375" s="22"/>
    </row>
    <row r="376" spans="2:6" ht="12.5">
      <c r="B376" s="22"/>
      <c r="C376" s="22"/>
      <c r="D376" s="22"/>
      <c r="E376" s="22"/>
      <c r="F376" s="22"/>
    </row>
    <row r="377" spans="2:6" ht="12.5">
      <c r="B377" s="22"/>
      <c r="C377" s="22"/>
      <c r="D377" s="22"/>
      <c r="E377" s="22"/>
      <c r="F377" s="22"/>
    </row>
    <row r="378" spans="2:6" ht="12.5">
      <c r="B378" s="22"/>
      <c r="C378" s="22"/>
      <c r="D378" s="22"/>
      <c r="E378" s="22"/>
      <c r="F378" s="22"/>
    </row>
    <row r="379" spans="2:6" ht="12.5">
      <c r="B379" s="22"/>
      <c r="C379" s="22"/>
      <c r="D379" s="22"/>
      <c r="E379" s="22"/>
      <c r="F379" s="22"/>
    </row>
    <row r="380" spans="2:6" ht="12.5">
      <c r="B380" s="22"/>
      <c r="C380" s="22"/>
      <c r="D380" s="22"/>
      <c r="E380" s="22"/>
      <c r="F380" s="22"/>
    </row>
    <row r="381" spans="2:6" ht="12.5">
      <c r="B381" s="22"/>
      <c r="C381" s="22"/>
      <c r="D381" s="22"/>
      <c r="E381" s="22"/>
      <c r="F381" s="22"/>
    </row>
    <row r="382" spans="2:6" ht="12.5">
      <c r="B382" s="22"/>
      <c r="C382" s="22"/>
      <c r="D382" s="22"/>
      <c r="E382" s="22"/>
      <c r="F382" s="22"/>
    </row>
    <row r="383" spans="2:6" ht="12.5">
      <c r="B383" s="22"/>
      <c r="C383" s="22"/>
      <c r="D383" s="22"/>
      <c r="E383" s="22"/>
      <c r="F383" s="22"/>
    </row>
    <row r="384" spans="2:6" ht="12.5">
      <c r="B384" s="22"/>
      <c r="C384" s="22"/>
      <c r="D384" s="22"/>
      <c r="E384" s="22"/>
      <c r="F384" s="22"/>
    </row>
    <row r="385" spans="2:6" ht="12.5">
      <c r="B385" s="22"/>
      <c r="C385" s="22"/>
      <c r="D385" s="22"/>
      <c r="E385" s="22"/>
      <c r="F385" s="22"/>
    </row>
    <row r="386" spans="2:6" ht="12.5">
      <c r="B386" s="22"/>
      <c r="C386" s="22"/>
      <c r="D386" s="22"/>
      <c r="E386" s="22"/>
      <c r="F386" s="22"/>
    </row>
    <row r="387" spans="2:6" ht="12.5">
      <c r="B387" s="22"/>
      <c r="C387" s="22"/>
      <c r="D387" s="22"/>
      <c r="E387" s="22"/>
      <c r="F387" s="22"/>
    </row>
    <row r="388" spans="2:6" ht="12.5">
      <c r="B388" s="22"/>
      <c r="C388" s="22"/>
      <c r="D388" s="22"/>
      <c r="E388" s="22"/>
      <c r="F388" s="22"/>
    </row>
    <row r="389" spans="2:6" ht="12.5">
      <c r="B389" s="22"/>
      <c r="C389" s="22"/>
      <c r="D389" s="22"/>
      <c r="E389" s="22"/>
      <c r="F389" s="22"/>
    </row>
    <row r="390" spans="2:6" ht="12.5">
      <c r="B390" s="22"/>
      <c r="C390" s="22"/>
      <c r="D390" s="22"/>
      <c r="E390" s="22"/>
      <c r="F390" s="22"/>
    </row>
    <row r="391" spans="2:6" ht="12.5">
      <c r="B391" s="22"/>
      <c r="C391" s="22"/>
      <c r="D391" s="22"/>
      <c r="E391" s="22"/>
      <c r="F391" s="22"/>
    </row>
    <row r="392" spans="2:6" ht="12.5">
      <c r="B392" s="22"/>
      <c r="C392" s="22"/>
      <c r="D392" s="22"/>
      <c r="E392" s="22"/>
      <c r="F392" s="22"/>
    </row>
    <row r="393" spans="2:6" ht="12.5">
      <c r="B393" s="22"/>
      <c r="C393" s="22"/>
      <c r="D393" s="22"/>
      <c r="E393" s="22"/>
      <c r="F393" s="22"/>
    </row>
    <row r="394" spans="2:6" ht="12.5">
      <c r="B394" s="22"/>
      <c r="C394" s="22"/>
      <c r="D394" s="22"/>
      <c r="E394" s="22"/>
      <c r="F394" s="22"/>
    </row>
    <row r="395" spans="2:6" ht="12.5">
      <c r="B395" s="22"/>
      <c r="C395" s="22"/>
      <c r="D395" s="22"/>
      <c r="E395" s="22"/>
      <c r="F395" s="22"/>
    </row>
    <row r="396" spans="2:6" ht="12.5">
      <c r="B396" s="22"/>
      <c r="C396" s="22"/>
      <c r="D396" s="22"/>
      <c r="E396" s="22"/>
      <c r="F396" s="22"/>
    </row>
    <row r="397" spans="2:6" ht="12.5">
      <c r="B397" s="22"/>
      <c r="C397" s="22"/>
      <c r="D397" s="22"/>
      <c r="E397" s="22"/>
      <c r="F397" s="22"/>
    </row>
    <row r="398" spans="2:6" ht="12.5">
      <c r="B398" s="22"/>
      <c r="C398" s="22"/>
      <c r="D398" s="22"/>
      <c r="E398" s="22"/>
      <c r="F398" s="22"/>
    </row>
    <row r="399" spans="2:6" ht="12.5">
      <c r="B399" s="22"/>
      <c r="C399" s="22"/>
      <c r="D399" s="22"/>
      <c r="E399" s="22"/>
      <c r="F399" s="22"/>
    </row>
    <row r="400" spans="2:6" ht="12.5">
      <c r="B400" s="22"/>
      <c r="C400" s="22"/>
      <c r="D400" s="22"/>
      <c r="E400" s="22"/>
      <c r="F400" s="22"/>
    </row>
    <row r="401" spans="2:6" ht="12.5">
      <c r="B401" s="22"/>
      <c r="C401" s="22"/>
      <c r="D401" s="22"/>
      <c r="E401" s="22"/>
      <c r="F401" s="22"/>
    </row>
    <row r="402" spans="2:6" ht="12.5">
      <c r="B402" s="22"/>
      <c r="C402" s="22"/>
      <c r="D402" s="22"/>
      <c r="E402" s="22"/>
      <c r="F402" s="22"/>
    </row>
    <row r="403" spans="2:6" ht="12.5">
      <c r="B403" s="22"/>
      <c r="C403" s="22"/>
      <c r="D403" s="22"/>
      <c r="E403" s="22"/>
      <c r="F403" s="22"/>
    </row>
    <row r="404" spans="2:6" ht="12.5">
      <c r="B404" s="22"/>
      <c r="C404" s="22"/>
      <c r="D404" s="22"/>
      <c r="E404" s="22"/>
      <c r="F404" s="22"/>
    </row>
    <row r="405" spans="2:6" ht="12.5">
      <c r="B405" s="22"/>
      <c r="C405" s="22"/>
      <c r="D405" s="22"/>
      <c r="E405" s="22"/>
      <c r="F405" s="22"/>
    </row>
    <row r="406" spans="2:6" ht="12.5">
      <c r="B406" s="22"/>
      <c r="C406" s="22"/>
      <c r="D406" s="22"/>
      <c r="E406" s="22"/>
      <c r="F406" s="22"/>
    </row>
    <row r="407" spans="2:6" ht="12.5">
      <c r="B407" s="22"/>
      <c r="C407" s="22"/>
      <c r="D407" s="22"/>
      <c r="E407" s="22"/>
      <c r="F407" s="22"/>
    </row>
    <row r="408" spans="2:6" ht="12.5">
      <c r="B408" s="22"/>
      <c r="C408" s="22"/>
      <c r="D408" s="22"/>
      <c r="E408" s="22"/>
      <c r="F408" s="22"/>
    </row>
    <row r="409" spans="2:6" ht="12.5">
      <c r="B409" s="22"/>
      <c r="C409" s="22"/>
      <c r="D409" s="22"/>
      <c r="E409" s="22"/>
      <c r="F409" s="22"/>
    </row>
    <row r="410" spans="2:6" ht="12.5">
      <c r="B410" s="22"/>
      <c r="C410" s="22"/>
      <c r="D410" s="22"/>
      <c r="E410" s="22"/>
      <c r="F410" s="22"/>
    </row>
    <row r="411" spans="2:6" ht="12.5">
      <c r="B411" s="22"/>
      <c r="C411" s="22"/>
      <c r="D411" s="22"/>
      <c r="E411" s="22"/>
      <c r="F411" s="22"/>
    </row>
    <row r="412" spans="2:6" ht="12.5">
      <c r="B412" s="22"/>
      <c r="C412" s="22"/>
      <c r="D412" s="22"/>
      <c r="E412" s="22"/>
      <c r="F412" s="22"/>
    </row>
    <row r="413" spans="2:6" ht="12.5">
      <c r="B413" s="22"/>
      <c r="C413" s="22"/>
      <c r="D413" s="22"/>
      <c r="E413" s="22"/>
      <c r="F413" s="22"/>
    </row>
    <row r="414" spans="2:6" ht="12.5">
      <c r="B414" s="22"/>
      <c r="C414" s="22"/>
      <c r="D414" s="22"/>
      <c r="E414" s="22"/>
      <c r="F414" s="22"/>
    </row>
    <row r="415" spans="2:6" ht="12.5">
      <c r="B415" s="22"/>
      <c r="C415" s="22"/>
      <c r="D415" s="22"/>
      <c r="E415" s="22"/>
      <c r="F415" s="22"/>
    </row>
    <row r="416" spans="2:6" ht="12.5">
      <c r="B416" s="22"/>
      <c r="C416" s="22"/>
      <c r="D416" s="22"/>
      <c r="E416" s="22"/>
      <c r="F416" s="22"/>
    </row>
    <row r="417" spans="2:6" ht="12.5">
      <c r="B417" s="22"/>
      <c r="C417" s="22"/>
      <c r="D417" s="22"/>
      <c r="E417" s="22"/>
      <c r="F417" s="22"/>
    </row>
    <row r="418" spans="2:6" ht="12.5">
      <c r="B418" s="22"/>
      <c r="C418" s="22"/>
      <c r="D418" s="22"/>
      <c r="E418" s="22"/>
      <c r="F418" s="22"/>
    </row>
    <row r="419" spans="2:6" ht="12.5">
      <c r="B419" s="22"/>
      <c r="C419" s="22"/>
      <c r="D419" s="22"/>
      <c r="E419" s="22"/>
      <c r="F419" s="22"/>
    </row>
    <row r="420" spans="2:6" ht="12.5">
      <c r="B420" s="22"/>
      <c r="C420" s="22"/>
      <c r="D420" s="22"/>
      <c r="E420" s="22"/>
      <c r="F420" s="22"/>
    </row>
    <row r="421" spans="2:6" ht="12.5">
      <c r="B421" s="22"/>
      <c r="C421" s="22"/>
      <c r="D421" s="22"/>
      <c r="E421" s="22"/>
      <c r="F421" s="22"/>
    </row>
    <row r="422" spans="2:6" ht="12.5">
      <c r="B422" s="22"/>
      <c r="C422" s="22"/>
      <c r="D422" s="22"/>
      <c r="E422" s="22"/>
      <c r="F422" s="22"/>
    </row>
    <row r="423" spans="2:6" ht="12.5">
      <c r="B423" s="22"/>
      <c r="C423" s="22"/>
      <c r="D423" s="22"/>
      <c r="E423" s="22"/>
      <c r="F423" s="22"/>
    </row>
    <row r="424" spans="2:6" ht="12.5">
      <c r="B424" s="22"/>
      <c r="C424" s="22"/>
      <c r="D424" s="22"/>
      <c r="E424" s="22"/>
      <c r="F424" s="22"/>
    </row>
    <row r="425" spans="2:6" ht="12.5">
      <c r="B425" s="22"/>
      <c r="C425" s="22"/>
      <c r="D425" s="22"/>
      <c r="E425" s="22"/>
      <c r="F425" s="22"/>
    </row>
    <row r="426" spans="2:6" ht="12.5">
      <c r="B426" s="22"/>
      <c r="C426" s="22"/>
      <c r="D426" s="22"/>
      <c r="E426" s="22"/>
      <c r="F426" s="22"/>
    </row>
    <row r="427" spans="2:6" ht="12.5">
      <c r="B427" s="22"/>
      <c r="C427" s="22"/>
      <c r="D427" s="22"/>
      <c r="E427" s="22"/>
      <c r="F427" s="22"/>
    </row>
    <row r="428" spans="2:6" ht="12.5">
      <c r="B428" s="22"/>
      <c r="C428" s="22"/>
      <c r="D428" s="22"/>
      <c r="E428" s="22"/>
      <c r="F428" s="22"/>
    </row>
    <row r="429" spans="2:6" ht="12.5">
      <c r="B429" s="22"/>
      <c r="C429" s="22"/>
      <c r="D429" s="22"/>
      <c r="E429" s="22"/>
      <c r="F429" s="22"/>
    </row>
    <row r="430" spans="2:6" ht="12.5">
      <c r="B430" s="22"/>
      <c r="C430" s="22"/>
      <c r="D430" s="22"/>
      <c r="E430" s="22"/>
      <c r="F430" s="22"/>
    </row>
    <row r="431" spans="2:6" ht="12.5">
      <c r="B431" s="22"/>
      <c r="C431" s="22"/>
      <c r="D431" s="22"/>
      <c r="E431" s="22"/>
      <c r="F431" s="22"/>
    </row>
    <row r="432" spans="2:6" ht="12.5">
      <c r="B432" s="22"/>
      <c r="C432" s="22"/>
      <c r="D432" s="22"/>
      <c r="E432" s="22"/>
      <c r="F432" s="22"/>
    </row>
    <row r="433" spans="2:6" ht="12.5">
      <c r="B433" s="22"/>
      <c r="C433" s="22"/>
      <c r="D433" s="22"/>
      <c r="E433" s="22"/>
      <c r="F433" s="22"/>
    </row>
    <row r="434" spans="2:6" ht="12.5">
      <c r="B434" s="22"/>
      <c r="C434" s="22"/>
      <c r="D434" s="22"/>
      <c r="E434" s="22"/>
      <c r="F434" s="22"/>
    </row>
    <row r="435" spans="2:6" ht="12.5">
      <c r="B435" s="22"/>
      <c r="C435" s="22"/>
      <c r="D435" s="22"/>
      <c r="E435" s="22"/>
      <c r="F435" s="22"/>
    </row>
    <row r="436" spans="2:6" ht="12.5">
      <c r="B436" s="22"/>
      <c r="C436" s="22"/>
      <c r="D436" s="22"/>
      <c r="E436" s="22"/>
      <c r="F436" s="22"/>
    </row>
    <row r="437" spans="2:6" ht="12.5">
      <c r="B437" s="22"/>
      <c r="C437" s="22"/>
      <c r="D437" s="22"/>
      <c r="E437" s="22"/>
      <c r="F437" s="22"/>
    </row>
    <row r="438" spans="2:6" ht="12.5">
      <c r="B438" s="22"/>
      <c r="C438" s="22"/>
      <c r="D438" s="22"/>
      <c r="E438" s="22"/>
      <c r="F438" s="22"/>
    </row>
    <row r="439" spans="2:6" ht="12.5">
      <c r="B439" s="22"/>
      <c r="C439" s="22"/>
      <c r="D439" s="22"/>
      <c r="E439" s="22"/>
      <c r="F439" s="22"/>
    </row>
    <row r="440" spans="2:6" ht="12.5">
      <c r="B440" s="22"/>
      <c r="C440" s="22"/>
      <c r="D440" s="22"/>
      <c r="E440" s="22"/>
      <c r="F440" s="22"/>
    </row>
    <row r="441" spans="2:6" ht="12.5">
      <c r="B441" s="22"/>
      <c r="C441" s="22"/>
      <c r="D441" s="22"/>
      <c r="E441" s="22"/>
      <c r="F441" s="22"/>
    </row>
    <row r="442" spans="2:6" ht="12.5">
      <c r="B442" s="22"/>
      <c r="C442" s="22"/>
      <c r="D442" s="22"/>
      <c r="E442" s="22"/>
      <c r="F442" s="22"/>
    </row>
    <row r="443" spans="2:6" ht="12.5">
      <c r="B443" s="22"/>
      <c r="C443" s="22"/>
      <c r="D443" s="22"/>
      <c r="E443" s="22"/>
      <c r="F443" s="22"/>
    </row>
    <row r="444" spans="2:6" ht="12.5">
      <c r="B444" s="22"/>
      <c r="C444" s="22"/>
      <c r="D444" s="22"/>
      <c r="E444" s="22"/>
      <c r="F444" s="22"/>
    </row>
    <row r="445" spans="2:6" ht="12.5">
      <c r="B445" s="22"/>
      <c r="C445" s="22"/>
      <c r="D445" s="22"/>
      <c r="E445" s="22"/>
      <c r="F445" s="22"/>
    </row>
    <row r="446" spans="2:6" ht="12.5">
      <c r="B446" s="22"/>
      <c r="C446" s="22"/>
      <c r="D446" s="22"/>
      <c r="E446" s="22"/>
      <c r="F446" s="22"/>
    </row>
    <row r="447" spans="2:6" ht="12.5">
      <c r="B447" s="22"/>
      <c r="C447" s="22"/>
      <c r="D447" s="22"/>
      <c r="E447" s="22"/>
      <c r="F447" s="22"/>
    </row>
    <row r="448" spans="2:6" ht="12.5">
      <c r="B448" s="22"/>
      <c r="C448" s="22"/>
      <c r="D448" s="22"/>
      <c r="E448" s="22"/>
      <c r="F448" s="22"/>
    </row>
    <row r="449" spans="2:6" ht="12.5">
      <c r="B449" s="22"/>
      <c r="C449" s="22"/>
      <c r="D449" s="22"/>
      <c r="E449" s="22"/>
      <c r="F449" s="22"/>
    </row>
    <row r="450" spans="2:6" ht="12.5">
      <c r="B450" s="22"/>
      <c r="C450" s="22"/>
      <c r="D450" s="22"/>
      <c r="E450" s="22"/>
      <c r="F450" s="22"/>
    </row>
    <row r="451" spans="2:6" ht="12.5">
      <c r="B451" s="22"/>
      <c r="C451" s="22"/>
      <c r="D451" s="22"/>
      <c r="E451" s="22"/>
      <c r="F451" s="22"/>
    </row>
    <row r="452" spans="2:6" ht="12.5">
      <c r="B452" s="22"/>
      <c r="C452" s="22"/>
      <c r="D452" s="22"/>
      <c r="E452" s="22"/>
      <c r="F452" s="22"/>
    </row>
    <row r="453" spans="2:6" ht="12.5">
      <c r="B453" s="22"/>
      <c r="C453" s="22"/>
      <c r="D453" s="22"/>
      <c r="E453" s="22"/>
      <c r="F453" s="22"/>
    </row>
    <row r="454" spans="2:6" ht="12.5">
      <c r="B454" s="22"/>
      <c r="C454" s="22"/>
      <c r="D454" s="22"/>
      <c r="E454" s="22"/>
      <c r="F454" s="22"/>
    </row>
    <row r="455" spans="2:6" ht="12.5">
      <c r="B455" s="22"/>
      <c r="C455" s="22"/>
      <c r="D455" s="22"/>
      <c r="E455" s="22"/>
      <c r="F455" s="22"/>
    </row>
    <row r="456" spans="2:6" ht="12.5">
      <c r="B456" s="22"/>
      <c r="C456" s="22"/>
      <c r="D456" s="22"/>
      <c r="E456" s="22"/>
      <c r="F456" s="22"/>
    </row>
    <row r="457" spans="2:6" ht="12.5">
      <c r="B457" s="22"/>
      <c r="C457" s="22"/>
      <c r="D457" s="22"/>
      <c r="E457" s="22"/>
      <c r="F457" s="22"/>
    </row>
    <row r="458" spans="2:6" ht="12.5">
      <c r="B458" s="22"/>
      <c r="C458" s="22"/>
      <c r="D458" s="22"/>
      <c r="E458" s="22"/>
      <c r="F458" s="22"/>
    </row>
    <row r="459" spans="2:6" ht="12.5">
      <c r="B459" s="22"/>
      <c r="C459" s="22"/>
      <c r="D459" s="22"/>
      <c r="E459" s="22"/>
      <c r="F459" s="22"/>
    </row>
    <row r="460" spans="2:6" ht="12.5">
      <c r="B460" s="22"/>
      <c r="C460" s="22"/>
      <c r="D460" s="22"/>
      <c r="E460" s="22"/>
      <c r="F460" s="22"/>
    </row>
    <row r="461" spans="2:6" ht="12.5">
      <c r="B461" s="22"/>
      <c r="C461" s="22"/>
      <c r="D461" s="22"/>
      <c r="E461" s="22"/>
      <c r="F461" s="22"/>
    </row>
    <row r="462" spans="2:6" ht="12.5">
      <c r="B462" s="22"/>
      <c r="C462" s="22"/>
      <c r="D462" s="22"/>
      <c r="E462" s="22"/>
      <c r="F462" s="22"/>
    </row>
    <row r="463" spans="2:6" ht="12.5">
      <c r="B463" s="22"/>
      <c r="C463" s="22"/>
      <c r="D463" s="22"/>
      <c r="E463" s="22"/>
      <c r="F463" s="22"/>
    </row>
    <row r="464" spans="2:6" ht="12.5">
      <c r="B464" s="22"/>
      <c r="C464" s="22"/>
      <c r="D464" s="22"/>
      <c r="E464" s="22"/>
      <c r="F464" s="22"/>
    </row>
    <row r="465" spans="2:6" ht="12.5">
      <c r="B465" s="22"/>
      <c r="C465" s="22"/>
      <c r="D465" s="22"/>
      <c r="E465" s="22"/>
      <c r="F465" s="22"/>
    </row>
    <row r="466" spans="2:6" ht="12.5">
      <c r="B466" s="22"/>
      <c r="C466" s="22"/>
      <c r="D466" s="22"/>
      <c r="E466" s="22"/>
      <c r="F466" s="22"/>
    </row>
    <row r="467" spans="2:6" ht="12.5">
      <c r="B467" s="22"/>
      <c r="C467" s="22"/>
      <c r="D467" s="22"/>
      <c r="E467" s="22"/>
      <c r="F467" s="22"/>
    </row>
    <row r="468" spans="2:6" ht="12.5">
      <c r="B468" s="22"/>
      <c r="C468" s="22"/>
      <c r="D468" s="22"/>
      <c r="E468" s="22"/>
      <c r="F468" s="22"/>
    </row>
    <row r="469" spans="2:6" ht="12.5">
      <c r="B469" s="22"/>
      <c r="C469" s="22"/>
      <c r="D469" s="22"/>
      <c r="E469" s="22"/>
      <c r="F469" s="22"/>
    </row>
    <row r="470" spans="2:6" ht="12.5">
      <c r="B470" s="22"/>
      <c r="C470" s="22"/>
      <c r="D470" s="22"/>
      <c r="E470" s="22"/>
      <c r="F470" s="22"/>
    </row>
    <row r="471" spans="2:6" ht="12.5">
      <c r="B471" s="22"/>
      <c r="C471" s="22"/>
      <c r="D471" s="22"/>
      <c r="E471" s="22"/>
      <c r="F471" s="22"/>
    </row>
    <row r="472" spans="2:6" ht="12.5">
      <c r="B472" s="22"/>
      <c r="C472" s="22"/>
      <c r="D472" s="22"/>
      <c r="E472" s="22"/>
      <c r="F472" s="22"/>
    </row>
    <row r="473" spans="2:6" ht="12.5">
      <c r="B473" s="22"/>
      <c r="C473" s="22"/>
      <c r="D473" s="22"/>
      <c r="E473" s="22"/>
      <c r="F473" s="22"/>
    </row>
    <row r="474" spans="2:6" ht="12.5">
      <c r="B474" s="22"/>
      <c r="C474" s="22"/>
      <c r="D474" s="22"/>
      <c r="E474" s="22"/>
      <c r="F474" s="22"/>
    </row>
    <row r="475" spans="2:6" ht="12.5">
      <c r="B475" s="22"/>
      <c r="C475" s="22"/>
      <c r="D475" s="22"/>
      <c r="E475" s="22"/>
      <c r="F475" s="22"/>
    </row>
    <row r="476" spans="2:6" ht="12.5">
      <c r="B476" s="22"/>
      <c r="C476" s="22"/>
      <c r="D476" s="22"/>
      <c r="E476" s="22"/>
      <c r="F476" s="22"/>
    </row>
    <row r="477" spans="2:6" ht="12.5">
      <c r="B477" s="22"/>
      <c r="C477" s="22"/>
      <c r="D477" s="22"/>
      <c r="E477" s="22"/>
      <c r="F477" s="22"/>
    </row>
    <row r="478" spans="2:6" ht="12.5">
      <c r="B478" s="22"/>
      <c r="C478" s="22"/>
      <c r="D478" s="22"/>
      <c r="E478" s="22"/>
      <c r="F478" s="22"/>
    </row>
    <row r="479" spans="2:6" ht="12.5">
      <c r="B479" s="22"/>
      <c r="C479" s="22"/>
      <c r="D479" s="22"/>
      <c r="E479" s="22"/>
      <c r="F479" s="22"/>
    </row>
    <row r="480" spans="2:6" ht="12.5">
      <c r="B480" s="22"/>
      <c r="C480" s="22"/>
      <c r="D480" s="22"/>
      <c r="E480" s="22"/>
      <c r="F480" s="22"/>
    </row>
    <row r="481" spans="2:6" ht="12.5">
      <c r="B481" s="22"/>
      <c r="C481" s="22"/>
      <c r="D481" s="22"/>
      <c r="E481" s="22"/>
      <c r="F481" s="22"/>
    </row>
    <row r="482" spans="2:6" ht="12.5">
      <c r="B482" s="22"/>
      <c r="C482" s="22"/>
      <c r="D482" s="22"/>
      <c r="E482" s="22"/>
      <c r="F482" s="22"/>
    </row>
    <row r="483" spans="2:6" ht="12.5">
      <c r="B483" s="22"/>
      <c r="C483" s="22"/>
      <c r="D483" s="22"/>
      <c r="E483" s="22"/>
      <c r="F483" s="22"/>
    </row>
    <row r="484" spans="2:6" ht="12.5">
      <c r="B484" s="22"/>
      <c r="C484" s="22"/>
      <c r="D484" s="22"/>
      <c r="E484" s="22"/>
      <c r="F484" s="22"/>
    </row>
    <row r="485" spans="2:6" ht="12.5">
      <c r="B485" s="22"/>
      <c r="C485" s="22"/>
      <c r="D485" s="22"/>
      <c r="E485" s="22"/>
      <c r="F485" s="22"/>
    </row>
    <row r="486" spans="2:6" ht="12.5">
      <c r="B486" s="22"/>
      <c r="C486" s="22"/>
      <c r="D486" s="22"/>
      <c r="E486" s="22"/>
      <c r="F486" s="22"/>
    </row>
    <row r="487" spans="2:6" ht="12.5">
      <c r="B487" s="22"/>
      <c r="C487" s="22"/>
      <c r="D487" s="22"/>
      <c r="E487" s="22"/>
      <c r="F487" s="22"/>
    </row>
    <row r="488" spans="2:6" ht="12.5">
      <c r="B488" s="22"/>
      <c r="C488" s="22"/>
      <c r="D488" s="22"/>
      <c r="E488" s="22"/>
      <c r="F488" s="22"/>
    </row>
    <row r="489" spans="2:6" ht="12.5">
      <c r="B489" s="22"/>
      <c r="C489" s="22"/>
      <c r="D489" s="22"/>
      <c r="E489" s="22"/>
      <c r="F489" s="22"/>
    </row>
    <row r="490" spans="2:6" ht="12.5">
      <c r="B490" s="22"/>
      <c r="C490" s="22"/>
      <c r="D490" s="22"/>
      <c r="E490" s="22"/>
      <c r="F490" s="22"/>
    </row>
    <row r="491" spans="2:6" ht="12.5">
      <c r="B491" s="22"/>
      <c r="C491" s="22"/>
      <c r="D491" s="22"/>
      <c r="E491" s="22"/>
      <c r="F491" s="22"/>
    </row>
    <row r="492" spans="2:6" ht="12.5">
      <c r="B492" s="22"/>
      <c r="C492" s="22"/>
      <c r="D492" s="22"/>
      <c r="E492" s="22"/>
      <c r="F492" s="22"/>
    </row>
    <row r="493" spans="2:6" ht="12.5">
      <c r="B493" s="22"/>
      <c r="C493" s="22"/>
      <c r="D493" s="22"/>
      <c r="E493" s="22"/>
      <c r="F493" s="22"/>
    </row>
    <row r="494" spans="2:6" ht="12.5">
      <c r="B494" s="22"/>
      <c r="C494" s="22"/>
      <c r="D494" s="22"/>
      <c r="E494" s="22"/>
      <c r="F494" s="22"/>
    </row>
    <row r="495" spans="2:6" ht="12.5">
      <c r="B495" s="22"/>
      <c r="C495" s="22"/>
      <c r="D495" s="22"/>
      <c r="E495" s="22"/>
      <c r="F495" s="22"/>
    </row>
    <row r="496" spans="2:6" ht="12.5">
      <c r="B496" s="22"/>
      <c r="C496" s="22"/>
      <c r="D496" s="22"/>
      <c r="E496" s="22"/>
      <c r="F496" s="22"/>
    </row>
    <row r="497" spans="2:6" ht="12.5">
      <c r="B497" s="22"/>
      <c r="C497" s="22"/>
      <c r="D497" s="22"/>
      <c r="E497" s="22"/>
      <c r="F497" s="22"/>
    </row>
    <row r="498" spans="2:6" ht="12.5">
      <c r="B498" s="22"/>
      <c r="C498" s="22"/>
      <c r="D498" s="22"/>
      <c r="E498" s="22"/>
      <c r="F498" s="22"/>
    </row>
    <row r="499" spans="2:6" ht="12.5">
      <c r="B499" s="22"/>
      <c r="C499" s="22"/>
      <c r="D499" s="22"/>
      <c r="E499" s="22"/>
      <c r="F499" s="22"/>
    </row>
    <row r="500" spans="2:6" ht="12.5">
      <c r="B500" s="22"/>
      <c r="C500" s="22"/>
      <c r="D500" s="22"/>
      <c r="E500" s="22"/>
      <c r="F500" s="22"/>
    </row>
    <row r="501" spans="2:6" ht="12.5">
      <c r="B501" s="22"/>
      <c r="C501" s="22"/>
      <c r="D501" s="22"/>
      <c r="E501" s="22"/>
      <c r="F501" s="22"/>
    </row>
    <row r="502" spans="2:6" ht="12.5">
      <c r="B502" s="22"/>
      <c r="C502" s="22"/>
      <c r="D502" s="22"/>
      <c r="E502" s="22"/>
      <c r="F502" s="22"/>
    </row>
    <row r="503" spans="2:6" ht="12.5">
      <c r="B503" s="22"/>
      <c r="C503" s="22"/>
      <c r="D503" s="22"/>
      <c r="E503" s="22"/>
      <c r="F503" s="22"/>
    </row>
    <row r="504" spans="2:6" ht="12.5">
      <c r="B504" s="22"/>
      <c r="C504" s="22"/>
      <c r="D504" s="22"/>
      <c r="E504" s="22"/>
      <c r="F504" s="22"/>
    </row>
    <row r="505" spans="2:6" ht="12.5">
      <c r="B505" s="22"/>
      <c r="C505" s="22"/>
      <c r="D505" s="22"/>
      <c r="E505" s="22"/>
      <c r="F505" s="22"/>
    </row>
    <row r="506" spans="2:6" ht="12.5">
      <c r="B506" s="22"/>
      <c r="C506" s="22"/>
      <c r="D506" s="22"/>
      <c r="E506" s="22"/>
      <c r="F506" s="22"/>
    </row>
    <row r="507" spans="2:6" ht="12.5">
      <c r="B507" s="22"/>
      <c r="C507" s="22"/>
      <c r="D507" s="22"/>
      <c r="E507" s="22"/>
      <c r="F507" s="22"/>
    </row>
    <row r="508" spans="2:6" ht="12.5">
      <c r="B508" s="22"/>
      <c r="C508" s="22"/>
      <c r="D508" s="22"/>
      <c r="E508" s="22"/>
      <c r="F508" s="22"/>
    </row>
    <row r="509" spans="2:6" ht="12.5">
      <c r="B509" s="22"/>
      <c r="C509" s="22"/>
      <c r="D509" s="22"/>
      <c r="E509" s="22"/>
      <c r="F509" s="22"/>
    </row>
    <row r="510" spans="2:6" ht="12.5">
      <c r="B510" s="22"/>
      <c r="C510" s="22"/>
      <c r="D510" s="22"/>
      <c r="E510" s="22"/>
      <c r="F510" s="22"/>
    </row>
    <row r="511" spans="2:6" ht="12.5">
      <c r="B511" s="22"/>
      <c r="C511" s="22"/>
      <c r="D511" s="22"/>
      <c r="E511" s="22"/>
      <c r="F511" s="22"/>
    </row>
    <row r="512" spans="2:6" ht="12.5">
      <c r="B512" s="22"/>
      <c r="C512" s="22"/>
      <c r="D512" s="22"/>
      <c r="E512" s="22"/>
      <c r="F512" s="22"/>
    </row>
    <row r="513" spans="2:6" ht="12.5">
      <c r="B513" s="22"/>
      <c r="C513" s="22"/>
      <c r="D513" s="22"/>
      <c r="E513" s="22"/>
      <c r="F513" s="22"/>
    </row>
    <row r="514" spans="2:6" ht="12.5">
      <c r="B514" s="22"/>
      <c r="C514" s="22"/>
      <c r="D514" s="22"/>
      <c r="E514" s="22"/>
      <c r="F514" s="22"/>
    </row>
    <row r="515" spans="2:6" ht="12.5">
      <c r="B515" s="22"/>
      <c r="C515" s="22"/>
      <c r="D515" s="22"/>
      <c r="E515" s="22"/>
      <c r="F515" s="22"/>
    </row>
    <row r="516" spans="2:6" ht="12.5">
      <c r="B516" s="22"/>
      <c r="C516" s="22"/>
      <c r="D516" s="22"/>
      <c r="E516" s="22"/>
      <c r="F516" s="22"/>
    </row>
    <row r="517" spans="2:6" ht="12.5">
      <c r="B517" s="22"/>
      <c r="C517" s="22"/>
      <c r="D517" s="22"/>
      <c r="E517" s="22"/>
      <c r="F517" s="22"/>
    </row>
    <row r="518" spans="2:6" ht="12.5">
      <c r="B518" s="22"/>
      <c r="C518" s="22"/>
      <c r="D518" s="22"/>
      <c r="E518" s="22"/>
      <c r="F518" s="22"/>
    </row>
    <row r="519" spans="2:6" ht="12.5">
      <c r="B519" s="22"/>
      <c r="C519" s="22"/>
      <c r="D519" s="22"/>
      <c r="E519" s="22"/>
      <c r="F519" s="22"/>
    </row>
    <row r="520" spans="2:6" ht="12.5">
      <c r="B520" s="22"/>
      <c r="C520" s="22"/>
      <c r="D520" s="22"/>
      <c r="E520" s="22"/>
      <c r="F520" s="22"/>
    </row>
    <row r="521" spans="2:6" ht="12.5">
      <c r="B521" s="22"/>
      <c r="C521" s="22"/>
      <c r="D521" s="22"/>
      <c r="E521" s="22"/>
      <c r="F521" s="22"/>
    </row>
    <row r="522" spans="2:6" ht="12.5">
      <c r="B522" s="22"/>
      <c r="C522" s="22"/>
      <c r="D522" s="22"/>
      <c r="E522" s="22"/>
      <c r="F522" s="22"/>
    </row>
    <row r="523" spans="2:6" ht="12.5">
      <c r="B523" s="22"/>
      <c r="C523" s="22"/>
      <c r="D523" s="22"/>
      <c r="E523" s="22"/>
      <c r="F523" s="22"/>
    </row>
    <row r="524" spans="2:6" ht="12.5">
      <c r="B524" s="22"/>
      <c r="C524" s="22"/>
      <c r="D524" s="22"/>
      <c r="E524" s="22"/>
      <c r="F524" s="22"/>
    </row>
    <row r="525" spans="2:6" ht="12.5">
      <c r="B525" s="22"/>
      <c r="C525" s="22"/>
      <c r="D525" s="22"/>
      <c r="E525" s="22"/>
      <c r="F525" s="22"/>
    </row>
    <row r="526" spans="2:6" ht="12.5">
      <c r="B526" s="22"/>
      <c r="C526" s="22"/>
      <c r="D526" s="22"/>
      <c r="E526" s="22"/>
      <c r="F526" s="22"/>
    </row>
    <row r="527" spans="2:6" ht="12.5">
      <c r="B527" s="22"/>
      <c r="C527" s="22"/>
      <c r="D527" s="22"/>
      <c r="E527" s="22"/>
      <c r="F527" s="22"/>
    </row>
    <row r="528" spans="2:6" ht="12.5">
      <c r="B528" s="22"/>
      <c r="C528" s="22"/>
      <c r="D528" s="22"/>
      <c r="E528" s="22"/>
      <c r="F528" s="22"/>
    </row>
    <row r="529" spans="2:6" ht="12.5">
      <c r="B529" s="22"/>
      <c r="C529" s="22"/>
      <c r="D529" s="22"/>
      <c r="E529" s="22"/>
      <c r="F529" s="22"/>
    </row>
    <row r="530" spans="2:6" ht="12.5">
      <c r="B530" s="22"/>
      <c r="C530" s="22"/>
      <c r="D530" s="22"/>
      <c r="E530" s="22"/>
      <c r="F530" s="22"/>
    </row>
    <row r="531" spans="2:6" ht="12.5">
      <c r="B531" s="22"/>
      <c r="C531" s="22"/>
      <c r="D531" s="22"/>
      <c r="E531" s="22"/>
      <c r="F531" s="22"/>
    </row>
    <row r="532" spans="2:6" ht="12.5">
      <c r="B532" s="22"/>
      <c r="C532" s="22"/>
      <c r="D532" s="22"/>
      <c r="E532" s="22"/>
      <c r="F532" s="22"/>
    </row>
    <row r="533" spans="2:6" ht="12.5">
      <c r="B533" s="22"/>
      <c r="C533" s="22"/>
      <c r="D533" s="22"/>
      <c r="E533" s="22"/>
      <c r="F533" s="22"/>
    </row>
    <row r="534" spans="2:6" ht="12.5">
      <c r="B534" s="22"/>
      <c r="C534" s="22"/>
      <c r="D534" s="22"/>
      <c r="E534" s="22"/>
      <c r="F534" s="22"/>
    </row>
    <row r="535" spans="2:6" ht="12.5">
      <c r="B535" s="22"/>
      <c r="C535" s="22"/>
      <c r="D535" s="22"/>
      <c r="E535" s="22"/>
      <c r="F535" s="22"/>
    </row>
    <row r="536" spans="2:6" ht="12.5">
      <c r="B536" s="22"/>
      <c r="C536" s="22"/>
      <c r="D536" s="22"/>
      <c r="E536" s="22"/>
      <c r="F536" s="22"/>
    </row>
    <row r="537" spans="2:6" ht="12.5">
      <c r="B537" s="22"/>
      <c r="C537" s="22"/>
      <c r="D537" s="22"/>
      <c r="E537" s="22"/>
      <c r="F537" s="22"/>
    </row>
    <row r="538" spans="2:6" ht="12.5">
      <c r="B538" s="22"/>
      <c r="C538" s="22"/>
      <c r="D538" s="22"/>
      <c r="E538" s="22"/>
      <c r="F538" s="22"/>
    </row>
    <row r="539" spans="2:6" ht="12.5">
      <c r="B539" s="22"/>
      <c r="C539" s="22"/>
      <c r="D539" s="22"/>
      <c r="E539" s="22"/>
      <c r="F539" s="22"/>
    </row>
    <row r="540" spans="2:6" ht="12.5">
      <c r="B540" s="22"/>
      <c r="C540" s="22"/>
      <c r="D540" s="22"/>
      <c r="E540" s="22"/>
      <c r="F540" s="22"/>
    </row>
    <row r="541" spans="2:6" ht="12.5">
      <c r="B541" s="22"/>
      <c r="C541" s="22"/>
      <c r="D541" s="22"/>
      <c r="E541" s="22"/>
      <c r="F541" s="22"/>
    </row>
    <row r="542" spans="2:6" ht="12.5">
      <c r="B542" s="22"/>
      <c r="C542" s="22"/>
      <c r="D542" s="22"/>
      <c r="E542" s="22"/>
      <c r="F542" s="22"/>
    </row>
    <row r="543" spans="2:6" ht="12.5">
      <c r="B543" s="22"/>
      <c r="C543" s="22"/>
      <c r="D543" s="22"/>
      <c r="E543" s="22"/>
      <c r="F543" s="22"/>
    </row>
    <row r="544" spans="2:6" ht="12.5">
      <c r="B544" s="22"/>
      <c r="C544" s="22"/>
      <c r="D544" s="22"/>
      <c r="E544" s="22"/>
      <c r="F544" s="22"/>
    </row>
    <row r="545" spans="2:6" ht="12.5">
      <c r="B545" s="22"/>
      <c r="C545" s="22"/>
      <c r="D545" s="22"/>
      <c r="E545" s="22"/>
      <c r="F545" s="22"/>
    </row>
    <row r="546" spans="2:6" ht="12.5">
      <c r="B546" s="22"/>
      <c r="C546" s="22"/>
      <c r="D546" s="22"/>
      <c r="E546" s="22"/>
      <c r="F546" s="22"/>
    </row>
    <row r="547" spans="2:6" ht="12.5">
      <c r="B547" s="22"/>
      <c r="C547" s="22"/>
      <c r="D547" s="22"/>
      <c r="E547" s="22"/>
      <c r="F547" s="22"/>
    </row>
    <row r="548" spans="2:6" ht="12.5">
      <c r="B548" s="22"/>
      <c r="C548" s="22"/>
      <c r="D548" s="22"/>
      <c r="E548" s="22"/>
      <c r="F548" s="22"/>
    </row>
    <row r="549" spans="2:6" ht="12.5">
      <c r="B549" s="22"/>
      <c r="C549" s="22"/>
      <c r="D549" s="22"/>
      <c r="E549" s="22"/>
      <c r="F549" s="22"/>
    </row>
    <row r="550" spans="2:6" ht="12.5">
      <c r="B550" s="22"/>
      <c r="C550" s="22"/>
      <c r="D550" s="22"/>
      <c r="E550" s="22"/>
      <c r="F550" s="22"/>
    </row>
    <row r="551" spans="2:6" ht="12.5">
      <c r="B551" s="22"/>
      <c r="C551" s="22"/>
      <c r="D551" s="22"/>
      <c r="E551" s="22"/>
      <c r="F551" s="22"/>
    </row>
    <row r="552" spans="2:6" ht="12.5">
      <c r="B552" s="22"/>
      <c r="C552" s="22"/>
      <c r="D552" s="22"/>
      <c r="E552" s="22"/>
      <c r="F552" s="22"/>
    </row>
    <row r="553" spans="2:6" ht="12.5">
      <c r="B553" s="22"/>
      <c r="C553" s="22"/>
      <c r="D553" s="22"/>
      <c r="E553" s="22"/>
      <c r="F553" s="22"/>
    </row>
    <row r="554" spans="2:6" ht="12.5">
      <c r="B554" s="22"/>
      <c r="C554" s="22"/>
      <c r="D554" s="22"/>
      <c r="E554" s="22"/>
      <c r="F554" s="22"/>
    </row>
    <row r="555" spans="2:6" ht="12.5">
      <c r="B555" s="22"/>
      <c r="C555" s="22"/>
      <c r="D555" s="22"/>
      <c r="E555" s="22"/>
      <c r="F555" s="22"/>
    </row>
    <row r="556" spans="2:6" ht="12.5">
      <c r="B556" s="22"/>
      <c r="C556" s="22"/>
      <c r="D556" s="22"/>
      <c r="E556" s="22"/>
      <c r="F556" s="22"/>
    </row>
    <row r="557" spans="2:6" ht="12.5">
      <c r="B557" s="22"/>
      <c r="C557" s="22"/>
      <c r="D557" s="22"/>
      <c r="E557" s="22"/>
      <c r="F557" s="22"/>
    </row>
    <row r="558" spans="2:6" ht="12.5">
      <c r="B558" s="22"/>
      <c r="C558" s="22"/>
      <c r="D558" s="22"/>
      <c r="E558" s="22"/>
      <c r="F558" s="22"/>
    </row>
    <row r="559" spans="2:6" ht="12.5">
      <c r="B559" s="22"/>
      <c r="C559" s="22"/>
      <c r="D559" s="22"/>
      <c r="E559" s="22"/>
      <c r="F559" s="22"/>
    </row>
    <row r="560" spans="2:6" ht="12.5">
      <c r="B560" s="22"/>
      <c r="C560" s="22"/>
      <c r="D560" s="22"/>
      <c r="E560" s="22"/>
      <c r="F560" s="22"/>
    </row>
    <row r="561" spans="2:6" ht="12.5">
      <c r="B561" s="22"/>
      <c r="C561" s="22"/>
      <c r="D561" s="22"/>
      <c r="E561" s="22"/>
      <c r="F561" s="22"/>
    </row>
    <row r="562" spans="2:6" ht="12.5">
      <c r="B562" s="22"/>
      <c r="C562" s="22"/>
      <c r="D562" s="22"/>
      <c r="E562" s="22"/>
      <c r="F562" s="22"/>
    </row>
    <row r="563" spans="2:6" ht="12.5">
      <c r="B563" s="22"/>
      <c r="C563" s="22"/>
      <c r="D563" s="22"/>
      <c r="E563" s="22"/>
      <c r="F563" s="22"/>
    </row>
    <row r="564" spans="2:6" ht="12.5">
      <c r="B564" s="22"/>
      <c r="C564" s="22"/>
      <c r="D564" s="22"/>
      <c r="E564" s="22"/>
      <c r="F564" s="22"/>
    </row>
    <row r="565" spans="2:6" ht="12.5">
      <c r="B565" s="22"/>
      <c r="C565" s="22"/>
      <c r="D565" s="22"/>
      <c r="E565" s="22"/>
      <c r="F565" s="22"/>
    </row>
    <row r="566" spans="2:6" ht="12.5">
      <c r="B566" s="22"/>
      <c r="C566" s="22"/>
      <c r="D566" s="22"/>
      <c r="E566" s="22"/>
      <c r="F566" s="22"/>
    </row>
    <row r="567" spans="2:6" ht="12.5">
      <c r="B567" s="22"/>
      <c r="C567" s="22"/>
      <c r="D567" s="22"/>
      <c r="E567" s="22"/>
      <c r="F567" s="22"/>
    </row>
    <row r="568" spans="2:6" ht="12.5">
      <c r="B568" s="22"/>
      <c r="C568" s="22"/>
      <c r="D568" s="22"/>
      <c r="E568" s="22"/>
      <c r="F568" s="22"/>
    </row>
    <row r="569" spans="2:6" ht="12.5">
      <c r="B569" s="22"/>
      <c r="C569" s="22"/>
      <c r="D569" s="22"/>
      <c r="E569" s="22"/>
      <c r="F569" s="22"/>
    </row>
    <row r="570" spans="2:6" ht="12.5">
      <c r="B570" s="22"/>
      <c r="C570" s="22"/>
      <c r="D570" s="22"/>
      <c r="E570" s="22"/>
      <c r="F570" s="22"/>
    </row>
    <row r="571" spans="2:6" ht="12.5">
      <c r="B571" s="22"/>
      <c r="C571" s="22"/>
      <c r="D571" s="22"/>
      <c r="E571" s="22"/>
      <c r="F571" s="22"/>
    </row>
    <row r="572" spans="2:6" ht="12.5">
      <c r="B572" s="22"/>
      <c r="C572" s="22"/>
      <c r="D572" s="22"/>
      <c r="E572" s="22"/>
      <c r="F572" s="22"/>
    </row>
    <row r="573" spans="2:6" ht="12.5">
      <c r="B573" s="22"/>
      <c r="C573" s="22"/>
      <c r="D573" s="22"/>
      <c r="E573" s="22"/>
      <c r="F573" s="22"/>
    </row>
    <row r="574" spans="2:6" ht="12.5">
      <c r="B574" s="22"/>
      <c r="C574" s="22"/>
      <c r="D574" s="22"/>
      <c r="E574" s="22"/>
      <c r="F574" s="22"/>
    </row>
    <row r="575" spans="2:6" ht="12.5">
      <c r="B575" s="22"/>
      <c r="C575" s="22"/>
      <c r="D575" s="22"/>
      <c r="E575" s="22"/>
      <c r="F575" s="22"/>
    </row>
    <row r="576" spans="2:6" ht="12.5">
      <c r="B576" s="22"/>
      <c r="C576" s="22"/>
      <c r="D576" s="22"/>
      <c r="E576" s="22"/>
      <c r="F576" s="22"/>
    </row>
    <row r="577" spans="2:6" ht="12.5">
      <c r="B577" s="22"/>
      <c r="C577" s="22"/>
      <c r="D577" s="22"/>
      <c r="E577" s="22"/>
      <c r="F577" s="22"/>
    </row>
    <row r="578" spans="2:6" ht="12.5">
      <c r="B578" s="22"/>
      <c r="C578" s="22"/>
      <c r="D578" s="22"/>
      <c r="E578" s="22"/>
      <c r="F578" s="22"/>
    </row>
    <row r="579" spans="2:6" ht="12.5">
      <c r="B579" s="22"/>
      <c r="C579" s="22"/>
      <c r="D579" s="22"/>
      <c r="E579" s="22"/>
      <c r="F579" s="22"/>
    </row>
    <row r="580" spans="2:6" ht="12.5">
      <c r="B580" s="22"/>
      <c r="C580" s="22"/>
      <c r="D580" s="22"/>
      <c r="E580" s="22"/>
      <c r="F580" s="22"/>
    </row>
    <row r="581" spans="2:6" ht="12.5">
      <c r="B581" s="22"/>
      <c r="C581" s="22"/>
      <c r="D581" s="22"/>
      <c r="E581" s="22"/>
      <c r="F581" s="22"/>
    </row>
    <row r="582" spans="2:6" ht="12.5">
      <c r="B582" s="22"/>
      <c r="C582" s="22"/>
      <c r="D582" s="22"/>
      <c r="E582" s="22"/>
      <c r="F582" s="22"/>
    </row>
    <row r="583" spans="2:6" ht="12.5">
      <c r="B583" s="22"/>
      <c r="C583" s="22"/>
      <c r="D583" s="22"/>
      <c r="E583" s="22"/>
      <c r="F583" s="22"/>
    </row>
    <row r="584" spans="2:6" ht="12.5">
      <c r="B584" s="22"/>
      <c r="C584" s="22"/>
      <c r="D584" s="22"/>
      <c r="E584" s="22"/>
      <c r="F584" s="22"/>
    </row>
    <row r="585" spans="2:6" ht="12.5">
      <c r="B585" s="22"/>
      <c r="C585" s="22"/>
      <c r="D585" s="22"/>
      <c r="E585" s="22"/>
      <c r="F585" s="22"/>
    </row>
    <row r="586" spans="2:6" ht="12.5">
      <c r="B586" s="22"/>
      <c r="C586" s="22"/>
      <c r="D586" s="22"/>
      <c r="E586" s="22"/>
      <c r="F586" s="22"/>
    </row>
    <row r="587" spans="2:6" ht="12.5">
      <c r="B587" s="22"/>
      <c r="C587" s="22"/>
      <c r="D587" s="22"/>
      <c r="E587" s="22"/>
      <c r="F587" s="22"/>
    </row>
    <row r="588" spans="2:6" ht="12.5">
      <c r="B588" s="22"/>
      <c r="C588" s="22"/>
      <c r="D588" s="22"/>
      <c r="E588" s="22"/>
      <c r="F588" s="22"/>
    </row>
    <row r="589" spans="2:6" ht="12.5">
      <c r="B589" s="22"/>
      <c r="C589" s="22"/>
      <c r="D589" s="22"/>
      <c r="E589" s="22"/>
      <c r="F589" s="22"/>
    </row>
    <row r="590" spans="2:6" ht="12.5">
      <c r="B590" s="22"/>
      <c r="C590" s="22"/>
      <c r="D590" s="22"/>
      <c r="E590" s="22"/>
      <c r="F590" s="22"/>
    </row>
    <row r="591" spans="2:6" ht="12.5">
      <c r="B591" s="22"/>
      <c r="C591" s="22"/>
      <c r="D591" s="22"/>
      <c r="E591" s="22"/>
      <c r="F591" s="22"/>
    </row>
    <row r="592" spans="2:6" ht="12.5">
      <c r="B592" s="22"/>
      <c r="C592" s="22"/>
      <c r="D592" s="22"/>
      <c r="E592" s="22"/>
      <c r="F592" s="22"/>
    </row>
    <row r="593" spans="2:6" ht="12.5">
      <c r="B593" s="22"/>
      <c r="C593" s="22"/>
      <c r="D593" s="22"/>
      <c r="E593" s="22"/>
      <c r="F593" s="22"/>
    </row>
    <row r="594" spans="2:6" ht="12.5">
      <c r="B594" s="22"/>
      <c r="C594" s="22"/>
      <c r="D594" s="22"/>
      <c r="E594" s="22"/>
      <c r="F594" s="22"/>
    </row>
    <row r="595" spans="2:6" ht="12.5">
      <c r="B595" s="22"/>
      <c r="C595" s="22"/>
      <c r="D595" s="22"/>
      <c r="E595" s="22"/>
      <c r="F595" s="22"/>
    </row>
    <row r="596" spans="2:6" ht="12.5">
      <c r="B596" s="22"/>
      <c r="C596" s="22"/>
      <c r="D596" s="22"/>
      <c r="E596" s="22"/>
      <c r="F596" s="22"/>
    </row>
    <row r="597" spans="2:6" ht="12.5">
      <c r="B597" s="22"/>
      <c r="C597" s="22"/>
      <c r="D597" s="22"/>
      <c r="E597" s="22"/>
      <c r="F597" s="22"/>
    </row>
    <row r="598" spans="2:6" ht="12.5">
      <c r="B598" s="22"/>
      <c r="C598" s="22"/>
      <c r="D598" s="22"/>
      <c r="E598" s="22"/>
      <c r="F598" s="22"/>
    </row>
    <row r="599" spans="2:6" ht="12.5">
      <c r="B599" s="22"/>
      <c r="C599" s="22"/>
      <c r="D599" s="22"/>
      <c r="E599" s="22"/>
      <c r="F599" s="22"/>
    </row>
    <row r="600" spans="2:6" ht="12.5">
      <c r="B600" s="22"/>
      <c r="C600" s="22"/>
      <c r="D600" s="22"/>
      <c r="E600" s="22"/>
      <c r="F600" s="22"/>
    </row>
    <row r="601" spans="2:6" ht="12.5">
      <c r="B601" s="22"/>
      <c r="C601" s="22"/>
      <c r="D601" s="22"/>
      <c r="E601" s="22"/>
      <c r="F601" s="22"/>
    </row>
    <row r="602" spans="2:6" ht="12.5">
      <c r="B602" s="22"/>
      <c r="C602" s="22"/>
      <c r="D602" s="22"/>
      <c r="E602" s="22"/>
      <c r="F602" s="22"/>
    </row>
    <row r="603" spans="2:6" ht="12.5">
      <c r="B603" s="22"/>
      <c r="C603" s="22"/>
      <c r="D603" s="22"/>
      <c r="E603" s="22"/>
      <c r="F603" s="22"/>
    </row>
    <row r="604" spans="2:6" ht="12.5">
      <c r="B604" s="22"/>
      <c r="C604" s="22"/>
      <c r="D604" s="22"/>
      <c r="E604" s="22"/>
      <c r="F604" s="22"/>
    </row>
    <row r="605" spans="2:6" ht="12.5">
      <c r="B605" s="22"/>
      <c r="C605" s="22"/>
      <c r="D605" s="22"/>
      <c r="E605" s="22"/>
      <c r="F605" s="22"/>
    </row>
    <row r="606" spans="2:6" ht="12.5">
      <c r="B606" s="22"/>
      <c r="C606" s="22"/>
      <c r="D606" s="22"/>
      <c r="E606" s="22"/>
      <c r="F606" s="22"/>
    </row>
    <row r="607" spans="2:6" ht="12.5">
      <c r="B607" s="22"/>
      <c r="C607" s="22"/>
      <c r="D607" s="22"/>
      <c r="E607" s="22"/>
      <c r="F607" s="22"/>
    </row>
    <row r="608" spans="2:6" ht="12.5">
      <c r="B608" s="22"/>
      <c r="C608" s="22"/>
      <c r="D608" s="22"/>
      <c r="E608" s="22"/>
      <c r="F608" s="22"/>
    </row>
    <row r="609" spans="2:6" ht="12.5">
      <c r="B609" s="22"/>
      <c r="C609" s="22"/>
      <c r="D609" s="22"/>
      <c r="E609" s="22"/>
      <c r="F609" s="22"/>
    </row>
    <row r="610" spans="2:6" ht="12.5">
      <c r="B610" s="22"/>
      <c r="C610" s="22"/>
      <c r="D610" s="22"/>
      <c r="E610" s="22"/>
      <c r="F610" s="22"/>
    </row>
    <row r="611" spans="2:6" ht="12.5">
      <c r="B611" s="22"/>
      <c r="C611" s="22"/>
      <c r="D611" s="22"/>
      <c r="E611" s="22"/>
      <c r="F611" s="22"/>
    </row>
    <row r="612" spans="2:6" ht="12.5">
      <c r="B612" s="22"/>
      <c r="C612" s="22"/>
      <c r="D612" s="22"/>
      <c r="E612" s="22"/>
      <c r="F612" s="22"/>
    </row>
    <row r="613" spans="2:6" ht="12.5">
      <c r="B613" s="22"/>
      <c r="C613" s="22"/>
      <c r="D613" s="22"/>
      <c r="E613" s="22"/>
      <c r="F613" s="22"/>
    </row>
    <row r="614" spans="2:6" ht="12.5">
      <c r="B614" s="22"/>
      <c r="C614" s="22"/>
      <c r="D614" s="22"/>
      <c r="E614" s="22"/>
      <c r="F614" s="22"/>
    </row>
    <row r="615" spans="2:6" ht="12.5">
      <c r="B615" s="22"/>
      <c r="C615" s="22"/>
      <c r="D615" s="22"/>
      <c r="E615" s="22"/>
      <c r="F615" s="22"/>
    </row>
    <row r="616" spans="2:6" ht="12.5">
      <c r="B616" s="22"/>
      <c r="C616" s="22"/>
      <c r="D616" s="22"/>
      <c r="E616" s="22"/>
      <c r="F616" s="22"/>
    </row>
    <row r="617" spans="2:6" ht="12.5">
      <c r="B617" s="22"/>
      <c r="C617" s="22"/>
      <c r="D617" s="22"/>
      <c r="E617" s="22"/>
      <c r="F617" s="22"/>
    </row>
    <row r="618" spans="2:6" ht="12.5">
      <c r="B618" s="22"/>
      <c r="C618" s="22"/>
      <c r="D618" s="22"/>
      <c r="E618" s="22"/>
      <c r="F618" s="22"/>
    </row>
    <row r="619" spans="2:6" ht="12.5">
      <c r="B619" s="22"/>
      <c r="C619" s="22"/>
      <c r="D619" s="22"/>
      <c r="E619" s="22"/>
      <c r="F619" s="22"/>
    </row>
    <row r="620" spans="2:6" ht="12.5">
      <c r="B620" s="22"/>
      <c r="C620" s="22"/>
      <c r="D620" s="22"/>
      <c r="E620" s="22"/>
      <c r="F620" s="22"/>
    </row>
    <row r="621" spans="2:6" ht="12.5">
      <c r="B621" s="22"/>
      <c r="C621" s="22"/>
      <c r="D621" s="22"/>
      <c r="E621" s="22"/>
      <c r="F621" s="22"/>
    </row>
    <row r="622" spans="2:6" ht="12.5">
      <c r="B622" s="22"/>
      <c r="C622" s="22"/>
      <c r="D622" s="22"/>
      <c r="E622" s="22"/>
      <c r="F622" s="22"/>
    </row>
    <row r="623" spans="2:6" ht="12.5">
      <c r="B623" s="22"/>
      <c r="C623" s="22"/>
      <c r="D623" s="22"/>
      <c r="E623" s="22"/>
      <c r="F623" s="22"/>
    </row>
    <row r="624" spans="2:6" ht="12.5">
      <c r="B624" s="22"/>
      <c r="C624" s="22"/>
      <c r="D624" s="22"/>
      <c r="E624" s="22"/>
      <c r="F624" s="22"/>
    </row>
    <row r="625" spans="2:6" ht="12.5">
      <c r="B625" s="22"/>
      <c r="C625" s="22"/>
      <c r="D625" s="22"/>
      <c r="E625" s="22"/>
      <c r="F625" s="22"/>
    </row>
    <row r="626" spans="2:6" ht="12.5">
      <c r="B626" s="22"/>
      <c r="C626" s="22"/>
      <c r="D626" s="22"/>
      <c r="E626" s="22"/>
      <c r="F626" s="22"/>
    </row>
    <row r="627" spans="2:6" ht="12.5">
      <c r="B627" s="22"/>
      <c r="C627" s="22"/>
      <c r="D627" s="22"/>
      <c r="E627" s="22"/>
      <c r="F627" s="22"/>
    </row>
    <row r="628" spans="2:6" ht="12.5">
      <c r="B628" s="22"/>
      <c r="C628" s="22"/>
      <c r="D628" s="22"/>
      <c r="E628" s="22"/>
      <c r="F628" s="22"/>
    </row>
    <row r="629" spans="2:6" ht="12.5">
      <c r="B629" s="22"/>
      <c r="C629" s="22"/>
      <c r="D629" s="22"/>
      <c r="E629" s="22"/>
      <c r="F629" s="22"/>
    </row>
    <row r="630" spans="2:6" ht="12.5">
      <c r="B630" s="22"/>
      <c r="C630" s="22"/>
      <c r="D630" s="22"/>
      <c r="E630" s="22"/>
      <c r="F630" s="22"/>
    </row>
    <row r="631" spans="2:6" ht="12.5">
      <c r="B631" s="22"/>
      <c r="C631" s="22"/>
      <c r="D631" s="22"/>
      <c r="E631" s="22"/>
      <c r="F631" s="22"/>
    </row>
    <row r="632" spans="2:6" ht="12.5">
      <c r="B632" s="22"/>
      <c r="C632" s="22"/>
      <c r="D632" s="22"/>
      <c r="E632" s="22"/>
      <c r="F632" s="22"/>
    </row>
    <row r="633" spans="2:6" ht="12.5">
      <c r="B633" s="22"/>
      <c r="C633" s="22"/>
      <c r="D633" s="22"/>
      <c r="E633" s="22"/>
      <c r="F633" s="22"/>
    </row>
    <row r="634" spans="2:6" ht="12.5">
      <c r="B634" s="22"/>
      <c r="C634" s="22"/>
      <c r="D634" s="22"/>
      <c r="E634" s="22"/>
      <c r="F634" s="22"/>
    </row>
    <row r="635" spans="2:6" ht="12.5">
      <c r="B635" s="22"/>
      <c r="C635" s="22"/>
      <c r="D635" s="22"/>
      <c r="E635" s="22"/>
      <c r="F635" s="22"/>
    </row>
    <row r="636" spans="2:6" ht="12.5">
      <c r="B636" s="22"/>
      <c r="C636" s="22"/>
      <c r="D636" s="22"/>
      <c r="E636" s="22"/>
      <c r="F636" s="22"/>
    </row>
    <row r="637" spans="2:6" ht="12.5">
      <c r="B637" s="22"/>
      <c r="C637" s="22"/>
      <c r="D637" s="22"/>
      <c r="E637" s="22"/>
      <c r="F637" s="22"/>
    </row>
    <row r="638" spans="2:6" ht="12.5">
      <c r="B638" s="22"/>
      <c r="C638" s="22"/>
      <c r="D638" s="22"/>
      <c r="E638" s="22"/>
      <c r="F638" s="22"/>
    </row>
    <row r="639" spans="2:6" ht="12.5">
      <c r="B639" s="22"/>
      <c r="C639" s="22"/>
      <c r="D639" s="22"/>
      <c r="E639" s="22"/>
      <c r="F639" s="22"/>
    </row>
    <row r="640" spans="2:6" ht="12.5">
      <c r="B640" s="22"/>
      <c r="C640" s="22"/>
      <c r="D640" s="22"/>
      <c r="E640" s="22"/>
      <c r="F640" s="22"/>
    </row>
    <row r="641" spans="2:6" ht="12.5">
      <c r="B641" s="22"/>
      <c r="C641" s="22"/>
      <c r="D641" s="22"/>
      <c r="E641" s="22"/>
      <c r="F641" s="22"/>
    </row>
    <row r="642" spans="2:6" ht="12.5">
      <c r="B642" s="22"/>
      <c r="C642" s="22"/>
      <c r="D642" s="22"/>
      <c r="E642" s="22"/>
      <c r="F642" s="22"/>
    </row>
    <row r="643" spans="2:6" ht="12.5">
      <c r="B643" s="22"/>
      <c r="C643" s="22"/>
      <c r="D643" s="22"/>
      <c r="E643" s="22"/>
      <c r="F643" s="22"/>
    </row>
    <row r="644" spans="2:6" ht="12.5">
      <c r="B644" s="22"/>
      <c r="C644" s="22"/>
      <c r="D644" s="22"/>
      <c r="E644" s="22"/>
      <c r="F644" s="22"/>
    </row>
    <row r="645" spans="2:6" ht="12.5">
      <c r="B645" s="22"/>
      <c r="C645" s="22"/>
      <c r="D645" s="22"/>
      <c r="E645" s="22"/>
      <c r="F645" s="22"/>
    </row>
    <row r="646" spans="2:6" ht="12.5">
      <c r="B646" s="22"/>
      <c r="C646" s="22"/>
      <c r="D646" s="22"/>
      <c r="E646" s="22"/>
      <c r="F646" s="22"/>
    </row>
    <row r="647" spans="2:6" ht="12.5">
      <c r="B647" s="22"/>
      <c r="C647" s="22"/>
      <c r="D647" s="22"/>
      <c r="E647" s="22"/>
      <c r="F647" s="22"/>
    </row>
    <row r="648" spans="2:6" ht="12.5">
      <c r="B648" s="22"/>
      <c r="C648" s="22"/>
      <c r="D648" s="22"/>
      <c r="E648" s="22"/>
      <c r="F648" s="22"/>
    </row>
    <row r="649" spans="2:6" ht="12.5">
      <c r="B649" s="22"/>
      <c r="C649" s="22"/>
      <c r="D649" s="22"/>
      <c r="E649" s="22"/>
      <c r="F649" s="22"/>
    </row>
    <row r="650" spans="2:6" ht="12.5">
      <c r="B650" s="22"/>
      <c r="C650" s="22"/>
      <c r="D650" s="22"/>
      <c r="E650" s="22"/>
      <c r="F650" s="22"/>
    </row>
    <row r="651" spans="2:6" ht="12.5">
      <c r="B651" s="22"/>
      <c r="C651" s="22"/>
      <c r="D651" s="22"/>
      <c r="E651" s="22"/>
      <c r="F651" s="22"/>
    </row>
    <row r="652" spans="2:6" ht="12.5">
      <c r="B652" s="22"/>
      <c r="C652" s="22"/>
      <c r="D652" s="22"/>
      <c r="E652" s="22"/>
      <c r="F652" s="22"/>
    </row>
    <row r="653" spans="2:6" ht="12.5">
      <c r="B653" s="22"/>
      <c r="C653" s="22"/>
      <c r="D653" s="22"/>
      <c r="E653" s="22"/>
      <c r="F653" s="22"/>
    </row>
    <row r="654" spans="2:6" ht="12.5">
      <c r="B654" s="22"/>
      <c r="C654" s="22"/>
      <c r="D654" s="22"/>
      <c r="E654" s="22"/>
      <c r="F654" s="22"/>
    </row>
    <row r="655" spans="2:6" ht="12.5">
      <c r="B655" s="22"/>
      <c r="C655" s="22"/>
      <c r="D655" s="22"/>
      <c r="E655" s="22"/>
      <c r="F655" s="22"/>
    </row>
    <row r="656" spans="2:6" ht="12.5">
      <c r="B656" s="22"/>
      <c r="C656" s="22"/>
      <c r="D656" s="22"/>
      <c r="E656" s="22"/>
      <c r="F656" s="22"/>
    </row>
    <row r="657" spans="2:6" ht="12.5">
      <c r="B657" s="22"/>
      <c r="C657" s="22"/>
      <c r="D657" s="22"/>
      <c r="E657" s="22"/>
      <c r="F657" s="22"/>
    </row>
    <row r="658" spans="2:6" ht="12.5">
      <c r="B658" s="22"/>
      <c r="C658" s="22"/>
      <c r="D658" s="22"/>
      <c r="E658" s="22"/>
      <c r="F658" s="22"/>
    </row>
    <row r="659" spans="2:6" ht="12.5">
      <c r="B659" s="22"/>
      <c r="C659" s="22"/>
      <c r="D659" s="22"/>
      <c r="E659" s="22"/>
      <c r="F659" s="22"/>
    </row>
    <row r="660" spans="2:6" ht="12.5">
      <c r="B660" s="22"/>
      <c r="C660" s="22"/>
      <c r="D660" s="22"/>
      <c r="E660" s="22"/>
      <c r="F660" s="22"/>
    </row>
    <row r="661" spans="2:6" ht="12.5">
      <c r="B661" s="22"/>
      <c r="C661" s="22"/>
      <c r="D661" s="22"/>
      <c r="E661" s="22"/>
      <c r="F661" s="22"/>
    </row>
    <row r="662" spans="2:6" ht="12.5">
      <c r="B662" s="22"/>
      <c r="C662" s="22"/>
      <c r="D662" s="22"/>
      <c r="E662" s="22"/>
      <c r="F662" s="22"/>
    </row>
    <row r="663" spans="2:6" ht="12.5">
      <c r="B663" s="22"/>
      <c r="C663" s="22"/>
      <c r="D663" s="22"/>
      <c r="E663" s="22"/>
      <c r="F663" s="22"/>
    </row>
    <row r="664" spans="2:6" ht="12.5">
      <c r="B664" s="22"/>
      <c r="C664" s="22"/>
      <c r="D664" s="22"/>
      <c r="E664" s="22"/>
      <c r="F664" s="22"/>
    </row>
    <row r="665" spans="2:6" ht="12.5">
      <c r="B665" s="22"/>
      <c r="C665" s="22"/>
      <c r="D665" s="22"/>
      <c r="E665" s="22"/>
      <c r="F665" s="22"/>
    </row>
    <row r="666" spans="2:6" ht="12.5">
      <c r="B666" s="22"/>
      <c r="C666" s="22"/>
      <c r="D666" s="22"/>
      <c r="E666" s="22"/>
      <c r="F666" s="22"/>
    </row>
    <row r="667" spans="2:6" ht="12.5">
      <c r="B667" s="22"/>
      <c r="C667" s="22"/>
      <c r="D667" s="22"/>
      <c r="E667" s="22"/>
      <c r="F667" s="22"/>
    </row>
    <row r="668" spans="2:6" ht="12.5">
      <c r="B668" s="22"/>
      <c r="C668" s="22"/>
      <c r="D668" s="22"/>
      <c r="E668" s="22"/>
      <c r="F668" s="22"/>
    </row>
    <row r="669" spans="2:6" ht="12.5">
      <c r="B669" s="22"/>
      <c r="C669" s="22"/>
      <c r="D669" s="22"/>
      <c r="E669" s="22"/>
      <c r="F669" s="22"/>
    </row>
    <row r="670" spans="2:6" ht="12.5">
      <c r="B670" s="22"/>
      <c r="C670" s="22"/>
      <c r="D670" s="22"/>
      <c r="E670" s="22"/>
      <c r="F670" s="22"/>
    </row>
    <row r="671" spans="2:6" ht="12.5">
      <c r="B671" s="22"/>
      <c r="C671" s="22"/>
      <c r="D671" s="22"/>
      <c r="E671" s="22"/>
      <c r="F671" s="22"/>
    </row>
    <row r="672" spans="2:6" ht="12.5">
      <c r="B672" s="22"/>
      <c r="C672" s="22"/>
      <c r="D672" s="22"/>
      <c r="E672" s="22"/>
      <c r="F672" s="22"/>
    </row>
    <row r="673" spans="2:6" ht="12.5">
      <c r="B673" s="22"/>
      <c r="C673" s="22"/>
      <c r="D673" s="22"/>
      <c r="E673" s="22"/>
      <c r="F673" s="22"/>
    </row>
    <row r="674" spans="2:6" ht="12.5">
      <c r="B674" s="22"/>
      <c r="C674" s="22"/>
      <c r="D674" s="22"/>
      <c r="E674" s="22"/>
      <c r="F674" s="22"/>
    </row>
    <row r="675" spans="2:6" ht="12.5">
      <c r="B675" s="22"/>
      <c r="C675" s="22"/>
      <c r="D675" s="22"/>
      <c r="E675" s="22"/>
      <c r="F675" s="22"/>
    </row>
    <row r="676" spans="2:6" ht="12.5">
      <c r="B676" s="22"/>
      <c r="C676" s="22"/>
      <c r="D676" s="22"/>
      <c r="E676" s="22"/>
      <c r="F676" s="22"/>
    </row>
    <row r="677" spans="2:6" ht="12.5">
      <c r="B677" s="22"/>
      <c r="C677" s="22"/>
      <c r="D677" s="22"/>
      <c r="E677" s="22"/>
      <c r="F677" s="22"/>
    </row>
    <row r="678" spans="2:6" ht="12.5">
      <c r="B678" s="22"/>
      <c r="C678" s="22"/>
      <c r="D678" s="22"/>
      <c r="E678" s="22"/>
      <c r="F678" s="22"/>
    </row>
    <row r="679" spans="2:6" ht="12.5">
      <c r="B679" s="22"/>
      <c r="C679" s="22"/>
      <c r="D679" s="22"/>
      <c r="E679" s="22"/>
      <c r="F679" s="22"/>
    </row>
    <row r="680" spans="2:6" ht="12.5">
      <c r="B680" s="22"/>
      <c r="C680" s="22"/>
      <c r="D680" s="22"/>
      <c r="E680" s="22"/>
      <c r="F680" s="22"/>
    </row>
    <row r="681" spans="2:6" ht="12.5">
      <c r="B681" s="22"/>
      <c r="C681" s="22"/>
      <c r="D681" s="22"/>
      <c r="E681" s="22"/>
      <c r="F681" s="22"/>
    </row>
    <row r="682" spans="2:6" ht="12.5">
      <c r="B682" s="22"/>
      <c r="C682" s="22"/>
      <c r="D682" s="22"/>
      <c r="E682" s="22"/>
      <c r="F682" s="22"/>
    </row>
    <row r="683" spans="2:6" ht="12.5">
      <c r="B683" s="22"/>
      <c r="C683" s="22"/>
      <c r="D683" s="22"/>
      <c r="E683" s="22"/>
      <c r="F683" s="22"/>
    </row>
    <row r="684" spans="2:6" ht="12.5">
      <c r="B684" s="22"/>
      <c r="C684" s="22"/>
      <c r="D684" s="22"/>
      <c r="E684" s="22"/>
      <c r="F684" s="22"/>
    </row>
    <row r="685" spans="2:6" ht="12.5">
      <c r="B685" s="22"/>
      <c r="C685" s="22"/>
      <c r="D685" s="22"/>
      <c r="E685" s="22"/>
      <c r="F685" s="22"/>
    </row>
    <row r="686" spans="2:6" ht="12.5">
      <c r="B686" s="22"/>
      <c r="C686" s="22"/>
      <c r="D686" s="22"/>
      <c r="E686" s="22"/>
      <c r="F686" s="22"/>
    </row>
    <row r="687" spans="2:6" ht="12.5">
      <c r="B687" s="22"/>
      <c r="C687" s="22"/>
      <c r="D687" s="22"/>
      <c r="E687" s="22"/>
      <c r="F687" s="22"/>
    </row>
    <row r="688" spans="2:6" ht="12.5">
      <c r="B688" s="22"/>
      <c r="C688" s="22"/>
      <c r="D688" s="22"/>
      <c r="E688" s="22"/>
      <c r="F688" s="22"/>
    </row>
    <row r="689" spans="2:6" ht="12.5">
      <c r="B689" s="22"/>
      <c r="C689" s="22"/>
      <c r="D689" s="22"/>
      <c r="E689" s="22"/>
      <c r="F689" s="22"/>
    </row>
    <row r="690" spans="2:6" ht="12.5">
      <c r="B690" s="22"/>
      <c r="C690" s="22"/>
      <c r="D690" s="22"/>
      <c r="E690" s="22"/>
      <c r="F690" s="22"/>
    </row>
    <row r="691" spans="2:6" ht="12.5">
      <c r="B691" s="22"/>
      <c r="C691" s="22"/>
      <c r="D691" s="22"/>
      <c r="E691" s="22"/>
      <c r="F691" s="22"/>
    </row>
    <row r="692" spans="2:6" ht="12.5">
      <c r="B692" s="22"/>
      <c r="C692" s="22"/>
      <c r="D692" s="22"/>
      <c r="E692" s="22"/>
      <c r="F692" s="22"/>
    </row>
    <row r="693" spans="2:6" ht="12.5">
      <c r="B693" s="22"/>
      <c r="C693" s="22"/>
      <c r="D693" s="22"/>
      <c r="E693" s="22"/>
      <c r="F693" s="22"/>
    </row>
    <row r="694" spans="2:6" ht="12.5">
      <c r="B694" s="22"/>
      <c r="C694" s="22"/>
      <c r="D694" s="22"/>
      <c r="E694" s="22"/>
      <c r="F694" s="22"/>
    </row>
    <row r="695" spans="2:6" ht="12.5">
      <c r="B695" s="22"/>
      <c r="C695" s="22"/>
      <c r="D695" s="22"/>
      <c r="E695" s="22"/>
      <c r="F695" s="22"/>
    </row>
    <row r="696" spans="2:6" ht="12.5">
      <c r="B696" s="22"/>
      <c r="C696" s="22"/>
      <c r="D696" s="22"/>
      <c r="E696" s="22"/>
      <c r="F696" s="22"/>
    </row>
    <row r="697" spans="2:6" ht="12.5">
      <c r="B697" s="22"/>
      <c r="C697" s="22"/>
      <c r="D697" s="22"/>
      <c r="E697" s="22"/>
      <c r="F697" s="22"/>
    </row>
    <row r="698" spans="2:6" ht="12.5">
      <c r="B698" s="22"/>
      <c r="C698" s="22"/>
      <c r="D698" s="22"/>
      <c r="E698" s="22"/>
      <c r="F698" s="22"/>
    </row>
    <row r="699" spans="2:6" ht="12.5">
      <c r="B699" s="22"/>
      <c r="C699" s="22"/>
      <c r="D699" s="22"/>
      <c r="E699" s="22"/>
      <c r="F699" s="22"/>
    </row>
    <row r="700" spans="2:6" ht="12.5">
      <c r="B700" s="22"/>
      <c r="C700" s="22"/>
      <c r="D700" s="22"/>
      <c r="E700" s="22"/>
      <c r="F700" s="22"/>
    </row>
    <row r="701" spans="2:6" ht="12.5">
      <c r="B701" s="22"/>
      <c r="C701" s="22"/>
      <c r="D701" s="22"/>
      <c r="E701" s="22"/>
      <c r="F701" s="22"/>
    </row>
    <row r="702" spans="2:6" ht="12.5">
      <c r="B702" s="22"/>
      <c r="C702" s="22"/>
      <c r="D702" s="22"/>
      <c r="E702" s="22"/>
      <c r="F702" s="22"/>
    </row>
    <row r="703" spans="2:6" ht="12.5">
      <c r="B703" s="22"/>
      <c r="C703" s="22"/>
      <c r="D703" s="22"/>
      <c r="E703" s="22"/>
      <c r="F703" s="22"/>
    </row>
    <row r="704" spans="2:6" ht="12.5">
      <c r="B704" s="22"/>
      <c r="C704" s="22"/>
      <c r="D704" s="22"/>
      <c r="E704" s="22"/>
      <c r="F704" s="22"/>
    </row>
    <row r="705" spans="2:6" ht="12.5">
      <c r="B705" s="22"/>
      <c r="C705" s="22"/>
      <c r="D705" s="22"/>
      <c r="E705" s="22"/>
      <c r="F705" s="22"/>
    </row>
    <row r="706" spans="2:6" ht="12.5">
      <c r="B706" s="22"/>
      <c r="C706" s="22"/>
      <c r="D706" s="22"/>
      <c r="E706" s="22"/>
      <c r="F706" s="22"/>
    </row>
    <row r="707" spans="2:6" ht="12.5">
      <c r="B707" s="22"/>
      <c r="C707" s="22"/>
      <c r="D707" s="22"/>
      <c r="E707" s="22"/>
      <c r="F707" s="22"/>
    </row>
    <row r="708" spans="2:6" ht="12.5">
      <c r="B708" s="22"/>
      <c r="C708" s="22"/>
      <c r="D708" s="22"/>
      <c r="E708" s="22"/>
      <c r="F708" s="22"/>
    </row>
    <row r="709" spans="2:6" ht="12.5">
      <c r="B709" s="22"/>
      <c r="C709" s="22"/>
      <c r="D709" s="22"/>
      <c r="E709" s="22"/>
      <c r="F709" s="22"/>
    </row>
    <row r="710" spans="2:6" ht="12.5">
      <c r="B710" s="22"/>
      <c r="C710" s="22"/>
      <c r="D710" s="22"/>
      <c r="E710" s="22"/>
      <c r="F710" s="22"/>
    </row>
    <row r="711" spans="2:6" ht="12.5">
      <c r="B711" s="22"/>
      <c r="C711" s="22"/>
      <c r="D711" s="22"/>
      <c r="E711" s="22"/>
      <c r="F711" s="22"/>
    </row>
    <row r="712" spans="2:6" ht="12.5">
      <c r="B712" s="22"/>
      <c r="C712" s="22"/>
      <c r="D712" s="22"/>
      <c r="E712" s="22"/>
      <c r="F712" s="22"/>
    </row>
    <row r="713" spans="2:6" ht="12.5">
      <c r="B713" s="22"/>
      <c r="C713" s="22"/>
      <c r="D713" s="22"/>
      <c r="E713" s="22"/>
      <c r="F713" s="22"/>
    </row>
    <row r="714" spans="2:6" ht="12.5">
      <c r="B714" s="22"/>
      <c r="C714" s="22"/>
      <c r="D714" s="22"/>
      <c r="E714" s="22"/>
      <c r="F714" s="22"/>
    </row>
    <row r="715" spans="2:6" ht="12.5">
      <c r="B715" s="22"/>
      <c r="C715" s="22"/>
      <c r="D715" s="22"/>
      <c r="E715" s="22"/>
      <c r="F715" s="22"/>
    </row>
    <row r="716" spans="2:6" ht="12.5">
      <c r="B716" s="22"/>
      <c r="C716" s="22"/>
      <c r="D716" s="22"/>
      <c r="E716" s="22"/>
      <c r="F716" s="22"/>
    </row>
    <row r="717" spans="2:6" ht="12.5">
      <c r="B717" s="22"/>
      <c r="C717" s="22"/>
      <c r="D717" s="22"/>
      <c r="E717" s="22"/>
      <c r="F717" s="22"/>
    </row>
    <row r="718" spans="2:6" ht="12.5">
      <c r="B718" s="22"/>
      <c r="C718" s="22"/>
      <c r="D718" s="22"/>
      <c r="E718" s="22"/>
      <c r="F718" s="22"/>
    </row>
    <row r="719" spans="2:6" ht="12.5">
      <c r="B719" s="22"/>
      <c r="C719" s="22"/>
      <c r="D719" s="22"/>
      <c r="E719" s="22"/>
      <c r="F719" s="22"/>
    </row>
    <row r="720" spans="2:6" ht="12.5">
      <c r="B720" s="22"/>
      <c r="C720" s="22"/>
      <c r="D720" s="22"/>
      <c r="E720" s="22"/>
      <c r="F720" s="22"/>
    </row>
    <row r="721" spans="2:6" ht="12.5">
      <c r="B721" s="22"/>
      <c r="C721" s="22"/>
      <c r="D721" s="22"/>
      <c r="E721" s="22"/>
      <c r="F721" s="22"/>
    </row>
    <row r="722" spans="2:6" ht="12.5">
      <c r="B722" s="22"/>
      <c r="C722" s="22"/>
      <c r="D722" s="22"/>
      <c r="E722" s="22"/>
      <c r="F722" s="22"/>
    </row>
    <row r="723" spans="2:6" ht="12.5">
      <c r="B723" s="22"/>
      <c r="C723" s="22"/>
      <c r="D723" s="22"/>
      <c r="E723" s="22"/>
      <c r="F723" s="22"/>
    </row>
    <row r="724" spans="2:6" ht="12.5">
      <c r="B724" s="22"/>
      <c r="C724" s="22"/>
      <c r="D724" s="22"/>
      <c r="E724" s="22"/>
      <c r="F724" s="22"/>
    </row>
    <row r="725" spans="2:6" ht="12.5">
      <c r="B725" s="22"/>
      <c r="C725" s="22"/>
      <c r="D725" s="22"/>
      <c r="E725" s="22"/>
      <c r="F725" s="22"/>
    </row>
    <row r="726" spans="2:6" ht="12.5">
      <c r="B726" s="22"/>
      <c r="C726" s="22"/>
      <c r="D726" s="22"/>
      <c r="E726" s="22"/>
      <c r="F726" s="22"/>
    </row>
    <row r="727" spans="2:6" ht="12.5">
      <c r="B727" s="22"/>
      <c r="C727" s="22"/>
      <c r="D727" s="22"/>
      <c r="E727" s="22"/>
      <c r="F727" s="22"/>
    </row>
    <row r="728" spans="2:6" ht="12.5">
      <c r="B728" s="22"/>
      <c r="C728" s="22"/>
      <c r="D728" s="22"/>
      <c r="E728" s="22"/>
      <c r="F728" s="22"/>
    </row>
    <row r="729" spans="2:6" ht="12.5">
      <c r="B729" s="22"/>
      <c r="C729" s="22"/>
      <c r="D729" s="22"/>
      <c r="E729" s="22"/>
      <c r="F729" s="22"/>
    </row>
    <row r="730" spans="2:6" ht="12.5">
      <c r="B730" s="22"/>
      <c r="C730" s="22"/>
      <c r="D730" s="22"/>
      <c r="E730" s="22"/>
      <c r="F730" s="22"/>
    </row>
    <row r="731" spans="2:6" ht="12.5">
      <c r="B731" s="22"/>
      <c r="C731" s="22"/>
      <c r="D731" s="22"/>
      <c r="E731" s="22"/>
      <c r="F731" s="22"/>
    </row>
    <row r="732" spans="2:6" ht="12.5">
      <c r="B732" s="22"/>
      <c r="C732" s="22"/>
      <c r="D732" s="22"/>
      <c r="E732" s="22"/>
      <c r="F732" s="22"/>
    </row>
    <row r="733" spans="2:6" ht="12.5">
      <c r="B733" s="22"/>
      <c r="C733" s="22"/>
      <c r="D733" s="22"/>
      <c r="E733" s="22"/>
      <c r="F733" s="22"/>
    </row>
    <row r="734" spans="2:6" ht="12.5">
      <c r="B734" s="22"/>
      <c r="C734" s="22"/>
      <c r="D734" s="22"/>
      <c r="E734" s="22"/>
      <c r="F734" s="22"/>
    </row>
    <row r="735" spans="2:6" ht="12.5">
      <c r="B735" s="22"/>
      <c r="C735" s="22"/>
      <c r="D735" s="22"/>
      <c r="E735" s="22"/>
      <c r="F735" s="22"/>
    </row>
    <row r="736" spans="2:6" ht="12.5">
      <c r="B736" s="22"/>
      <c r="C736" s="22"/>
      <c r="D736" s="22"/>
      <c r="E736" s="22"/>
      <c r="F736" s="22"/>
    </row>
    <row r="737" spans="2:6" ht="12.5">
      <c r="B737" s="22"/>
      <c r="C737" s="22"/>
      <c r="D737" s="22"/>
      <c r="E737" s="22"/>
      <c r="F737" s="22"/>
    </row>
    <row r="738" spans="2:6" ht="12.5">
      <c r="B738" s="22"/>
      <c r="C738" s="22"/>
      <c r="D738" s="22"/>
      <c r="E738" s="22"/>
      <c r="F738" s="22"/>
    </row>
    <row r="739" spans="2:6" ht="12.5">
      <c r="B739" s="22"/>
      <c r="C739" s="22"/>
      <c r="D739" s="22"/>
      <c r="E739" s="22"/>
      <c r="F739" s="22"/>
    </row>
    <row r="740" spans="2:6" ht="12.5">
      <c r="B740" s="22"/>
      <c r="C740" s="22"/>
      <c r="D740" s="22"/>
      <c r="E740" s="22"/>
      <c r="F740" s="22"/>
    </row>
    <row r="741" spans="2:6" ht="12.5">
      <c r="B741" s="22"/>
      <c r="C741" s="22"/>
      <c r="D741" s="22"/>
      <c r="E741" s="22"/>
      <c r="F741" s="22"/>
    </row>
    <row r="742" spans="2:6" ht="12.5">
      <c r="B742" s="22"/>
      <c r="C742" s="22"/>
      <c r="D742" s="22"/>
      <c r="E742" s="22"/>
      <c r="F742" s="22"/>
    </row>
    <row r="743" spans="2:6" ht="12.5">
      <c r="B743" s="22"/>
      <c r="C743" s="22"/>
      <c r="D743" s="22"/>
      <c r="E743" s="22"/>
      <c r="F743" s="22"/>
    </row>
    <row r="744" spans="2:6" ht="12.5">
      <c r="B744" s="22"/>
      <c r="C744" s="22"/>
      <c r="D744" s="22"/>
      <c r="E744" s="22"/>
      <c r="F744" s="22"/>
    </row>
    <row r="745" spans="2:6" ht="12.5">
      <c r="B745" s="22"/>
      <c r="C745" s="22"/>
      <c r="D745" s="22"/>
      <c r="E745" s="22"/>
      <c r="F745" s="22"/>
    </row>
    <row r="746" spans="2:6" ht="12.5">
      <c r="B746" s="22"/>
      <c r="C746" s="22"/>
      <c r="D746" s="22"/>
      <c r="E746" s="22"/>
      <c r="F746" s="22"/>
    </row>
    <row r="747" spans="2:6" ht="12.5">
      <c r="B747" s="22"/>
      <c r="C747" s="22"/>
      <c r="D747" s="22"/>
      <c r="E747" s="22"/>
      <c r="F747" s="22"/>
    </row>
    <row r="748" spans="2:6" ht="12.5">
      <c r="B748" s="22"/>
      <c r="C748" s="22"/>
      <c r="D748" s="22"/>
      <c r="E748" s="22"/>
      <c r="F748" s="22"/>
    </row>
    <row r="749" spans="2:6" ht="12.5">
      <c r="B749" s="22"/>
      <c r="C749" s="22"/>
      <c r="D749" s="22"/>
      <c r="E749" s="22"/>
      <c r="F749" s="22"/>
    </row>
    <row r="750" spans="2:6" ht="12.5">
      <c r="B750" s="22"/>
      <c r="C750" s="22"/>
      <c r="D750" s="22"/>
      <c r="E750" s="22"/>
      <c r="F750" s="22"/>
    </row>
    <row r="751" spans="2:6" ht="12.5">
      <c r="B751" s="22"/>
      <c r="C751" s="22"/>
      <c r="D751" s="22"/>
      <c r="E751" s="22"/>
      <c r="F751" s="22"/>
    </row>
    <row r="752" spans="2:6" ht="12.5">
      <c r="B752" s="22"/>
      <c r="C752" s="22"/>
      <c r="D752" s="22"/>
      <c r="E752" s="22"/>
      <c r="F752" s="22"/>
    </row>
    <row r="753" spans="2:6" ht="12.5">
      <c r="B753" s="22"/>
      <c r="C753" s="22"/>
      <c r="D753" s="22"/>
      <c r="E753" s="22"/>
      <c r="F753" s="22"/>
    </row>
    <row r="754" spans="2:6" ht="12.5">
      <c r="B754" s="22"/>
      <c r="C754" s="22"/>
      <c r="D754" s="22"/>
      <c r="E754" s="22"/>
      <c r="F754" s="22"/>
    </row>
    <row r="755" spans="2:6" ht="12.5">
      <c r="B755" s="22"/>
      <c r="C755" s="22"/>
      <c r="D755" s="22"/>
      <c r="E755" s="22"/>
      <c r="F755" s="22"/>
    </row>
    <row r="756" spans="2:6" ht="12.5">
      <c r="B756" s="22"/>
      <c r="C756" s="22"/>
      <c r="D756" s="22"/>
      <c r="E756" s="22"/>
      <c r="F756" s="22"/>
    </row>
    <row r="757" spans="2:6" ht="12.5">
      <c r="B757" s="22"/>
      <c r="C757" s="22"/>
      <c r="D757" s="22"/>
      <c r="E757" s="22"/>
      <c r="F757" s="22"/>
    </row>
    <row r="758" spans="2:6" ht="12.5">
      <c r="B758" s="22"/>
      <c r="C758" s="22"/>
      <c r="D758" s="22"/>
      <c r="E758" s="22"/>
      <c r="F758" s="22"/>
    </row>
    <row r="759" spans="2:6" ht="12.5">
      <c r="B759" s="22"/>
      <c r="C759" s="22"/>
      <c r="D759" s="22"/>
      <c r="E759" s="22"/>
      <c r="F759" s="22"/>
    </row>
    <row r="760" spans="2:6" ht="12.5">
      <c r="B760" s="22"/>
      <c r="C760" s="22"/>
      <c r="D760" s="22"/>
      <c r="E760" s="22"/>
      <c r="F760" s="22"/>
    </row>
    <row r="761" spans="2:6" ht="12.5">
      <c r="B761" s="22"/>
      <c r="C761" s="22"/>
      <c r="D761" s="22"/>
      <c r="E761" s="22"/>
      <c r="F761" s="22"/>
    </row>
    <row r="762" spans="2:6" ht="12.5">
      <c r="B762" s="22"/>
      <c r="C762" s="22"/>
      <c r="D762" s="22"/>
      <c r="E762" s="22"/>
      <c r="F762" s="22"/>
    </row>
    <row r="763" spans="2:6" ht="12.5">
      <c r="B763" s="22"/>
      <c r="C763" s="22"/>
      <c r="D763" s="22"/>
      <c r="E763" s="22"/>
      <c r="F763" s="22"/>
    </row>
    <row r="764" spans="2:6" ht="12.5">
      <c r="B764" s="22"/>
      <c r="C764" s="22"/>
      <c r="D764" s="22"/>
      <c r="E764" s="22"/>
      <c r="F764" s="22"/>
    </row>
    <row r="765" spans="2:6" ht="12.5">
      <c r="B765" s="22"/>
      <c r="C765" s="22"/>
      <c r="D765" s="22"/>
      <c r="E765" s="22"/>
      <c r="F765" s="22"/>
    </row>
    <row r="766" spans="2:6" ht="12.5">
      <c r="B766" s="22"/>
      <c r="C766" s="22"/>
      <c r="D766" s="22"/>
      <c r="E766" s="22"/>
      <c r="F766" s="22"/>
    </row>
    <row r="767" spans="2:6" ht="12.5">
      <c r="B767" s="22"/>
      <c r="C767" s="22"/>
      <c r="D767" s="22"/>
      <c r="E767" s="22"/>
      <c r="F767" s="22"/>
    </row>
    <row r="768" spans="2:6" ht="12.5">
      <c r="B768" s="22"/>
      <c r="C768" s="22"/>
      <c r="D768" s="22"/>
      <c r="E768" s="22"/>
      <c r="F768" s="22"/>
    </row>
    <row r="769" spans="2:6" ht="12.5">
      <c r="B769" s="22"/>
      <c r="C769" s="22"/>
      <c r="D769" s="22"/>
      <c r="E769" s="22"/>
      <c r="F769" s="22"/>
    </row>
    <row r="770" spans="2:6" ht="12.5">
      <c r="B770" s="22"/>
      <c r="C770" s="22"/>
      <c r="D770" s="22"/>
      <c r="E770" s="22"/>
      <c r="F770" s="22"/>
    </row>
    <row r="771" spans="2:6" ht="12.5">
      <c r="B771" s="22"/>
      <c r="C771" s="22"/>
      <c r="D771" s="22"/>
      <c r="E771" s="22"/>
      <c r="F771" s="22"/>
    </row>
    <row r="772" spans="2:6" ht="12.5">
      <c r="B772" s="22"/>
      <c r="C772" s="22"/>
      <c r="D772" s="22"/>
      <c r="E772" s="22"/>
      <c r="F772" s="22"/>
    </row>
    <row r="773" spans="2:6" ht="12.5">
      <c r="B773" s="22"/>
      <c r="C773" s="22"/>
      <c r="D773" s="22"/>
      <c r="E773" s="22"/>
      <c r="F773" s="22"/>
    </row>
    <row r="774" spans="2:6" ht="12.5">
      <c r="B774" s="22"/>
      <c r="C774" s="22"/>
      <c r="D774" s="22"/>
      <c r="E774" s="22"/>
      <c r="F774" s="22"/>
    </row>
    <row r="775" spans="2:6" ht="12.5">
      <c r="B775" s="22"/>
      <c r="C775" s="22"/>
      <c r="D775" s="22"/>
      <c r="E775" s="22"/>
      <c r="F775" s="22"/>
    </row>
    <row r="776" spans="2:6" ht="12.5">
      <c r="B776" s="22"/>
      <c r="C776" s="22"/>
      <c r="D776" s="22"/>
      <c r="E776" s="22"/>
      <c r="F776" s="22"/>
    </row>
    <row r="777" spans="2:6" ht="12.5">
      <c r="B777" s="22"/>
      <c r="C777" s="22"/>
      <c r="D777" s="22"/>
      <c r="E777" s="22"/>
      <c r="F777" s="22"/>
    </row>
    <row r="778" spans="2:6" ht="12.5">
      <c r="B778" s="22"/>
      <c r="C778" s="22"/>
      <c r="D778" s="22"/>
      <c r="E778" s="22"/>
      <c r="F778" s="22"/>
    </row>
    <row r="779" spans="2:6" ht="12.5">
      <c r="B779" s="22"/>
      <c r="C779" s="22"/>
      <c r="D779" s="22"/>
      <c r="E779" s="22"/>
      <c r="F779" s="22"/>
    </row>
    <row r="780" spans="2:6" ht="12.5">
      <c r="B780" s="22"/>
      <c r="C780" s="22"/>
      <c r="D780" s="22"/>
      <c r="E780" s="22"/>
      <c r="F780" s="22"/>
    </row>
    <row r="781" spans="2:6" ht="12.5">
      <c r="B781" s="22"/>
      <c r="C781" s="22"/>
      <c r="D781" s="22"/>
      <c r="E781" s="22"/>
      <c r="F781" s="22"/>
    </row>
    <row r="782" spans="2:6" ht="12.5">
      <c r="B782" s="22"/>
      <c r="C782" s="22"/>
      <c r="D782" s="22"/>
      <c r="E782" s="22"/>
      <c r="F782" s="22"/>
    </row>
    <row r="783" spans="2:6" ht="12.5">
      <c r="B783" s="22"/>
      <c r="C783" s="22"/>
      <c r="D783" s="22"/>
      <c r="E783" s="22"/>
      <c r="F783" s="22"/>
    </row>
    <row r="784" spans="2:6" ht="12.5">
      <c r="B784" s="22"/>
      <c r="C784" s="22"/>
      <c r="D784" s="22"/>
      <c r="E784" s="22"/>
      <c r="F784" s="22"/>
    </row>
    <row r="785" spans="2:6" ht="12.5">
      <c r="B785" s="22"/>
      <c r="C785" s="22"/>
      <c r="D785" s="22"/>
      <c r="E785" s="22"/>
      <c r="F785" s="22"/>
    </row>
    <row r="786" spans="2:6" ht="12.5">
      <c r="B786" s="22"/>
      <c r="C786" s="22"/>
      <c r="D786" s="22"/>
      <c r="E786" s="22"/>
      <c r="F786" s="22"/>
    </row>
    <row r="787" spans="2:6" ht="12.5">
      <c r="B787" s="22"/>
      <c r="C787" s="22"/>
      <c r="D787" s="22"/>
      <c r="E787" s="22"/>
      <c r="F787" s="22"/>
    </row>
    <row r="788" spans="2:6" ht="12.5">
      <c r="B788" s="22"/>
      <c r="C788" s="22"/>
      <c r="D788" s="22"/>
      <c r="E788" s="22"/>
      <c r="F788" s="22"/>
    </row>
    <row r="789" spans="2:6" ht="12.5">
      <c r="B789" s="22"/>
      <c r="C789" s="22"/>
      <c r="D789" s="22"/>
      <c r="E789" s="22"/>
      <c r="F789" s="22"/>
    </row>
    <row r="790" spans="2:6" ht="12.5">
      <c r="B790" s="22"/>
      <c r="C790" s="22"/>
      <c r="D790" s="22"/>
      <c r="E790" s="22"/>
      <c r="F790" s="22"/>
    </row>
    <row r="791" spans="2:6" ht="12.5">
      <c r="B791" s="22"/>
      <c r="C791" s="22"/>
      <c r="D791" s="22"/>
      <c r="E791" s="22"/>
      <c r="F791" s="22"/>
    </row>
    <row r="792" spans="2:6" ht="12.5">
      <c r="B792" s="22"/>
      <c r="C792" s="22"/>
      <c r="D792" s="22"/>
      <c r="E792" s="22"/>
      <c r="F792" s="22"/>
    </row>
    <row r="793" spans="2:6" ht="12.5">
      <c r="B793" s="22"/>
      <c r="C793" s="22"/>
      <c r="D793" s="22"/>
      <c r="E793" s="22"/>
      <c r="F793" s="22"/>
    </row>
    <row r="794" spans="2:6" ht="12.5">
      <c r="B794" s="22"/>
      <c r="C794" s="22"/>
      <c r="D794" s="22"/>
      <c r="E794" s="22"/>
      <c r="F794" s="22"/>
    </row>
    <row r="795" spans="2:6" ht="12.5">
      <c r="B795" s="22"/>
      <c r="C795" s="22"/>
      <c r="D795" s="22"/>
      <c r="E795" s="22"/>
      <c r="F795" s="22"/>
    </row>
    <row r="796" spans="2:6" ht="12.5">
      <c r="B796" s="22"/>
      <c r="C796" s="22"/>
      <c r="D796" s="22"/>
      <c r="E796" s="22"/>
      <c r="F796" s="22"/>
    </row>
    <row r="797" spans="2:6" ht="12.5">
      <c r="B797" s="22"/>
      <c r="C797" s="22"/>
      <c r="D797" s="22"/>
      <c r="E797" s="22"/>
      <c r="F797" s="22"/>
    </row>
    <row r="798" spans="2:6" ht="12.5">
      <c r="B798" s="22"/>
      <c r="C798" s="22"/>
      <c r="D798" s="22"/>
      <c r="E798" s="22"/>
      <c r="F798" s="22"/>
    </row>
    <row r="799" spans="2:6" ht="12.5">
      <c r="B799" s="22"/>
      <c r="C799" s="22"/>
      <c r="D799" s="22"/>
      <c r="E799" s="22"/>
      <c r="F799" s="22"/>
    </row>
    <row r="800" spans="2:6" ht="12.5">
      <c r="B800" s="22"/>
      <c r="C800" s="22"/>
      <c r="D800" s="22"/>
      <c r="E800" s="22"/>
      <c r="F800" s="22"/>
    </row>
    <row r="801" spans="2:6" ht="12.5">
      <c r="B801" s="22"/>
      <c r="C801" s="22"/>
      <c r="D801" s="22"/>
      <c r="E801" s="22"/>
      <c r="F801" s="22"/>
    </row>
    <row r="802" spans="2:6" ht="12.5">
      <c r="B802" s="22"/>
      <c r="C802" s="22"/>
      <c r="D802" s="22"/>
      <c r="E802" s="22"/>
      <c r="F802" s="22"/>
    </row>
    <row r="803" spans="2:6" ht="12.5">
      <c r="B803" s="22"/>
      <c r="C803" s="22"/>
      <c r="D803" s="22"/>
      <c r="E803" s="22"/>
      <c r="F803" s="22"/>
    </row>
    <row r="804" spans="2:6" ht="12.5">
      <c r="B804" s="22"/>
      <c r="C804" s="22"/>
      <c r="D804" s="22"/>
      <c r="E804" s="22"/>
      <c r="F804" s="22"/>
    </row>
    <row r="805" spans="2:6" ht="12.5">
      <c r="B805" s="22"/>
      <c r="C805" s="22"/>
      <c r="D805" s="22"/>
      <c r="E805" s="22"/>
      <c r="F805" s="22"/>
    </row>
    <row r="806" spans="2:6" ht="12.5">
      <c r="B806" s="22"/>
      <c r="C806" s="22"/>
      <c r="D806" s="22"/>
      <c r="E806" s="22"/>
      <c r="F806" s="22"/>
    </row>
    <row r="807" spans="2:6" ht="12.5">
      <c r="B807" s="22"/>
      <c r="C807" s="22"/>
      <c r="D807" s="22"/>
      <c r="E807" s="22"/>
      <c r="F807" s="22"/>
    </row>
    <row r="808" spans="2:6" ht="12.5">
      <c r="B808" s="22"/>
      <c r="C808" s="22"/>
      <c r="D808" s="22"/>
      <c r="E808" s="22"/>
      <c r="F808" s="22"/>
    </row>
    <row r="809" spans="2:6" ht="12.5">
      <c r="B809" s="22"/>
      <c r="C809" s="22"/>
      <c r="D809" s="22"/>
      <c r="E809" s="22"/>
      <c r="F809" s="22"/>
    </row>
    <row r="810" spans="2:6" ht="12.5">
      <c r="B810" s="22"/>
      <c r="C810" s="22"/>
      <c r="D810" s="22"/>
      <c r="E810" s="22"/>
      <c r="F810" s="22"/>
    </row>
    <row r="811" spans="2:6" ht="12.5">
      <c r="B811" s="22"/>
      <c r="C811" s="22"/>
      <c r="D811" s="22"/>
      <c r="E811" s="22"/>
      <c r="F811" s="22"/>
    </row>
    <row r="812" spans="2:6" ht="12.5">
      <c r="B812" s="22"/>
      <c r="C812" s="22"/>
      <c r="D812" s="22"/>
      <c r="E812" s="22"/>
      <c r="F812" s="22"/>
    </row>
    <row r="813" spans="2:6" ht="12.5">
      <c r="B813" s="22"/>
      <c r="C813" s="22"/>
      <c r="D813" s="22"/>
      <c r="E813" s="22"/>
      <c r="F813" s="22"/>
    </row>
    <row r="814" spans="2:6" ht="12.5">
      <c r="B814" s="22"/>
      <c r="C814" s="22"/>
      <c r="D814" s="22"/>
      <c r="E814" s="22"/>
      <c r="F814" s="22"/>
    </row>
    <row r="815" spans="2:6" ht="12.5">
      <c r="B815" s="22"/>
      <c r="C815" s="22"/>
      <c r="D815" s="22"/>
      <c r="E815" s="22"/>
      <c r="F815" s="22"/>
    </row>
    <row r="816" spans="2:6" ht="12.5">
      <c r="B816" s="22"/>
      <c r="C816" s="22"/>
      <c r="D816" s="22"/>
      <c r="E816" s="22"/>
      <c r="F816" s="22"/>
    </row>
    <row r="817" spans="2:6" ht="12.5">
      <c r="B817" s="22"/>
      <c r="C817" s="22"/>
      <c r="D817" s="22"/>
      <c r="E817" s="22"/>
      <c r="F817" s="22"/>
    </row>
    <row r="818" spans="2:6" ht="12.5">
      <c r="B818" s="22"/>
      <c r="C818" s="22"/>
      <c r="D818" s="22"/>
      <c r="E818" s="22"/>
      <c r="F818" s="22"/>
    </row>
    <row r="819" spans="2:6" ht="12.5">
      <c r="B819" s="22"/>
      <c r="C819" s="22"/>
      <c r="D819" s="22"/>
      <c r="E819" s="22"/>
      <c r="F819" s="22"/>
    </row>
    <row r="820" spans="2:6" ht="12.5">
      <c r="B820" s="22"/>
      <c r="C820" s="22"/>
      <c r="D820" s="22"/>
      <c r="E820" s="22"/>
      <c r="F820" s="22"/>
    </row>
    <row r="821" spans="2:6" ht="12.5">
      <c r="B821" s="22"/>
      <c r="C821" s="22"/>
      <c r="D821" s="22"/>
      <c r="E821" s="22"/>
      <c r="F821" s="22"/>
    </row>
    <row r="822" spans="2:6" ht="12.5">
      <c r="B822" s="22"/>
      <c r="C822" s="22"/>
      <c r="D822" s="22"/>
      <c r="E822" s="22"/>
      <c r="F822" s="22"/>
    </row>
    <row r="823" spans="2:6" ht="12.5">
      <c r="B823" s="22"/>
      <c r="C823" s="22"/>
      <c r="D823" s="22"/>
      <c r="E823" s="22"/>
      <c r="F823" s="22"/>
    </row>
    <row r="824" spans="2:6" ht="12.5">
      <c r="B824" s="22"/>
      <c r="C824" s="22"/>
      <c r="D824" s="22"/>
      <c r="E824" s="22"/>
      <c r="F824" s="22"/>
    </row>
    <row r="825" spans="2:6" ht="12.5">
      <c r="B825" s="22"/>
      <c r="C825" s="22"/>
      <c r="D825" s="22"/>
      <c r="E825" s="22"/>
      <c r="F825" s="22"/>
    </row>
    <row r="826" spans="2:6" ht="12.5">
      <c r="B826" s="22"/>
      <c r="C826" s="22"/>
      <c r="D826" s="22"/>
      <c r="E826" s="22"/>
      <c r="F826" s="22"/>
    </row>
    <row r="827" spans="2:6" ht="12.5">
      <c r="B827" s="22"/>
      <c r="C827" s="22"/>
      <c r="D827" s="22"/>
      <c r="E827" s="22"/>
      <c r="F827" s="22"/>
    </row>
    <row r="828" spans="2:6" ht="12.5">
      <c r="B828" s="22"/>
      <c r="C828" s="22"/>
      <c r="D828" s="22"/>
      <c r="E828" s="22"/>
      <c r="F828" s="22"/>
    </row>
    <row r="829" spans="2:6" ht="12.5">
      <c r="B829" s="22"/>
      <c r="C829" s="22"/>
      <c r="D829" s="22"/>
      <c r="E829" s="22"/>
      <c r="F829" s="22"/>
    </row>
    <row r="830" spans="2:6" ht="12.5">
      <c r="B830" s="22"/>
      <c r="C830" s="22"/>
      <c r="D830" s="22"/>
      <c r="E830" s="22"/>
      <c r="F830" s="22"/>
    </row>
    <row r="831" spans="2:6" ht="12.5">
      <c r="B831" s="22"/>
      <c r="C831" s="22"/>
      <c r="D831" s="22"/>
      <c r="E831" s="22"/>
      <c r="F831" s="22"/>
    </row>
    <row r="832" spans="2:6" ht="12.5">
      <c r="B832" s="22"/>
      <c r="C832" s="22"/>
      <c r="D832" s="22"/>
      <c r="E832" s="22"/>
      <c r="F832" s="22"/>
    </row>
    <row r="833" spans="2:6" ht="12.5">
      <c r="B833" s="22"/>
      <c r="C833" s="22"/>
      <c r="D833" s="22"/>
      <c r="E833" s="22"/>
      <c r="F833" s="22"/>
    </row>
    <row r="834" spans="2:6" ht="12.5">
      <c r="B834" s="22"/>
      <c r="C834" s="22"/>
      <c r="D834" s="22"/>
      <c r="E834" s="22"/>
      <c r="F834" s="22"/>
    </row>
    <row r="835" spans="2:6" ht="12.5">
      <c r="B835" s="22"/>
      <c r="C835" s="22"/>
      <c r="D835" s="22"/>
      <c r="E835" s="22"/>
      <c r="F835" s="22"/>
    </row>
    <row r="836" spans="2:6" ht="12.5">
      <c r="B836" s="22"/>
      <c r="C836" s="22"/>
      <c r="D836" s="22"/>
      <c r="E836" s="22"/>
      <c r="F836" s="22"/>
    </row>
    <row r="837" spans="2:6" ht="12.5">
      <c r="B837" s="22"/>
      <c r="C837" s="22"/>
      <c r="D837" s="22"/>
      <c r="E837" s="22"/>
      <c r="F837" s="22"/>
    </row>
    <row r="838" spans="2:6" ht="12.5">
      <c r="B838" s="22"/>
      <c r="C838" s="22"/>
      <c r="D838" s="22"/>
      <c r="E838" s="22"/>
      <c r="F838" s="22"/>
    </row>
    <row r="839" spans="2:6" ht="12.5">
      <c r="B839" s="22"/>
      <c r="C839" s="22"/>
      <c r="D839" s="22"/>
      <c r="E839" s="22"/>
      <c r="F839" s="22"/>
    </row>
    <row r="840" spans="2:6" ht="12.5">
      <c r="B840" s="22"/>
      <c r="C840" s="22"/>
      <c r="D840" s="22"/>
      <c r="E840" s="22"/>
      <c r="F840" s="22"/>
    </row>
    <row r="841" spans="2:6" ht="12.5">
      <c r="B841" s="22"/>
      <c r="C841" s="22"/>
      <c r="D841" s="22"/>
      <c r="E841" s="22"/>
      <c r="F841" s="22"/>
    </row>
    <row r="842" spans="2:6" ht="12.5">
      <c r="B842" s="22"/>
      <c r="C842" s="22"/>
      <c r="D842" s="22"/>
      <c r="E842" s="22"/>
      <c r="F842" s="22"/>
    </row>
    <row r="843" spans="2:6" ht="12.5">
      <c r="B843" s="22"/>
      <c r="C843" s="22"/>
      <c r="D843" s="22"/>
      <c r="E843" s="22"/>
      <c r="F843" s="22"/>
    </row>
    <row r="844" spans="2:6" ht="12.5">
      <c r="B844" s="22"/>
      <c r="C844" s="22"/>
      <c r="D844" s="22"/>
      <c r="E844" s="22"/>
      <c r="F844" s="22"/>
    </row>
    <row r="845" spans="2:6" ht="12.5">
      <c r="B845" s="22"/>
      <c r="C845" s="22"/>
      <c r="D845" s="22"/>
      <c r="E845" s="22"/>
      <c r="F845" s="22"/>
    </row>
    <row r="846" spans="2:6" ht="12.5">
      <c r="B846" s="22"/>
      <c r="C846" s="22"/>
      <c r="D846" s="22"/>
      <c r="E846" s="22"/>
      <c r="F846" s="22"/>
    </row>
    <row r="847" spans="2:6" ht="12.5">
      <c r="B847" s="22"/>
      <c r="C847" s="22"/>
      <c r="D847" s="22"/>
      <c r="E847" s="22"/>
      <c r="F847" s="22"/>
    </row>
    <row r="848" spans="2:6" ht="12.5">
      <c r="B848" s="22"/>
      <c r="C848" s="22"/>
      <c r="D848" s="22"/>
      <c r="E848" s="22"/>
      <c r="F848" s="22"/>
    </row>
    <row r="849" spans="2:6" ht="12.5">
      <c r="B849" s="22"/>
      <c r="C849" s="22"/>
      <c r="D849" s="22"/>
      <c r="E849" s="22"/>
      <c r="F849" s="22"/>
    </row>
    <row r="850" spans="2:6" ht="12.5">
      <c r="B850" s="22"/>
      <c r="C850" s="22"/>
      <c r="D850" s="22"/>
      <c r="E850" s="22"/>
      <c r="F850" s="22"/>
    </row>
    <row r="851" spans="2:6" ht="12.5">
      <c r="B851" s="22"/>
      <c r="C851" s="22"/>
      <c r="D851" s="22"/>
      <c r="E851" s="22"/>
      <c r="F851" s="22"/>
    </row>
    <row r="852" spans="2:6" ht="12.5">
      <c r="B852" s="22"/>
      <c r="C852" s="22"/>
      <c r="D852" s="22"/>
      <c r="E852" s="22"/>
      <c r="F852" s="22"/>
    </row>
    <row r="853" spans="2:6" ht="12.5">
      <c r="B853" s="22"/>
      <c r="C853" s="22"/>
      <c r="D853" s="22"/>
      <c r="E853" s="22"/>
      <c r="F853" s="22"/>
    </row>
    <row r="854" spans="2:6" ht="12.5">
      <c r="B854" s="22"/>
      <c r="C854" s="22"/>
      <c r="D854" s="22"/>
      <c r="E854" s="22"/>
      <c r="F854" s="22"/>
    </row>
    <row r="855" spans="2:6" ht="12.5">
      <c r="B855" s="22"/>
      <c r="C855" s="22"/>
      <c r="D855" s="22"/>
      <c r="E855" s="22"/>
      <c r="F855" s="22"/>
    </row>
    <row r="856" spans="2:6" ht="12.5">
      <c r="B856" s="22"/>
      <c r="C856" s="22"/>
      <c r="D856" s="22"/>
      <c r="E856" s="22"/>
      <c r="F856" s="22"/>
    </row>
    <row r="857" spans="2:6" ht="12.5">
      <c r="B857" s="22"/>
      <c r="C857" s="22"/>
      <c r="D857" s="22"/>
      <c r="E857" s="22"/>
      <c r="F857" s="22"/>
    </row>
    <row r="858" spans="2:6" ht="12.5">
      <c r="B858" s="22"/>
      <c r="C858" s="22"/>
      <c r="D858" s="22"/>
      <c r="E858" s="22"/>
      <c r="F858" s="22"/>
    </row>
    <row r="859" spans="2:6" ht="12.5">
      <c r="B859" s="22"/>
      <c r="C859" s="22"/>
      <c r="D859" s="22"/>
      <c r="E859" s="22"/>
      <c r="F859" s="22"/>
    </row>
    <row r="860" spans="2:6" ht="12.5">
      <c r="B860" s="22"/>
      <c r="C860" s="22"/>
      <c r="D860" s="22"/>
      <c r="E860" s="22"/>
      <c r="F860" s="22"/>
    </row>
    <row r="861" spans="2:6" ht="12.5">
      <c r="B861" s="22"/>
      <c r="C861" s="22"/>
      <c r="D861" s="22"/>
      <c r="E861" s="22"/>
      <c r="F861" s="22"/>
    </row>
    <row r="862" spans="2:6" ht="12.5">
      <c r="B862" s="22"/>
      <c r="C862" s="22"/>
      <c r="D862" s="22"/>
      <c r="E862" s="22"/>
      <c r="F862" s="22"/>
    </row>
    <row r="863" spans="2:6" ht="12.5">
      <c r="B863" s="22"/>
      <c r="C863" s="22"/>
      <c r="D863" s="22"/>
      <c r="E863" s="22"/>
      <c r="F863" s="22"/>
    </row>
    <row r="864" spans="2:6" ht="12.5">
      <c r="B864" s="22"/>
      <c r="C864" s="22"/>
      <c r="D864" s="22"/>
      <c r="E864" s="22"/>
      <c r="F864" s="22"/>
    </row>
    <row r="865" spans="2:6" ht="12.5">
      <c r="B865" s="22"/>
      <c r="C865" s="22"/>
      <c r="D865" s="22"/>
      <c r="E865" s="22"/>
      <c r="F865" s="22"/>
    </row>
    <row r="866" spans="2:6" ht="12.5">
      <c r="B866" s="22"/>
      <c r="C866" s="22"/>
      <c r="D866" s="22"/>
      <c r="E866" s="22"/>
      <c r="F866" s="22"/>
    </row>
    <row r="867" spans="2:6" ht="12.5">
      <c r="B867" s="22"/>
      <c r="C867" s="22"/>
      <c r="D867" s="22"/>
      <c r="E867" s="22"/>
      <c r="F867" s="22"/>
    </row>
    <row r="868" spans="2:6" ht="12.5">
      <c r="B868" s="22"/>
      <c r="C868" s="22"/>
      <c r="D868" s="22"/>
      <c r="E868" s="22"/>
      <c r="F868" s="22"/>
    </row>
    <row r="869" spans="2:6" ht="12.5">
      <c r="B869" s="22"/>
      <c r="C869" s="22"/>
      <c r="D869" s="22"/>
      <c r="E869" s="22"/>
      <c r="F869" s="22"/>
    </row>
    <row r="870" spans="2:6" ht="12.5">
      <c r="B870" s="22"/>
      <c r="C870" s="22"/>
      <c r="D870" s="22"/>
      <c r="E870" s="22"/>
      <c r="F870" s="22"/>
    </row>
    <row r="871" spans="2:6" ht="12.5">
      <c r="B871" s="22"/>
      <c r="C871" s="22"/>
      <c r="D871" s="22"/>
      <c r="E871" s="22"/>
      <c r="F871" s="22"/>
    </row>
    <row r="872" spans="2:6" ht="12.5">
      <c r="B872" s="22"/>
      <c r="C872" s="22"/>
      <c r="D872" s="22"/>
      <c r="E872" s="22"/>
      <c r="F872" s="22"/>
    </row>
    <row r="873" spans="2:6" ht="12.5">
      <c r="B873" s="22"/>
      <c r="C873" s="22"/>
      <c r="D873" s="22"/>
      <c r="E873" s="22"/>
      <c r="F873" s="22"/>
    </row>
    <row r="874" spans="2:6" ht="12.5">
      <c r="B874" s="22"/>
      <c r="C874" s="22"/>
      <c r="D874" s="22"/>
      <c r="E874" s="22"/>
      <c r="F874" s="22"/>
    </row>
    <row r="875" spans="2:6" ht="12.5">
      <c r="B875" s="22"/>
      <c r="C875" s="22"/>
      <c r="D875" s="22"/>
      <c r="E875" s="22"/>
      <c r="F875" s="22"/>
    </row>
    <row r="876" spans="2:6" ht="12.5">
      <c r="B876" s="22"/>
      <c r="C876" s="22"/>
      <c r="D876" s="22"/>
      <c r="E876" s="22"/>
      <c r="F876" s="22"/>
    </row>
    <row r="877" spans="2:6" ht="12.5">
      <c r="B877" s="22"/>
      <c r="C877" s="22"/>
      <c r="D877" s="22"/>
      <c r="E877" s="22"/>
      <c r="F877" s="22"/>
    </row>
    <row r="878" spans="2:6" ht="12.5">
      <c r="B878" s="22"/>
      <c r="C878" s="22"/>
      <c r="D878" s="22"/>
      <c r="E878" s="22"/>
      <c r="F878" s="22"/>
    </row>
    <row r="879" spans="2:6" ht="12.5">
      <c r="B879" s="22"/>
      <c r="C879" s="22"/>
      <c r="D879" s="22"/>
      <c r="E879" s="22"/>
      <c r="F879" s="22"/>
    </row>
    <row r="880" spans="2:6" ht="12.5">
      <c r="B880" s="22"/>
      <c r="C880" s="22"/>
      <c r="D880" s="22"/>
      <c r="E880" s="22"/>
      <c r="F880" s="22"/>
    </row>
    <row r="881" spans="2:6" ht="12.5">
      <c r="B881" s="22"/>
      <c r="C881" s="22"/>
      <c r="D881" s="22"/>
      <c r="E881" s="22"/>
      <c r="F881" s="22"/>
    </row>
    <row r="882" spans="2:6" ht="12.5">
      <c r="B882" s="22"/>
      <c r="C882" s="22"/>
      <c r="D882" s="22"/>
      <c r="E882" s="22"/>
      <c r="F882" s="22"/>
    </row>
    <row r="883" spans="2:6" ht="12.5">
      <c r="B883" s="22"/>
      <c r="C883" s="22"/>
      <c r="D883" s="22"/>
      <c r="E883" s="22"/>
      <c r="F883" s="22"/>
    </row>
    <row r="884" spans="2:6" ht="12.5">
      <c r="B884" s="22"/>
      <c r="C884" s="22"/>
      <c r="D884" s="22"/>
      <c r="E884" s="22"/>
      <c r="F884" s="22"/>
    </row>
    <row r="885" spans="2:6" ht="12.5">
      <c r="B885" s="22"/>
      <c r="C885" s="22"/>
      <c r="D885" s="22"/>
      <c r="E885" s="22"/>
      <c r="F885" s="22"/>
    </row>
    <row r="886" spans="2:6" ht="12.5">
      <c r="B886" s="22"/>
      <c r="C886" s="22"/>
      <c r="D886" s="22"/>
      <c r="E886" s="22"/>
      <c r="F886" s="22"/>
    </row>
    <row r="887" spans="2:6" ht="12.5">
      <c r="B887" s="22"/>
      <c r="C887" s="22"/>
      <c r="D887" s="22"/>
      <c r="E887" s="22"/>
      <c r="F887" s="22"/>
    </row>
    <row r="888" spans="2:6" ht="12.5">
      <c r="B888" s="22"/>
      <c r="C888" s="22"/>
      <c r="D888" s="22"/>
      <c r="E888" s="22"/>
      <c r="F888" s="22"/>
    </row>
    <row r="889" spans="2:6" ht="12.5">
      <c r="B889" s="22"/>
      <c r="C889" s="22"/>
      <c r="D889" s="22"/>
      <c r="E889" s="22"/>
      <c r="F889" s="22"/>
    </row>
    <row r="890" spans="2:6" ht="12.5">
      <c r="B890" s="22"/>
      <c r="C890" s="22"/>
      <c r="D890" s="22"/>
      <c r="E890" s="22"/>
      <c r="F890" s="22"/>
    </row>
    <row r="891" spans="2:6" ht="12.5">
      <c r="B891" s="22"/>
      <c r="C891" s="22"/>
      <c r="D891" s="22"/>
      <c r="E891" s="22"/>
      <c r="F891" s="22"/>
    </row>
    <row r="892" spans="2:6" ht="12.5">
      <c r="B892" s="22"/>
      <c r="C892" s="22"/>
      <c r="D892" s="22"/>
      <c r="E892" s="22"/>
      <c r="F892" s="22"/>
    </row>
    <row r="893" spans="2:6" ht="12.5">
      <c r="B893" s="22"/>
      <c r="C893" s="22"/>
      <c r="D893" s="22"/>
      <c r="E893" s="22"/>
      <c r="F893" s="22"/>
    </row>
    <row r="894" spans="2:6" ht="12.5">
      <c r="B894" s="22"/>
      <c r="C894" s="22"/>
      <c r="D894" s="22"/>
      <c r="E894" s="22"/>
      <c r="F894" s="22"/>
    </row>
    <row r="895" spans="2:6" ht="12.5">
      <c r="B895" s="22"/>
      <c r="C895" s="22"/>
      <c r="D895" s="22"/>
      <c r="E895" s="22"/>
      <c r="F895" s="22"/>
    </row>
    <row r="896" spans="2:6" ht="12.5">
      <c r="B896" s="22"/>
      <c r="C896" s="22"/>
      <c r="D896" s="22"/>
      <c r="E896" s="22"/>
      <c r="F896" s="22"/>
    </row>
    <row r="897" spans="2:6" ht="12.5">
      <c r="B897" s="22"/>
      <c r="C897" s="22"/>
      <c r="D897" s="22"/>
      <c r="E897" s="22"/>
      <c r="F897" s="22"/>
    </row>
    <row r="898" spans="2:6" ht="12.5">
      <c r="B898" s="22"/>
      <c r="C898" s="22"/>
      <c r="D898" s="22"/>
      <c r="E898" s="22"/>
      <c r="F898" s="22"/>
    </row>
    <row r="899" spans="2:6" ht="12.5">
      <c r="B899" s="22"/>
      <c r="C899" s="22"/>
      <c r="D899" s="22"/>
      <c r="E899" s="22"/>
      <c r="F899" s="22"/>
    </row>
    <row r="900" spans="2:6" ht="12.5">
      <c r="B900" s="22"/>
      <c r="C900" s="22"/>
      <c r="D900" s="22"/>
      <c r="E900" s="22"/>
      <c r="F900" s="22"/>
    </row>
    <row r="901" spans="2:6" ht="12.5">
      <c r="B901" s="22"/>
      <c r="C901" s="22"/>
      <c r="D901" s="22"/>
      <c r="E901" s="22"/>
      <c r="F901" s="22"/>
    </row>
    <row r="902" spans="2:6" ht="12.5">
      <c r="B902" s="22"/>
      <c r="C902" s="22"/>
      <c r="D902" s="22"/>
      <c r="E902" s="22"/>
      <c r="F902" s="22"/>
    </row>
    <row r="903" spans="2:6" ht="12.5">
      <c r="B903" s="22"/>
      <c r="C903" s="22"/>
      <c r="D903" s="22"/>
      <c r="E903" s="22"/>
      <c r="F903" s="22"/>
    </row>
    <row r="904" spans="2:6" ht="12.5">
      <c r="B904" s="22"/>
      <c r="C904" s="22"/>
      <c r="D904" s="22"/>
      <c r="E904" s="22"/>
      <c r="F904" s="22"/>
    </row>
    <row r="905" spans="2:6" ht="12.5">
      <c r="B905" s="22"/>
      <c r="C905" s="22"/>
      <c r="D905" s="22"/>
      <c r="E905" s="22"/>
      <c r="F905" s="22"/>
    </row>
    <row r="906" spans="2:6" ht="12.5">
      <c r="B906" s="22"/>
      <c r="C906" s="22"/>
      <c r="D906" s="22"/>
      <c r="E906" s="22"/>
      <c r="F906" s="22"/>
    </row>
    <row r="907" spans="2:6" ht="12.5">
      <c r="B907" s="22"/>
      <c r="C907" s="22"/>
      <c r="D907" s="22"/>
      <c r="E907" s="22"/>
      <c r="F907" s="22"/>
    </row>
    <row r="908" spans="2:6" ht="12.5">
      <c r="B908" s="22"/>
      <c r="C908" s="22"/>
      <c r="D908" s="22"/>
      <c r="E908" s="22"/>
      <c r="F908" s="22"/>
    </row>
    <row r="909" spans="2:6" ht="12.5">
      <c r="B909" s="22"/>
      <c r="C909" s="22"/>
      <c r="D909" s="22"/>
      <c r="E909" s="22"/>
      <c r="F909" s="22"/>
    </row>
    <row r="910" spans="2:6" ht="12.5">
      <c r="B910" s="22"/>
      <c r="C910" s="22"/>
      <c r="D910" s="22"/>
      <c r="E910" s="22"/>
      <c r="F910" s="22"/>
    </row>
    <row r="911" spans="2:6" ht="12.5">
      <c r="B911" s="22"/>
      <c r="C911" s="22"/>
      <c r="D911" s="22"/>
      <c r="E911" s="22"/>
      <c r="F911" s="22"/>
    </row>
    <row r="912" spans="2:6" ht="12.5">
      <c r="B912" s="22"/>
      <c r="C912" s="22"/>
      <c r="D912" s="22"/>
      <c r="E912" s="22"/>
      <c r="F912" s="22"/>
    </row>
    <row r="913" spans="2:6" ht="12.5">
      <c r="B913" s="22"/>
      <c r="C913" s="22"/>
      <c r="D913" s="22"/>
      <c r="E913" s="22"/>
      <c r="F913" s="22"/>
    </row>
    <row r="914" spans="2:6" ht="12.5">
      <c r="B914" s="22"/>
      <c r="C914" s="22"/>
      <c r="D914" s="22"/>
      <c r="E914" s="22"/>
      <c r="F914" s="22"/>
    </row>
    <row r="915" spans="2:6" ht="12.5">
      <c r="B915" s="22"/>
      <c r="C915" s="22"/>
      <c r="D915" s="22"/>
      <c r="E915" s="22"/>
      <c r="F915" s="22"/>
    </row>
    <row r="916" spans="2:6" ht="12.5">
      <c r="B916" s="22"/>
      <c r="C916" s="22"/>
      <c r="D916" s="22"/>
      <c r="E916" s="22"/>
      <c r="F916" s="22"/>
    </row>
    <row r="917" spans="2:6" ht="12.5">
      <c r="B917" s="22"/>
      <c r="C917" s="22"/>
      <c r="D917" s="22"/>
      <c r="E917" s="22"/>
      <c r="F917" s="22"/>
    </row>
    <row r="918" spans="2:6" ht="12.5">
      <c r="B918" s="22"/>
      <c r="C918" s="22"/>
      <c r="D918" s="22"/>
      <c r="E918" s="22"/>
      <c r="F918" s="22"/>
    </row>
    <row r="919" spans="2:6" ht="12.5">
      <c r="B919" s="22"/>
      <c r="C919" s="22"/>
      <c r="D919" s="22"/>
      <c r="E919" s="22"/>
      <c r="F919" s="22"/>
    </row>
    <row r="920" spans="2:6" ht="12.5">
      <c r="B920" s="22"/>
      <c r="C920" s="22"/>
      <c r="D920" s="22"/>
      <c r="E920" s="22"/>
      <c r="F920" s="22"/>
    </row>
    <row r="921" spans="2:6" ht="12.5">
      <c r="B921" s="22"/>
      <c r="C921" s="22"/>
      <c r="D921" s="22"/>
      <c r="E921" s="22"/>
      <c r="F921" s="22"/>
    </row>
    <row r="922" spans="2:6" ht="12.5">
      <c r="B922" s="22"/>
      <c r="C922" s="22"/>
      <c r="D922" s="22"/>
      <c r="E922" s="22"/>
      <c r="F922" s="22"/>
    </row>
    <row r="923" spans="2:6" ht="12.5">
      <c r="B923" s="22"/>
      <c r="C923" s="22"/>
      <c r="D923" s="22"/>
      <c r="E923" s="22"/>
      <c r="F923" s="22"/>
    </row>
    <row r="924" spans="2:6" ht="12.5">
      <c r="B924" s="22"/>
      <c r="C924" s="22"/>
      <c r="D924" s="22"/>
      <c r="E924" s="22"/>
      <c r="F924" s="22"/>
    </row>
    <row r="925" spans="2:6" ht="12.5">
      <c r="B925" s="22"/>
      <c r="C925" s="22"/>
      <c r="D925" s="22"/>
      <c r="E925" s="22"/>
      <c r="F925" s="22"/>
    </row>
    <row r="926" spans="2:6" ht="12.5">
      <c r="B926" s="22"/>
      <c r="C926" s="22"/>
      <c r="D926" s="22"/>
      <c r="E926" s="22"/>
      <c r="F926" s="22"/>
    </row>
    <row r="927" spans="2:6" ht="12.5">
      <c r="B927" s="22"/>
      <c r="C927" s="22"/>
      <c r="D927" s="22"/>
      <c r="E927" s="22"/>
      <c r="F927" s="22"/>
    </row>
    <row r="928" spans="2:6" ht="12.5">
      <c r="B928" s="22"/>
      <c r="C928" s="22"/>
      <c r="D928" s="22"/>
      <c r="E928" s="22"/>
      <c r="F928" s="22"/>
    </row>
    <row r="929" spans="2:6" ht="12.5">
      <c r="B929" s="22"/>
      <c r="C929" s="22"/>
      <c r="D929" s="22"/>
      <c r="E929" s="22"/>
      <c r="F929" s="22"/>
    </row>
    <row r="930" spans="2:6" ht="12.5">
      <c r="B930" s="22"/>
      <c r="C930" s="22"/>
      <c r="D930" s="22"/>
      <c r="E930" s="22"/>
      <c r="F930" s="22"/>
    </row>
    <row r="931" spans="2:6" ht="12.5">
      <c r="B931" s="22"/>
      <c r="C931" s="22"/>
      <c r="D931" s="22"/>
      <c r="E931" s="22"/>
      <c r="F931" s="22"/>
    </row>
    <row r="932" spans="2:6" ht="12.5">
      <c r="B932" s="22"/>
      <c r="C932" s="22"/>
      <c r="D932" s="22"/>
      <c r="E932" s="22"/>
      <c r="F932" s="22"/>
    </row>
    <row r="933" spans="2:6" ht="12.5">
      <c r="B933" s="22"/>
      <c r="C933" s="22"/>
      <c r="D933" s="22"/>
      <c r="E933" s="22"/>
      <c r="F933" s="22"/>
    </row>
    <row r="934" spans="2:6" ht="12.5">
      <c r="B934" s="22"/>
      <c r="C934" s="22"/>
      <c r="D934" s="22"/>
      <c r="E934" s="22"/>
      <c r="F934" s="22"/>
    </row>
    <row r="935" spans="2:6" ht="12.5">
      <c r="B935" s="22"/>
      <c r="C935" s="22"/>
      <c r="D935" s="22"/>
      <c r="E935" s="22"/>
      <c r="F935" s="22"/>
    </row>
    <row r="936" spans="2:6" ht="12.5">
      <c r="B936" s="22"/>
      <c r="C936" s="22"/>
      <c r="D936" s="22"/>
      <c r="E936" s="22"/>
      <c r="F936" s="22"/>
    </row>
    <row r="937" spans="2:6" ht="12.5">
      <c r="B937" s="22"/>
      <c r="C937" s="22"/>
      <c r="D937" s="22"/>
      <c r="E937" s="22"/>
      <c r="F937" s="22"/>
    </row>
    <row r="938" spans="2:6" ht="12.5">
      <c r="B938" s="22"/>
      <c r="C938" s="22"/>
      <c r="D938" s="22"/>
      <c r="E938" s="22"/>
      <c r="F938" s="22"/>
    </row>
    <row r="939" spans="2:6" ht="12.5">
      <c r="B939" s="22"/>
      <c r="C939" s="22"/>
      <c r="D939" s="22"/>
      <c r="E939" s="22"/>
      <c r="F939" s="22"/>
    </row>
    <row r="940" spans="2:6" ht="12.5">
      <c r="B940" s="22"/>
      <c r="C940" s="22"/>
      <c r="D940" s="22"/>
      <c r="E940" s="22"/>
      <c r="F940" s="22"/>
    </row>
    <row r="941" spans="2:6" ht="12.5">
      <c r="B941" s="22"/>
      <c r="C941" s="22"/>
      <c r="D941" s="22"/>
      <c r="E941" s="22"/>
      <c r="F941" s="22"/>
    </row>
    <row r="942" spans="2:6" ht="12.5">
      <c r="B942" s="22"/>
      <c r="C942" s="22"/>
      <c r="D942" s="22"/>
      <c r="E942" s="22"/>
      <c r="F942" s="22"/>
    </row>
    <row r="943" spans="2:6" ht="12.5">
      <c r="B943" s="22"/>
      <c r="C943" s="22"/>
      <c r="D943" s="22"/>
      <c r="E943" s="22"/>
      <c r="F943" s="22"/>
    </row>
    <row r="944" spans="2:6" ht="12.5">
      <c r="B944" s="22"/>
      <c r="C944" s="22"/>
      <c r="D944" s="22"/>
      <c r="E944" s="22"/>
      <c r="F944" s="22"/>
    </row>
    <row r="945" spans="2:6" ht="12.5">
      <c r="B945" s="22"/>
      <c r="C945" s="22"/>
      <c r="D945" s="22"/>
      <c r="E945" s="22"/>
      <c r="F945" s="22"/>
    </row>
    <row r="946" spans="2:6" ht="12.5">
      <c r="B946" s="22"/>
      <c r="C946" s="22"/>
      <c r="D946" s="22"/>
      <c r="E946" s="22"/>
      <c r="F946" s="22"/>
    </row>
    <row r="947" spans="2:6" ht="12.5">
      <c r="B947" s="22"/>
      <c r="C947" s="22"/>
      <c r="D947" s="22"/>
      <c r="E947" s="22"/>
      <c r="F947" s="22"/>
    </row>
    <row r="948" spans="2:6" ht="12.5">
      <c r="B948" s="22"/>
      <c r="C948" s="22"/>
      <c r="D948" s="22"/>
      <c r="E948" s="22"/>
      <c r="F948" s="22"/>
    </row>
    <row r="949" spans="2:6" ht="12.5">
      <c r="B949" s="22"/>
      <c r="C949" s="22"/>
      <c r="D949" s="22"/>
      <c r="E949" s="22"/>
      <c r="F949" s="22"/>
    </row>
    <row r="950" spans="2:6" ht="12.5">
      <c r="B950" s="22"/>
      <c r="C950" s="22"/>
      <c r="D950" s="22"/>
      <c r="E950" s="22"/>
      <c r="F950" s="22"/>
    </row>
    <row r="951" spans="2:6" ht="12.5">
      <c r="B951" s="22"/>
      <c r="C951" s="22"/>
      <c r="D951" s="22"/>
      <c r="E951" s="22"/>
      <c r="F951" s="22"/>
    </row>
    <row r="952" spans="2:6" ht="12.5">
      <c r="B952" s="22"/>
      <c r="C952" s="22"/>
      <c r="D952" s="22"/>
      <c r="E952" s="22"/>
      <c r="F952" s="22"/>
    </row>
    <row r="953" spans="2:6" ht="12.5">
      <c r="B953" s="22"/>
      <c r="C953" s="22"/>
      <c r="D953" s="22"/>
      <c r="E953" s="22"/>
      <c r="F953" s="22"/>
    </row>
    <row r="954" spans="2:6" ht="12.5">
      <c r="B954" s="22"/>
      <c r="C954" s="22"/>
      <c r="D954" s="22"/>
      <c r="E954" s="22"/>
      <c r="F954" s="22"/>
    </row>
    <row r="955" spans="2:6" ht="12.5">
      <c r="B955" s="22"/>
      <c r="C955" s="22"/>
      <c r="D955" s="22"/>
      <c r="E955" s="22"/>
      <c r="F955" s="22"/>
    </row>
    <row r="956" spans="2:6" ht="12.5">
      <c r="B956" s="22"/>
      <c r="C956" s="22"/>
      <c r="D956" s="22"/>
      <c r="E956" s="22"/>
      <c r="F956" s="22"/>
    </row>
    <row r="957" spans="2:6" ht="12.5">
      <c r="B957" s="22"/>
      <c r="C957" s="22"/>
      <c r="D957" s="22"/>
      <c r="E957" s="22"/>
      <c r="F957" s="22"/>
    </row>
    <row r="958" spans="2:6" ht="12.5">
      <c r="B958" s="22"/>
      <c r="C958" s="22"/>
      <c r="D958" s="22"/>
      <c r="E958" s="22"/>
      <c r="F958" s="22"/>
    </row>
    <row r="959" spans="2:6" ht="12.5">
      <c r="B959" s="22"/>
      <c r="C959" s="22"/>
      <c r="D959" s="22"/>
      <c r="E959" s="22"/>
      <c r="F959" s="22"/>
    </row>
    <row r="960" spans="2:6" ht="12.5">
      <c r="B960" s="22"/>
      <c r="C960" s="22"/>
      <c r="D960" s="22"/>
      <c r="E960" s="22"/>
      <c r="F960" s="22"/>
    </row>
    <row r="961" spans="2:6" ht="12.5">
      <c r="B961" s="22"/>
      <c r="C961" s="22"/>
      <c r="D961" s="22"/>
      <c r="E961" s="22"/>
      <c r="F961" s="22"/>
    </row>
    <row r="962" spans="2:6" ht="12.5">
      <c r="B962" s="22"/>
      <c r="C962" s="22"/>
      <c r="D962" s="22"/>
      <c r="E962" s="22"/>
      <c r="F962" s="22"/>
    </row>
    <row r="963" spans="2:6" ht="12.5">
      <c r="B963" s="22"/>
      <c r="C963" s="22"/>
      <c r="D963" s="22"/>
      <c r="E963" s="22"/>
      <c r="F963" s="22"/>
    </row>
    <row r="964" spans="2:6" ht="12.5">
      <c r="B964" s="22"/>
      <c r="C964" s="22"/>
      <c r="D964" s="22"/>
      <c r="E964" s="22"/>
      <c r="F964" s="22"/>
    </row>
    <row r="965" spans="2:6" ht="12.5">
      <c r="B965" s="22"/>
      <c r="C965" s="22"/>
      <c r="D965" s="22"/>
      <c r="E965" s="22"/>
      <c r="F965" s="22"/>
    </row>
    <row r="966" spans="2:6" ht="12.5">
      <c r="B966" s="22"/>
      <c r="C966" s="22"/>
      <c r="D966" s="22"/>
      <c r="E966" s="22"/>
      <c r="F966" s="22"/>
    </row>
    <row r="967" spans="2:6" ht="12.5">
      <c r="B967" s="22"/>
      <c r="C967" s="22"/>
      <c r="D967" s="22"/>
      <c r="E967" s="22"/>
      <c r="F967" s="22"/>
    </row>
    <row r="968" spans="2:6" ht="12.5">
      <c r="B968" s="22"/>
      <c r="C968" s="22"/>
      <c r="D968" s="22"/>
      <c r="E968" s="22"/>
      <c r="F968" s="22"/>
    </row>
    <row r="969" spans="2:6" ht="12.5">
      <c r="B969" s="22"/>
      <c r="C969" s="22"/>
      <c r="D969" s="22"/>
      <c r="E969" s="22"/>
      <c r="F969" s="22"/>
    </row>
    <row r="970" spans="2:6" ht="12.5">
      <c r="B970" s="22"/>
      <c r="C970" s="22"/>
      <c r="D970" s="22"/>
      <c r="E970" s="22"/>
      <c r="F970" s="22"/>
    </row>
    <row r="971" spans="2:6" ht="12.5">
      <c r="B971" s="22"/>
      <c r="C971" s="22"/>
      <c r="D971" s="22"/>
      <c r="E971" s="22"/>
      <c r="F971" s="22"/>
    </row>
    <row r="972" spans="2:6" ht="12.5">
      <c r="B972" s="22"/>
      <c r="C972" s="22"/>
      <c r="D972" s="22"/>
      <c r="E972" s="22"/>
      <c r="F972" s="22"/>
    </row>
    <row r="973" spans="2:6" ht="12.5">
      <c r="B973" s="22"/>
      <c r="C973" s="22"/>
      <c r="D973" s="22"/>
      <c r="E973" s="22"/>
      <c r="F973" s="22"/>
    </row>
    <row r="974" spans="2:6" ht="12.5">
      <c r="B974" s="22"/>
      <c r="C974" s="22"/>
      <c r="D974" s="22"/>
      <c r="E974" s="22"/>
      <c r="F974" s="22"/>
    </row>
    <row r="975" spans="2:6" ht="12.5">
      <c r="B975" s="22"/>
      <c r="C975" s="22"/>
      <c r="D975" s="22"/>
      <c r="E975" s="22"/>
      <c r="F975" s="22"/>
    </row>
    <row r="976" spans="2:6" ht="12.5">
      <c r="B976" s="22"/>
      <c r="C976" s="22"/>
      <c r="D976" s="22"/>
      <c r="E976" s="22"/>
      <c r="F976" s="22"/>
    </row>
    <row r="977" spans="2:6" ht="12.5">
      <c r="B977" s="22"/>
      <c r="C977" s="22"/>
      <c r="D977" s="22"/>
      <c r="E977" s="22"/>
      <c r="F977" s="22"/>
    </row>
    <row r="978" spans="2:6" ht="12.5">
      <c r="B978" s="22"/>
      <c r="C978" s="22"/>
      <c r="D978" s="22"/>
      <c r="E978" s="22"/>
      <c r="F978" s="22"/>
    </row>
    <row r="979" spans="2:6" ht="12.5">
      <c r="B979" s="22"/>
      <c r="C979" s="22"/>
      <c r="D979" s="22"/>
      <c r="E979" s="22"/>
      <c r="F979" s="22"/>
    </row>
    <row r="980" spans="2:6" ht="12.5">
      <c r="B980" s="22"/>
      <c r="C980" s="22"/>
      <c r="D980" s="22"/>
      <c r="E980" s="22"/>
      <c r="F980" s="22"/>
    </row>
    <row r="981" spans="2:6" ht="12.5">
      <c r="B981" s="22"/>
      <c r="C981" s="22"/>
      <c r="D981" s="22"/>
      <c r="E981" s="22"/>
      <c r="F981" s="22"/>
    </row>
    <row r="982" spans="2:6" ht="12.5">
      <c r="B982" s="22"/>
      <c r="C982" s="22"/>
      <c r="D982" s="22"/>
      <c r="E982" s="22"/>
      <c r="F982" s="22"/>
    </row>
    <row r="983" spans="2:6" ht="12.5">
      <c r="B983" s="22"/>
      <c r="C983" s="22"/>
      <c r="D983" s="22"/>
      <c r="E983" s="22"/>
      <c r="F983" s="22"/>
    </row>
    <row r="984" spans="2:6" ht="12.5">
      <c r="B984" s="22"/>
      <c r="C984" s="22"/>
      <c r="D984" s="22"/>
      <c r="E984" s="22"/>
      <c r="F984" s="22"/>
    </row>
    <row r="985" spans="2:6" ht="12.5">
      <c r="B985" s="22"/>
      <c r="C985" s="22"/>
      <c r="D985" s="22"/>
      <c r="E985" s="22"/>
      <c r="F985" s="22"/>
    </row>
    <row r="986" spans="2:6" ht="12.5">
      <c r="B986" s="22"/>
      <c r="C986" s="22"/>
      <c r="D986" s="22"/>
      <c r="E986" s="22"/>
      <c r="F986" s="22"/>
    </row>
    <row r="987" spans="2:6" ht="12.5">
      <c r="B987" s="22"/>
      <c r="C987" s="22"/>
      <c r="D987" s="22"/>
      <c r="E987" s="22"/>
      <c r="F987" s="22"/>
    </row>
    <row r="988" spans="2:6" ht="12.5">
      <c r="B988" s="22"/>
      <c r="C988" s="22"/>
      <c r="D988" s="22"/>
      <c r="E988" s="22"/>
      <c r="F988" s="22"/>
    </row>
    <row r="989" spans="2:6" ht="12.5">
      <c r="B989" s="22"/>
      <c r="C989" s="22"/>
      <c r="D989" s="22"/>
      <c r="E989" s="22"/>
      <c r="F989" s="22"/>
    </row>
    <row r="990" spans="2:6" ht="12.5">
      <c r="B990" s="22"/>
      <c r="C990" s="22"/>
      <c r="D990" s="22"/>
      <c r="E990" s="22"/>
      <c r="F990" s="22"/>
    </row>
    <row r="991" spans="2:6" ht="12.5">
      <c r="B991" s="22"/>
      <c r="C991" s="22"/>
      <c r="D991" s="22"/>
      <c r="E991" s="22"/>
      <c r="F991" s="22"/>
    </row>
    <row r="992" spans="2:6" ht="12.5">
      <c r="B992" s="22"/>
      <c r="C992" s="22"/>
      <c r="D992" s="22"/>
      <c r="E992" s="22"/>
      <c r="F992" s="22"/>
    </row>
    <row r="993" spans="2:6" ht="12.5">
      <c r="B993" s="22"/>
      <c r="C993" s="22"/>
      <c r="D993" s="22"/>
      <c r="E993" s="22"/>
      <c r="F993" s="22"/>
    </row>
    <row r="994" spans="2:6" ht="12.5">
      <c r="B994" s="22"/>
      <c r="C994" s="22"/>
      <c r="D994" s="22"/>
      <c r="E994" s="22"/>
      <c r="F994" s="22"/>
    </row>
    <row r="995" spans="2:6" ht="12.5">
      <c r="B995" s="22"/>
      <c r="C995" s="22"/>
      <c r="D995" s="22"/>
      <c r="E995" s="22"/>
      <c r="F995" s="22"/>
    </row>
    <row r="996" spans="2:6" ht="12.5">
      <c r="B996" s="22"/>
      <c r="C996" s="22"/>
      <c r="D996" s="22"/>
      <c r="E996" s="22"/>
      <c r="F996" s="22"/>
    </row>
    <row r="997" spans="2:6" ht="12.5">
      <c r="B997" s="22"/>
      <c r="C997" s="22"/>
      <c r="D997" s="22"/>
      <c r="E997" s="22"/>
      <c r="F997" s="22"/>
    </row>
    <row r="998" spans="2:6" ht="12.5">
      <c r="B998" s="22"/>
      <c r="C998" s="22"/>
      <c r="D998" s="22"/>
      <c r="E998" s="22"/>
      <c r="F998" s="22"/>
    </row>
    <row r="999" spans="2:6" ht="12.5">
      <c r="B999" s="22"/>
      <c r="C999" s="22"/>
      <c r="D999" s="22"/>
      <c r="E999" s="22"/>
      <c r="F999" s="22"/>
    </row>
    <row r="1000" spans="2:6" ht="12.5">
      <c r="B1000" s="22"/>
      <c r="C1000" s="22"/>
      <c r="D1000" s="22"/>
      <c r="E1000" s="22"/>
      <c r="F1000" s="22"/>
    </row>
  </sheetData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1000"/>
  <sheetViews>
    <sheetView topLeftCell="A58" workbookViewId="0">
      <selection activeCell="D7" sqref="D7"/>
    </sheetView>
  </sheetViews>
  <sheetFormatPr defaultColWidth="12.54296875" defaultRowHeight="15.75" customHeight="1"/>
  <cols>
    <col min="1" max="1" width="47.1796875" customWidth="1"/>
  </cols>
  <sheetData>
    <row r="1" spans="1:14" ht="15.75" customHeight="1">
      <c r="A1" s="23" t="s">
        <v>0</v>
      </c>
      <c r="B1" s="24">
        <v>2017</v>
      </c>
      <c r="C1" s="24">
        <v>2018</v>
      </c>
      <c r="D1" s="24">
        <v>2019</v>
      </c>
      <c r="E1" s="24">
        <v>2020</v>
      </c>
      <c r="F1" s="24">
        <v>2021</v>
      </c>
      <c r="G1" s="25" t="s">
        <v>1</v>
      </c>
      <c r="J1" s="25"/>
      <c r="K1" s="25"/>
      <c r="L1" s="25"/>
      <c r="M1" s="25"/>
      <c r="N1" s="25"/>
    </row>
    <row r="2" spans="1:14" ht="15.75" customHeight="1">
      <c r="A2" s="26" t="s">
        <v>49</v>
      </c>
      <c r="B2" s="27">
        <v>5695</v>
      </c>
      <c r="C2" s="28">
        <v>9109</v>
      </c>
      <c r="D2" s="28">
        <v>10761</v>
      </c>
      <c r="E2" s="28">
        <v>13083</v>
      </c>
      <c r="F2" s="29">
        <v>9500</v>
      </c>
      <c r="G2" s="30"/>
      <c r="J2" s="31"/>
      <c r="K2" s="31"/>
      <c r="L2" s="31"/>
      <c r="M2" s="31"/>
      <c r="N2" s="31"/>
    </row>
    <row r="3" spans="1:14" ht="15.75" customHeight="1">
      <c r="A3" s="26" t="s">
        <v>50</v>
      </c>
      <c r="B3" s="27">
        <v>2962</v>
      </c>
      <c r="C3" s="28">
        <v>7650</v>
      </c>
      <c r="D3" s="28">
        <v>7413</v>
      </c>
      <c r="E3" s="28">
        <v>4875</v>
      </c>
      <c r="F3" s="29">
        <v>5306</v>
      </c>
      <c r="G3" s="30"/>
      <c r="J3" s="31"/>
      <c r="K3" s="31"/>
      <c r="L3" s="31"/>
      <c r="M3" s="31"/>
      <c r="N3" s="31"/>
    </row>
    <row r="4" spans="1:14" ht="15.75" customHeight="1">
      <c r="A4" s="26" t="s">
        <v>51</v>
      </c>
      <c r="B4" s="32" t="s">
        <v>4</v>
      </c>
      <c r="C4" s="33">
        <v>0.59950000000000003</v>
      </c>
      <c r="D4" s="33">
        <v>0.18140000000000001</v>
      </c>
      <c r="E4" s="33">
        <v>0.21579999999999999</v>
      </c>
      <c r="F4" s="34">
        <v>-0.27389999999999998</v>
      </c>
      <c r="G4" s="30"/>
      <c r="J4" s="30"/>
      <c r="K4" s="35"/>
      <c r="L4" s="35"/>
      <c r="M4" s="35"/>
      <c r="N4" s="36"/>
    </row>
    <row r="5" spans="1:14" ht="15.75" customHeight="1">
      <c r="A5" s="26" t="s">
        <v>52</v>
      </c>
      <c r="B5" s="37">
        <v>0.13969999999999999</v>
      </c>
      <c r="C5" s="33">
        <v>0.2102</v>
      </c>
      <c r="D5" s="33">
        <v>0.20960000000000001</v>
      </c>
      <c r="E5" s="33">
        <v>0.18590000000000001</v>
      </c>
      <c r="F5" s="38">
        <v>0.12529999999999999</v>
      </c>
      <c r="G5" s="30"/>
      <c r="J5" s="35"/>
      <c r="K5" s="35"/>
      <c r="L5" s="35"/>
      <c r="M5" s="35"/>
      <c r="N5" s="35"/>
    </row>
    <row r="6" spans="1:14" ht="15.75" customHeight="1">
      <c r="A6" s="26" t="s">
        <v>53</v>
      </c>
      <c r="B6" s="27">
        <v>19839</v>
      </c>
      <c r="C6" s="28">
        <v>22907</v>
      </c>
      <c r="D6" s="28">
        <v>26934</v>
      </c>
      <c r="E6" s="28">
        <v>36764</v>
      </c>
      <c r="F6" s="29">
        <v>41787</v>
      </c>
      <c r="G6" s="30"/>
      <c r="J6" s="31"/>
      <c r="K6" s="31"/>
      <c r="L6" s="31"/>
      <c r="M6" s="31"/>
      <c r="N6" s="31"/>
    </row>
    <row r="7" spans="1:14" ht="15.75" customHeight="1">
      <c r="A7" s="26" t="s">
        <v>54</v>
      </c>
      <c r="B7" s="27">
        <v>18525</v>
      </c>
      <c r="C7" s="28">
        <v>20375</v>
      </c>
      <c r="D7" s="28">
        <v>22962</v>
      </c>
      <c r="E7" s="28">
        <v>33995</v>
      </c>
      <c r="F7" s="29">
        <v>36941</v>
      </c>
      <c r="G7" s="30"/>
      <c r="J7" s="31"/>
      <c r="K7" s="31"/>
      <c r="L7" s="31"/>
      <c r="M7" s="31"/>
      <c r="N7" s="31"/>
    </row>
    <row r="8" spans="1:14" ht="15.75" customHeight="1">
      <c r="A8" s="26" t="s">
        <v>55</v>
      </c>
      <c r="B8" s="27">
        <v>18654</v>
      </c>
      <c r="C8" s="28">
        <v>20547</v>
      </c>
      <c r="D8" s="28">
        <v>23220</v>
      </c>
      <c r="E8" s="28">
        <v>34833</v>
      </c>
      <c r="F8" s="29">
        <v>37432</v>
      </c>
      <c r="G8" s="30"/>
      <c r="J8" s="31"/>
      <c r="K8" s="31"/>
      <c r="L8" s="31"/>
      <c r="M8" s="31"/>
      <c r="N8" s="31"/>
    </row>
    <row r="9" spans="1:14" ht="15.75" customHeight="1">
      <c r="A9" s="26" t="s">
        <v>56</v>
      </c>
      <c r="B9" s="39">
        <v>-129</v>
      </c>
      <c r="C9" s="40">
        <v>-172</v>
      </c>
      <c r="D9" s="40">
        <v>-258</v>
      </c>
      <c r="E9" s="40">
        <v>-838</v>
      </c>
      <c r="F9" s="41">
        <v>-491</v>
      </c>
      <c r="G9" s="30"/>
      <c r="J9" s="30"/>
      <c r="K9" s="30"/>
      <c r="L9" s="30"/>
      <c r="M9" s="30"/>
      <c r="N9" s="30"/>
    </row>
    <row r="10" spans="1:14" ht="15.75" customHeight="1">
      <c r="A10" s="26" t="s">
        <v>57</v>
      </c>
      <c r="B10" s="27">
        <v>1314</v>
      </c>
      <c r="C10" s="28">
        <v>2532</v>
      </c>
      <c r="D10" s="28">
        <v>3972</v>
      </c>
      <c r="E10" s="28">
        <v>2769</v>
      </c>
      <c r="F10" s="29" t="s">
        <v>4</v>
      </c>
      <c r="G10" s="30"/>
      <c r="J10" s="31"/>
      <c r="K10" s="31"/>
      <c r="L10" s="31"/>
      <c r="M10" s="31"/>
      <c r="N10" s="30"/>
    </row>
    <row r="11" spans="1:14" ht="15.75" customHeight="1">
      <c r="A11" s="26" t="s">
        <v>58</v>
      </c>
      <c r="B11" s="32" t="s">
        <v>4</v>
      </c>
      <c r="C11" s="33">
        <v>0.15459999999999999</v>
      </c>
      <c r="D11" s="33">
        <v>0.17580000000000001</v>
      </c>
      <c r="E11" s="33">
        <v>0.36499999999999999</v>
      </c>
      <c r="F11" s="38">
        <v>0.1366</v>
      </c>
      <c r="G11" s="30"/>
      <c r="J11" s="30"/>
      <c r="K11" s="35"/>
      <c r="L11" s="35"/>
      <c r="M11" s="35"/>
      <c r="N11" s="35"/>
    </row>
    <row r="12" spans="1:14" ht="15.75" customHeight="1">
      <c r="A12" s="26" t="s">
        <v>59</v>
      </c>
      <c r="B12" s="42">
        <v>0.66</v>
      </c>
      <c r="C12" s="43">
        <v>0.68</v>
      </c>
      <c r="D12" s="43">
        <v>0.65</v>
      </c>
      <c r="E12" s="43">
        <v>0.57999999999999996</v>
      </c>
      <c r="F12" s="44">
        <v>0.61</v>
      </c>
      <c r="G12" s="30"/>
      <c r="I12">
        <f>365/B12</f>
        <v>553.030303030303</v>
      </c>
      <c r="J12">
        <f t="shared" ref="J12:L12" si="0">365/C12</f>
        <v>536.76470588235293</v>
      </c>
      <c r="K12">
        <f t="shared" si="0"/>
        <v>561.53846153846155</v>
      </c>
      <c r="L12">
        <f t="shared" si="0"/>
        <v>629.31034482758628</v>
      </c>
      <c r="M12" s="45"/>
      <c r="N12" s="45"/>
    </row>
    <row r="13" spans="1:14" ht="15.75" customHeight="1">
      <c r="A13" s="26" t="s">
        <v>60</v>
      </c>
      <c r="B13" s="27">
        <v>7111</v>
      </c>
      <c r="C13" s="28">
        <v>947</v>
      </c>
      <c r="D13" s="40">
        <v>800</v>
      </c>
      <c r="E13" s="28">
        <v>1148</v>
      </c>
      <c r="F13" s="29">
        <v>1287</v>
      </c>
      <c r="G13" s="30"/>
      <c r="J13" s="31"/>
      <c r="K13" s="30"/>
      <c r="L13" s="30"/>
      <c r="M13" s="31"/>
      <c r="N13" s="31"/>
    </row>
    <row r="14" spans="1:14" ht="15.75" customHeight="1">
      <c r="A14" s="26" t="s">
        <v>61</v>
      </c>
      <c r="B14" s="27">
        <v>7111</v>
      </c>
      <c r="C14" s="28">
        <v>947</v>
      </c>
      <c r="D14" s="40">
        <v>800</v>
      </c>
      <c r="E14" s="28">
        <v>1148</v>
      </c>
      <c r="F14" s="29">
        <v>1287</v>
      </c>
      <c r="G14" s="30"/>
      <c r="J14" s="31"/>
      <c r="K14" s="30"/>
      <c r="L14" s="30"/>
      <c r="M14" s="31"/>
      <c r="N14" s="31"/>
    </row>
    <row r="15" spans="1:14" ht="15.75" customHeight="1">
      <c r="A15" s="26" t="s">
        <v>62</v>
      </c>
      <c r="B15" s="27">
        <v>32645</v>
      </c>
      <c r="C15" s="28">
        <v>32963</v>
      </c>
      <c r="D15" s="28">
        <v>38495</v>
      </c>
      <c r="E15" s="28">
        <v>50995</v>
      </c>
      <c r="F15" s="29">
        <v>52574</v>
      </c>
      <c r="G15" s="30"/>
      <c r="J15" s="31"/>
      <c r="K15" s="31"/>
      <c r="L15" s="31"/>
      <c r="M15" s="31"/>
      <c r="N15" s="31"/>
    </row>
    <row r="16" spans="1:14" ht="15.75" customHeight="1">
      <c r="A16" s="26" t="s">
        <v>63</v>
      </c>
      <c r="B16" s="27">
        <v>1528</v>
      </c>
      <c r="C16" s="28">
        <v>1724</v>
      </c>
      <c r="D16" s="28">
        <v>1693</v>
      </c>
      <c r="E16" s="28">
        <v>2514</v>
      </c>
      <c r="F16" s="29">
        <v>2568</v>
      </c>
      <c r="G16" s="30"/>
      <c r="J16" s="31"/>
      <c r="K16" s="31"/>
      <c r="L16" s="31"/>
      <c r="M16" s="31"/>
      <c r="N16" s="31"/>
    </row>
    <row r="17" spans="1:14" ht="15.75" customHeight="1">
      <c r="A17" s="26" t="s">
        <v>64</v>
      </c>
      <c r="B17" s="27">
        <v>5158</v>
      </c>
      <c r="C17" s="28">
        <v>5907</v>
      </c>
      <c r="D17" s="28">
        <v>6416</v>
      </c>
      <c r="E17" s="28">
        <v>7716</v>
      </c>
      <c r="F17" s="29">
        <v>8249</v>
      </c>
      <c r="G17" s="30"/>
      <c r="J17" s="31"/>
      <c r="K17" s="31"/>
      <c r="L17" s="31"/>
      <c r="M17" s="31"/>
      <c r="N17" s="31"/>
    </row>
    <row r="18" spans="1:14" ht="15.75" customHeight="1">
      <c r="A18" s="26" t="s">
        <v>65</v>
      </c>
      <c r="B18" s="39">
        <v>364</v>
      </c>
      <c r="C18" s="40">
        <v>408</v>
      </c>
      <c r="D18" s="40">
        <v>430</v>
      </c>
      <c r="E18" s="40">
        <v>307</v>
      </c>
      <c r="F18" s="41">
        <v>380</v>
      </c>
      <c r="G18" s="30"/>
      <c r="J18" s="30"/>
      <c r="K18" s="30"/>
      <c r="L18" s="30"/>
      <c r="M18" s="30"/>
      <c r="N18" s="30"/>
    </row>
    <row r="19" spans="1:14" ht="15.75" customHeight="1">
      <c r="A19" s="26" t="s">
        <v>66</v>
      </c>
      <c r="B19" s="27">
        <v>4129</v>
      </c>
      <c r="C19" s="28">
        <v>4813</v>
      </c>
      <c r="D19" s="28">
        <v>5275</v>
      </c>
      <c r="E19" s="28">
        <v>6010</v>
      </c>
      <c r="F19" s="29">
        <v>6599</v>
      </c>
      <c r="G19" s="30"/>
      <c r="J19" s="31"/>
      <c r="K19" s="31"/>
      <c r="L19" s="31"/>
      <c r="M19" s="31"/>
      <c r="N19" s="31"/>
    </row>
    <row r="20" spans="1:14" ht="15.75" customHeight="1">
      <c r="A20" s="26" t="s">
        <v>67</v>
      </c>
      <c r="B20" s="39">
        <v>665</v>
      </c>
      <c r="C20" s="40">
        <v>686</v>
      </c>
      <c r="D20" s="40">
        <v>711</v>
      </c>
      <c r="E20" s="40">
        <v>692</v>
      </c>
      <c r="F20" s="41">
        <v>611</v>
      </c>
      <c r="G20" s="30"/>
      <c r="J20" s="30"/>
      <c r="K20" s="30"/>
      <c r="L20" s="30"/>
      <c r="M20" s="30"/>
      <c r="N20" s="30"/>
    </row>
    <row r="21" spans="1:14" ht="15.75" customHeight="1">
      <c r="A21" s="26" t="s">
        <v>68</v>
      </c>
      <c r="B21" s="27">
        <v>3630</v>
      </c>
      <c r="C21" s="28">
        <v>4183</v>
      </c>
      <c r="D21" s="28">
        <v>4723</v>
      </c>
      <c r="E21" s="28">
        <v>5202</v>
      </c>
      <c r="F21" s="29">
        <v>5681</v>
      </c>
      <c r="G21" s="30"/>
      <c r="J21" s="31"/>
      <c r="K21" s="31"/>
      <c r="L21" s="31"/>
      <c r="M21" s="31"/>
      <c r="N21" s="31"/>
    </row>
    <row r="22" spans="1:14" ht="15.75" customHeight="1">
      <c r="A22" s="26" t="s">
        <v>69</v>
      </c>
      <c r="B22" s="27">
        <v>1961</v>
      </c>
      <c r="C22" s="28">
        <v>971</v>
      </c>
      <c r="D22" s="28">
        <v>2863</v>
      </c>
      <c r="E22" s="28">
        <v>6089</v>
      </c>
      <c r="F22" s="29">
        <v>6818</v>
      </c>
      <c r="G22" s="30"/>
      <c r="J22" s="31"/>
      <c r="K22" s="30"/>
      <c r="L22" s="31"/>
      <c r="M22" s="31"/>
      <c r="N22" s="31"/>
    </row>
    <row r="23" spans="1:14" ht="15.75" customHeight="1">
      <c r="A23" s="26" t="s">
        <v>70</v>
      </c>
      <c r="B23" s="27">
        <v>1961</v>
      </c>
      <c r="C23" s="28">
        <v>971</v>
      </c>
      <c r="D23" s="28">
        <v>2863</v>
      </c>
      <c r="E23" s="28">
        <v>6089</v>
      </c>
      <c r="F23" s="29">
        <v>6818</v>
      </c>
      <c r="G23" s="30"/>
      <c r="J23" s="31"/>
      <c r="K23" s="30"/>
      <c r="L23" s="31"/>
      <c r="M23" s="31"/>
      <c r="N23" s="31"/>
    </row>
    <row r="24" spans="1:14" ht="15.75" customHeight="1">
      <c r="A24" s="26" t="s">
        <v>71</v>
      </c>
      <c r="B24" s="27">
        <v>4507</v>
      </c>
      <c r="C24" s="28">
        <v>7109</v>
      </c>
      <c r="D24" s="28">
        <v>6990</v>
      </c>
      <c r="E24" s="28">
        <v>10183</v>
      </c>
      <c r="F24" s="29">
        <v>12786</v>
      </c>
      <c r="G24" s="30"/>
      <c r="J24" s="31"/>
      <c r="K24" s="31"/>
      <c r="L24" s="31"/>
      <c r="M24" s="31"/>
      <c r="N24" s="31"/>
    </row>
    <row r="25" spans="1:14" ht="15.75" customHeight="1">
      <c r="A25" s="26" t="s">
        <v>72</v>
      </c>
      <c r="B25" s="27">
        <v>4339</v>
      </c>
      <c r="C25" s="28">
        <v>6284</v>
      </c>
      <c r="D25" s="28">
        <v>6212</v>
      </c>
      <c r="E25" s="28">
        <v>9135</v>
      </c>
      <c r="F25" s="29">
        <v>11454</v>
      </c>
      <c r="G25" s="30"/>
      <c r="J25" s="31"/>
      <c r="K25" s="31"/>
      <c r="L25" s="31"/>
      <c r="M25" s="31"/>
      <c r="N25" s="31"/>
    </row>
    <row r="26" spans="1:14" ht="15.75" customHeight="1">
      <c r="A26" s="26" t="s">
        <v>73</v>
      </c>
      <c r="B26" s="39">
        <v>168</v>
      </c>
      <c r="C26" s="28">
        <v>825</v>
      </c>
      <c r="D26" s="40">
        <v>778</v>
      </c>
      <c r="E26" s="28">
        <v>1048</v>
      </c>
      <c r="F26" s="41" t="s">
        <v>4</v>
      </c>
      <c r="G26" s="30"/>
      <c r="J26" s="30"/>
      <c r="K26" s="30"/>
      <c r="L26" s="30"/>
      <c r="M26" s="31"/>
      <c r="N26" s="30"/>
    </row>
    <row r="27" spans="1:14" ht="15.75" customHeight="1">
      <c r="A27" s="26" t="s">
        <v>74</v>
      </c>
      <c r="B27" s="39">
        <v>38</v>
      </c>
      <c r="C27" s="40">
        <v>341</v>
      </c>
      <c r="D27" s="40">
        <v>896</v>
      </c>
      <c r="E27" s="40">
        <v>456</v>
      </c>
      <c r="F27" s="41">
        <v>510</v>
      </c>
      <c r="G27" s="30"/>
      <c r="J27" s="30"/>
      <c r="K27" s="30"/>
      <c r="L27" s="30"/>
      <c r="M27" s="30"/>
      <c r="N27" s="30"/>
    </row>
    <row r="28" spans="1:14" ht="15.75" customHeight="1">
      <c r="A28" s="26" t="s">
        <v>75</v>
      </c>
      <c r="B28" s="39">
        <v>38</v>
      </c>
      <c r="C28" s="40">
        <v>341</v>
      </c>
      <c r="D28" s="40">
        <v>896</v>
      </c>
      <c r="E28" s="40">
        <v>456</v>
      </c>
      <c r="F28" s="41">
        <v>510</v>
      </c>
      <c r="G28" s="30"/>
      <c r="J28" s="30"/>
      <c r="K28" s="30"/>
      <c r="L28" s="30"/>
      <c r="M28" s="30"/>
      <c r="N28" s="30"/>
    </row>
    <row r="29" spans="1:14" ht="15.75" customHeight="1">
      <c r="A29" s="26" t="s">
        <v>76</v>
      </c>
      <c r="B29" s="27">
        <v>40774</v>
      </c>
      <c r="C29" s="28">
        <v>43332</v>
      </c>
      <c r="D29" s="28">
        <v>51333</v>
      </c>
      <c r="E29" s="28">
        <v>70379</v>
      </c>
      <c r="F29" s="29">
        <v>75803</v>
      </c>
      <c r="G29" s="30"/>
      <c r="J29" s="31"/>
      <c r="K29" s="31"/>
      <c r="L29" s="31"/>
      <c r="M29" s="31"/>
      <c r="N29" s="31"/>
    </row>
    <row r="30" spans="1:14" ht="15.75" customHeight="1">
      <c r="A30" s="26" t="s">
        <v>77</v>
      </c>
      <c r="B30" s="32" t="s">
        <v>4</v>
      </c>
      <c r="C30" s="33">
        <v>6.2700000000000006E-2</v>
      </c>
      <c r="D30" s="33">
        <v>0.18459999999999999</v>
      </c>
      <c r="E30" s="33">
        <v>0.371</v>
      </c>
      <c r="F30" s="38">
        <v>7.7100000000000002E-2</v>
      </c>
      <c r="G30" s="30"/>
      <c r="J30" s="30"/>
      <c r="K30" s="35"/>
      <c r="L30" s="35"/>
      <c r="M30" s="35"/>
      <c r="N30" s="35"/>
    </row>
    <row r="31" spans="1:14" ht="15.75" customHeight="1">
      <c r="A31" s="26" t="s">
        <v>78</v>
      </c>
      <c r="B31" s="39" t="s">
        <v>4</v>
      </c>
      <c r="C31" s="40" t="s">
        <v>4</v>
      </c>
      <c r="D31" s="40" t="s">
        <v>4</v>
      </c>
      <c r="E31" s="40" t="s">
        <v>4</v>
      </c>
      <c r="F31" s="44">
        <v>0.35</v>
      </c>
      <c r="G31" s="30"/>
      <c r="J31" s="30"/>
      <c r="K31" s="30"/>
      <c r="L31" s="30"/>
      <c r="M31" s="30"/>
      <c r="N31" s="45"/>
    </row>
    <row r="32" spans="1:14" ht="15.75" customHeight="1">
      <c r="A32" s="26" t="s">
        <v>79</v>
      </c>
      <c r="B32" s="32" t="s">
        <v>4</v>
      </c>
      <c r="C32" s="40" t="s">
        <v>4</v>
      </c>
      <c r="D32" s="40" t="s">
        <v>4</v>
      </c>
      <c r="E32" s="40" t="s">
        <v>4</v>
      </c>
      <c r="F32" s="38">
        <v>5.7000000000000002E-2</v>
      </c>
      <c r="G32" s="30"/>
      <c r="J32" s="30"/>
      <c r="K32" s="30"/>
      <c r="L32" s="30"/>
      <c r="M32" s="30"/>
      <c r="N32" s="35"/>
    </row>
    <row r="33" spans="1:14" ht="14">
      <c r="A33" s="46" t="s">
        <v>80</v>
      </c>
      <c r="B33" s="22"/>
      <c r="C33" s="22"/>
      <c r="D33" s="22"/>
      <c r="E33" s="22"/>
      <c r="F33" s="22"/>
    </row>
    <row r="34" spans="1:14" ht="15.75" customHeight="1">
      <c r="A34" s="23" t="s">
        <v>81</v>
      </c>
      <c r="B34" s="24">
        <v>2017</v>
      </c>
      <c r="C34" s="24">
        <v>2018</v>
      </c>
      <c r="D34" s="24">
        <v>2019</v>
      </c>
      <c r="E34" s="24">
        <v>2020</v>
      </c>
      <c r="F34" s="24">
        <v>2021</v>
      </c>
      <c r="G34" s="25" t="s">
        <v>1</v>
      </c>
      <c r="J34" s="25"/>
      <c r="K34" s="25"/>
      <c r="L34" s="25"/>
      <c r="M34" s="25"/>
      <c r="N34" s="25"/>
    </row>
    <row r="35" spans="1:14" ht="15.75" customHeight="1">
      <c r="A35" s="26" t="s">
        <v>82</v>
      </c>
      <c r="B35" s="27">
        <v>1000</v>
      </c>
      <c r="C35" s="28">
        <v>1998</v>
      </c>
      <c r="D35" s="40">
        <v>104</v>
      </c>
      <c r="E35" s="28">
        <v>144</v>
      </c>
      <c r="F35" s="29">
        <v>1141</v>
      </c>
      <c r="G35" s="30"/>
      <c r="J35" s="31"/>
      <c r="K35" s="31"/>
      <c r="L35" s="30"/>
      <c r="M35" s="30"/>
      <c r="N35" s="31"/>
    </row>
    <row r="36" spans="1:14" ht="15.75" customHeight="1">
      <c r="A36" s="26" t="s">
        <v>83</v>
      </c>
      <c r="B36" s="27">
        <v>1000</v>
      </c>
      <c r="C36" s="28">
        <v>1998</v>
      </c>
      <c r="D36" s="40">
        <v>104</v>
      </c>
      <c r="E36" s="28">
        <v>144</v>
      </c>
      <c r="F36" s="29" t="s">
        <v>4</v>
      </c>
      <c r="G36" s="30"/>
      <c r="J36" s="31"/>
      <c r="K36" s="31"/>
      <c r="L36" s="30"/>
      <c r="M36" s="30"/>
      <c r="N36" s="30"/>
    </row>
    <row r="37" spans="1:14" ht="15.75" customHeight="1">
      <c r="A37" s="26" t="s">
        <v>84</v>
      </c>
      <c r="B37" s="39" t="s">
        <v>4</v>
      </c>
      <c r="C37" s="40" t="s">
        <v>4</v>
      </c>
      <c r="D37" s="40" t="s">
        <v>4</v>
      </c>
      <c r="E37" s="40" t="s">
        <v>4</v>
      </c>
      <c r="F37" s="41">
        <v>999</v>
      </c>
      <c r="G37" s="30"/>
      <c r="J37" s="30"/>
      <c r="K37" s="30"/>
      <c r="L37" s="30"/>
      <c r="M37" s="30"/>
      <c r="N37" s="30"/>
    </row>
    <row r="38" spans="1:14" ht="15.75" customHeight="1">
      <c r="A38" s="26" t="s">
        <v>85</v>
      </c>
      <c r="B38" s="27">
        <v>19999</v>
      </c>
      <c r="C38" s="28">
        <v>21843</v>
      </c>
      <c r="D38" s="28">
        <v>24759</v>
      </c>
      <c r="E38" s="28">
        <v>35670</v>
      </c>
      <c r="F38" s="29">
        <v>39038</v>
      </c>
      <c r="G38" s="30"/>
      <c r="J38" s="31"/>
      <c r="K38" s="31"/>
      <c r="L38" s="31"/>
      <c r="M38" s="31"/>
      <c r="N38" s="31"/>
    </row>
    <row r="39" spans="1:14" ht="15.75" customHeight="1">
      <c r="A39" s="26" t="s">
        <v>86</v>
      </c>
      <c r="B39" s="32" t="s">
        <v>4</v>
      </c>
      <c r="C39" s="33">
        <v>9.2200000000000004E-2</v>
      </c>
      <c r="D39" s="33">
        <v>0.13350000000000001</v>
      </c>
      <c r="E39" s="33">
        <v>0.44069999999999998</v>
      </c>
      <c r="F39" s="38">
        <v>9.4399999999999998E-2</v>
      </c>
      <c r="G39" s="30"/>
      <c r="J39" s="30"/>
      <c r="K39" s="35"/>
      <c r="L39" s="35"/>
      <c r="M39" s="35"/>
      <c r="N39" s="35"/>
    </row>
    <row r="40" spans="1:14" ht="15.75" customHeight="1">
      <c r="A40" s="26" t="s">
        <v>87</v>
      </c>
      <c r="B40" s="39">
        <v>83</v>
      </c>
      <c r="C40" s="40">
        <v>61</v>
      </c>
      <c r="D40" s="40">
        <v>73</v>
      </c>
      <c r="E40" s="40">
        <v>129</v>
      </c>
      <c r="F40" s="41">
        <v>236</v>
      </c>
      <c r="G40" s="30"/>
      <c r="J40" s="30"/>
      <c r="K40" s="30"/>
      <c r="L40" s="30"/>
      <c r="M40" s="30"/>
      <c r="N40" s="30"/>
    </row>
    <row r="41" spans="1:14" ht="15.75" customHeight="1">
      <c r="A41" s="26" t="s">
        <v>88</v>
      </c>
      <c r="B41" s="27">
        <v>1781</v>
      </c>
      <c r="C41" s="28">
        <v>2002</v>
      </c>
      <c r="D41" s="28">
        <v>1983</v>
      </c>
      <c r="E41" s="28">
        <v>2504</v>
      </c>
      <c r="F41" s="29">
        <v>2614</v>
      </c>
      <c r="G41" s="30"/>
      <c r="J41" s="31"/>
      <c r="K41" s="31"/>
      <c r="L41" s="31"/>
      <c r="M41" s="31"/>
      <c r="N41" s="31"/>
    </row>
    <row r="42" spans="1:14" ht="15.75" customHeight="1">
      <c r="A42" s="26" t="s">
        <v>89</v>
      </c>
      <c r="B42" s="27">
        <v>1781</v>
      </c>
      <c r="C42" s="28">
        <v>2002</v>
      </c>
      <c r="D42" s="28">
        <v>1983</v>
      </c>
      <c r="E42" s="28">
        <v>2504</v>
      </c>
      <c r="F42" s="29">
        <v>2614</v>
      </c>
      <c r="G42" s="30"/>
      <c r="J42" s="31"/>
      <c r="K42" s="31"/>
      <c r="L42" s="31"/>
      <c r="M42" s="31"/>
      <c r="N42" s="31"/>
    </row>
    <row r="43" spans="1:14" ht="15.75" customHeight="1">
      <c r="A43" s="26" t="s">
        <v>90</v>
      </c>
      <c r="B43" s="27">
        <v>22863</v>
      </c>
      <c r="C43" s="28">
        <v>25904</v>
      </c>
      <c r="D43" s="28">
        <v>26919</v>
      </c>
      <c r="E43" s="28">
        <v>38447</v>
      </c>
      <c r="F43" s="29">
        <v>43029</v>
      </c>
      <c r="G43" s="30"/>
      <c r="J43" s="31"/>
      <c r="K43" s="31"/>
      <c r="L43" s="31"/>
      <c r="M43" s="31"/>
      <c r="N43" s="31"/>
    </row>
    <row r="44" spans="1:14" ht="15.75" customHeight="1">
      <c r="A44" s="26" t="s">
        <v>91</v>
      </c>
      <c r="B44" s="42">
        <v>1.43</v>
      </c>
      <c r="C44" s="43">
        <v>1.27</v>
      </c>
      <c r="D44" s="43">
        <v>1.43</v>
      </c>
      <c r="E44" s="43">
        <v>1.33</v>
      </c>
      <c r="F44" s="44">
        <v>1.22</v>
      </c>
      <c r="G44" s="30"/>
      <c r="J44" s="45"/>
      <c r="K44" s="45"/>
      <c r="L44" s="45"/>
      <c r="M44" s="45"/>
      <c r="N44" s="45"/>
    </row>
    <row r="45" spans="1:14" ht="15.75" customHeight="1">
      <c r="A45" s="26" t="s">
        <v>92</v>
      </c>
      <c r="B45" s="42">
        <v>1.43</v>
      </c>
      <c r="C45" s="43">
        <v>1.27</v>
      </c>
      <c r="D45" s="43">
        <v>1.43</v>
      </c>
      <c r="E45" s="43">
        <v>1.33</v>
      </c>
      <c r="F45" s="44">
        <v>1.22</v>
      </c>
      <c r="G45" s="30"/>
      <c r="J45" s="45"/>
      <c r="K45" s="45"/>
      <c r="L45" s="45"/>
      <c r="M45" s="45"/>
      <c r="N45" s="45"/>
    </row>
    <row r="46" spans="1:14" ht="15.75" customHeight="1">
      <c r="A46" s="26" t="s">
        <v>93</v>
      </c>
      <c r="B46" s="42">
        <v>0.25</v>
      </c>
      <c r="C46" s="43">
        <v>0.35</v>
      </c>
      <c r="D46" s="43">
        <v>0.4</v>
      </c>
      <c r="E46" s="43">
        <v>0.34</v>
      </c>
      <c r="F46" s="44">
        <v>0.22</v>
      </c>
      <c r="G46" s="30"/>
      <c r="J46" s="45"/>
      <c r="K46" s="45"/>
      <c r="L46" s="45"/>
      <c r="M46" s="45"/>
      <c r="N46" s="45"/>
    </row>
    <row r="47" spans="1:14" ht="15.75" customHeight="1">
      <c r="A47" s="26" t="s">
        <v>94</v>
      </c>
      <c r="B47" s="27" t="s">
        <v>4</v>
      </c>
      <c r="C47" s="28" t="s">
        <v>4</v>
      </c>
      <c r="D47" s="28">
        <v>5368</v>
      </c>
      <c r="E47" s="28">
        <v>9581</v>
      </c>
      <c r="F47" s="29">
        <v>8669</v>
      </c>
      <c r="G47" s="30"/>
      <c r="J47" s="30"/>
      <c r="K47" s="30"/>
      <c r="L47" s="31"/>
      <c r="M47" s="31"/>
      <c r="N47" s="31"/>
    </row>
    <row r="48" spans="1:14" ht="15.75" customHeight="1">
      <c r="A48" s="26" t="s">
        <v>95</v>
      </c>
      <c r="B48" s="27" t="s">
        <v>4</v>
      </c>
      <c r="C48" s="28" t="s">
        <v>4</v>
      </c>
      <c r="D48" s="28">
        <v>4965</v>
      </c>
      <c r="E48" s="28">
        <v>8939</v>
      </c>
      <c r="F48" s="29">
        <v>8049</v>
      </c>
      <c r="G48" s="30"/>
      <c r="J48" s="30"/>
      <c r="K48" s="30"/>
      <c r="L48" s="31"/>
      <c r="M48" s="31"/>
      <c r="N48" s="31"/>
    </row>
    <row r="49" spans="1:14" ht="15.75" customHeight="1">
      <c r="A49" s="26" t="s">
        <v>96</v>
      </c>
      <c r="B49" s="27" t="s">
        <v>4</v>
      </c>
      <c r="C49" s="28" t="s">
        <v>4</v>
      </c>
      <c r="D49" s="28">
        <v>4965</v>
      </c>
      <c r="E49" s="28">
        <v>8939</v>
      </c>
      <c r="F49" s="29">
        <v>8049</v>
      </c>
      <c r="G49" s="30"/>
      <c r="J49" s="30"/>
      <c r="K49" s="30"/>
      <c r="L49" s="31"/>
      <c r="M49" s="31"/>
      <c r="N49" s="31"/>
    </row>
    <row r="50" spans="1:14" ht="15.75" customHeight="1">
      <c r="A50" s="26" t="s">
        <v>97</v>
      </c>
      <c r="B50" s="39">
        <v>-86</v>
      </c>
      <c r="C50" s="40">
        <v>-115</v>
      </c>
      <c r="D50" s="40">
        <v>-307</v>
      </c>
      <c r="E50" s="40">
        <v>-67</v>
      </c>
      <c r="F50" s="41">
        <v>-361</v>
      </c>
      <c r="G50" s="30"/>
      <c r="J50" s="30"/>
      <c r="K50" s="30"/>
      <c r="L50" s="30"/>
      <c r="M50" s="30"/>
      <c r="N50" s="30"/>
    </row>
    <row r="51" spans="1:14" ht="15.75" customHeight="1">
      <c r="A51" s="26" t="s">
        <v>98</v>
      </c>
      <c r="B51" s="39">
        <v>9</v>
      </c>
      <c r="C51" s="40">
        <v>109</v>
      </c>
      <c r="D51" s="40">
        <v>89</v>
      </c>
      <c r="E51" s="40">
        <v>75</v>
      </c>
      <c r="F51" s="41">
        <v>186</v>
      </c>
      <c r="G51" s="30"/>
      <c r="J51" s="30"/>
      <c r="K51" s="30"/>
      <c r="L51" s="30"/>
      <c r="M51" s="30"/>
      <c r="N51" s="30"/>
    </row>
    <row r="52" spans="1:14" ht="15.75" customHeight="1">
      <c r="A52" s="26" t="s">
        <v>99</v>
      </c>
      <c r="B52" s="39">
        <v>95</v>
      </c>
      <c r="C52" s="40">
        <v>224</v>
      </c>
      <c r="D52" s="40">
        <v>396</v>
      </c>
      <c r="E52" s="40">
        <v>142</v>
      </c>
      <c r="F52" s="41">
        <v>547</v>
      </c>
      <c r="G52" s="30"/>
      <c r="J52" s="30"/>
      <c r="K52" s="30"/>
      <c r="L52" s="30"/>
      <c r="M52" s="30"/>
      <c r="N52" s="30"/>
    </row>
    <row r="53" spans="1:14" ht="15.75" customHeight="1">
      <c r="A53" s="26" t="s">
        <v>100</v>
      </c>
      <c r="B53" s="27">
        <v>1908</v>
      </c>
      <c r="C53" s="28">
        <v>1933</v>
      </c>
      <c r="D53" s="28">
        <v>2028</v>
      </c>
      <c r="E53" s="28">
        <v>2213</v>
      </c>
      <c r="F53" s="29">
        <v>2192</v>
      </c>
      <c r="G53" s="30"/>
      <c r="J53" s="31"/>
      <c r="K53" s="31"/>
      <c r="L53" s="31"/>
      <c r="M53" s="31"/>
      <c r="N53" s="31"/>
    </row>
    <row r="54" spans="1:14" ht="15.75" customHeight="1">
      <c r="A54" s="26" t="s">
        <v>101</v>
      </c>
      <c r="B54" s="27">
        <v>1908</v>
      </c>
      <c r="C54" s="28">
        <v>1933</v>
      </c>
      <c r="D54" s="28">
        <v>2028</v>
      </c>
      <c r="E54" s="28">
        <v>2213</v>
      </c>
      <c r="F54" s="29">
        <v>2192</v>
      </c>
      <c r="G54" s="30"/>
      <c r="J54" s="31"/>
      <c r="K54" s="31"/>
      <c r="L54" s="31"/>
      <c r="M54" s="31"/>
      <c r="N54" s="31"/>
    </row>
    <row r="55" spans="1:14" ht="15.75" customHeight="1">
      <c r="A55" s="26" t="s">
        <v>102</v>
      </c>
      <c r="B55" s="27">
        <v>24780</v>
      </c>
      <c r="C55" s="28">
        <v>27946</v>
      </c>
      <c r="D55" s="28">
        <v>34404</v>
      </c>
      <c r="E55" s="28">
        <v>50316</v>
      </c>
      <c r="F55" s="29">
        <v>54076</v>
      </c>
      <c r="G55" s="30"/>
      <c r="J55" s="31"/>
      <c r="K55" s="31"/>
      <c r="L55" s="31"/>
      <c r="M55" s="31"/>
      <c r="N55" s="31"/>
    </row>
    <row r="56" spans="1:14" ht="15.75" customHeight="1">
      <c r="A56" s="26" t="s">
        <v>103</v>
      </c>
      <c r="B56" s="37">
        <v>0.60770000000000002</v>
      </c>
      <c r="C56" s="33">
        <v>0.64490000000000003</v>
      </c>
      <c r="D56" s="33">
        <v>0.67020000000000002</v>
      </c>
      <c r="E56" s="33">
        <v>0.71489999999999998</v>
      </c>
      <c r="F56" s="38">
        <v>0.71340000000000003</v>
      </c>
      <c r="G56" s="30"/>
      <c r="J56" s="35"/>
      <c r="K56" s="35"/>
      <c r="L56" s="35"/>
      <c r="M56" s="35"/>
      <c r="N56" s="35"/>
    </row>
    <row r="57" spans="1:14" ht="15.75" customHeight="1">
      <c r="A57" s="26" t="s">
        <v>104</v>
      </c>
      <c r="B57" s="27">
        <v>15994</v>
      </c>
      <c r="C57" s="28">
        <v>15386</v>
      </c>
      <c r="D57" s="28">
        <v>16885</v>
      </c>
      <c r="E57" s="28">
        <v>20019</v>
      </c>
      <c r="F57" s="29">
        <v>21727</v>
      </c>
      <c r="G57" s="30"/>
      <c r="J57" s="31"/>
      <c r="K57" s="31"/>
      <c r="L57" s="31"/>
      <c r="M57" s="31"/>
      <c r="N57" s="31"/>
    </row>
    <row r="58" spans="1:14" ht="15.75" customHeight="1">
      <c r="A58" s="26" t="s">
        <v>105</v>
      </c>
      <c r="B58" s="27">
        <v>14314</v>
      </c>
      <c r="C58" s="28">
        <v>14939</v>
      </c>
      <c r="D58" s="28">
        <v>15588</v>
      </c>
      <c r="E58" s="28">
        <v>16644</v>
      </c>
      <c r="F58" s="29">
        <v>17208</v>
      </c>
      <c r="G58" s="30"/>
      <c r="J58" s="31"/>
      <c r="K58" s="31"/>
      <c r="L58" s="31"/>
      <c r="M58" s="31"/>
      <c r="N58" s="31"/>
    </row>
    <row r="59" spans="1:14" ht="15.75" customHeight="1">
      <c r="A59" s="26" t="s">
        <v>106</v>
      </c>
      <c r="B59" s="27">
        <v>3823</v>
      </c>
      <c r="C59" s="28">
        <v>5880</v>
      </c>
      <c r="D59" s="28">
        <v>8342</v>
      </c>
      <c r="E59" s="28">
        <v>12366</v>
      </c>
      <c r="F59" s="29">
        <v>16535</v>
      </c>
      <c r="G59" s="30"/>
      <c r="J59" s="31"/>
      <c r="K59" s="31"/>
      <c r="L59" s="31"/>
      <c r="M59" s="31"/>
      <c r="N59" s="31"/>
    </row>
    <row r="60" spans="1:14" ht="15.75" customHeight="1">
      <c r="A60" s="26" t="s">
        <v>107</v>
      </c>
      <c r="B60" s="39">
        <v>-25</v>
      </c>
      <c r="C60" s="40">
        <v>-93</v>
      </c>
      <c r="D60" s="40">
        <v>-150</v>
      </c>
      <c r="E60" s="40">
        <v>-198</v>
      </c>
      <c r="F60" s="41">
        <v>-270</v>
      </c>
      <c r="G60" s="30"/>
      <c r="J60" s="30"/>
      <c r="K60" s="30"/>
      <c r="L60" s="30"/>
      <c r="M60" s="30"/>
      <c r="N60" s="30"/>
    </row>
    <row r="61" spans="1:14" ht="15.75" customHeight="1">
      <c r="A61" s="26" t="s">
        <v>108</v>
      </c>
      <c r="B61" s="39">
        <v>-12</v>
      </c>
      <c r="C61" s="40">
        <v>-13</v>
      </c>
      <c r="D61" s="40">
        <v>2</v>
      </c>
      <c r="E61" s="40">
        <v>11</v>
      </c>
      <c r="F61" s="41">
        <v>-87</v>
      </c>
      <c r="G61" s="30"/>
      <c r="J61" s="30"/>
      <c r="K61" s="30"/>
      <c r="L61" s="30"/>
      <c r="M61" s="30"/>
      <c r="N61" s="30"/>
    </row>
    <row r="62" spans="1:14" ht="15.75" customHeight="1">
      <c r="A62" s="26" t="s">
        <v>109</v>
      </c>
      <c r="B62" s="39">
        <v>-105</v>
      </c>
      <c r="C62" s="40">
        <v>184</v>
      </c>
      <c r="D62" s="40">
        <v>-25</v>
      </c>
      <c r="E62" s="40">
        <v>-297</v>
      </c>
      <c r="F62" s="41">
        <v>221</v>
      </c>
      <c r="G62" s="30"/>
      <c r="J62" s="30"/>
      <c r="K62" s="30"/>
      <c r="L62" s="30"/>
      <c r="M62" s="30"/>
      <c r="N62" s="30"/>
    </row>
    <row r="63" spans="1:14" ht="15.75" customHeight="1">
      <c r="A63" s="26" t="s">
        <v>110</v>
      </c>
      <c r="B63" s="27">
        <v>-2001</v>
      </c>
      <c r="C63" s="28">
        <v>-5511</v>
      </c>
      <c r="D63" s="28">
        <v>-6872</v>
      </c>
      <c r="E63" s="28">
        <v>-8507</v>
      </c>
      <c r="F63" s="29">
        <v>-11880</v>
      </c>
      <c r="G63" s="30"/>
      <c r="J63" s="31"/>
      <c r="K63" s="31"/>
      <c r="L63" s="31"/>
      <c r="M63" s="31"/>
      <c r="N63" s="31"/>
    </row>
    <row r="64" spans="1:14" ht="15.75" customHeight="1">
      <c r="A64" s="26" t="s">
        <v>111</v>
      </c>
      <c r="B64" s="37">
        <v>0.39229999999999998</v>
      </c>
      <c r="C64" s="33">
        <v>0.35510000000000003</v>
      </c>
      <c r="D64" s="33">
        <v>0.32890000000000003</v>
      </c>
      <c r="E64" s="33">
        <v>0.28439999999999999</v>
      </c>
      <c r="F64" s="38">
        <v>0.28660000000000002</v>
      </c>
      <c r="G64" s="30"/>
      <c r="J64" s="35"/>
      <c r="K64" s="35"/>
      <c r="L64" s="35"/>
      <c r="M64" s="35"/>
      <c r="N64" s="35"/>
    </row>
    <row r="65" spans="1:14" ht="15.75" customHeight="1">
      <c r="A65" s="26" t="s">
        <v>112</v>
      </c>
      <c r="B65" s="27">
        <v>15994</v>
      </c>
      <c r="C65" s="28">
        <v>15386</v>
      </c>
      <c r="D65" s="28">
        <v>16885</v>
      </c>
      <c r="E65" s="28">
        <v>20019</v>
      </c>
      <c r="F65" s="29">
        <v>21727</v>
      </c>
      <c r="G65" s="30"/>
      <c r="J65" s="31"/>
      <c r="K65" s="31"/>
      <c r="L65" s="31"/>
      <c r="M65" s="31"/>
      <c r="N65" s="31"/>
    </row>
    <row r="66" spans="1:14" ht="15.75" customHeight="1">
      <c r="A66" s="26" t="s">
        <v>113</v>
      </c>
      <c r="B66" s="37">
        <v>0.39229999999999998</v>
      </c>
      <c r="C66" s="33">
        <v>0.35510000000000003</v>
      </c>
      <c r="D66" s="33">
        <v>0.32890000000000003</v>
      </c>
      <c r="E66" s="33">
        <v>0.28439999999999999</v>
      </c>
      <c r="F66" s="38">
        <v>0.28660000000000002</v>
      </c>
      <c r="G66" s="30"/>
      <c r="J66" s="35"/>
      <c r="K66" s="35"/>
      <c r="L66" s="35"/>
      <c r="M66" s="35"/>
      <c r="N66" s="35"/>
    </row>
    <row r="67" spans="1:14" ht="15.75" customHeight="1">
      <c r="A67" s="26" t="s">
        <v>114</v>
      </c>
      <c r="B67" s="39" t="s">
        <v>4</v>
      </c>
      <c r="C67" s="40" t="s">
        <v>4</v>
      </c>
      <c r="D67" s="40">
        <v>44</v>
      </c>
      <c r="E67" s="40">
        <v>44</v>
      </c>
      <c r="F67" s="41" t="s">
        <v>4</v>
      </c>
      <c r="G67" s="30"/>
      <c r="J67" s="30"/>
      <c r="K67" s="30"/>
      <c r="L67" s="30"/>
      <c r="M67" s="30"/>
      <c r="N67" s="30"/>
    </row>
    <row r="68" spans="1:14" ht="15.75" customHeight="1">
      <c r="A68" s="26" t="s">
        <v>115</v>
      </c>
      <c r="B68" s="27">
        <v>15994</v>
      </c>
      <c r="C68" s="28">
        <v>15386</v>
      </c>
      <c r="D68" s="28">
        <v>16929</v>
      </c>
      <c r="E68" s="28">
        <v>20063</v>
      </c>
      <c r="F68" s="29">
        <v>21727</v>
      </c>
      <c r="G68" s="30"/>
      <c r="J68" s="31"/>
      <c r="K68" s="31"/>
      <c r="L68" s="31"/>
      <c r="M68" s="31"/>
      <c r="N68" s="31"/>
    </row>
    <row r="69" spans="1:14" ht="15.75" customHeight="1">
      <c r="A69" s="3" t="s">
        <v>80</v>
      </c>
      <c r="B69" s="4">
        <v>40774</v>
      </c>
      <c r="C69" s="5">
        <v>43332</v>
      </c>
      <c r="D69" s="5">
        <v>51333</v>
      </c>
      <c r="E69" s="5">
        <v>70379</v>
      </c>
      <c r="F69" s="6">
        <v>75803</v>
      </c>
      <c r="G69" s="7"/>
      <c r="J69" s="8"/>
      <c r="K69" s="8"/>
      <c r="L69" s="8"/>
      <c r="M69" s="8"/>
      <c r="N69" s="8"/>
    </row>
    <row r="70" spans="1:14" ht="15.75" customHeight="1">
      <c r="B70" s="22"/>
      <c r="C70" s="22"/>
      <c r="D70" s="22"/>
      <c r="E70" s="22"/>
      <c r="F70" s="22"/>
    </row>
    <row r="71" spans="1:14" ht="15.75" customHeight="1">
      <c r="B71" s="183">
        <f>B15-B43</f>
        <v>9782</v>
      </c>
      <c r="C71" s="183">
        <f t="shared" ref="C71:F71" si="1">C15-C43</f>
        <v>7059</v>
      </c>
      <c r="D71" s="183">
        <f t="shared" si="1"/>
        <v>11576</v>
      </c>
      <c r="E71" s="183">
        <f t="shared" si="1"/>
        <v>12548</v>
      </c>
      <c r="F71" s="183">
        <f t="shared" si="1"/>
        <v>9545</v>
      </c>
      <c r="G71" s="183"/>
    </row>
    <row r="72" spans="1:14" ht="15.75" customHeight="1">
      <c r="B72" s="22">
        <f>B38/(IS!B4-IS!B5)</f>
        <v>36.830570902394108</v>
      </c>
      <c r="C72" s="22">
        <f>C38/(IS!C4-IS!C5)</f>
        <v>42.496108949416339</v>
      </c>
      <c r="D72" s="22">
        <f>D38/(IS!D4-IS!D5)</f>
        <v>40.324104234527688</v>
      </c>
      <c r="E72" s="22">
        <f>E38/(IS!E4-IS!E5)</f>
        <v>30</v>
      </c>
      <c r="F72" s="22">
        <f>F38/(IS!F4-IS!F5)</f>
        <v>30.860079051383398</v>
      </c>
    </row>
    <row r="73" spans="1:14" ht="15.75" customHeight="1">
      <c r="B73" s="22"/>
      <c r="C73" s="22"/>
      <c r="D73" s="22"/>
      <c r="E73" s="22"/>
      <c r="F73" s="22"/>
    </row>
    <row r="74" spans="1:14" ht="15.75" customHeight="1">
      <c r="B74" s="22"/>
      <c r="C74" s="22"/>
      <c r="D74" s="22"/>
      <c r="E74" s="22"/>
      <c r="F74" s="22"/>
    </row>
    <row r="75" spans="1:14" ht="15.75" customHeight="1">
      <c r="B75" s="22">
        <f>365/B72</f>
        <v>9.9102455122756137</v>
      </c>
      <c r="C75" s="22">
        <f t="shared" ref="C75:F75" si="2">365/C72</f>
        <v>8.5890216545346334</v>
      </c>
      <c r="D75" s="22">
        <f t="shared" si="2"/>
        <v>9.0516579829556925</v>
      </c>
      <c r="E75" s="22">
        <f t="shared" si="2"/>
        <v>12.166666666666666</v>
      </c>
      <c r="F75" s="22">
        <f t="shared" si="2"/>
        <v>11.827578257082843</v>
      </c>
    </row>
    <row r="76" spans="1:14" ht="15.75" customHeight="1">
      <c r="B76" s="22"/>
      <c r="C76" s="22"/>
      <c r="D76" s="22"/>
      <c r="E76" s="22"/>
      <c r="F76" s="22"/>
    </row>
    <row r="77" spans="1:14" ht="15.75" customHeight="1">
      <c r="B77" s="22"/>
      <c r="C77" s="22"/>
      <c r="D77" s="22"/>
      <c r="E77" s="22"/>
      <c r="F77" s="22"/>
    </row>
    <row r="78" spans="1:14" ht="15.75" customHeight="1">
      <c r="B78" s="22"/>
      <c r="C78" s="22"/>
      <c r="D78" s="22"/>
      <c r="E78" s="22"/>
      <c r="F78" s="22"/>
    </row>
    <row r="79" spans="1:14" ht="15.75" customHeight="1">
      <c r="B79" s="22"/>
      <c r="C79" s="22"/>
      <c r="D79" s="22"/>
      <c r="E79" s="22"/>
      <c r="F79" s="22"/>
    </row>
    <row r="80" spans="1:14" ht="15.75" customHeight="1">
      <c r="B80" s="22"/>
      <c r="C80" s="22"/>
      <c r="D80" s="22"/>
      <c r="E80" s="22"/>
      <c r="F80" s="22"/>
    </row>
    <row r="81" spans="2:15" ht="15.75" customHeight="1">
      <c r="B81" s="22"/>
      <c r="C81" s="22"/>
      <c r="D81" s="22"/>
      <c r="E81" s="22"/>
      <c r="F81" s="22"/>
      <c r="O81">
        <v>55105</v>
      </c>
    </row>
    <row r="82" spans="2:15" ht="15.75" customHeight="1">
      <c r="B82" s="22"/>
      <c r="C82" s="22"/>
      <c r="D82" s="22"/>
      <c r="E82" s="22"/>
      <c r="F82" s="22"/>
      <c r="O82">
        <v>43223</v>
      </c>
    </row>
    <row r="83" spans="2:15" ht="15.75" customHeight="1">
      <c r="B83" s="22"/>
      <c r="C83" s="22"/>
      <c r="D83" s="22"/>
      <c r="E83" s="22"/>
      <c r="F83" s="22"/>
      <c r="O83">
        <v>10849</v>
      </c>
    </row>
    <row r="84" spans="2:15" ht="15.75" customHeight="1">
      <c r="B84" s="22"/>
      <c r="C84" s="22"/>
      <c r="D84" s="22"/>
      <c r="E84" s="22"/>
      <c r="F84" s="22"/>
    </row>
    <row r="85" spans="2:15" ht="15.75" customHeight="1">
      <c r="B85" s="22"/>
      <c r="C85" s="22"/>
      <c r="D85" s="22"/>
      <c r="E85" s="22"/>
      <c r="F85" s="22"/>
      <c r="O85">
        <f>O81-O82-O83</f>
        <v>1033</v>
      </c>
    </row>
    <row r="86" spans="2:15" ht="15.75" customHeight="1">
      <c r="B86" s="22"/>
      <c r="C86" s="22"/>
      <c r="D86" s="22"/>
      <c r="E86" s="22"/>
      <c r="F86" s="22"/>
    </row>
    <row r="87" spans="2:15" ht="15.75" customHeight="1">
      <c r="B87" s="22"/>
      <c r="C87" s="22"/>
      <c r="D87" s="22"/>
      <c r="E87" s="22"/>
      <c r="F87" s="22"/>
    </row>
    <row r="88" spans="2:15" ht="15.75" customHeight="1">
      <c r="B88" s="22"/>
      <c r="C88" s="22"/>
      <c r="D88" s="22"/>
      <c r="E88" s="22"/>
      <c r="F88" s="22"/>
    </row>
    <row r="89" spans="2:15" ht="15.75" customHeight="1">
      <c r="B89" s="22"/>
      <c r="C89" s="22"/>
      <c r="D89" s="22"/>
      <c r="E89" s="22"/>
      <c r="F89" s="22"/>
    </row>
    <row r="90" spans="2:15" ht="15.75" customHeight="1">
      <c r="B90" s="22"/>
      <c r="C90" s="22"/>
      <c r="D90" s="22"/>
      <c r="E90" s="22"/>
      <c r="F90" s="22"/>
    </row>
    <row r="91" spans="2:15" ht="15.75" customHeight="1">
      <c r="B91" s="22"/>
      <c r="C91" s="22"/>
      <c r="D91" s="22"/>
      <c r="E91" s="22"/>
      <c r="F91" s="22"/>
    </row>
    <row r="92" spans="2:15" ht="15.75" customHeight="1">
      <c r="B92" s="22"/>
      <c r="C92" s="22"/>
      <c r="D92" s="22"/>
      <c r="E92" s="22"/>
      <c r="F92" s="22"/>
    </row>
    <row r="93" spans="2:15" ht="15.75" customHeight="1">
      <c r="B93" s="22"/>
      <c r="C93" s="22"/>
      <c r="D93" s="22"/>
      <c r="E93" s="22"/>
      <c r="F93" s="22"/>
    </row>
    <row r="94" spans="2:15" ht="15.75" customHeight="1">
      <c r="B94" s="22"/>
      <c r="C94" s="22"/>
      <c r="D94" s="22"/>
      <c r="E94" s="22"/>
      <c r="F94" s="22"/>
    </row>
    <row r="95" spans="2:15" ht="15.75" customHeight="1">
      <c r="B95" s="22"/>
      <c r="C95" s="22"/>
      <c r="D95" s="22"/>
      <c r="E95" s="22"/>
      <c r="F95" s="22"/>
    </row>
    <row r="96" spans="2:15" ht="15.75" customHeight="1">
      <c r="B96" s="22"/>
      <c r="C96" s="22"/>
      <c r="D96" s="22"/>
      <c r="E96" s="22"/>
      <c r="F96" s="22"/>
    </row>
    <row r="97" spans="2:6" ht="15.75" customHeight="1">
      <c r="B97" s="22"/>
      <c r="C97" s="22"/>
      <c r="D97" s="22"/>
      <c r="E97" s="22"/>
      <c r="F97" s="22"/>
    </row>
    <row r="98" spans="2:6" ht="15.75" customHeight="1">
      <c r="B98" s="22"/>
      <c r="C98" s="22"/>
      <c r="D98" s="22"/>
      <c r="E98" s="22"/>
      <c r="F98" s="22"/>
    </row>
    <row r="99" spans="2:6" ht="15.75" customHeight="1">
      <c r="B99" s="22"/>
      <c r="C99" s="22"/>
      <c r="D99" s="22"/>
      <c r="E99" s="22"/>
      <c r="F99" s="22"/>
    </row>
    <row r="100" spans="2:6" ht="15.75" customHeight="1">
      <c r="B100" s="22"/>
      <c r="C100" s="22"/>
      <c r="D100" s="22"/>
      <c r="E100" s="22"/>
      <c r="F100" s="22"/>
    </row>
    <row r="101" spans="2:6" ht="15.75" customHeight="1">
      <c r="B101" s="22"/>
      <c r="C101" s="22"/>
      <c r="D101" s="22"/>
      <c r="E101" s="22"/>
      <c r="F101" s="22"/>
    </row>
    <row r="102" spans="2:6" ht="15.75" customHeight="1">
      <c r="B102" s="22"/>
      <c r="C102" s="22"/>
      <c r="D102" s="22"/>
      <c r="E102" s="22"/>
      <c r="F102" s="22"/>
    </row>
    <row r="103" spans="2:6" ht="15.75" customHeight="1">
      <c r="B103" s="22"/>
      <c r="C103" s="22"/>
      <c r="D103" s="22"/>
      <c r="E103" s="22"/>
      <c r="F103" s="22"/>
    </row>
    <row r="104" spans="2:6" ht="15.75" customHeight="1">
      <c r="B104" s="22"/>
      <c r="C104" s="22"/>
      <c r="D104" s="22"/>
      <c r="E104" s="22"/>
      <c r="F104" s="22"/>
    </row>
    <row r="105" spans="2:6" ht="15.75" customHeight="1">
      <c r="B105" s="22"/>
      <c r="C105" s="22"/>
      <c r="D105" s="22"/>
      <c r="E105" s="22"/>
      <c r="F105" s="22"/>
    </row>
    <row r="106" spans="2:6" ht="15.75" customHeight="1">
      <c r="B106" s="22"/>
      <c r="C106" s="22"/>
      <c r="D106" s="22"/>
      <c r="E106" s="22"/>
      <c r="F106" s="22"/>
    </row>
    <row r="107" spans="2:6" ht="15.75" customHeight="1">
      <c r="B107" s="22"/>
      <c r="C107" s="22"/>
      <c r="D107" s="22"/>
      <c r="E107" s="22"/>
      <c r="F107" s="22"/>
    </row>
    <row r="108" spans="2:6" ht="15.75" customHeight="1">
      <c r="B108" s="22"/>
      <c r="C108" s="22"/>
      <c r="D108" s="22"/>
      <c r="E108" s="22"/>
      <c r="F108" s="22"/>
    </row>
    <row r="109" spans="2:6" ht="15.75" customHeight="1">
      <c r="B109" s="22"/>
      <c r="C109" s="22"/>
      <c r="D109" s="22"/>
      <c r="E109" s="22"/>
      <c r="F109" s="22"/>
    </row>
    <row r="110" spans="2:6" ht="15.75" customHeight="1">
      <c r="B110" s="22"/>
      <c r="C110" s="22"/>
      <c r="D110" s="22"/>
      <c r="E110" s="22"/>
      <c r="F110" s="22"/>
    </row>
    <row r="111" spans="2:6" ht="12.5">
      <c r="B111" s="22"/>
      <c r="C111" s="22"/>
      <c r="D111" s="22"/>
      <c r="E111" s="22"/>
      <c r="F111" s="22"/>
    </row>
    <row r="112" spans="2:6" ht="12.5">
      <c r="B112" s="22"/>
      <c r="C112" s="22"/>
      <c r="D112" s="22"/>
      <c r="E112" s="22"/>
      <c r="F112" s="22"/>
    </row>
    <row r="113" spans="2:6" ht="12.5">
      <c r="B113" s="22"/>
      <c r="C113" s="22"/>
      <c r="D113" s="22"/>
      <c r="E113" s="22"/>
      <c r="F113" s="22"/>
    </row>
    <row r="114" spans="2:6" ht="12.5">
      <c r="B114" s="22"/>
      <c r="C114" s="22"/>
      <c r="D114" s="22"/>
      <c r="E114" s="22"/>
      <c r="F114" s="22"/>
    </row>
    <row r="115" spans="2:6" ht="12.5">
      <c r="B115" s="22"/>
      <c r="C115" s="22"/>
      <c r="D115" s="22"/>
      <c r="E115" s="22"/>
      <c r="F115" s="22"/>
    </row>
    <row r="116" spans="2:6" ht="12.5">
      <c r="B116" s="22"/>
      <c r="C116" s="22"/>
      <c r="D116" s="22"/>
      <c r="E116" s="22"/>
      <c r="F116" s="22"/>
    </row>
    <row r="117" spans="2:6" ht="12.5">
      <c r="B117" s="22"/>
      <c r="C117" s="22"/>
      <c r="D117" s="22"/>
      <c r="E117" s="22"/>
      <c r="F117" s="22"/>
    </row>
    <row r="118" spans="2:6" ht="12.5">
      <c r="B118" s="22"/>
      <c r="C118" s="22"/>
      <c r="D118" s="22"/>
      <c r="E118" s="22"/>
      <c r="F118" s="22"/>
    </row>
    <row r="119" spans="2:6" ht="12.5">
      <c r="B119" s="22"/>
      <c r="C119" s="22"/>
      <c r="D119" s="22"/>
      <c r="E119" s="22"/>
      <c r="F119" s="22"/>
    </row>
    <row r="120" spans="2:6" ht="12.5">
      <c r="B120" s="22"/>
      <c r="C120" s="22"/>
      <c r="D120" s="22"/>
      <c r="E120" s="22"/>
      <c r="F120" s="22"/>
    </row>
    <row r="121" spans="2:6" ht="12.5">
      <c r="B121" s="22"/>
      <c r="C121" s="22"/>
      <c r="D121" s="22"/>
      <c r="E121" s="22"/>
      <c r="F121" s="22"/>
    </row>
    <row r="122" spans="2:6" ht="12.5">
      <c r="B122" s="22"/>
      <c r="C122" s="22"/>
      <c r="D122" s="22"/>
      <c r="E122" s="22"/>
      <c r="F122" s="22"/>
    </row>
    <row r="123" spans="2:6" ht="12.5">
      <c r="B123" s="22"/>
      <c r="C123" s="22"/>
      <c r="D123" s="22"/>
      <c r="E123" s="22"/>
      <c r="F123" s="22"/>
    </row>
    <row r="124" spans="2:6" ht="12.5">
      <c r="B124" s="22"/>
      <c r="C124" s="22"/>
      <c r="D124" s="22"/>
      <c r="E124" s="22"/>
      <c r="F124" s="22"/>
    </row>
    <row r="125" spans="2:6" ht="12.5">
      <c r="B125" s="22"/>
      <c r="C125" s="22"/>
      <c r="D125" s="22"/>
      <c r="E125" s="22"/>
      <c r="F125" s="22"/>
    </row>
    <row r="126" spans="2:6" ht="12.5">
      <c r="B126" s="22"/>
      <c r="C126" s="22"/>
      <c r="D126" s="22"/>
      <c r="E126" s="22"/>
      <c r="F126" s="22"/>
    </row>
    <row r="127" spans="2:6" ht="12.5">
      <c r="B127" s="22"/>
      <c r="C127" s="22"/>
      <c r="D127" s="22"/>
      <c r="E127" s="22"/>
      <c r="F127" s="22"/>
    </row>
    <row r="128" spans="2:6" ht="12.5">
      <c r="B128" s="22"/>
      <c r="C128" s="22"/>
      <c r="D128" s="22"/>
      <c r="E128" s="22"/>
      <c r="F128" s="22"/>
    </row>
    <row r="129" spans="2:6" ht="12.5">
      <c r="B129" s="22"/>
      <c r="C129" s="22"/>
      <c r="D129" s="22"/>
      <c r="E129" s="22"/>
      <c r="F129" s="22"/>
    </row>
    <row r="130" spans="2:6" ht="12.5">
      <c r="B130" s="22"/>
      <c r="C130" s="22"/>
      <c r="D130" s="22"/>
      <c r="E130" s="22"/>
      <c r="F130" s="22"/>
    </row>
    <row r="131" spans="2:6" ht="12.5">
      <c r="B131" s="22"/>
      <c r="C131" s="22"/>
      <c r="D131" s="22"/>
      <c r="E131" s="22"/>
      <c r="F131" s="22"/>
    </row>
    <row r="132" spans="2:6" ht="12.5">
      <c r="B132" s="22"/>
      <c r="C132" s="22"/>
      <c r="D132" s="22"/>
      <c r="E132" s="22"/>
      <c r="F132" s="22"/>
    </row>
    <row r="133" spans="2:6" ht="12.5">
      <c r="B133" s="22"/>
      <c r="C133" s="22"/>
      <c r="D133" s="22"/>
      <c r="E133" s="22"/>
      <c r="F133" s="22"/>
    </row>
    <row r="134" spans="2:6" ht="12.5">
      <c r="B134" s="22"/>
      <c r="C134" s="22"/>
      <c r="D134" s="22"/>
      <c r="E134" s="22"/>
      <c r="F134" s="22"/>
    </row>
    <row r="135" spans="2:6" ht="12.5">
      <c r="B135" s="22"/>
      <c r="C135" s="22"/>
      <c r="D135" s="22"/>
      <c r="E135" s="22"/>
      <c r="F135" s="22"/>
    </row>
    <row r="136" spans="2:6" ht="12.5">
      <c r="B136" s="22"/>
      <c r="C136" s="22"/>
      <c r="D136" s="22"/>
      <c r="E136" s="22"/>
      <c r="F136" s="22"/>
    </row>
    <row r="137" spans="2:6" ht="12.5">
      <c r="B137" s="22"/>
      <c r="C137" s="22"/>
      <c r="D137" s="22"/>
      <c r="E137" s="22"/>
      <c r="F137" s="22"/>
    </row>
    <row r="138" spans="2:6" ht="12.5">
      <c r="B138" s="22"/>
      <c r="C138" s="22"/>
      <c r="D138" s="22"/>
      <c r="E138" s="22"/>
      <c r="F138" s="22"/>
    </row>
    <row r="139" spans="2:6" ht="12.5">
      <c r="B139" s="22"/>
      <c r="C139" s="22"/>
      <c r="D139" s="22"/>
      <c r="E139" s="22"/>
      <c r="F139" s="22"/>
    </row>
    <row r="140" spans="2:6" ht="12.5">
      <c r="B140" s="22"/>
      <c r="C140" s="22"/>
      <c r="D140" s="22"/>
      <c r="E140" s="22"/>
      <c r="F140" s="22"/>
    </row>
    <row r="141" spans="2:6" ht="12.5">
      <c r="B141" s="22"/>
      <c r="C141" s="22"/>
      <c r="D141" s="22"/>
      <c r="E141" s="22"/>
      <c r="F141" s="22"/>
    </row>
    <row r="142" spans="2:6" ht="12.5">
      <c r="B142" s="22"/>
      <c r="C142" s="22"/>
      <c r="D142" s="22"/>
      <c r="E142" s="22"/>
      <c r="F142" s="22"/>
    </row>
    <row r="143" spans="2:6" ht="12.5">
      <c r="B143" s="22"/>
      <c r="C143" s="22"/>
      <c r="D143" s="22"/>
      <c r="E143" s="22"/>
      <c r="F143" s="22"/>
    </row>
    <row r="144" spans="2:6" ht="12.5">
      <c r="B144" s="22"/>
      <c r="C144" s="22"/>
      <c r="D144" s="22"/>
      <c r="E144" s="22"/>
      <c r="F144" s="22"/>
    </row>
    <row r="145" spans="2:6" ht="12.5">
      <c r="B145" s="22"/>
      <c r="C145" s="22"/>
      <c r="D145" s="22"/>
      <c r="E145" s="22"/>
      <c r="F145" s="22"/>
    </row>
    <row r="146" spans="2:6" ht="12.5">
      <c r="B146" s="22"/>
      <c r="C146" s="22"/>
      <c r="D146" s="22"/>
      <c r="E146" s="22"/>
      <c r="F146" s="22"/>
    </row>
    <row r="147" spans="2:6" ht="12.5">
      <c r="B147" s="22"/>
      <c r="C147" s="22"/>
      <c r="D147" s="22"/>
      <c r="E147" s="22"/>
      <c r="F147" s="22"/>
    </row>
    <row r="148" spans="2:6" ht="12.5">
      <c r="B148" s="22"/>
      <c r="C148" s="22"/>
      <c r="D148" s="22"/>
      <c r="E148" s="22"/>
      <c r="F148" s="22"/>
    </row>
    <row r="149" spans="2:6" ht="12.5">
      <c r="B149" s="22"/>
      <c r="C149" s="22"/>
      <c r="D149" s="22"/>
      <c r="E149" s="22"/>
      <c r="F149" s="22"/>
    </row>
    <row r="150" spans="2:6" ht="12.5">
      <c r="B150" s="22"/>
      <c r="C150" s="22"/>
      <c r="D150" s="22"/>
      <c r="E150" s="22"/>
      <c r="F150" s="22"/>
    </row>
    <row r="151" spans="2:6" ht="12.5">
      <c r="B151" s="22"/>
      <c r="C151" s="22"/>
      <c r="D151" s="22"/>
      <c r="E151" s="22"/>
      <c r="F151" s="22"/>
    </row>
    <row r="152" spans="2:6" ht="12.5">
      <c r="B152" s="22"/>
      <c r="C152" s="22"/>
      <c r="D152" s="22"/>
      <c r="E152" s="22"/>
      <c r="F152" s="22"/>
    </row>
    <row r="153" spans="2:6" ht="12.5">
      <c r="B153" s="22"/>
      <c r="C153" s="22"/>
      <c r="D153" s="22"/>
      <c r="E153" s="22"/>
      <c r="F153" s="22"/>
    </row>
    <row r="154" spans="2:6" ht="12.5">
      <c r="B154" s="22"/>
      <c r="C154" s="22"/>
      <c r="D154" s="22"/>
      <c r="E154" s="22"/>
      <c r="F154" s="22"/>
    </row>
    <row r="155" spans="2:6" ht="12.5">
      <c r="B155" s="22"/>
      <c r="C155" s="22"/>
      <c r="D155" s="22"/>
      <c r="E155" s="22"/>
      <c r="F155" s="22"/>
    </row>
    <row r="156" spans="2:6" ht="12.5">
      <c r="B156" s="22"/>
      <c r="C156" s="22"/>
      <c r="D156" s="22"/>
      <c r="E156" s="22"/>
      <c r="F156" s="22"/>
    </row>
    <row r="157" spans="2:6" ht="12.5">
      <c r="B157" s="22"/>
      <c r="C157" s="22"/>
      <c r="D157" s="22"/>
      <c r="E157" s="22"/>
      <c r="F157" s="22"/>
    </row>
    <row r="158" spans="2:6" ht="12.5">
      <c r="B158" s="22"/>
      <c r="C158" s="22"/>
      <c r="D158" s="22"/>
      <c r="E158" s="22"/>
      <c r="F158" s="22"/>
    </row>
    <row r="159" spans="2:6" ht="12.5">
      <c r="B159" s="22"/>
      <c r="C159" s="22"/>
      <c r="D159" s="22"/>
      <c r="E159" s="22"/>
      <c r="F159" s="22"/>
    </row>
    <row r="160" spans="2:6" ht="12.5">
      <c r="B160" s="22"/>
      <c r="C160" s="22"/>
      <c r="D160" s="22"/>
      <c r="E160" s="22"/>
      <c r="F160" s="22"/>
    </row>
    <row r="161" spans="2:6" ht="12.5">
      <c r="B161" s="22"/>
      <c r="C161" s="22"/>
      <c r="D161" s="22"/>
      <c r="E161" s="22"/>
      <c r="F161" s="22"/>
    </row>
    <row r="162" spans="2:6" ht="12.5">
      <c r="B162" s="22"/>
      <c r="C162" s="22"/>
      <c r="D162" s="22"/>
      <c r="E162" s="22"/>
      <c r="F162" s="22"/>
    </row>
    <row r="163" spans="2:6" ht="12.5">
      <c r="B163" s="22"/>
      <c r="C163" s="22"/>
      <c r="D163" s="22"/>
      <c r="E163" s="22"/>
      <c r="F163" s="22"/>
    </row>
    <row r="164" spans="2:6" ht="12.5">
      <c r="B164" s="22"/>
      <c r="C164" s="22"/>
      <c r="D164" s="22"/>
      <c r="E164" s="22"/>
      <c r="F164" s="22"/>
    </row>
    <row r="165" spans="2:6" ht="12.5">
      <c r="B165" s="22"/>
      <c r="C165" s="22"/>
      <c r="D165" s="22"/>
      <c r="E165" s="22"/>
      <c r="F165" s="22"/>
    </row>
    <row r="166" spans="2:6" ht="12.5">
      <c r="B166" s="22"/>
      <c r="C166" s="22"/>
      <c r="D166" s="22"/>
      <c r="E166" s="22"/>
      <c r="F166" s="22"/>
    </row>
    <row r="167" spans="2:6" ht="12.5">
      <c r="B167" s="22"/>
      <c r="C167" s="22"/>
      <c r="D167" s="22"/>
      <c r="E167" s="22"/>
      <c r="F167" s="22"/>
    </row>
    <row r="168" spans="2:6" ht="12.5">
      <c r="B168" s="22"/>
      <c r="C168" s="22"/>
      <c r="D168" s="22"/>
      <c r="E168" s="22"/>
      <c r="F168" s="22"/>
    </row>
    <row r="169" spans="2:6" ht="12.5">
      <c r="B169" s="22"/>
      <c r="C169" s="22"/>
      <c r="D169" s="22"/>
      <c r="E169" s="22"/>
      <c r="F169" s="22"/>
    </row>
    <row r="170" spans="2:6" ht="12.5">
      <c r="B170" s="22"/>
      <c r="C170" s="22"/>
      <c r="D170" s="22"/>
      <c r="E170" s="22"/>
      <c r="F170" s="22"/>
    </row>
    <row r="171" spans="2:6" ht="12.5">
      <c r="B171" s="22"/>
      <c r="C171" s="22"/>
      <c r="D171" s="22"/>
      <c r="E171" s="22"/>
      <c r="F171" s="22"/>
    </row>
    <row r="172" spans="2:6" ht="12.5">
      <c r="B172" s="22"/>
      <c r="C172" s="22"/>
      <c r="D172" s="22"/>
      <c r="E172" s="22"/>
      <c r="F172" s="22"/>
    </row>
    <row r="173" spans="2:6" ht="12.5">
      <c r="B173" s="22"/>
      <c r="C173" s="22"/>
      <c r="D173" s="22"/>
      <c r="E173" s="22"/>
      <c r="F173" s="22"/>
    </row>
    <row r="174" spans="2:6" ht="12.5">
      <c r="B174" s="22"/>
      <c r="C174" s="22"/>
      <c r="D174" s="22"/>
      <c r="E174" s="22"/>
      <c r="F174" s="22"/>
    </row>
    <row r="175" spans="2:6" ht="12.5">
      <c r="B175" s="22"/>
      <c r="C175" s="22"/>
      <c r="D175" s="22"/>
      <c r="E175" s="22"/>
      <c r="F175" s="22"/>
    </row>
    <row r="176" spans="2:6" ht="12.5">
      <c r="B176" s="22"/>
      <c r="C176" s="22"/>
      <c r="D176" s="22"/>
      <c r="E176" s="22"/>
      <c r="F176" s="22"/>
    </row>
    <row r="177" spans="2:6" ht="12.5">
      <c r="B177" s="22"/>
      <c r="C177" s="22"/>
      <c r="D177" s="22"/>
      <c r="E177" s="22"/>
      <c r="F177" s="22"/>
    </row>
    <row r="178" spans="2:6" ht="12.5">
      <c r="B178" s="22"/>
      <c r="C178" s="22"/>
      <c r="D178" s="22"/>
      <c r="E178" s="22"/>
      <c r="F178" s="22"/>
    </row>
    <row r="179" spans="2:6" ht="12.5">
      <c r="B179" s="22"/>
      <c r="C179" s="22"/>
      <c r="D179" s="22"/>
      <c r="E179" s="22"/>
      <c r="F179" s="22"/>
    </row>
    <row r="180" spans="2:6" ht="12.5">
      <c r="B180" s="22"/>
      <c r="C180" s="22"/>
      <c r="D180" s="22"/>
      <c r="E180" s="22"/>
      <c r="F180" s="22"/>
    </row>
    <row r="181" spans="2:6" ht="12.5">
      <c r="B181" s="22"/>
      <c r="C181" s="22"/>
      <c r="D181" s="22"/>
      <c r="E181" s="22"/>
      <c r="F181" s="22"/>
    </row>
    <row r="182" spans="2:6" ht="12.5">
      <c r="B182" s="22"/>
      <c r="C182" s="22"/>
      <c r="D182" s="22"/>
      <c r="E182" s="22"/>
      <c r="F182" s="22"/>
    </row>
    <row r="183" spans="2:6" ht="12.5">
      <c r="B183" s="22"/>
      <c r="C183" s="22"/>
      <c r="D183" s="22"/>
      <c r="E183" s="22"/>
      <c r="F183" s="22"/>
    </row>
    <row r="184" spans="2:6" ht="12.5">
      <c r="B184" s="22"/>
      <c r="C184" s="22"/>
      <c r="D184" s="22"/>
      <c r="E184" s="22"/>
      <c r="F184" s="22"/>
    </row>
    <row r="185" spans="2:6" ht="12.5">
      <c r="B185" s="22"/>
      <c r="C185" s="22"/>
      <c r="D185" s="22"/>
      <c r="E185" s="22"/>
      <c r="F185" s="22"/>
    </row>
    <row r="186" spans="2:6" ht="12.5">
      <c r="B186" s="22"/>
      <c r="C186" s="22"/>
      <c r="D186" s="22"/>
      <c r="E186" s="22"/>
      <c r="F186" s="22"/>
    </row>
    <row r="187" spans="2:6" ht="12.5">
      <c r="B187" s="22"/>
      <c r="C187" s="22"/>
      <c r="D187" s="22"/>
      <c r="E187" s="22"/>
      <c r="F187" s="22"/>
    </row>
    <row r="188" spans="2:6" ht="12.5">
      <c r="B188" s="22"/>
      <c r="C188" s="22"/>
      <c r="D188" s="22"/>
      <c r="E188" s="22"/>
      <c r="F188" s="22"/>
    </row>
    <row r="189" spans="2:6" ht="12.5">
      <c r="B189" s="22"/>
      <c r="C189" s="22"/>
      <c r="D189" s="22"/>
      <c r="E189" s="22"/>
      <c r="F189" s="22"/>
    </row>
    <row r="190" spans="2:6" ht="12.5">
      <c r="B190" s="22"/>
      <c r="C190" s="22"/>
      <c r="D190" s="22"/>
      <c r="E190" s="22"/>
      <c r="F190" s="22"/>
    </row>
    <row r="191" spans="2:6" ht="12.5">
      <c r="B191" s="22"/>
      <c r="C191" s="22"/>
      <c r="D191" s="22"/>
      <c r="E191" s="22"/>
      <c r="F191" s="22"/>
    </row>
    <row r="192" spans="2:6" ht="12.5">
      <c r="B192" s="22"/>
      <c r="C192" s="22"/>
      <c r="D192" s="22"/>
      <c r="E192" s="22"/>
      <c r="F192" s="22"/>
    </row>
    <row r="193" spans="2:6" ht="12.5">
      <c r="B193" s="22"/>
      <c r="C193" s="22"/>
      <c r="D193" s="22"/>
      <c r="E193" s="22"/>
      <c r="F193" s="22"/>
    </row>
    <row r="194" spans="2:6" ht="12.5">
      <c r="B194" s="22"/>
      <c r="C194" s="22"/>
      <c r="D194" s="22"/>
      <c r="E194" s="22"/>
      <c r="F194" s="22"/>
    </row>
    <row r="195" spans="2:6" ht="12.5">
      <c r="B195" s="22"/>
      <c r="C195" s="22"/>
      <c r="D195" s="22"/>
      <c r="E195" s="22"/>
      <c r="F195" s="22"/>
    </row>
    <row r="196" spans="2:6" ht="12.5">
      <c r="B196" s="22"/>
      <c r="C196" s="22"/>
      <c r="D196" s="22"/>
      <c r="E196" s="22"/>
      <c r="F196" s="22"/>
    </row>
    <row r="197" spans="2:6" ht="12.5">
      <c r="B197" s="22"/>
      <c r="C197" s="22"/>
      <c r="D197" s="22"/>
      <c r="E197" s="22"/>
      <c r="F197" s="22"/>
    </row>
    <row r="198" spans="2:6" ht="12.5">
      <c r="B198" s="22"/>
      <c r="C198" s="22"/>
      <c r="D198" s="22"/>
      <c r="E198" s="22"/>
      <c r="F198" s="22"/>
    </row>
    <row r="199" spans="2:6" ht="12.5">
      <c r="B199" s="22"/>
      <c r="C199" s="22"/>
      <c r="D199" s="22"/>
      <c r="E199" s="22"/>
      <c r="F199" s="22"/>
    </row>
    <row r="200" spans="2:6" ht="12.5">
      <c r="B200" s="22"/>
      <c r="C200" s="22"/>
      <c r="D200" s="22"/>
      <c r="E200" s="22"/>
      <c r="F200" s="22"/>
    </row>
    <row r="201" spans="2:6" ht="12.5">
      <c r="B201" s="22"/>
      <c r="C201" s="22"/>
      <c r="D201" s="22"/>
      <c r="E201" s="22"/>
      <c r="F201" s="22"/>
    </row>
    <row r="202" spans="2:6" ht="12.5">
      <c r="B202" s="22"/>
      <c r="C202" s="22"/>
      <c r="D202" s="22"/>
      <c r="E202" s="22"/>
      <c r="F202" s="22"/>
    </row>
    <row r="203" spans="2:6" ht="12.5">
      <c r="B203" s="22"/>
      <c r="C203" s="22"/>
      <c r="D203" s="22"/>
      <c r="E203" s="22"/>
      <c r="F203" s="22"/>
    </row>
    <row r="204" spans="2:6" ht="12.5">
      <c r="B204" s="22"/>
      <c r="C204" s="22"/>
      <c r="D204" s="22"/>
      <c r="E204" s="22"/>
      <c r="F204" s="22"/>
    </row>
    <row r="205" spans="2:6" ht="12.5">
      <c r="B205" s="22"/>
      <c r="C205" s="22"/>
      <c r="D205" s="22"/>
      <c r="E205" s="22"/>
      <c r="F205" s="22"/>
    </row>
    <row r="206" spans="2:6" ht="12.5">
      <c r="B206" s="22"/>
      <c r="C206" s="22"/>
      <c r="D206" s="22"/>
      <c r="E206" s="22"/>
      <c r="F206" s="22"/>
    </row>
    <row r="207" spans="2:6" ht="12.5">
      <c r="B207" s="22"/>
      <c r="C207" s="22"/>
      <c r="D207" s="22"/>
      <c r="E207" s="22"/>
      <c r="F207" s="22"/>
    </row>
    <row r="208" spans="2:6" ht="12.5">
      <c r="B208" s="22"/>
      <c r="C208" s="22"/>
      <c r="D208" s="22"/>
      <c r="E208" s="22"/>
      <c r="F208" s="22"/>
    </row>
    <row r="209" spans="2:6" ht="12.5">
      <c r="B209" s="22"/>
      <c r="C209" s="22"/>
      <c r="D209" s="22"/>
      <c r="E209" s="22"/>
      <c r="F209" s="22"/>
    </row>
    <row r="210" spans="2:6" ht="12.5">
      <c r="B210" s="22"/>
      <c r="C210" s="22"/>
      <c r="D210" s="22"/>
      <c r="E210" s="22"/>
      <c r="F210" s="22"/>
    </row>
    <row r="211" spans="2:6" ht="12.5">
      <c r="B211" s="22"/>
      <c r="C211" s="22"/>
      <c r="D211" s="22"/>
      <c r="E211" s="22"/>
      <c r="F211" s="22"/>
    </row>
    <row r="212" spans="2:6" ht="12.5">
      <c r="B212" s="22"/>
      <c r="C212" s="22"/>
      <c r="D212" s="22"/>
      <c r="E212" s="22"/>
      <c r="F212" s="22"/>
    </row>
    <row r="213" spans="2:6" ht="12.5">
      <c r="B213" s="22"/>
      <c r="C213" s="22"/>
      <c r="D213" s="22"/>
      <c r="E213" s="22"/>
      <c r="F213" s="22"/>
    </row>
    <row r="214" spans="2:6" ht="12.5">
      <c r="B214" s="22"/>
      <c r="C214" s="22"/>
      <c r="D214" s="22"/>
      <c r="E214" s="22"/>
      <c r="F214" s="22"/>
    </row>
    <row r="215" spans="2:6" ht="12.5">
      <c r="B215" s="22"/>
      <c r="C215" s="22"/>
      <c r="D215" s="22"/>
      <c r="E215" s="22"/>
      <c r="F215" s="22"/>
    </row>
    <row r="216" spans="2:6" ht="12.5">
      <c r="B216" s="22"/>
      <c r="C216" s="22"/>
      <c r="D216" s="22"/>
      <c r="E216" s="22"/>
      <c r="F216" s="22"/>
    </row>
    <row r="217" spans="2:6" ht="12.5">
      <c r="B217" s="22"/>
      <c r="C217" s="22"/>
      <c r="D217" s="22"/>
      <c r="E217" s="22"/>
      <c r="F217" s="22"/>
    </row>
    <row r="218" spans="2:6" ht="12.5">
      <c r="B218" s="22"/>
      <c r="C218" s="22"/>
      <c r="D218" s="22"/>
      <c r="E218" s="22"/>
      <c r="F218" s="22"/>
    </row>
    <row r="219" spans="2:6" ht="12.5">
      <c r="B219" s="22"/>
      <c r="C219" s="22"/>
      <c r="D219" s="22"/>
      <c r="E219" s="22"/>
      <c r="F219" s="22"/>
    </row>
    <row r="220" spans="2:6" ht="12.5">
      <c r="B220" s="22"/>
      <c r="C220" s="22"/>
      <c r="D220" s="22"/>
      <c r="E220" s="22"/>
      <c r="F220" s="22"/>
    </row>
    <row r="221" spans="2:6" ht="12.5">
      <c r="B221" s="22"/>
      <c r="C221" s="22"/>
      <c r="D221" s="22"/>
      <c r="E221" s="22"/>
      <c r="F221" s="22"/>
    </row>
    <row r="222" spans="2:6" ht="12.5">
      <c r="B222" s="22"/>
      <c r="C222" s="22"/>
      <c r="D222" s="22"/>
      <c r="E222" s="22"/>
      <c r="F222" s="22"/>
    </row>
    <row r="223" spans="2:6" ht="12.5">
      <c r="B223" s="22"/>
      <c r="C223" s="22"/>
      <c r="D223" s="22"/>
      <c r="E223" s="22"/>
      <c r="F223" s="22"/>
    </row>
    <row r="224" spans="2:6" ht="12.5">
      <c r="B224" s="22"/>
      <c r="C224" s="22"/>
      <c r="D224" s="22"/>
      <c r="E224" s="22"/>
      <c r="F224" s="22"/>
    </row>
    <row r="225" spans="2:6" ht="12.5">
      <c r="B225" s="22"/>
      <c r="C225" s="22"/>
      <c r="D225" s="22"/>
      <c r="E225" s="22"/>
      <c r="F225" s="22"/>
    </row>
    <row r="226" spans="2:6" ht="12.5">
      <c r="B226" s="22"/>
      <c r="C226" s="22"/>
      <c r="D226" s="22"/>
      <c r="E226" s="22"/>
      <c r="F226" s="22"/>
    </row>
    <row r="227" spans="2:6" ht="12.5">
      <c r="B227" s="22"/>
      <c r="C227" s="22"/>
      <c r="D227" s="22"/>
      <c r="E227" s="22"/>
      <c r="F227" s="22"/>
    </row>
    <row r="228" spans="2:6" ht="12.5">
      <c r="B228" s="22"/>
      <c r="C228" s="22"/>
      <c r="D228" s="22"/>
      <c r="E228" s="22"/>
      <c r="F228" s="22"/>
    </row>
    <row r="229" spans="2:6" ht="12.5">
      <c r="B229" s="22"/>
      <c r="C229" s="22"/>
      <c r="D229" s="22"/>
      <c r="E229" s="22"/>
      <c r="F229" s="22"/>
    </row>
    <row r="230" spans="2:6" ht="12.5">
      <c r="B230" s="22"/>
      <c r="C230" s="22"/>
      <c r="D230" s="22"/>
      <c r="E230" s="22"/>
      <c r="F230" s="22"/>
    </row>
    <row r="231" spans="2:6" ht="12.5">
      <c r="B231" s="22"/>
      <c r="C231" s="22"/>
      <c r="D231" s="22"/>
      <c r="E231" s="22"/>
      <c r="F231" s="22"/>
    </row>
    <row r="232" spans="2:6" ht="12.5">
      <c r="B232" s="22"/>
      <c r="C232" s="22"/>
      <c r="D232" s="22"/>
      <c r="E232" s="22"/>
      <c r="F232" s="22"/>
    </row>
    <row r="233" spans="2:6" ht="12.5">
      <c r="B233" s="22"/>
      <c r="C233" s="22"/>
      <c r="D233" s="22"/>
      <c r="E233" s="22"/>
      <c r="F233" s="22"/>
    </row>
    <row r="234" spans="2:6" ht="12.5">
      <c r="B234" s="22"/>
      <c r="C234" s="22"/>
      <c r="D234" s="22"/>
      <c r="E234" s="22"/>
      <c r="F234" s="22"/>
    </row>
    <row r="235" spans="2:6" ht="12.5">
      <c r="B235" s="22"/>
      <c r="C235" s="22"/>
      <c r="D235" s="22"/>
      <c r="E235" s="22"/>
      <c r="F235" s="22"/>
    </row>
    <row r="236" spans="2:6" ht="12.5">
      <c r="B236" s="22"/>
      <c r="C236" s="22"/>
      <c r="D236" s="22"/>
      <c r="E236" s="22"/>
      <c r="F236" s="22"/>
    </row>
    <row r="237" spans="2:6" ht="12.5">
      <c r="B237" s="22"/>
      <c r="C237" s="22"/>
      <c r="D237" s="22"/>
      <c r="E237" s="22"/>
      <c r="F237" s="22"/>
    </row>
    <row r="238" spans="2:6" ht="12.5">
      <c r="B238" s="22"/>
      <c r="C238" s="22"/>
      <c r="D238" s="22"/>
      <c r="E238" s="22"/>
      <c r="F238" s="22"/>
    </row>
    <row r="239" spans="2:6" ht="12.5">
      <c r="B239" s="22"/>
      <c r="C239" s="22"/>
      <c r="D239" s="22"/>
      <c r="E239" s="22"/>
      <c r="F239" s="22"/>
    </row>
    <row r="240" spans="2:6" ht="12.5">
      <c r="B240" s="22"/>
      <c r="C240" s="22"/>
      <c r="D240" s="22"/>
      <c r="E240" s="22"/>
      <c r="F240" s="22"/>
    </row>
    <row r="241" spans="2:6" ht="12.5">
      <c r="B241" s="22"/>
      <c r="C241" s="22"/>
      <c r="D241" s="22"/>
      <c r="E241" s="22"/>
      <c r="F241" s="22"/>
    </row>
    <row r="242" spans="2:6" ht="12.5">
      <c r="B242" s="22"/>
      <c r="C242" s="22"/>
      <c r="D242" s="22"/>
      <c r="E242" s="22"/>
      <c r="F242" s="22"/>
    </row>
    <row r="243" spans="2:6" ht="12.5">
      <c r="B243" s="22"/>
      <c r="C243" s="22"/>
      <c r="D243" s="22"/>
      <c r="E243" s="22"/>
      <c r="F243" s="22"/>
    </row>
    <row r="244" spans="2:6" ht="12.5">
      <c r="B244" s="22"/>
      <c r="C244" s="22"/>
      <c r="D244" s="22"/>
      <c r="E244" s="22"/>
      <c r="F244" s="22"/>
    </row>
    <row r="245" spans="2:6" ht="12.5">
      <c r="B245" s="22"/>
      <c r="C245" s="22"/>
      <c r="D245" s="22"/>
      <c r="E245" s="22"/>
      <c r="F245" s="22"/>
    </row>
    <row r="246" spans="2:6" ht="12.5">
      <c r="B246" s="22"/>
      <c r="C246" s="22"/>
      <c r="D246" s="22"/>
      <c r="E246" s="22"/>
      <c r="F246" s="22"/>
    </row>
    <row r="247" spans="2:6" ht="12.5">
      <c r="B247" s="22"/>
      <c r="C247" s="22"/>
      <c r="D247" s="22"/>
      <c r="E247" s="22"/>
      <c r="F247" s="22"/>
    </row>
    <row r="248" spans="2:6" ht="12.5">
      <c r="B248" s="22"/>
      <c r="C248" s="22"/>
      <c r="D248" s="22"/>
      <c r="E248" s="22"/>
      <c r="F248" s="22"/>
    </row>
    <row r="249" spans="2:6" ht="12.5">
      <c r="B249" s="22"/>
      <c r="C249" s="22"/>
      <c r="D249" s="22"/>
      <c r="E249" s="22"/>
      <c r="F249" s="22"/>
    </row>
    <row r="250" spans="2:6" ht="12.5">
      <c r="B250" s="22"/>
      <c r="C250" s="22"/>
      <c r="D250" s="22"/>
      <c r="E250" s="22"/>
      <c r="F250" s="22"/>
    </row>
    <row r="251" spans="2:6" ht="12.5">
      <c r="B251" s="22"/>
      <c r="C251" s="22"/>
      <c r="D251" s="22"/>
      <c r="E251" s="22"/>
      <c r="F251" s="22"/>
    </row>
    <row r="252" spans="2:6" ht="12.5">
      <c r="B252" s="22"/>
      <c r="C252" s="22"/>
      <c r="D252" s="22"/>
      <c r="E252" s="22"/>
      <c r="F252" s="22"/>
    </row>
    <row r="253" spans="2:6" ht="12.5">
      <c r="B253" s="22"/>
      <c r="C253" s="22"/>
      <c r="D253" s="22"/>
      <c r="E253" s="22"/>
      <c r="F253" s="22"/>
    </row>
    <row r="254" spans="2:6" ht="12.5">
      <c r="B254" s="22"/>
      <c r="C254" s="22"/>
      <c r="D254" s="22"/>
      <c r="E254" s="22"/>
      <c r="F254" s="22"/>
    </row>
    <row r="255" spans="2:6" ht="12.5">
      <c r="B255" s="22"/>
      <c r="C255" s="22"/>
      <c r="D255" s="22"/>
      <c r="E255" s="22"/>
      <c r="F255" s="22"/>
    </row>
    <row r="256" spans="2:6" ht="12.5">
      <c r="B256" s="22"/>
      <c r="C256" s="22"/>
      <c r="D256" s="22"/>
      <c r="E256" s="22"/>
      <c r="F256" s="22"/>
    </row>
    <row r="257" spans="2:6" ht="12.5">
      <c r="B257" s="22"/>
      <c r="C257" s="22"/>
      <c r="D257" s="22"/>
      <c r="E257" s="22"/>
      <c r="F257" s="22"/>
    </row>
    <row r="258" spans="2:6" ht="12.5">
      <c r="B258" s="22"/>
      <c r="C258" s="22"/>
      <c r="D258" s="22"/>
      <c r="E258" s="22"/>
      <c r="F258" s="22"/>
    </row>
    <row r="259" spans="2:6" ht="12.5">
      <c r="B259" s="22"/>
      <c r="C259" s="22"/>
      <c r="D259" s="22"/>
      <c r="E259" s="22"/>
      <c r="F259" s="22"/>
    </row>
    <row r="260" spans="2:6" ht="12.5">
      <c r="B260" s="22"/>
      <c r="C260" s="22"/>
      <c r="D260" s="22"/>
      <c r="E260" s="22"/>
      <c r="F260" s="22"/>
    </row>
    <row r="261" spans="2:6" ht="12.5">
      <c r="B261" s="22"/>
      <c r="C261" s="22"/>
      <c r="D261" s="22"/>
      <c r="E261" s="22"/>
      <c r="F261" s="22"/>
    </row>
    <row r="262" spans="2:6" ht="12.5">
      <c r="B262" s="22"/>
      <c r="C262" s="22"/>
      <c r="D262" s="22"/>
      <c r="E262" s="22"/>
      <c r="F262" s="22"/>
    </row>
    <row r="263" spans="2:6" ht="12.5">
      <c r="B263" s="22"/>
      <c r="C263" s="22"/>
      <c r="D263" s="22"/>
      <c r="E263" s="22"/>
      <c r="F263" s="22"/>
    </row>
    <row r="264" spans="2:6" ht="12.5">
      <c r="B264" s="22"/>
      <c r="C264" s="22"/>
      <c r="D264" s="22"/>
      <c r="E264" s="22"/>
      <c r="F264" s="22"/>
    </row>
    <row r="265" spans="2:6" ht="12.5">
      <c r="B265" s="22"/>
      <c r="C265" s="22"/>
      <c r="D265" s="22"/>
      <c r="E265" s="22"/>
      <c r="F265" s="22"/>
    </row>
    <row r="266" spans="2:6" ht="12.5">
      <c r="B266" s="22"/>
      <c r="C266" s="22"/>
      <c r="D266" s="22"/>
      <c r="E266" s="22"/>
      <c r="F266" s="22"/>
    </row>
    <row r="267" spans="2:6" ht="12.5">
      <c r="B267" s="22"/>
      <c r="C267" s="22"/>
      <c r="D267" s="22"/>
      <c r="E267" s="22"/>
      <c r="F267" s="22"/>
    </row>
    <row r="268" spans="2:6" ht="12.5">
      <c r="B268" s="22"/>
      <c r="C268" s="22"/>
      <c r="D268" s="22"/>
      <c r="E268" s="22"/>
      <c r="F268" s="22"/>
    </row>
    <row r="269" spans="2:6" ht="12.5">
      <c r="B269" s="22"/>
      <c r="C269" s="22"/>
      <c r="D269" s="22"/>
      <c r="E269" s="22"/>
      <c r="F269" s="22"/>
    </row>
    <row r="270" spans="2:6" ht="12.5">
      <c r="B270" s="22"/>
      <c r="C270" s="22"/>
      <c r="D270" s="22"/>
      <c r="E270" s="22"/>
      <c r="F270" s="22"/>
    </row>
    <row r="271" spans="2:6" ht="12.5">
      <c r="B271" s="22"/>
      <c r="C271" s="22"/>
      <c r="D271" s="22"/>
      <c r="E271" s="22"/>
      <c r="F271" s="22"/>
    </row>
    <row r="272" spans="2:6" ht="12.5">
      <c r="B272" s="22"/>
      <c r="C272" s="22"/>
      <c r="D272" s="22"/>
      <c r="E272" s="22"/>
      <c r="F272" s="22"/>
    </row>
    <row r="273" spans="2:6" ht="12.5">
      <c r="B273" s="22"/>
      <c r="C273" s="22"/>
      <c r="D273" s="22"/>
      <c r="E273" s="22"/>
      <c r="F273" s="22"/>
    </row>
    <row r="274" spans="2:6" ht="12.5">
      <c r="B274" s="22"/>
      <c r="C274" s="22"/>
      <c r="D274" s="22"/>
      <c r="E274" s="22"/>
      <c r="F274" s="22"/>
    </row>
    <row r="275" spans="2:6" ht="12.5">
      <c r="B275" s="22"/>
      <c r="C275" s="22"/>
      <c r="D275" s="22"/>
      <c r="E275" s="22"/>
      <c r="F275" s="22"/>
    </row>
    <row r="276" spans="2:6" ht="12.5">
      <c r="B276" s="22"/>
      <c r="C276" s="22"/>
      <c r="D276" s="22"/>
      <c r="E276" s="22"/>
      <c r="F276" s="22"/>
    </row>
    <row r="277" spans="2:6" ht="12.5">
      <c r="B277" s="22"/>
      <c r="C277" s="22"/>
      <c r="D277" s="22"/>
      <c r="E277" s="22"/>
      <c r="F277" s="22"/>
    </row>
    <row r="278" spans="2:6" ht="12.5">
      <c r="B278" s="22"/>
      <c r="C278" s="22"/>
      <c r="D278" s="22"/>
      <c r="E278" s="22"/>
      <c r="F278" s="22"/>
    </row>
    <row r="279" spans="2:6" ht="12.5">
      <c r="B279" s="22"/>
      <c r="C279" s="22"/>
      <c r="D279" s="22"/>
      <c r="E279" s="22"/>
      <c r="F279" s="22"/>
    </row>
    <row r="280" spans="2:6" ht="12.5">
      <c r="B280" s="22"/>
      <c r="C280" s="22"/>
      <c r="D280" s="22"/>
      <c r="E280" s="22"/>
      <c r="F280" s="22"/>
    </row>
    <row r="281" spans="2:6" ht="12.5">
      <c r="B281" s="22"/>
      <c r="C281" s="22"/>
      <c r="D281" s="22"/>
      <c r="E281" s="22"/>
      <c r="F281" s="22"/>
    </row>
    <row r="282" spans="2:6" ht="12.5">
      <c r="B282" s="22"/>
      <c r="C282" s="22"/>
      <c r="D282" s="22"/>
      <c r="E282" s="22"/>
      <c r="F282" s="22"/>
    </row>
    <row r="283" spans="2:6" ht="12.5">
      <c r="B283" s="22"/>
      <c r="C283" s="22"/>
      <c r="D283" s="22"/>
      <c r="E283" s="22"/>
      <c r="F283" s="22"/>
    </row>
    <row r="284" spans="2:6" ht="12.5">
      <c r="B284" s="22"/>
      <c r="C284" s="22"/>
      <c r="D284" s="22"/>
      <c r="E284" s="22"/>
      <c r="F284" s="22"/>
    </row>
    <row r="285" spans="2:6" ht="12.5">
      <c r="B285" s="22"/>
      <c r="C285" s="22"/>
      <c r="D285" s="22"/>
      <c r="E285" s="22"/>
      <c r="F285" s="22"/>
    </row>
    <row r="286" spans="2:6" ht="12.5">
      <c r="B286" s="22"/>
      <c r="C286" s="22"/>
      <c r="D286" s="22"/>
      <c r="E286" s="22"/>
      <c r="F286" s="22"/>
    </row>
    <row r="287" spans="2:6" ht="12.5">
      <c r="B287" s="22"/>
      <c r="C287" s="22"/>
      <c r="D287" s="22"/>
      <c r="E287" s="22"/>
      <c r="F287" s="22"/>
    </row>
    <row r="288" spans="2:6" ht="12.5">
      <c r="B288" s="22"/>
      <c r="C288" s="22"/>
      <c r="D288" s="22"/>
      <c r="E288" s="22"/>
      <c r="F288" s="22"/>
    </row>
    <row r="289" spans="2:6" ht="12.5">
      <c r="B289" s="22"/>
      <c r="C289" s="22"/>
      <c r="D289" s="22"/>
      <c r="E289" s="22"/>
      <c r="F289" s="22"/>
    </row>
    <row r="290" spans="2:6" ht="12.5">
      <c r="B290" s="22"/>
      <c r="C290" s="22"/>
      <c r="D290" s="22"/>
      <c r="E290" s="22"/>
      <c r="F290" s="22"/>
    </row>
    <row r="291" spans="2:6" ht="12.5">
      <c r="B291" s="22"/>
      <c r="C291" s="22"/>
      <c r="D291" s="22"/>
      <c r="E291" s="22"/>
      <c r="F291" s="22"/>
    </row>
    <row r="292" spans="2:6" ht="12.5">
      <c r="B292" s="22"/>
      <c r="C292" s="22"/>
      <c r="D292" s="22"/>
      <c r="E292" s="22"/>
      <c r="F292" s="22"/>
    </row>
    <row r="293" spans="2:6" ht="12.5">
      <c r="B293" s="22"/>
      <c r="C293" s="22"/>
      <c r="D293" s="22"/>
      <c r="E293" s="22"/>
      <c r="F293" s="22"/>
    </row>
    <row r="294" spans="2:6" ht="12.5">
      <c r="B294" s="22"/>
      <c r="C294" s="22"/>
      <c r="D294" s="22"/>
      <c r="E294" s="22"/>
      <c r="F294" s="22"/>
    </row>
    <row r="295" spans="2:6" ht="12.5">
      <c r="B295" s="22"/>
      <c r="C295" s="22"/>
      <c r="D295" s="22"/>
      <c r="E295" s="22"/>
      <c r="F295" s="22"/>
    </row>
    <row r="296" spans="2:6" ht="12.5">
      <c r="B296" s="22"/>
      <c r="C296" s="22"/>
      <c r="D296" s="22"/>
      <c r="E296" s="22"/>
      <c r="F296" s="22"/>
    </row>
    <row r="297" spans="2:6" ht="12.5">
      <c r="B297" s="22"/>
      <c r="C297" s="22"/>
      <c r="D297" s="22"/>
      <c r="E297" s="22"/>
      <c r="F297" s="22"/>
    </row>
    <row r="298" spans="2:6" ht="12.5">
      <c r="B298" s="22"/>
      <c r="C298" s="22"/>
      <c r="D298" s="22"/>
      <c r="E298" s="22"/>
      <c r="F298" s="22"/>
    </row>
    <row r="299" spans="2:6" ht="12.5">
      <c r="B299" s="22"/>
      <c r="C299" s="22"/>
      <c r="D299" s="22"/>
      <c r="E299" s="22"/>
      <c r="F299" s="22"/>
    </row>
    <row r="300" spans="2:6" ht="12.5">
      <c r="B300" s="22"/>
      <c r="C300" s="22"/>
      <c r="D300" s="22"/>
      <c r="E300" s="22"/>
      <c r="F300" s="22"/>
    </row>
    <row r="301" spans="2:6" ht="12.5">
      <c r="B301" s="22"/>
      <c r="C301" s="22"/>
      <c r="D301" s="22"/>
      <c r="E301" s="22"/>
      <c r="F301" s="22"/>
    </row>
    <row r="302" spans="2:6" ht="12.5">
      <c r="B302" s="22"/>
      <c r="C302" s="22"/>
      <c r="D302" s="22"/>
      <c r="E302" s="22"/>
      <c r="F302" s="22"/>
    </row>
    <row r="303" spans="2:6" ht="12.5">
      <c r="B303" s="22"/>
      <c r="C303" s="22"/>
      <c r="D303" s="22"/>
      <c r="E303" s="22"/>
      <c r="F303" s="22"/>
    </row>
    <row r="304" spans="2:6" ht="12.5">
      <c r="B304" s="22"/>
      <c r="C304" s="22"/>
      <c r="D304" s="22"/>
      <c r="E304" s="22"/>
      <c r="F304" s="22"/>
    </row>
    <row r="305" spans="2:6" ht="12.5">
      <c r="B305" s="22"/>
      <c r="C305" s="22"/>
      <c r="D305" s="22"/>
      <c r="E305" s="22"/>
      <c r="F305" s="22"/>
    </row>
    <row r="306" spans="2:6" ht="12.5">
      <c r="B306" s="22"/>
      <c r="C306" s="22"/>
      <c r="D306" s="22"/>
      <c r="E306" s="22"/>
      <c r="F306" s="22"/>
    </row>
    <row r="307" spans="2:6" ht="12.5">
      <c r="B307" s="22"/>
      <c r="C307" s="22"/>
      <c r="D307" s="22"/>
      <c r="E307" s="22"/>
      <c r="F307" s="22"/>
    </row>
    <row r="308" spans="2:6" ht="12.5">
      <c r="B308" s="22"/>
      <c r="C308" s="22"/>
      <c r="D308" s="22"/>
      <c r="E308" s="22"/>
      <c r="F308" s="22"/>
    </row>
    <row r="309" spans="2:6" ht="12.5">
      <c r="B309" s="22"/>
      <c r="C309" s="22"/>
      <c r="D309" s="22"/>
      <c r="E309" s="22"/>
      <c r="F309" s="22"/>
    </row>
    <row r="310" spans="2:6" ht="12.5">
      <c r="B310" s="22"/>
      <c r="C310" s="22"/>
      <c r="D310" s="22"/>
      <c r="E310" s="22"/>
      <c r="F310" s="22"/>
    </row>
    <row r="311" spans="2:6" ht="12.5">
      <c r="B311" s="22"/>
      <c r="C311" s="22"/>
      <c r="D311" s="22"/>
      <c r="E311" s="22"/>
      <c r="F311" s="22"/>
    </row>
    <row r="312" spans="2:6" ht="12.5">
      <c r="B312" s="22"/>
      <c r="C312" s="22"/>
      <c r="D312" s="22"/>
      <c r="E312" s="22"/>
      <c r="F312" s="22"/>
    </row>
    <row r="313" spans="2:6" ht="12.5">
      <c r="B313" s="22"/>
      <c r="C313" s="22"/>
      <c r="D313" s="22"/>
      <c r="E313" s="22"/>
      <c r="F313" s="22"/>
    </row>
    <row r="314" spans="2:6" ht="12.5">
      <c r="B314" s="22"/>
      <c r="C314" s="22"/>
      <c r="D314" s="22"/>
      <c r="E314" s="22"/>
      <c r="F314" s="22"/>
    </row>
    <row r="315" spans="2:6" ht="12.5">
      <c r="B315" s="22"/>
      <c r="C315" s="22"/>
      <c r="D315" s="22"/>
      <c r="E315" s="22"/>
      <c r="F315" s="22"/>
    </row>
    <row r="316" spans="2:6" ht="12.5">
      <c r="B316" s="22"/>
      <c r="C316" s="22"/>
      <c r="D316" s="22"/>
      <c r="E316" s="22"/>
      <c r="F316" s="22"/>
    </row>
    <row r="317" spans="2:6" ht="12.5">
      <c r="B317" s="22"/>
      <c r="C317" s="22"/>
      <c r="D317" s="22"/>
      <c r="E317" s="22"/>
      <c r="F317" s="22"/>
    </row>
    <row r="318" spans="2:6" ht="12.5">
      <c r="B318" s="22"/>
      <c r="C318" s="22"/>
      <c r="D318" s="22"/>
      <c r="E318" s="22"/>
      <c r="F318" s="22"/>
    </row>
    <row r="319" spans="2:6" ht="12.5">
      <c r="B319" s="22"/>
      <c r="C319" s="22"/>
      <c r="D319" s="22"/>
      <c r="E319" s="22"/>
      <c r="F319" s="22"/>
    </row>
    <row r="320" spans="2:6" ht="12.5">
      <c r="B320" s="22"/>
      <c r="C320" s="22"/>
      <c r="D320" s="22"/>
      <c r="E320" s="22"/>
      <c r="F320" s="22"/>
    </row>
    <row r="321" spans="2:6" ht="12.5">
      <c r="B321" s="22"/>
      <c r="C321" s="22"/>
      <c r="D321" s="22"/>
      <c r="E321" s="22"/>
      <c r="F321" s="22"/>
    </row>
    <row r="322" spans="2:6" ht="12.5">
      <c r="B322" s="22"/>
      <c r="C322" s="22"/>
      <c r="D322" s="22"/>
      <c r="E322" s="22"/>
      <c r="F322" s="22"/>
    </row>
    <row r="323" spans="2:6" ht="12.5">
      <c r="B323" s="22"/>
      <c r="C323" s="22"/>
      <c r="D323" s="22"/>
      <c r="E323" s="22"/>
      <c r="F323" s="22"/>
    </row>
    <row r="324" spans="2:6" ht="12.5">
      <c r="B324" s="22"/>
      <c r="C324" s="22"/>
      <c r="D324" s="22"/>
      <c r="E324" s="22"/>
      <c r="F324" s="22"/>
    </row>
    <row r="325" spans="2:6" ht="12.5">
      <c r="B325" s="22"/>
      <c r="C325" s="22"/>
      <c r="D325" s="22"/>
      <c r="E325" s="22"/>
      <c r="F325" s="22"/>
    </row>
    <row r="326" spans="2:6" ht="12.5">
      <c r="B326" s="22"/>
      <c r="C326" s="22"/>
      <c r="D326" s="22"/>
      <c r="E326" s="22"/>
      <c r="F326" s="22"/>
    </row>
    <row r="327" spans="2:6" ht="12.5">
      <c r="B327" s="22"/>
      <c r="C327" s="22"/>
      <c r="D327" s="22"/>
      <c r="E327" s="22"/>
      <c r="F327" s="22"/>
    </row>
    <row r="328" spans="2:6" ht="12.5">
      <c r="B328" s="22"/>
      <c r="C328" s="22"/>
      <c r="D328" s="22"/>
      <c r="E328" s="22"/>
      <c r="F328" s="22"/>
    </row>
    <row r="329" spans="2:6" ht="12.5">
      <c r="B329" s="22"/>
      <c r="C329" s="22"/>
      <c r="D329" s="22"/>
      <c r="E329" s="22"/>
      <c r="F329" s="22"/>
    </row>
    <row r="330" spans="2:6" ht="12.5">
      <c r="B330" s="22"/>
      <c r="C330" s="22"/>
      <c r="D330" s="22"/>
      <c r="E330" s="22"/>
      <c r="F330" s="22"/>
    </row>
    <row r="331" spans="2:6" ht="12.5">
      <c r="B331" s="22"/>
      <c r="C331" s="22"/>
      <c r="D331" s="22"/>
      <c r="E331" s="22"/>
      <c r="F331" s="22"/>
    </row>
    <row r="332" spans="2:6" ht="12.5">
      <c r="B332" s="22"/>
      <c r="C332" s="22"/>
      <c r="D332" s="22"/>
      <c r="E332" s="22"/>
      <c r="F332" s="22"/>
    </row>
    <row r="333" spans="2:6" ht="12.5">
      <c r="B333" s="22"/>
      <c r="C333" s="22"/>
      <c r="D333" s="22"/>
      <c r="E333" s="22"/>
      <c r="F333" s="22"/>
    </row>
    <row r="334" spans="2:6" ht="12.5">
      <c r="B334" s="22"/>
      <c r="C334" s="22"/>
      <c r="D334" s="22"/>
      <c r="E334" s="22"/>
      <c r="F334" s="22"/>
    </row>
    <row r="335" spans="2:6" ht="12.5">
      <c r="B335" s="22"/>
      <c r="C335" s="22"/>
      <c r="D335" s="22"/>
      <c r="E335" s="22"/>
      <c r="F335" s="22"/>
    </row>
    <row r="336" spans="2:6" ht="12.5">
      <c r="B336" s="22"/>
      <c r="C336" s="22"/>
      <c r="D336" s="22"/>
      <c r="E336" s="22"/>
      <c r="F336" s="22"/>
    </row>
    <row r="337" spans="2:6" ht="12.5">
      <c r="B337" s="22"/>
      <c r="C337" s="22"/>
      <c r="D337" s="22"/>
      <c r="E337" s="22"/>
      <c r="F337" s="22"/>
    </row>
    <row r="338" spans="2:6" ht="12.5">
      <c r="B338" s="22"/>
      <c r="C338" s="22"/>
      <c r="D338" s="22"/>
      <c r="E338" s="22"/>
      <c r="F338" s="22"/>
    </row>
    <row r="339" spans="2:6" ht="12.5">
      <c r="B339" s="22"/>
      <c r="C339" s="22"/>
      <c r="D339" s="22"/>
      <c r="E339" s="22"/>
      <c r="F339" s="22"/>
    </row>
    <row r="340" spans="2:6" ht="12.5">
      <c r="B340" s="22"/>
      <c r="C340" s="22"/>
      <c r="D340" s="22"/>
      <c r="E340" s="22"/>
      <c r="F340" s="22"/>
    </row>
    <row r="341" spans="2:6" ht="12.5">
      <c r="B341" s="22"/>
      <c r="C341" s="22"/>
      <c r="D341" s="22"/>
      <c r="E341" s="22"/>
      <c r="F341" s="22"/>
    </row>
    <row r="342" spans="2:6" ht="12.5">
      <c r="B342" s="22"/>
      <c r="C342" s="22"/>
      <c r="D342" s="22"/>
      <c r="E342" s="22"/>
      <c r="F342" s="22"/>
    </row>
    <row r="343" spans="2:6" ht="12.5">
      <c r="B343" s="22"/>
      <c r="C343" s="22"/>
      <c r="D343" s="22"/>
      <c r="E343" s="22"/>
      <c r="F343" s="22"/>
    </row>
    <row r="344" spans="2:6" ht="12.5">
      <c r="B344" s="22"/>
      <c r="C344" s="22"/>
      <c r="D344" s="22"/>
      <c r="E344" s="22"/>
      <c r="F344" s="22"/>
    </row>
    <row r="345" spans="2:6" ht="12.5">
      <c r="B345" s="22"/>
      <c r="C345" s="22"/>
      <c r="D345" s="22"/>
      <c r="E345" s="22"/>
      <c r="F345" s="22"/>
    </row>
    <row r="346" spans="2:6" ht="12.5">
      <c r="B346" s="22"/>
      <c r="C346" s="22"/>
      <c r="D346" s="22"/>
      <c r="E346" s="22"/>
      <c r="F346" s="22"/>
    </row>
    <row r="347" spans="2:6" ht="12.5">
      <c r="B347" s="22"/>
      <c r="C347" s="22"/>
      <c r="D347" s="22"/>
      <c r="E347" s="22"/>
      <c r="F347" s="22"/>
    </row>
    <row r="348" spans="2:6" ht="12.5">
      <c r="B348" s="22"/>
      <c r="C348" s="22"/>
      <c r="D348" s="22"/>
      <c r="E348" s="22"/>
      <c r="F348" s="22"/>
    </row>
    <row r="349" spans="2:6" ht="12.5">
      <c r="B349" s="22"/>
      <c r="C349" s="22"/>
      <c r="D349" s="22"/>
      <c r="E349" s="22"/>
      <c r="F349" s="22"/>
    </row>
    <row r="350" spans="2:6" ht="12.5">
      <c r="B350" s="22"/>
      <c r="C350" s="22"/>
      <c r="D350" s="22"/>
      <c r="E350" s="22"/>
      <c r="F350" s="22"/>
    </row>
    <row r="351" spans="2:6" ht="12.5">
      <c r="B351" s="22"/>
      <c r="C351" s="22"/>
      <c r="D351" s="22"/>
      <c r="E351" s="22"/>
      <c r="F351" s="22"/>
    </row>
    <row r="352" spans="2:6" ht="12.5">
      <c r="B352" s="22"/>
      <c r="C352" s="22"/>
      <c r="D352" s="22"/>
      <c r="E352" s="22"/>
      <c r="F352" s="22"/>
    </row>
    <row r="353" spans="2:6" ht="12.5">
      <c r="B353" s="22"/>
      <c r="C353" s="22"/>
      <c r="D353" s="22"/>
      <c r="E353" s="22"/>
      <c r="F353" s="22"/>
    </row>
    <row r="354" spans="2:6" ht="12.5">
      <c r="B354" s="22"/>
      <c r="C354" s="22"/>
      <c r="D354" s="22"/>
      <c r="E354" s="22"/>
      <c r="F354" s="22"/>
    </row>
    <row r="355" spans="2:6" ht="12.5">
      <c r="B355" s="22"/>
      <c r="C355" s="22"/>
      <c r="D355" s="22"/>
      <c r="E355" s="22"/>
      <c r="F355" s="22"/>
    </row>
    <row r="356" spans="2:6" ht="12.5">
      <c r="B356" s="22"/>
      <c r="C356" s="22"/>
      <c r="D356" s="22"/>
      <c r="E356" s="22"/>
      <c r="F356" s="22"/>
    </row>
    <row r="357" spans="2:6" ht="12.5">
      <c r="B357" s="22"/>
      <c r="C357" s="22"/>
      <c r="D357" s="22"/>
      <c r="E357" s="22"/>
      <c r="F357" s="22"/>
    </row>
    <row r="358" spans="2:6" ht="12.5">
      <c r="B358" s="22"/>
      <c r="C358" s="22"/>
      <c r="D358" s="22"/>
      <c r="E358" s="22"/>
      <c r="F358" s="22"/>
    </row>
    <row r="359" spans="2:6" ht="12.5">
      <c r="B359" s="22"/>
      <c r="C359" s="22"/>
      <c r="D359" s="22"/>
      <c r="E359" s="22"/>
      <c r="F359" s="22"/>
    </row>
    <row r="360" spans="2:6" ht="12.5">
      <c r="B360" s="22"/>
      <c r="C360" s="22"/>
      <c r="D360" s="22"/>
      <c r="E360" s="22"/>
      <c r="F360" s="22"/>
    </row>
    <row r="361" spans="2:6" ht="12.5">
      <c r="B361" s="22"/>
      <c r="C361" s="22"/>
      <c r="D361" s="22"/>
      <c r="E361" s="22"/>
      <c r="F361" s="22"/>
    </row>
    <row r="362" spans="2:6" ht="12.5">
      <c r="B362" s="22"/>
      <c r="C362" s="22"/>
      <c r="D362" s="22"/>
      <c r="E362" s="22"/>
      <c r="F362" s="22"/>
    </row>
    <row r="363" spans="2:6" ht="12.5">
      <c r="B363" s="22"/>
      <c r="C363" s="22"/>
      <c r="D363" s="22"/>
      <c r="E363" s="22"/>
      <c r="F363" s="22"/>
    </row>
    <row r="364" spans="2:6" ht="12.5">
      <c r="B364" s="22"/>
      <c r="C364" s="22"/>
      <c r="D364" s="22"/>
      <c r="E364" s="22"/>
      <c r="F364" s="22"/>
    </row>
    <row r="365" spans="2:6" ht="12.5">
      <c r="B365" s="22"/>
      <c r="C365" s="22"/>
      <c r="D365" s="22"/>
      <c r="E365" s="22"/>
      <c r="F365" s="22"/>
    </row>
    <row r="366" spans="2:6" ht="12.5">
      <c r="B366" s="22"/>
      <c r="C366" s="22"/>
      <c r="D366" s="22"/>
      <c r="E366" s="22"/>
      <c r="F366" s="22"/>
    </row>
    <row r="367" spans="2:6" ht="12.5">
      <c r="B367" s="22"/>
      <c r="C367" s="22"/>
      <c r="D367" s="22"/>
      <c r="E367" s="22"/>
      <c r="F367" s="22"/>
    </row>
    <row r="368" spans="2:6" ht="12.5">
      <c r="B368" s="22"/>
      <c r="C368" s="22"/>
      <c r="D368" s="22"/>
      <c r="E368" s="22"/>
      <c r="F368" s="22"/>
    </row>
    <row r="369" spans="2:6" ht="12.5">
      <c r="B369" s="22"/>
      <c r="C369" s="22"/>
      <c r="D369" s="22"/>
      <c r="E369" s="22"/>
      <c r="F369" s="22"/>
    </row>
    <row r="370" spans="2:6" ht="12.5">
      <c r="B370" s="22"/>
      <c r="C370" s="22"/>
      <c r="D370" s="22"/>
      <c r="E370" s="22"/>
      <c r="F370" s="22"/>
    </row>
    <row r="371" spans="2:6" ht="12.5">
      <c r="B371" s="22"/>
      <c r="C371" s="22"/>
      <c r="D371" s="22"/>
      <c r="E371" s="22"/>
      <c r="F371" s="22"/>
    </row>
    <row r="372" spans="2:6" ht="12.5">
      <c r="B372" s="22"/>
      <c r="C372" s="22"/>
      <c r="D372" s="22"/>
      <c r="E372" s="22"/>
      <c r="F372" s="22"/>
    </row>
    <row r="373" spans="2:6" ht="12.5">
      <c r="B373" s="22"/>
      <c r="C373" s="22"/>
      <c r="D373" s="22"/>
      <c r="E373" s="22"/>
      <c r="F373" s="22"/>
    </row>
    <row r="374" spans="2:6" ht="12.5">
      <c r="B374" s="22"/>
      <c r="C374" s="22"/>
      <c r="D374" s="22"/>
      <c r="E374" s="22"/>
      <c r="F374" s="22"/>
    </row>
    <row r="375" spans="2:6" ht="12.5">
      <c r="B375" s="22"/>
      <c r="C375" s="22"/>
      <c r="D375" s="22"/>
      <c r="E375" s="22"/>
      <c r="F375" s="22"/>
    </row>
    <row r="376" spans="2:6" ht="12.5">
      <c r="B376" s="22"/>
      <c r="C376" s="22"/>
      <c r="D376" s="22"/>
      <c r="E376" s="22"/>
      <c r="F376" s="22"/>
    </row>
    <row r="377" spans="2:6" ht="12.5">
      <c r="B377" s="22"/>
      <c r="C377" s="22"/>
      <c r="D377" s="22"/>
      <c r="E377" s="22"/>
      <c r="F377" s="22"/>
    </row>
    <row r="378" spans="2:6" ht="12.5">
      <c r="B378" s="22"/>
      <c r="C378" s="22"/>
      <c r="D378" s="22"/>
      <c r="E378" s="22"/>
      <c r="F378" s="22"/>
    </row>
    <row r="379" spans="2:6" ht="12.5">
      <c r="B379" s="22"/>
      <c r="C379" s="22"/>
      <c r="D379" s="22"/>
      <c r="E379" s="22"/>
      <c r="F379" s="22"/>
    </row>
    <row r="380" spans="2:6" ht="12.5">
      <c r="B380" s="22"/>
      <c r="C380" s="22"/>
      <c r="D380" s="22"/>
      <c r="E380" s="22"/>
      <c r="F380" s="22"/>
    </row>
    <row r="381" spans="2:6" ht="12.5">
      <c r="B381" s="22"/>
      <c r="C381" s="22"/>
      <c r="D381" s="22"/>
      <c r="E381" s="22"/>
      <c r="F381" s="22"/>
    </row>
    <row r="382" spans="2:6" ht="12.5">
      <c r="B382" s="22"/>
      <c r="C382" s="22"/>
      <c r="D382" s="22"/>
      <c r="E382" s="22"/>
      <c r="F382" s="22"/>
    </row>
    <row r="383" spans="2:6" ht="12.5">
      <c r="B383" s="22"/>
      <c r="C383" s="22"/>
      <c r="D383" s="22"/>
      <c r="E383" s="22"/>
      <c r="F383" s="22"/>
    </row>
    <row r="384" spans="2:6" ht="12.5">
      <c r="B384" s="22"/>
      <c r="C384" s="22"/>
      <c r="D384" s="22"/>
      <c r="E384" s="22"/>
      <c r="F384" s="22"/>
    </row>
    <row r="385" spans="2:6" ht="12.5">
      <c r="B385" s="22"/>
      <c r="C385" s="22"/>
      <c r="D385" s="22"/>
      <c r="E385" s="22"/>
      <c r="F385" s="22"/>
    </row>
    <row r="386" spans="2:6" ht="12.5">
      <c r="B386" s="22"/>
      <c r="C386" s="22"/>
      <c r="D386" s="22"/>
      <c r="E386" s="22"/>
      <c r="F386" s="22"/>
    </row>
    <row r="387" spans="2:6" ht="12.5">
      <c r="B387" s="22"/>
      <c r="C387" s="22"/>
      <c r="D387" s="22"/>
      <c r="E387" s="22"/>
      <c r="F387" s="22"/>
    </row>
    <row r="388" spans="2:6" ht="12.5">
      <c r="B388" s="22"/>
      <c r="C388" s="22"/>
      <c r="D388" s="22"/>
      <c r="E388" s="22"/>
      <c r="F388" s="22"/>
    </row>
    <row r="389" spans="2:6" ht="12.5">
      <c r="B389" s="22"/>
      <c r="C389" s="22"/>
      <c r="D389" s="22"/>
      <c r="E389" s="22"/>
      <c r="F389" s="22"/>
    </row>
    <row r="390" spans="2:6" ht="12.5">
      <c r="B390" s="22"/>
      <c r="C390" s="22"/>
      <c r="D390" s="22"/>
      <c r="E390" s="22"/>
      <c r="F390" s="22"/>
    </row>
    <row r="391" spans="2:6" ht="12.5">
      <c r="B391" s="22"/>
      <c r="C391" s="22"/>
      <c r="D391" s="22"/>
      <c r="E391" s="22"/>
      <c r="F391" s="22"/>
    </row>
    <row r="392" spans="2:6" ht="12.5">
      <c r="B392" s="22"/>
      <c r="C392" s="22"/>
      <c r="D392" s="22"/>
      <c r="E392" s="22"/>
      <c r="F392" s="22"/>
    </row>
    <row r="393" spans="2:6" ht="12.5">
      <c r="B393" s="22"/>
      <c r="C393" s="22"/>
      <c r="D393" s="22"/>
      <c r="E393" s="22"/>
      <c r="F393" s="22"/>
    </row>
    <row r="394" spans="2:6" ht="12.5">
      <c r="B394" s="22"/>
      <c r="C394" s="22"/>
      <c r="D394" s="22"/>
      <c r="E394" s="22"/>
      <c r="F394" s="22"/>
    </row>
    <row r="395" spans="2:6" ht="12.5">
      <c r="B395" s="22"/>
      <c r="C395" s="22"/>
      <c r="D395" s="22"/>
      <c r="E395" s="22"/>
      <c r="F395" s="22"/>
    </row>
    <row r="396" spans="2:6" ht="12.5">
      <c r="B396" s="22"/>
      <c r="C396" s="22"/>
      <c r="D396" s="22"/>
      <c r="E396" s="22"/>
      <c r="F396" s="22"/>
    </row>
    <row r="397" spans="2:6" ht="12.5">
      <c r="B397" s="22"/>
      <c r="C397" s="22"/>
      <c r="D397" s="22"/>
      <c r="E397" s="22"/>
      <c r="F397" s="22"/>
    </row>
    <row r="398" spans="2:6" ht="12.5">
      <c r="B398" s="22"/>
      <c r="C398" s="22"/>
      <c r="D398" s="22"/>
      <c r="E398" s="22"/>
      <c r="F398" s="22"/>
    </row>
    <row r="399" spans="2:6" ht="12.5">
      <c r="B399" s="22"/>
      <c r="C399" s="22"/>
      <c r="D399" s="22"/>
      <c r="E399" s="22"/>
      <c r="F399" s="22"/>
    </row>
    <row r="400" spans="2:6" ht="12.5">
      <c r="B400" s="22"/>
      <c r="C400" s="22"/>
      <c r="D400" s="22"/>
      <c r="E400" s="22"/>
      <c r="F400" s="22"/>
    </row>
    <row r="401" spans="2:6" ht="12.5">
      <c r="B401" s="22"/>
      <c r="C401" s="22"/>
      <c r="D401" s="22"/>
      <c r="E401" s="22"/>
      <c r="F401" s="22"/>
    </row>
    <row r="402" spans="2:6" ht="12.5">
      <c r="B402" s="22"/>
      <c r="C402" s="22"/>
      <c r="D402" s="22"/>
      <c r="E402" s="22"/>
      <c r="F402" s="22"/>
    </row>
    <row r="403" spans="2:6" ht="12.5">
      <c r="B403" s="22"/>
      <c r="C403" s="22"/>
      <c r="D403" s="22"/>
      <c r="E403" s="22"/>
      <c r="F403" s="22"/>
    </row>
    <row r="404" spans="2:6" ht="12.5">
      <c r="B404" s="22"/>
      <c r="C404" s="22"/>
      <c r="D404" s="22"/>
      <c r="E404" s="22"/>
      <c r="F404" s="22"/>
    </row>
    <row r="405" spans="2:6" ht="12.5">
      <c r="B405" s="22"/>
      <c r="C405" s="22"/>
      <c r="D405" s="22"/>
      <c r="E405" s="22"/>
      <c r="F405" s="22"/>
    </row>
    <row r="406" spans="2:6" ht="12.5">
      <c r="B406" s="22"/>
      <c r="C406" s="22"/>
      <c r="D406" s="22"/>
      <c r="E406" s="22"/>
      <c r="F406" s="22"/>
    </row>
    <row r="407" spans="2:6" ht="12.5">
      <c r="B407" s="22"/>
      <c r="C407" s="22"/>
      <c r="D407" s="22"/>
      <c r="E407" s="22"/>
      <c r="F407" s="22"/>
    </row>
    <row r="408" spans="2:6" ht="12.5">
      <c r="B408" s="22"/>
      <c r="C408" s="22"/>
      <c r="D408" s="22"/>
      <c r="E408" s="22"/>
      <c r="F408" s="22"/>
    </row>
    <row r="409" spans="2:6" ht="12.5">
      <c r="B409" s="22"/>
      <c r="C409" s="22"/>
      <c r="D409" s="22"/>
      <c r="E409" s="22"/>
      <c r="F409" s="22"/>
    </row>
    <row r="410" spans="2:6" ht="12.5">
      <c r="B410" s="22"/>
      <c r="C410" s="22"/>
      <c r="D410" s="22"/>
      <c r="E410" s="22"/>
      <c r="F410" s="22"/>
    </row>
    <row r="411" spans="2:6" ht="12.5">
      <c r="B411" s="22"/>
      <c r="C411" s="22"/>
      <c r="D411" s="22"/>
      <c r="E411" s="22"/>
      <c r="F411" s="22"/>
    </row>
    <row r="412" spans="2:6" ht="12.5">
      <c r="B412" s="22"/>
      <c r="C412" s="22"/>
      <c r="D412" s="22"/>
      <c r="E412" s="22"/>
      <c r="F412" s="22"/>
    </row>
    <row r="413" spans="2:6" ht="12.5">
      <c r="B413" s="22"/>
      <c r="C413" s="22"/>
      <c r="D413" s="22"/>
      <c r="E413" s="22"/>
      <c r="F413" s="22"/>
    </row>
    <row r="414" spans="2:6" ht="12.5">
      <c r="B414" s="22"/>
      <c r="C414" s="22"/>
      <c r="D414" s="22"/>
      <c r="E414" s="22"/>
      <c r="F414" s="22"/>
    </row>
    <row r="415" spans="2:6" ht="12.5">
      <c r="B415" s="22"/>
      <c r="C415" s="22"/>
      <c r="D415" s="22"/>
      <c r="E415" s="22"/>
      <c r="F415" s="22"/>
    </row>
    <row r="416" spans="2:6" ht="12.5">
      <c r="B416" s="22"/>
      <c r="C416" s="22"/>
      <c r="D416" s="22"/>
      <c r="E416" s="22"/>
      <c r="F416" s="22"/>
    </row>
    <row r="417" spans="2:6" ht="12.5">
      <c r="B417" s="22"/>
      <c r="C417" s="22"/>
      <c r="D417" s="22"/>
      <c r="E417" s="22"/>
      <c r="F417" s="22"/>
    </row>
    <row r="418" spans="2:6" ht="12.5">
      <c r="B418" s="22"/>
      <c r="C418" s="22"/>
      <c r="D418" s="22"/>
      <c r="E418" s="22"/>
      <c r="F418" s="22"/>
    </row>
    <row r="419" spans="2:6" ht="12.5">
      <c r="B419" s="22"/>
      <c r="C419" s="22"/>
      <c r="D419" s="22"/>
      <c r="E419" s="22"/>
      <c r="F419" s="22"/>
    </row>
    <row r="420" spans="2:6" ht="12.5">
      <c r="B420" s="22"/>
      <c r="C420" s="22"/>
      <c r="D420" s="22"/>
      <c r="E420" s="22"/>
      <c r="F420" s="22"/>
    </row>
    <row r="421" spans="2:6" ht="12.5">
      <c r="B421" s="22"/>
      <c r="C421" s="22"/>
      <c r="D421" s="22"/>
      <c r="E421" s="22"/>
      <c r="F421" s="22"/>
    </row>
    <row r="422" spans="2:6" ht="12.5">
      <c r="B422" s="22"/>
      <c r="C422" s="22"/>
      <c r="D422" s="22"/>
      <c r="E422" s="22"/>
      <c r="F422" s="22"/>
    </row>
    <row r="423" spans="2:6" ht="12.5">
      <c r="B423" s="22"/>
      <c r="C423" s="22"/>
      <c r="D423" s="22"/>
      <c r="E423" s="22"/>
      <c r="F423" s="22"/>
    </row>
    <row r="424" spans="2:6" ht="12.5">
      <c r="B424" s="22"/>
      <c r="C424" s="22"/>
      <c r="D424" s="22"/>
      <c r="E424" s="22"/>
      <c r="F424" s="22"/>
    </row>
    <row r="425" spans="2:6" ht="12.5">
      <c r="B425" s="22"/>
      <c r="C425" s="22"/>
      <c r="D425" s="22"/>
      <c r="E425" s="22"/>
      <c r="F425" s="22"/>
    </row>
    <row r="426" spans="2:6" ht="12.5">
      <c r="B426" s="22"/>
      <c r="C426" s="22"/>
      <c r="D426" s="22"/>
      <c r="E426" s="22"/>
      <c r="F426" s="22"/>
    </row>
    <row r="427" spans="2:6" ht="12.5">
      <c r="B427" s="22"/>
      <c r="C427" s="22"/>
      <c r="D427" s="22"/>
      <c r="E427" s="22"/>
      <c r="F427" s="22"/>
    </row>
    <row r="428" spans="2:6" ht="12.5">
      <c r="B428" s="22"/>
      <c r="C428" s="22"/>
      <c r="D428" s="22"/>
      <c r="E428" s="22"/>
      <c r="F428" s="22"/>
    </row>
    <row r="429" spans="2:6" ht="12.5">
      <c r="B429" s="22"/>
      <c r="C429" s="22"/>
      <c r="D429" s="22"/>
      <c r="E429" s="22"/>
      <c r="F429" s="22"/>
    </row>
    <row r="430" spans="2:6" ht="12.5">
      <c r="B430" s="22"/>
      <c r="C430" s="22"/>
      <c r="D430" s="22"/>
      <c r="E430" s="22"/>
      <c r="F430" s="22"/>
    </row>
    <row r="431" spans="2:6" ht="12.5">
      <c r="B431" s="22"/>
      <c r="C431" s="22"/>
      <c r="D431" s="22"/>
      <c r="E431" s="22"/>
      <c r="F431" s="22"/>
    </row>
    <row r="432" spans="2:6" ht="12.5">
      <c r="B432" s="22"/>
      <c r="C432" s="22"/>
      <c r="D432" s="22"/>
      <c r="E432" s="22"/>
      <c r="F432" s="22"/>
    </row>
    <row r="433" spans="2:6" ht="12.5">
      <c r="B433" s="22"/>
      <c r="C433" s="22"/>
      <c r="D433" s="22"/>
      <c r="E433" s="22"/>
      <c r="F433" s="22"/>
    </row>
    <row r="434" spans="2:6" ht="12.5">
      <c r="B434" s="22"/>
      <c r="C434" s="22"/>
      <c r="D434" s="22"/>
      <c r="E434" s="22"/>
      <c r="F434" s="22"/>
    </row>
    <row r="435" spans="2:6" ht="12.5">
      <c r="B435" s="22"/>
      <c r="C435" s="22"/>
      <c r="D435" s="22"/>
      <c r="E435" s="22"/>
      <c r="F435" s="22"/>
    </row>
    <row r="436" spans="2:6" ht="12.5">
      <c r="B436" s="22"/>
      <c r="C436" s="22"/>
      <c r="D436" s="22"/>
      <c r="E436" s="22"/>
      <c r="F436" s="22"/>
    </row>
    <row r="437" spans="2:6" ht="12.5">
      <c r="B437" s="22"/>
      <c r="C437" s="22"/>
      <c r="D437" s="22"/>
      <c r="E437" s="22"/>
      <c r="F437" s="22"/>
    </row>
    <row r="438" spans="2:6" ht="12.5">
      <c r="B438" s="22"/>
      <c r="C438" s="22"/>
      <c r="D438" s="22"/>
      <c r="E438" s="22"/>
      <c r="F438" s="22"/>
    </row>
    <row r="439" spans="2:6" ht="12.5">
      <c r="B439" s="22"/>
      <c r="C439" s="22"/>
      <c r="D439" s="22"/>
      <c r="E439" s="22"/>
      <c r="F439" s="22"/>
    </row>
    <row r="440" spans="2:6" ht="12.5">
      <c r="B440" s="22"/>
      <c r="C440" s="22"/>
      <c r="D440" s="22"/>
      <c r="E440" s="22"/>
      <c r="F440" s="22"/>
    </row>
    <row r="441" spans="2:6" ht="12.5">
      <c r="B441" s="22"/>
      <c r="C441" s="22"/>
      <c r="D441" s="22"/>
      <c r="E441" s="22"/>
      <c r="F441" s="22"/>
    </row>
    <row r="442" spans="2:6" ht="12.5">
      <c r="B442" s="22"/>
      <c r="C442" s="22"/>
      <c r="D442" s="22"/>
      <c r="E442" s="22"/>
      <c r="F442" s="22"/>
    </row>
    <row r="443" spans="2:6" ht="12.5">
      <c r="B443" s="22"/>
      <c r="C443" s="22"/>
      <c r="D443" s="22"/>
      <c r="E443" s="22"/>
      <c r="F443" s="22"/>
    </row>
    <row r="444" spans="2:6" ht="12.5">
      <c r="B444" s="22"/>
      <c r="C444" s="22"/>
      <c r="D444" s="22"/>
      <c r="E444" s="22"/>
      <c r="F444" s="22"/>
    </row>
    <row r="445" spans="2:6" ht="12.5">
      <c r="B445" s="22"/>
      <c r="C445" s="22"/>
      <c r="D445" s="22"/>
      <c r="E445" s="22"/>
      <c r="F445" s="22"/>
    </row>
    <row r="446" spans="2:6" ht="12.5">
      <c r="B446" s="22"/>
      <c r="C446" s="22"/>
      <c r="D446" s="22"/>
      <c r="E446" s="22"/>
      <c r="F446" s="22"/>
    </row>
    <row r="447" spans="2:6" ht="12.5">
      <c r="B447" s="22"/>
      <c r="C447" s="22"/>
      <c r="D447" s="22"/>
      <c r="E447" s="22"/>
      <c r="F447" s="22"/>
    </row>
    <row r="448" spans="2:6" ht="12.5">
      <c r="B448" s="22"/>
      <c r="C448" s="22"/>
      <c r="D448" s="22"/>
      <c r="E448" s="22"/>
      <c r="F448" s="22"/>
    </row>
    <row r="449" spans="2:6" ht="12.5">
      <c r="B449" s="22"/>
      <c r="C449" s="22"/>
      <c r="D449" s="22"/>
      <c r="E449" s="22"/>
      <c r="F449" s="22"/>
    </row>
    <row r="450" spans="2:6" ht="12.5">
      <c r="B450" s="22"/>
      <c r="C450" s="22"/>
      <c r="D450" s="22"/>
      <c r="E450" s="22"/>
      <c r="F450" s="22"/>
    </row>
    <row r="451" spans="2:6" ht="12.5">
      <c r="B451" s="22"/>
      <c r="C451" s="22"/>
      <c r="D451" s="22"/>
      <c r="E451" s="22"/>
      <c r="F451" s="22"/>
    </row>
    <row r="452" spans="2:6" ht="12.5">
      <c r="B452" s="22"/>
      <c r="C452" s="22"/>
      <c r="D452" s="22"/>
      <c r="E452" s="22"/>
      <c r="F452" s="22"/>
    </row>
    <row r="453" spans="2:6" ht="12.5">
      <c r="B453" s="22"/>
      <c r="C453" s="22"/>
      <c r="D453" s="22"/>
      <c r="E453" s="22"/>
      <c r="F453" s="22"/>
    </row>
    <row r="454" spans="2:6" ht="12.5">
      <c r="B454" s="22"/>
      <c r="C454" s="22"/>
      <c r="D454" s="22"/>
      <c r="E454" s="22"/>
      <c r="F454" s="22"/>
    </row>
    <row r="455" spans="2:6" ht="12.5">
      <c r="B455" s="22"/>
      <c r="C455" s="22"/>
      <c r="D455" s="22"/>
      <c r="E455" s="22"/>
      <c r="F455" s="22"/>
    </row>
    <row r="456" spans="2:6" ht="12.5">
      <c r="B456" s="22"/>
      <c r="C456" s="22"/>
      <c r="D456" s="22"/>
      <c r="E456" s="22"/>
      <c r="F456" s="22"/>
    </row>
    <row r="457" spans="2:6" ht="12.5">
      <c r="B457" s="22"/>
      <c r="C457" s="22"/>
      <c r="D457" s="22"/>
      <c r="E457" s="22"/>
      <c r="F457" s="22"/>
    </row>
    <row r="458" spans="2:6" ht="12.5">
      <c r="B458" s="22"/>
      <c r="C458" s="22"/>
      <c r="D458" s="22"/>
      <c r="E458" s="22"/>
      <c r="F458" s="22"/>
    </row>
    <row r="459" spans="2:6" ht="12.5">
      <c r="B459" s="22"/>
      <c r="C459" s="22"/>
      <c r="D459" s="22"/>
      <c r="E459" s="22"/>
      <c r="F459" s="22"/>
    </row>
    <row r="460" spans="2:6" ht="12.5">
      <c r="B460" s="22"/>
      <c r="C460" s="22"/>
      <c r="D460" s="22"/>
      <c r="E460" s="22"/>
      <c r="F460" s="22"/>
    </row>
    <row r="461" spans="2:6" ht="12.5">
      <c r="B461" s="22"/>
      <c r="C461" s="22"/>
      <c r="D461" s="22"/>
      <c r="E461" s="22"/>
      <c r="F461" s="22"/>
    </row>
    <row r="462" spans="2:6" ht="12.5">
      <c r="B462" s="22"/>
      <c r="C462" s="22"/>
      <c r="D462" s="22"/>
      <c r="E462" s="22"/>
      <c r="F462" s="22"/>
    </row>
    <row r="463" spans="2:6" ht="12.5">
      <c r="B463" s="22"/>
      <c r="C463" s="22"/>
      <c r="D463" s="22"/>
      <c r="E463" s="22"/>
      <c r="F463" s="22"/>
    </row>
    <row r="464" spans="2:6" ht="12.5">
      <c r="B464" s="22"/>
      <c r="C464" s="22"/>
      <c r="D464" s="22"/>
      <c r="E464" s="22"/>
      <c r="F464" s="22"/>
    </row>
    <row r="465" spans="2:6" ht="12.5">
      <c r="B465" s="22"/>
      <c r="C465" s="22"/>
      <c r="D465" s="22"/>
      <c r="E465" s="22"/>
      <c r="F465" s="22"/>
    </row>
    <row r="466" spans="2:6" ht="12.5">
      <c r="B466" s="22"/>
      <c r="C466" s="22"/>
      <c r="D466" s="22"/>
      <c r="E466" s="22"/>
      <c r="F466" s="22"/>
    </row>
    <row r="467" spans="2:6" ht="12.5">
      <c r="B467" s="22"/>
      <c r="C467" s="22"/>
      <c r="D467" s="22"/>
      <c r="E467" s="22"/>
      <c r="F467" s="22"/>
    </row>
    <row r="468" spans="2:6" ht="12.5">
      <c r="B468" s="22"/>
      <c r="C468" s="22"/>
      <c r="D468" s="22"/>
      <c r="E468" s="22"/>
      <c r="F468" s="22"/>
    </row>
    <row r="469" spans="2:6" ht="12.5">
      <c r="B469" s="22"/>
      <c r="C469" s="22"/>
      <c r="D469" s="22"/>
      <c r="E469" s="22"/>
      <c r="F469" s="22"/>
    </row>
    <row r="470" spans="2:6" ht="12.5">
      <c r="B470" s="22"/>
      <c r="C470" s="22"/>
      <c r="D470" s="22"/>
      <c r="E470" s="22"/>
      <c r="F470" s="22"/>
    </row>
    <row r="471" spans="2:6" ht="12.5">
      <c r="B471" s="22"/>
      <c r="C471" s="22"/>
      <c r="D471" s="22"/>
      <c r="E471" s="22"/>
      <c r="F471" s="22"/>
    </row>
    <row r="472" spans="2:6" ht="12.5">
      <c r="B472" s="22"/>
      <c r="C472" s="22"/>
      <c r="D472" s="22"/>
      <c r="E472" s="22"/>
      <c r="F472" s="22"/>
    </row>
    <row r="473" spans="2:6" ht="12.5">
      <c r="B473" s="22"/>
      <c r="C473" s="22"/>
      <c r="D473" s="22"/>
      <c r="E473" s="22"/>
      <c r="F473" s="22"/>
    </row>
    <row r="474" spans="2:6" ht="12.5">
      <c r="B474" s="22"/>
      <c r="C474" s="22"/>
      <c r="D474" s="22"/>
      <c r="E474" s="22"/>
      <c r="F474" s="22"/>
    </row>
    <row r="475" spans="2:6" ht="12.5">
      <c r="B475" s="22"/>
      <c r="C475" s="22"/>
      <c r="D475" s="22"/>
      <c r="E475" s="22"/>
      <c r="F475" s="22"/>
    </row>
    <row r="476" spans="2:6" ht="12.5">
      <c r="B476" s="22"/>
      <c r="C476" s="22"/>
      <c r="D476" s="22"/>
      <c r="E476" s="22"/>
      <c r="F476" s="22"/>
    </row>
    <row r="477" spans="2:6" ht="12.5">
      <c r="B477" s="22"/>
      <c r="C477" s="22"/>
      <c r="D477" s="22"/>
      <c r="E477" s="22"/>
      <c r="F477" s="22"/>
    </row>
    <row r="478" spans="2:6" ht="12.5">
      <c r="B478" s="22"/>
      <c r="C478" s="22"/>
      <c r="D478" s="22"/>
      <c r="E478" s="22"/>
      <c r="F478" s="22"/>
    </row>
    <row r="479" spans="2:6" ht="12.5">
      <c r="B479" s="22"/>
      <c r="C479" s="22"/>
      <c r="D479" s="22"/>
      <c r="E479" s="22"/>
      <c r="F479" s="22"/>
    </row>
    <row r="480" spans="2:6" ht="12.5">
      <c r="B480" s="22"/>
      <c r="C480" s="22"/>
      <c r="D480" s="22"/>
      <c r="E480" s="22"/>
      <c r="F480" s="22"/>
    </row>
    <row r="481" spans="2:6" ht="12.5">
      <c r="B481" s="22"/>
      <c r="C481" s="22"/>
      <c r="D481" s="22"/>
      <c r="E481" s="22"/>
      <c r="F481" s="22"/>
    </row>
    <row r="482" spans="2:6" ht="12.5">
      <c r="B482" s="22"/>
      <c r="C482" s="22"/>
      <c r="D482" s="22"/>
      <c r="E482" s="22"/>
      <c r="F482" s="22"/>
    </row>
    <row r="483" spans="2:6" ht="12.5">
      <c r="B483" s="22"/>
      <c r="C483" s="22"/>
      <c r="D483" s="22"/>
      <c r="E483" s="22"/>
      <c r="F483" s="22"/>
    </row>
    <row r="484" spans="2:6" ht="12.5">
      <c r="B484" s="22"/>
      <c r="C484" s="22"/>
      <c r="D484" s="22"/>
      <c r="E484" s="22"/>
      <c r="F484" s="22"/>
    </row>
    <row r="485" spans="2:6" ht="12.5">
      <c r="B485" s="22"/>
      <c r="C485" s="22"/>
      <c r="D485" s="22"/>
      <c r="E485" s="22"/>
      <c r="F485" s="22"/>
    </row>
    <row r="486" spans="2:6" ht="12.5">
      <c r="B486" s="22"/>
      <c r="C486" s="22"/>
      <c r="D486" s="22"/>
      <c r="E486" s="22"/>
      <c r="F486" s="22"/>
    </row>
    <row r="487" spans="2:6" ht="12.5">
      <c r="B487" s="22"/>
      <c r="C487" s="22"/>
      <c r="D487" s="22"/>
      <c r="E487" s="22"/>
      <c r="F487" s="22"/>
    </row>
    <row r="488" spans="2:6" ht="12.5">
      <c r="B488" s="22"/>
      <c r="C488" s="22"/>
      <c r="D488" s="22"/>
      <c r="E488" s="22"/>
      <c r="F488" s="22"/>
    </row>
    <row r="489" spans="2:6" ht="12.5">
      <c r="B489" s="22"/>
      <c r="C489" s="22"/>
      <c r="D489" s="22"/>
      <c r="E489" s="22"/>
      <c r="F489" s="22"/>
    </row>
    <row r="490" spans="2:6" ht="12.5">
      <c r="B490" s="22"/>
      <c r="C490" s="22"/>
      <c r="D490" s="22"/>
      <c r="E490" s="22"/>
      <c r="F490" s="22"/>
    </row>
    <row r="491" spans="2:6" ht="12.5">
      <c r="B491" s="22"/>
      <c r="C491" s="22"/>
      <c r="D491" s="22"/>
      <c r="E491" s="22"/>
      <c r="F491" s="22"/>
    </row>
    <row r="492" spans="2:6" ht="12.5">
      <c r="B492" s="22"/>
      <c r="C492" s="22"/>
      <c r="D492" s="22"/>
      <c r="E492" s="22"/>
      <c r="F492" s="22"/>
    </row>
    <row r="493" spans="2:6" ht="12.5">
      <c r="B493" s="22"/>
      <c r="C493" s="22"/>
      <c r="D493" s="22"/>
      <c r="E493" s="22"/>
      <c r="F493" s="22"/>
    </row>
    <row r="494" spans="2:6" ht="12.5">
      <c r="B494" s="22"/>
      <c r="C494" s="22"/>
      <c r="D494" s="22"/>
      <c r="E494" s="22"/>
      <c r="F494" s="22"/>
    </row>
    <row r="495" spans="2:6" ht="12.5">
      <c r="B495" s="22"/>
      <c r="C495" s="22"/>
      <c r="D495" s="22"/>
      <c r="E495" s="22"/>
      <c r="F495" s="22"/>
    </row>
    <row r="496" spans="2:6" ht="12.5">
      <c r="B496" s="22"/>
      <c r="C496" s="22"/>
      <c r="D496" s="22"/>
      <c r="E496" s="22"/>
      <c r="F496" s="22"/>
    </row>
    <row r="497" spans="2:6" ht="12.5">
      <c r="B497" s="22"/>
      <c r="C497" s="22"/>
      <c r="D497" s="22"/>
      <c r="E497" s="22"/>
      <c r="F497" s="22"/>
    </row>
    <row r="498" spans="2:6" ht="12.5">
      <c r="B498" s="22"/>
      <c r="C498" s="22"/>
      <c r="D498" s="22"/>
      <c r="E498" s="22"/>
      <c r="F498" s="22"/>
    </row>
    <row r="499" spans="2:6" ht="12.5">
      <c r="B499" s="22"/>
      <c r="C499" s="22"/>
      <c r="D499" s="22"/>
      <c r="E499" s="22"/>
      <c r="F499" s="22"/>
    </row>
    <row r="500" spans="2:6" ht="12.5">
      <c r="B500" s="22"/>
      <c r="C500" s="22"/>
      <c r="D500" s="22"/>
      <c r="E500" s="22"/>
      <c r="F500" s="22"/>
    </row>
    <row r="501" spans="2:6" ht="12.5">
      <c r="B501" s="22"/>
      <c r="C501" s="22"/>
      <c r="D501" s="22"/>
      <c r="E501" s="22"/>
      <c r="F501" s="22"/>
    </row>
    <row r="502" spans="2:6" ht="12.5">
      <c r="B502" s="22"/>
      <c r="C502" s="22"/>
      <c r="D502" s="22"/>
      <c r="E502" s="22"/>
      <c r="F502" s="22"/>
    </row>
    <row r="503" spans="2:6" ht="12.5">
      <c r="B503" s="22"/>
      <c r="C503" s="22"/>
      <c r="D503" s="22"/>
      <c r="E503" s="22"/>
      <c r="F503" s="22"/>
    </row>
    <row r="504" spans="2:6" ht="12.5">
      <c r="B504" s="22"/>
      <c r="C504" s="22"/>
      <c r="D504" s="22"/>
      <c r="E504" s="22"/>
      <c r="F504" s="22"/>
    </row>
    <row r="505" spans="2:6" ht="12.5">
      <c r="B505" s="22"/>
      <c r="C505" s="22"/>
      <c r="D505" s="22"/>
      <c r="E505" s="22"/>
      <c r="F505" s="22"/>
    </row>
    <row r="506" spans="2:6" ht="12.5">
      <c r="B506" s="22"/>
      <c r="C506" s="22"/>
      <c r="D506" s="22"/>
      <c r="E506" s="22"/>
      <c r="F506" s="22"/>
    </row>
    <row r="507" spans="2:6" ht="12.5">
      <c r="B507" s="22"/>
      <c r="C507" s="22"/>
      <c r="D507" s="22"/>
      <c r="E507" s="22"/>
      <c r="F507" s="22"/>
    </row>
    <row r="508" spans="2:6" ht="12.5">
      <c r="B508" s="22"/>
      <c r="C508" s="22"/>
      <c r="D508" s="22"/>
      <c r="E508" s="22"/>
      <c r="F508" s="22"/>
    </row>
    <row r="509" spans="2:6" ht="12.5">
      <c r="B509" s="22"/>
      <c r="C509" s="22"/>
      <c r="D509" s="22"/>
      <c r="E509" s="22"/>
      <c r="F509" s="22"/>
    </row>
    <row r="510" spans="2:6" ht="12.5">
      <c r="B510" s="22"/>
      <c r="C510" s="22"/>
      <c r="D510" s="22"/>
      <c r="E510" s="22"/>
      <c r="F510" s="22"/>
    </row>
    <row r="511" spans="2:6" ht="12.5">
      <c r="B511" s="22"/>
      <c r="C511" s="22"/>
      <c r="D511" s="22"/>
      <c r="E511" s="22"/>
      <c r="F511" s="22"/>
    </row>
    <row r="512" spans="2:6" ht="12.5">
      <c r="B512" s="22"/>
      <c r="C512" s="22"/>
      <c r="D512" s="22"/>
      <c r="E512" s="22"/>
      <c r="F512" s="22"/>
    </row>
    <row r="513" spans="2:6" ht="12.5">
      <c r="B513" s="22"/>
      <c r="C513" s="22"/>
      <c r="D513" s="22"/>
      <c r="E513" s="22"/>
      <c r="F513" s="22"/>
    </row>
    <row r="514" spans="2:6" ht="12.5">
      <c r="B514" s="22"/>
      <c r="C514" s="22"/>
      <c r="D514" s="22"/>
      <c r="E514" s="22"/>
      <c r="F514" s="22"/>
    </row>
    <row r="515" spans="2:6" ht="12.5">
      <c r="B515" s="22"/>
      <c r="C515" s="22"/>
      <c r="D515" s="22"/>
      <c r="E515" s="22"/>
      <c r="F515" s="22"/>
    </row>
    <row r="516" spans="2:6" ht="12.5">
      <c r="B516" s="22"/>
      <c r="C516" s="22"/>
      <c r="D516" s="22"/>
      <c r="E516" s="22"/>
      <c r="F516" s="22"/>
    </row>
    <row r="517" spans="2:6" ht="12.5">
      <c r="B517" s="22"/>
      <c r="C517" s="22"/>
      <c r="D517" s="22"/>
      <c r="E517" s="22"/>
      <c r="F517" s="22"/>
    </row>
    <row r="518" spans="2:6" ht="12.5">
      <c r="B518" s="22"/>
      <c r="C518" s="22"/>
      <c r="D518" s="22"/>
      <c r="E518" s="22"/>
      <c r="F518" s="22"/>
    </row>
    <row r="519" spans="2:6" ht="12.5">
      <c r="B519" s="22"/>
      <c r="C519" s="22"/>
      <c r="D519" s="22"/>
      <c r="E519" s="22"/>
      <c r="F519" s="22"/>
    </row>
    <row r="520" spans="2:6" ht="12.5">
      <c r="B520" s="22"/>
      <c r="C520" s="22"/>
      <c r="D520" s="22"/>
      <c r="E520" s="22"/>
      <c r="F520" s="22"/>
    </row>
    <row r="521" spans="2:6" ht="12.5">
      <c r="B521" s="22"/>
      <c r="C521" s="22"/>
      <c r="D521" s="22"/>
      <c r="E521" s="22"/>
      <c r="F521" s="22"/>
    </row>
    <row r="522" spans="2:6" ht="12.5">
      <c r="B522" s="22"/>
      <c r="C522" s="22"/>
      <c r="D522" s="22"/>
      <c r="E522" s="22"/>
      <c r="F522" s="22"/>
    </row>
    <row r="523" spans="2:6" ht="12.5">
      <c r="B523" s="22"/>
      <c r="C523" s="22"/>
      <c r="D523" s="22"/>
      <c r="E523" s="22"/>
      <c r="F523" s="22"/>
    </row>
    <row r="524" spans="2:6" ht="12.5">
      <c r="B524" s="22"/>
      <c r="C524" s="22"/>
      <c r="D524" s="22"/>
      <c r="E524" s="22"/>
      <c r="F524" s="22"/>
    </row>
    <row r="525" spans="2:6" ht="12.5">
      <c r="B525" s="22"/>
      <c r="C525" s="22"/>
      <c r="D525" s="22"/>
      <c r="E525" s="22"/>
      <c r="F525" s="22"/>
    </row>
    <row r="526" spans="2:6" ht="12.5">
      <c r="B526" s="22"/>
      <c r="C526" s="22"/>
      <c r="D526" s="22"/>
      <c r="E526" s="22"/>
      <c r="F526" s="22"/>
    </row>
    <row r="527" spans="2:6" ht="12.5">
      <c r="B527" s="22"/>
      <c r="C527" s="22"/>
      <c r="D527" s="22"/>
      <c r="E527" s="22"/>
      <c r="F527" s="22"/>
    </row>
    <row r="528" spans="2:6" ht="12.5">
      <c r="B528" s="22"/>
      <c r="C528" s="22"/>
      <c r="D528" s="22"/>
      <c r="E528" s="22"/>
      <c r="F528" s="22"/>
    </row>
    <row r="529" spans="2:6" ht="12.5">
      <c r="B529" s="22"/>
      <c r="C529" s="22"/>
      <c r="D529" s="22"/>
      <c r="E529" s="22"/>
      <c r="F529" s="22"/>
    </row>
    <row r="530" spans="2:6" ht="12.5">
      <c r="B530" s="22"/>
      <c r="C530" s="22"/>
      <c r="D530" s="22"/>
      <c r="E530" s="22"/>
      <c r="F530" s="22"/>
    </row>
    <row r="531" spans="2:6" ht="12.5">
      <c r="B531" s="22"/>
      <c r="C531" s="22"/>
      <c r="D531" s="22"/>
      <c r="E531" s="22"/>
      <c r="F531" s="22"/>
    </row>
    <row r="532" spans="2:6" ht="12.5">
      <c r="B532" s="22"/>
      <c r="C532" s="22"/>
      <c r="D532" s="22"/>
      <c r="E532" s="22"/>
      <c r="F532" s="22"/>
    </row>
    <row r="533" spans="2:6" ht="12.5">
      <c r="B533" s="22"/>
      <c r="C533" s="22"/>
      <c r="D533" s="22"/>
      <c r="E533" s="22"/>
      <c r="F533" s="22"/>
    </row>
    <row r="534" spans="2:6" ht="12.5">
      <c r="B534" s="22"/>
      <c r="C534" s="22"/>
      <c r="D534" s="22"/>
      <c r="E534" s="22"/>
      <c r="F534" s="22"/>
    </row>
    <row r="535" spans="2:6" ht="12.5">
      <c r="B535" s="22"/>
      <c r="C535" s="22"/>
      <c r="D535" s="22"/>
      <c r="E535" s="22"/>
      <c r="F535" s="22"/>
    </row>
    <row r="536" spans="2:6" ht="12.5">
      <c r="B536" s="22"/>
      <c r="C536" s="22"/>
      <c r="D536" s="22"/>
      <c r="E536" s="22"/>
      <c r="F536" s="22"/>
    </row>
    <row r="537" spans="2:6" ht="12.5">
      <c r="B537" s="22"/>
      <c r="C537" s="22"/>
      <c r="D537" s="22"/>
      <c r="E537" s="22"/>
      <c r="F537" s="22"/>
    </row>
    <row r="538" spans="2:6" ht="12.5">
      <c r="B538" s="22"/>
      <c r="C538" s="22"/>
      <c r="D538" s="22"/>
      <c r="E538" s="22"/>
      <c r="F538" s="22"/>
    </row>
    <row r="539" spans="2:6" ht="12.5">
      <c r="B539" s="22"/>
      <c r="C539" s="22"/>
      <c r="D539" s="22"/>
      <c r="E539" s="22"/>
      <c r="F539" s="22"/>
    </row>
    <row r="540" spans="2:6" ht="12.5">
      <c r="B540" s="22"/>
      <c r="C540" s="22"/>
      <c r="D540" s="22"/>
      <c r="E540" s="22"/>
      <c r="F540" s="22"/>
    </row>
    <row r="541" spans="2:6" ht="12.5">
      <c r="B541" s="22"/>
      <c r="C541" s="22"/>
      <c r="D541" s="22"/>
      <c r="E541" s="22"/>
      <c r="F541" s="22"/>
    </row>
    <row r="542" spans="2:6" ht="12.5">
      <c r="B542" s="22"/>
      <c r="C542" s="22"/>
      <c r="D542" s="22"/>
      <c r="E542" s="22"/>
      <c r="F542" s="22"/>
    </row>
    <row r="543" spans="2:6" ht="12.5">
      <c r="B543" s="22"/>
      <c r="C543" s="22"/>
      <c r="D543" s="22"/>
      <c r="E543" s="22"/>
      <c r="F543" s="22"/>
    </row>
    <row r="544" spans="2:6" ht="12.5">
      <c r="B544" s="22"/>
      <c r="C544" s="22"/>
      <c r="D544" s="22"/>
      <c r="E544" s="22"/>
      <c r="F544" s="22"/>
    </row>
    <row r="545" spans="2:6" ht="12.5">
      <c r="B545" s="22"/>
      <c r="C545" s="22"/>
      <c r="D545" s="22"/>
      <c r="E545" s="22"/>
      <c r="F545" s="22"/>
    </row>
    <row r="546" spans="2:6" ht="12.5">
      <c r="B546" s="22"/>
      <c r="C546" s="22"/>
      <c r="D546" s="22"/>
      <c r="E546" s="22"/>
      <c r="F546" s="22"/>
    </row>
    <row r="547" spans="2:6" ht="12.5">
      <c r="B547" s="22"/>
      <c r="C547" s="22"/>
      <c r="D547" s="22"/>
      <c r="E547" s="22"/>
      <c r="F547" s="22"/>
    </row>
    <row r="548" spans="2:6" ht="12.5">
      <c r="B548" s="22"/>
      <c r="C548" s="22"/>
      <c r="D548" s="22"/>
      <c r="E548" s="22"/>
      <c r="F548" s="22"/>
    </row>
    <row r="549" spans="2:6" ht="12.5">
      <c r="B549" s="22"/>
      <c r="C549" s="22"/>
      <c r="D549" s="22"/>
      <c r="E549" s="22"/>
      <c r="F549" s="22"/>
    </row>
    <row r="550" spans="2:6" ht="12.5">
      <c r="B550" s="22"/>
      <c r="C550" s="22"/>
      <c r="D550" s="22"/>
      <c r="E550" s="22"/>
      <c r="F550" s="22"/>
    </row>
    <row r="551" spans="2:6" ht="12.5">
      <c r="B551" s="22"/>
      <c r="C551" s="22"/>
      <c r="D551" s="22"/>
      <c r="E551" s="22"/>
      <c r="F551" s="22"/>
    </row>
    <row r="552" spans="2:6" ht="12.5">
      <c r="B552" s="22"/>
      <c r="C552" s="22"/>
      <c r="D552" s="22"/>
      <c r="E552" s="22"/>
      <c r="F552" s="22"/>
    </row>
    <row r="553" spans="2:6" ht="12.5">
      <c r="B553" s="22"/>
      <c r="C553" s="22"/>
      <c r="D553" s="22"/>
      <c r="E553" s="22"/>
      <c r="F553" s="22"/>
    </row>
    <row r="554" spans="2:6" ht="12.5">
      <c r="B554" s="22"/>
      <c r="C554" s="22"/>
      <c r="D554" s="22"/>
      <c r="E554" s="22"/>
      <c r="F554" s="22"/>
    </row>
    <row r="555" spans="2:6" ht="12.5">
      <c r="B555" s="22"/>
      <c r="C555" s="22"/>
      <c r="D555" s="22"/>
      <c r="E555" s="22"/>
      <c r="F555" s="22"/>
    </row>
    <row r="556" spans="2:6" ht="12.5">
      <c r="B556" s="22"/>
      <c r="C556" s="22"/>
      <c r="D556" s="22"/>
      <c r="E556" s="22"/>
      <c r="F556" s="22"/>
    </row>
    <row r="557" spans="2:6" ht="12.5">
      <c r="B557" s="22"/>
      <c r="C557" s="22"/>
      <c r="D557" s="22"/>
      <c r="E557" s="22"/>
      <c r="F557" s="22"/>
    </row>
    <row r="558" spans="2:6" ht="12.5">
      <c r="B558" s="22"/>
      <c r="C558" s="22"/>
      <c r="D558" s="22"/>
      <c r="E558" s="22"/>
      <c r="F558" s="22"/>
    </row>
    <row r="559" spans="2:6" ht="12.5">
      <c r="B559" s="22"/>
      <c r="C559" s="22"/>
      <c r="D559" s="22"/>
      <c r="E559" s="22"/>
      <c r="F559" s="22"/>
    </row>
    <row r="560" spans="2:6" ht="12.5">
      <c r="B560" s="22"/>
      <c r="C560" s="22"/>
      <c r="D560" s="22"/>
      <c r="E560" s="22"/>
      <c r="F560" s="22"/>
    </row>
    <row r="561" spans="2:6" ht="12.5">
      <c r="B561" s="22"/>
      <c r="C561" s="22"/>
      <c r="D561" s="22"/>
      <c r="E561" s="22"/>
      <c r="F561" s="22"/>
    </row>
    <row r="562" spans="2:6" ht="12.5">
      <c r="B562" s="22"/>
      <c r="C562" s="22"/>
      <c r="D562" s="22"/>
      <c r="E562" s="22"/>
      <c r="F562" s="22"/>
    </row>
    <row r="563" spans="2:6" ht="12.5">
      <c r="B563" s="22"/>
      <c r="C563" s="22"/>
      <c r="D563" s="22"/>
      <c r="E563" s="22"/>
      <c r="F563" s="22"/>
    </row>
    <row r="564" spans="2:6" ht="12.5">
      <c r="B564" s="22"/>
      <c r="C564" s="22"/>
      <c r="D564" s="22"/>
      <c r="E564" s="22"/>
      <c r="F564" s="22"/>
    </row>
    <row r="565" spans="2:6" ht="12.5">
      <c r="B565" s="22"/>
      <c r="C565" s="22"/>
      <c r="D565" s="22"/>
      <c r="E565" s="22"/>
      <c r="F565" s="22"/>
    </row>
    <row r="566" spans="2:6" ht="12.5">
      <c r="B566" s="22"/>
      <c r="C566" s="22"/>
      <c r="D566" s="22"/>
      <c r="E566" s="22"/>
      <c r="F566" s="22"/>
    </row>
    <row r="567" spans="2:6" ht="12.5">
      <c r="B567" s="22"/>
      <c r="C567" s="22"/>
      <c r="D567" s="22"/>
      <c r="E567" s="22"/>
      <c r="F567" s="22"/>
    </row>
    <row r="568" spans="2:6" ht="12.5">
      <c r="B568" s="22"/>
      <c r="C568" s="22"/>
      <c r="D568" s="22"/>
      <c r="E568" s="22"/>
      <c r="F568" s="22"/>
    </row>
    <row r="569" spans="2:6" ht="12.5">
      <c r="B569" s="22"/>
      <c r="C569" s="22"/>
      <c r="D569" s="22"/>
      <c r="E569" s="22"/>
      <c r="F569" s="22"/>
    </row>
    <row r="570" spans="2:6" ht="12.5">
      <c r="B570" s="22"/>
      <c r="C570" s="22"/>
      <c r="D570" s="22"/>
      <c r="E570" s="22"/>
      <c r="F570" s="22"/>
    </row>
    <row r="571" spans="2:6" ht="12.5">
      <c r="B571" s="22"/>
      <c r="C571" s="22"/>
      <c r="D571" s="22"/>
      <c r="E571" s="22"/>
      <c r="F571" s="22"/>
    </row>
    <row r="572" spans="2:6" ht="12.5">
      <c r="B572" s="22"/>
      <c r="C572" s="22"/>
      <c r="D572" s="22"/>
      <c r="E572" s="22"/>
      <c r="F572" s="22"/>
    </row>
    <row r="573" spans="2:6" ht="12.5">
      <c r="B573" s="22"/>
      <c r="C573" s="22"/>
      <c r="D573" s="22"/>
      <c r="E573" s="22"/>
      <c r="F573" s="22"/>
    </row>
    <row r="574" spans="2:6" ht="12.5">
      <c r="B574" s="22"/>
      <c r="C574" s="22"/>
      <c r="D574" s="22"/>
      <c r="E574" s="22"/>
      <c r="F574" s="22"/>
    </row>
    <row r="575" spans="2:6" ht="12.5">
      <c r="B575" s="22"/>
      <c r="C575" s="22"/>
      <c r="D575" s="22"/>
      <c r="E575" s="22"/>
      <c r="F575" s="22"/>
    </row>
    <row r="576" spans="2:6" ht="12.5">
      <c r="B576" s="22"/>
      <c r="C576" s="22"/>
      <c r="D576" s="22"/>
      <c r="E576" s="22"/>
      <c r="F576" s="22"/>
    </row>
    <row r="577" spans="2:6" ht="12.5">
      <c r="B577" s="22"/>
      <c r="C577" s="22"/>
      <c r="D577" s="22"/>
      <c r="E577" s="22"/>
      <c r="F577" s="22"/>
    </row>
    <row r="578" spans="2:6" ht="12.5">
      <c r="B578" s="22"/>
      <c r="C578" s="22"/>
      <c r="D578" s="22"/>
      <c r="E578" s="22"/>
      <c r="F578" s="22"/>
    </row>
    <row r="579" spans="2:6" ht="12.5">
      <c r="B579" s="22"/>
      <c r="C579" s="22"/>
      <c r="D579" s="22"/>
      <c r="E579" s="22"/>
      <c r="F579" s="22"/>
    </row>
    <row r="580" spans="2:6" ht="12.5">
      <c r="B580" s="22"/>
      <c r="C580" s="22"/>
      <c r="D580" s="22"/>
      <c r="E580" s="22"/>
      <c r="F580" s="22"/>
    </row>
    <row r="581" spans="2:6" ht="12.5">
      <c r="B581" s="22"/>
      <c r="C581" s="22"/>
      <c r="D581" s="22"/>
      <c r="E581" s="22"/>
      <c r="F581" s="22"/>
    </row>
    <row r="582" spans="2:6" ht="12.5">
      <c r="B582" s="22"/>
      <c r="C582" s="22"/>
      <c r="D582" s="22"/>
      <c r="E582" s="22"/>
      <c r="F582" s="22"/>
    </row>
    <row r="583" spans="2:6" ht="12.5">
      <c r="B583" s="22"/>
      <c r="C583" s="22"/>
      <c r="D583" s="22"/>
      <c r="E583" s="22"/>
      <c r="F583" s="22"/>
    </row>
    <row r="584" spans="2:6" ht="12.5">
      <c r="B584" s="22"/>
      <c r="C584" s="22"/>
      <c r="D584" s="22"/>
      <c r="E584" s="22"/>
      <c r="F584" s="22"/>
    </row>
    <row r="585" spans="2:6" ht="12.5">
      <c r="B585" s="22"/>
      <c r="C585" s="22"/>
      <c r="D585" s="22"/>
      <c r="E585" s="22"/>
      <c r="F585" s="22"/>
    </row>
    <row r="586" spans="2:6" ht="12.5">
      <c r="B586" s="22"/>
      <c r="C586" s="22"/>
      <c r="D586" s="22"/>
      <c r="E586" s="22"/>
      <c r="F586" s="22"/>
    </row>
    <row r="587" spans="2:6" ht="12.5">
      <c r="B587" s="22"/>
      <c r="C587" s="22"/>
      <c r="D587" s="22"/>
      <c r="E587" s="22"/>
      <c r="F587" s="22"/>
    </row>
    <row r="588" spans="2:6" ht="12.5">
      <c r="B588" s="22"/>
      <c r="C588" s="22"/>
      <c r="D588" s="22"/>
      <c r="E588" s="22"/>
      <c r="F588" s="22"/>
    </row>
    <row r="589" spans="2:6" ht="12.5">
      <c r="B589" s="22"/>
      <c r="C589" s="22"/>
      <c r="D589" s="22"/>
      <c r="E589" s="22"/>
      <c r="F589" s="22"/>
    </row>
    <row r="590" spans="2:6" ht="12.5">
      <c r="B590" s="22"/>
      <c r="C590" s="22"/>
      <c r="D590" s="22"/>
      <c r="E590" s="22"/>
      <c r="F590" s="22"/>
    </row>
    <row r="591" spans="2:6" ht="12.5">
      <c r="B591" s="22"/>
      <c r="C591" s="22"/>
      <c r="D591" s="22"/>
      <c r="E591" s="22"/>
      <c r="F591" s="22"/>
    </row>
    <row r="592" spans="2:6" ht="12.5">
      <c r="B592" s="22"/>
      <c r="C592" s="22"/>
      <c r="D592" s="22"/>
      <c r="E592" s="22"/>
      <c r="F592" s="22"/>
    </row>
    <row r="593" spans="2:6" ht="12.5">
      <c r="B593" s="22"/>
      <c r="C593" s="22"/>
      <c r="D593" s="22"/>
      <c r="E593" s="22"/>
      <c r="F593" s="22"/>
    </row>
    <row r="594" spans="2:6" ht="12.5">
      <c r="B594" s="22"/>
      <c r="C594" s="22"/>
      <c r="D594" s="22"/>
      <c r="E594" s="22"/>
      <c r="F594" s="22"/>
    </row>
    <row r="595" spans="2:6" ht="12.5">
      <c r="B595" s="22"/>
      <c r="C595" s="22"/>
      <c r="D595" s="22"/>
      <c r="E595" s="22"/>
      <c r="F595" s="22"/>
    </row>
    <row r="596" spans="2:6" ht="12.5">
      <c r="B596" s="22"/>
      <c r="C596" s="22"/>
      <c r="D596" s="22"/>
      <c r="E596" s="22"/>
      <c r="F596" s="22"/>
    </row>
    <row r="597" spans="2:6" ht="12.5">
      <c r="B597" s="22"/>
      <c r="C597" s="22"/>
      <c r="D597" s="22"/>
      <c r="E597" s="22"/>
      <c r="F597" s="22"/>
    </row>
    <row r="598" spans="2:6" ht="12.5">
      <c r="B598" s="22"/>
      <c r="C598" s="22"/>
      <c r="D598" s="22"/>
      <c r="E598" s="22"/>
      <c r="F598" s="22"/>
    </row>
    <row r="599" spans="2:6" ht="12.5">
      <c r="B599" s="22"/>
      <c r="C599" s="22"/>
      <c r="D599" s="22"/>
      <c r="E599" s="22"/>
      <c r="F599" s="22"/>
    </row>
    <row r="600" spans="2:6" ht="12.5">
      <c r="B600" s="22"/>
      <c r="C600" s="22"/>
      <c r="D600" s="22"/>
      <c r="E600" s="22"/>
      <c r="F600" s="22"/>
    </row>
    <row r="601" spans="2:6" ht="12.5">
      <c r="B601" s="22"/>
      <c r="C601" s="22"/>
      <c r="D601" s="22"/>
      <c r="E601" s="22"/>
      <c r="F601" s="22"/>
    </row>
    <row r="602" spans="2:6" ht="12.5">
      <c r="B602" s="22"/>
      <c r="C602" s="22"/>
      <c r="D602" s="22"/>
      <c r="E602" s="22"/>
      <c r="F602" s="22"/>
    </row>
    <row r="603" spans="2:6" ht="12.5">
      <c r="B603" s="22"/>
      <c r="C603" s="22"/>
      <c r="D603" s="22"/>
      <c r="E603" s="22"/>
      <c r="F603" s="22"/>
    </row>
    <row r="604" spans="2:6" ht="12.5">
      <c r="B604" s="22"/>
      <c r="C604" s="22"/>
      <c r="D604" s="22"/>
      <c r="E604" s="22"/>
      <c r="F604" s="22"/>
    </row>
    <row r="605" spans="2:6" ht="12.5">
      <c r="B605" s="22"/>
      <c r="C605" s="22"/>
      <c r="D605" s="22"/>
      <c r="E605" s="22"/>
      <c r="F605" s="22"/>
    </row>
    <row r="606" spans="2:6" ht="12.5">
      <c r="B606" s="22"/>
      <c r="C606" s="22"/>
      <c r="D606" s="22"/>
      <c r="E606" s="22"/>
      <c r="F606" s="22"/>
    </row>
    <row r="607" spans="2:6" ht="12.5">
      <c r="B607" s="22"/>
      <c r="C607" s="22"/>
      <c r="D607" s="22"/>
      <c r="E607" s="22"/>
      <c r="F607" s="22"/>
    </row>
    <row r="608" spans="2:6" ht="12.5">
      <c r="B608" s="22"/>
      <c r="C608" s="22"/>
      <c r="D608" s="22"/>
      <c r="E608" s="22"/>
      <c r="F608" s="22"/>
    </row>
    <row r="609" spans="2:6" ht="12.5">
      <c r="B609" s="22"/>
      <c r="C609" s="22"/>
      <c r="D609" s="22"/>
      <c r="E609" s="22"/>
      <c r="F609" s="22"/>
    </row>
    <row r="610" spans="2:6" ht="12.5">
      <c r="B610" s="22"/>
      <c r="C610" s="22"/>
      <c r="D610" s="22"/>
      <c r="E610" s="22"/>
      <c r="F610" s="22"/>
    </row>
    <row r="611" spans="2:6" ht="12.5">
      <c r="B611" s="22"/>
      <c r="C611" s="22"/>
      <c r="D611" s="22"/>
      <c r="E611" s="22"/>
      <c r="F611" s="22"/>
    </row>
    <row r="612" spans="2:6" ht="12.5">
      <c r="B612" s="22"/>
      <c r="C612" s="22"/>
      <c r="D612" s="22"/>
      <c r="E612" s="22"/>
      <c r="F612" s="22"/>
    </row>
    <row r="613" spans="2:6" ht="12.5">
      <c r="B613" s="22"/>
      <c r="C613" s="22"/>
      <c r="D613" s="22"/>
      <c r="E613" s="22"/>
      <c r="F613" s="22"/>
    </row>
    <row r="614" spans="2:6" ht="12.5">
      <c r="B614" s="22"/>
      <c r="C614" s="22"/>
      <c r="D614" s="22"/>
      <c r="E614" s="22"/>
      <c r="F614" s="22"/>
    </row>
    <row r="615" spans="2:6" ht="12.5">
      <c r="B615" s="22"/>
      <c r="C615" s="22"/>
      <c r="D615" s="22"/>
      <c r="E615" s="22"/>
      <c r="F615" s="22"/>
    </row>
    <row r="616" spans="2:6" ht="12.5">
      <c r="B616" s="22"/>
      <c r="C616" s="22"/>
      <c r="D616" s="22"/>
      <c r="E616" s="22"/>
      <c r="F616" s="22"/>
    </row>
    <row r="617" spans="2:6" ht="12.5">
      <c r="B617" s="22"/>
      <c r="C617" s="22"/>
      <c r="D617" s="22"/>
      <c r="E617" s="22"/>
      <c r="F617" s="22"/>
    </row>
    <row r="618" spans="2:6" ht="12.5">
      <c r="B618" s="22"/>
      <c r="C618" s="22"/>
      <c r="D618" s="22"/>
      <c r="E618" s="22"/>
      <c r="F618" s="22"/>
    </row>
    <row r="619" spans="2:6" ht="12.5">
      <c r="B619" s="22"/>
      <c r="C619" s="22"/>
      <c r="D619" s="22"/>
      <c r="E619" s="22"/>
      <c r="F619" s="22"/>
    </row>
    <row r="620" spans="2:6" ht="12.5">
      <c r="B620" s="22"/>
      <c r="C620" s="22"/>
      <c r="D620" s="22"/>
      <c r="E620" s="22"/>
      <c r="F620" s="22"/>
    </row>
    <row r="621" spans="2:6" ht="12.5">
      <c r="B621" s="22"/>
      <c r="C621" s="22"/>
      <c r="D621" s="22"/>
      <c r="E621" s="22"/>
      <c r="F621" s="22"/>
    </row>
    <row r="622" spans="2:6" ht="12.5">
      <c r="B622" s="22"/>
      <c r="C622" s="22"/>
      <c r="D622" s="22"/>
      <c r="E622" s="22"/>
      <c r="F622" s="22"/>
    </row>
    <row r="623" spans="2:6" ht="12.5">
      <c r="B623" s="22"/>
      <c r="C623" s="22"/>
      <c r="D623" s="22"/>
      <c r="E623" s="22"/>
      <c r="F623" s="22"/>
    </row>
    <row r="624" spans="2:6" ht="12.5">
      <c r="B624" s="22"/>
      <c r="C624" s="22"/>
      <c r="D624" s="22"/>
      <c r="E624" s="22"/>
      <c r="F624" s="22"/>
    </row>
    <row r="625" spans="2:6" ht="12.5">
      <c r="B625" s="22"/>
      <c r="C625" s="22"/>
      <c r="D625" s="22"/>
      <c r="E625" s="22"/>
      <c r="F625" s="22"/>
    </row>
    <row r="626" spans="2:6" ht="12.5">
      <c r="B626" s="22"/>
      <c r="C626" s="22"/>
      <c r="D626" s="22"/>
      <c r="E626" s="22"/>
      <c r="F626" s="22"/>
    </row>
    <row r="627" spans="2:6" ht="12.5">
      <c r="B627" s="22"/>
      <c r="C627" s="22"/>
      <c r="D627" s="22"/>
      <c r="E627" s="22"/>
      <c r="F627" s="22"/>
    </row>
    <row r="628" spans="2:6" ht="12.5">
      <c r="B628" s="22"/>
      <c r="C628" s="22"/>
      <c r="D628" s="22"/>
      <c r="E628" s="22"/>
      <c r="F628" s="22"/>
    </row>
    <row r="629" spans="2:6" ht="12.5">
      <c r="B629" s="22"/>
      <c r="C629" s="22"/>
      <c r="D629" s="22"/>
      <c r="E629" s="22"/>
      <c r="F629" s="22"/>
    </row>
    <row r="630" spans="2:6" ht="12.5">
      <c r="B630" s="22"/>
      <c r="C630" s="22"/>
      <c r="D630" s="22"/>
      <c r="E630" s="22"/>
      <c r="F630" s="22"/>
    </row>
    <row r="631" spans="2:6" ht="12.5">
      <c r="B631" s="22"/>
      <c r="C631" s="22"/>
      <c r="D631" s="22"/>
      <c r="E631" s="22"/>
      <c r="F631" s="22"/>
    </row>
    <row r="632" spans="2:6" ht="12.5">
      <c r="B632" s="22"/>
      <c r="C632" s="22"/>
      <c r="D632" s="22"/>
      <c r="E632" s="22"/>
      <c r="F632" s="22"/>
    </row>
    <row r="633" spans="2:6" ht="12.5">
      <c r="B633" s="22"/>
      <c r="C633" s="22"/>
      <c r="D633" s="22"/>
      <c r="E633" s="22"/>
      <c r="F633" s="22"/>
    </row>
    <row r="634" spans="2:6" ht="12.5">
      <c r="B634" s="22"/>
      <c r="C634" s="22"/>
      <c r="D634" s="22"/>
      <c r="E634" s="22"/>
      <c r="F634" s="22"/>
    </row>
    <row r="635" spans="2:6" ht="12.5">
      <c r="B635" s="22"/>
      <c r="C635" s="22"/>
      <c r="D635" s="22"/>
      <c r="E635" s="22"/>
      <c r="F635" s="22"/>
    </row>
    <row r="636" spans="2:6" ht="12.5">
      <c r="B636" s="22"/>
      <c r="C636" s="22"/>
      <c r="D636" s="22"/>
      <c r="E636" s="22"/>
      <c r="F636" s="22"/>
    </row>
    <row r="637" spans="2:6" ht="12.5">
      <c r="B637" s="22"/>
      <c r="C637" s="22"/>
      <c r="D637" s="22"/>
      <c r="E637" s="22"/>
      <c r="F637" s="22"/>
    </row>
    <row r="638" spans="2:6" ht="12.5">
      <c r="B638" s="22"/>
      <c r="C638" s="22"/>
      <c r="D638" s="22"/>
      <c r="E638" s="22"/>
      <c r="F638" s="22"/>
    </row>
    <row r="639" spans="2:6" ht="12.5">
      <c r="B639" s="22"/>
      <c r="C639" s="22"/>
      <c r="D639" s="22"/>
      <c r="E639" s="22"/>
      <c r="F639" s="22"/>
    </row>
    <row r="640" spans="2:6" ht="12.5">
      <c r="B640" s="22"/>
      <c r="C640" s="22"/>
      <c r="D640" s="22"/>
      <c r="E640" s="22"/>
      <c r="F640" s="22"/>
    </row>
    <row r="641" spans="2:6" ht="12.5">
      <c r="B641" s="22"/>
      <c r="C641" s="22"/>
      <c r="D641" s="22"/>
      <c r="E641" s="22"/>
      <c r="F641" s="22"/>
    </row>
    <row r="642" spans="2:6" ht="12.5">
      <c r="B642" s="22"/>
      <c r="C642" s="22"/>
      <c r="D642" s="22"/>
      <c r="E642" s="22"/>
      <c r="F642" s="22"/>
    </row>
    <row r="643" spans="2:6" ht="12.5">
      <c r="B643" s="22"/>
      <c r="C643" s="22"/>
      <c r="D643" s="22"/>
      <c r="E643" s="22"/>
      <c r="F643" s="22"/>
    </row>
    <row r="644" spans="2:6" ht="12.5">
      <c r="B644" s="22"/>
      <c r="C644" s="22"/>
      <c r="D644" s="22"/>
      <c r="E644" s="22"/>
      <c r="F644" s="22"/>
    </row>
    <row r="645" spans="2:6" ht="12.5">
      <c r="B645" s="22"/>
      <c r="C645" s="22"/>
      <c r="D645" s="22"/>
      <c r="E645" s="22"/>
      <c r="F645" s="22"/>
    </row>
    <row r="646" spans="2:6" ht="12.5">
      <c r="B646" s="22"/>
      <c r="C646" s="22"/>
      <c r="D646" s="22"/>
      <c r="E646" s="22"/>
      <c r="F646" s="22"/>
    </row>
    <row r="647" spans="2:6" ht="12.5">
      <c r="B647" s="22"/>
      <c r="C647" s="22"/>
      <c r="D647" s="22"/>
      <c r="E647" s="22"/>
      <c r="F647" s="22"/>
    </row>
    <row r="648" spans="2:6" ht="12.5">
      <c r="B648" s="22"/>
      <c r="C648" s="22"/>
      <c r="D648" s="22"/>
      <c r="E648" s="22"/>
      <c r="F648" s="22"/>
    </row>
    <row r="649" spans="2:6" ht="12.5">
      <c r="B649" s="22"/>
      <c r="C649" s="22"/>
      <c r="D649" s="22"/>
      <c r="E649" s="22"/>
      <c r="F649" s="22"/>
    </row>
    <row r="650" spans="2:6" ht="12.5">
      <c r="B650" s="22"/>
      <c r="C650" s="22"/>
      <c r="D650" s="22"/>
      <c r="E650" s="22"/>
      <c r="F650" s="22"/>
    </row>
    <row r="651" spans="2:6" ht="12.5">
      <c r="B651" s="22"/>
      <c r="C651" s="22"/>
      <c r="D651" s="22"/>
      <c r="E651" s="22"/>
      <c r="F651" s="22"/>
    </row>
    <row r="652" spans="2:6" ht="12.5">
      <c r="B652" s="22"/>
      <c r="C652" s="22"/>
      <c r="D652" s="22"/>
      <c r="E652" s="22"/>
      <c r="F652" s="22"/>
    </row>
    <row r="653" spans="2:6" ht="12.5">
      <c r="B653" s="22"/>
      <c r="C653" s="22"/>
      <c r="D653" s="22"/>
      <c r="E653" s="22"/>
      <c r="F653" s="22"/>
    </row>
    <row r="654" spans="2:6" ht="12.5">
      <c r="B654" s="22"/>
      <c r="C654" s="22"/>
      <c r="D654" s="22"/>
      <c r="E654" s="22"/>
      <c r="F654" s="22"/>
    </row>
    <row r="655" spans="2:6" ht="12.5">
      <c r="B655" s="22"/>
      <c r="C655" s="22"/>
      <c r="D655" s="22"/>
      <c r="E655" s="22"/>
      <c r="F655" s="22"/>
    </row>
    <row r="656" spans="2:6" ht="12.5">
      <c r="B656" s="22"/>
      <c r="C656" s="22"/>
      <c r="D656" s="22"/>
      <c r="E656" s="22"/>
      <c r="F656" s="22"/>
    </row>
    <row r="657" spans="2:6" ht="12.5">
      <c r="B657" s="22"/>
      <c r="C657" s="22"/>
      <c r="D657" s="22"/>
      <c r="E657" s="22"/>
      <c r="F657" s="22"/>
    </row>
    <row r="658" spans="2:6" ht="12.5">
      <c r="B658" s="22"/>
      <c r="C658" s="22"/>
      <c r="D658" s="22"/>
      <c r="E658" s="22"/>
      <c r="F658" s="22"/>
    </row>
    <row r="659" spans="2:6" ht="12.5">
      <c r="B659" s="22"/>
      <c r="C659" s="22"/>
      <c r="D659" s="22"/>
      <c r="E659" s="22"/>
      <c r="F659" s="22"/>
    </row>
    <row r="660" spans="2:6" ht="12.5">
      <c r="B660" s="22"/>
      <c r="C660" s="22"/>
      <c r="D660" s="22"/>
      <c r="E660" s="22"/>
      <c r="F660" s="22"/>
    </row>
    <row r="661" spans="2:6" ht="12.5">
      <c r="B661" s="22"/>
      <c r="C661" s="22"/>
      <c r="D661" s="22"/>
      <c r="E661" s="22"/>
      <c r="F661" s="22"/>
    </row>
    <row r="662" spans="2:6" ht="12.5">
      <c r="B662" s="22"/>
      <c r="C662" s="22"/>
      <c r="D662" s="22"/>
      <c r="E662" s="22"/>
      <c r="F662" s="22"/>
    </row>
    <row r="663" spans="2:6" ht="12.5">
      <c r="B663" s="22"/>
      <c r="C663" s="22"/>
      <c r="D663" s="22"/>
      <c r="E663" s="22"/>
      <c r="F663" s="22"/>
    </row>
    <row r="664" spans="2:6" ht="12.5">
      <c r="B664" s="22"/>
      <c r="C664" s="22"/>
      <c r="D664" s="22"/>
      <c r="E664" s="22"/>
      <c r="F664" s="22"/>
    </row>
    <row r="665" spans="2:6" ht="12.5">
      <c r="B665" s="22"/>
      <c r="C665" s="22"/>
      <c r="D665" s="22"/>
      <c r="E665" s="22"/>
      <c r="F665" s="22"/>
    </row>
    <row r="666" spans="2:6" ht="12.5">
      <c r="B666" s="22"/>
      <c r="C666" s="22"/>
      <c r="D666" s="22"/>
      <c r="E666" s="22"/>
      <c r="F666" s="22"/>
    </row>
    <row r="667" spans="2:6" ht="12.5">
      <c r="B667" s="22"/>
      <c r="C667" s="22"/>
      <c r="D667" s="22"/>
      <c r="E667" s="22"/>
      <c r="F667" s="22"/>
    </row>
    <row r="668" spans="2:6" ht="12.5">
      <c r="B668" s="22"/>
      <c r="C668" s="22"/>
      <c r="D668" s="22"/>
      <c r="E668" s="22"/>
      <c r="F668" s="22"/>
    </row>
    <row r="669" spans="2:6" ht="12.5">
      <c r="B669" s="22"/>
      <c r="C669" s="22"/>
      <c r="D669" s="22"/>
      <c r="E669" s="22"/>
      <c r="F669" s="22"/>
    </row>
    <row r="670" spans="2:6" ht="12.5">
      <c r="B670" s="22"/>
      <c r="C670" s="22"/>
      <c r="D670" s="22"/>
      <c r="E670" s="22"/>
      <c r="F670" s="22"/>
    </row>
    <row r="671" spans="2:6" ht="12.5">
      <c r="B671" s="22"/>
      <c r="C671" s="22"/>
      <c r="D671" s="22"/>
      <c r="E671" s="22"/>
      <c r="F671" s="22"/>
    </row>
    <row r="672" spans="2:6" ht="12.5">
      <c r="B672" s="22"/>
      <c r="C672" s="22"/>
      <c r="D672" s="22"/>
      <c r="E672" s="22"/>
      <c r="F672" s="22"/>
    </row>
    <row r="673" spans="2:6" ht="12.5">
      <c r="B673" s="22"/>
      <c r="C673" s="22"/>
      <c r="D673" s="22"/>
      <c r="E673" s="22"/>
      <c r="F673" s="22"/>
    </row>
    <row r="674" spans="2:6" ht="12.5">
      <c r="B674" s="22"/>
      <c r="C674" s="22"/>
      <c r="D674" s="22"/>
      <c r="E674" s="22"/>
      <c r="F674" s="22"/>
    </row>
    <row r="675" spans="2:6" ht="12.5">
      <c r="B675" s="22"/>
      <c r="C675" s="22"/>
      <c r="D675" s="22"/>
      <c r="E675" s="22"/>
      <c r="F675" s="22"/>
    </row>
    <row r="676" spans="2:6" ht="12.5">
      <c r="B676" s="22"/>
      <c r="C676" s="22"/>
      <c r="D676" s="22"/>
      <c r="E676" s="22"/>
      <c r="F676" s="22"/>
    </row>
    <row r="677" spans="2:6" ht="12.5">
      <c r="B677" s="22"/>
      <c r="C677" s="22"/>
      <c r="D677" s="22"/>
      <c r="E677" s="22"/>
      <c r="F677" s="22"/>
    </row>
    <row r="678" spans="2:6" ht="12.5">
      <c r="B678" s="22"/>
      <c r="C678" s="22"/>
      <c r="D678" s="22"/>
      <c r="E678" s="22"/>
      <c r="F678" s="22"/>
    </row>
    <row r="679" spans="2:6" ht="12.5">
      <c r="B679" s="22"/>
      <c r="C679" s="22"/>
      <c r="D679" s="22"/>
      <c r="E679" s="22"/>
      <c r="F679" s="22"/>
    </row>
    <row r="680" spans="2:6" ht="12.5">
      <c r="B680" s="22"/>
      <c r="C680" s="22"/>
      <c r="D680" s="22"/>
      <c r="E680" s="22"/>
      <c r="F680" s="22"/>
    </row>
    <row r="681" spans="2:6" ht="12.5">
      <c r="B681" s="22"/>
      <c r="C681" s="22"/>
      <c r="D681" s="22"/>
      <c r="E681" s="22"/>
      <c r="F681" s="22"/>
    </row>
    <row r="682" spans="2:6" ht="12.5">
      <c r="B682" s="22"/>
      <c r="C682" s="22"/>
      <c r="D682" s="22"/>
      <c r="E682" s="22"/>
      <c r="F682" s="22"/>
    </row>
    <row r="683" spans="2:6" ht="12.5">
      <c r="B683" s="22"/>
      <c r="C683" s="22"/>
      <c r="D683" s="22"/>
      <c r="E683" s="22"/>
      <c r="F683" s="22"/>
    </row>
    <row r="684" spans="2:6" ht="12.5">
      <c r="B684" s="22"/>
      <c r="C684" s="22"/>
      <c r="D684" s="22"/>
      <c r="E684" s="22"/>
      <c r="F684" s="22"/>
    </row>
    <row r="685" spans="2:6" ht="12.5">
      <c r="B685" s="22"/>
      <c r="C685" s="22"/>
      <c r="D685" s="22"/>
      <c r="E685" s="22"/>
      <c r="F685" s="22"/>
    </row>
    <row r="686" spans="2:6" ht="12.5">
      <c r="B686" s="22"/>
      <c r="C686" s="22"/>
      <c r="D686" s="22"/>
      <c r="E686" s="22"/>
      <c r="F686" s="22"/>
    </row>
    <row r="687" spans="2:6" ht="12.5">
      <c r="B687" s="22"/>
      <c r="C687" s="22"/>
      <c r="D687" s="22"/>
      <c r="E687" s="22"/>
      <c r="F687" s="22"/>
    </row>
    <row r="688" spans="2:6" ht="12.5">
      <c r="B688" s="22"/>
      <c r="C688" s="22"/>
      <c r="D688" s="22"/>
      <c r="E688" s="22"/>
      <c r="F688" s="22"/>
    </row>
    <row r="689" spans="2:6" ht="12.5">
      <c r="B689" s="22"/>
      <c r="C689" s="22"/>
      <c r="D689" s="22"/>
      <c r="E689" s="22"/>
      <c r="F689" s="22"/>
    </row>
    <row r="690" spans="2:6" ht="12.5">
      <c r="B690" s="22"/>
      <c r="C690" s="22"/>
      <c r="D690" s="22"/>
      <c r="E690" s="22"/>
      <c r="F690" s="22"/>
    </row>
    <row r="691" spans="2:6" ht="12.5">
      <c r="B691" s="22"/>
      <c r="C691" s="22"/>
      <c r="D691" s="22"/>
      <c r="E691" s="22"/>
      <c r="F691" s="22"/>
    </row>
    <row r="692" spans="2:6" ht="12.5">
      <c r="B692" s="22"/>
      <c r="C692" s="22"/>
      <c r="D692" s="22"/>
      <c r="E692" s="22"/>
      <c r="F692" s="22"/>
    </row>
    <row r="693" spans="2:6" ht="12.5">
      <c r="B693" s="22"/>
      <c r="C693" s="22"/>
      <c r="D693" s="22"/>
      <c r="E693" s="22"/>
      <c r="F693" s="22"/>
    </row>
    <row r="694" spans="2:6" ht="12.5">
      <c r="B694" s="22"/>
      <c r="C694" s="22"/>
      <c r="D694" s="22"/>
      <c r="E694" s="22"/>
      <c r="F694" s="22"/>
    </row>
    <row r="695" spans="2:6" ht="12.5">
      <c r="B695" s="22"/>
      <c r="C695" s="22"/>
      <c r="D695" s="22"/>
      <c r="E695" s="22"/>
      <c r="F695" s="22"/>
    </row>
    <row r="696" spans="2:6" ht="12.5">
      <c r="B696" s="22"/>
      <c r="C696" s="22"/>
      <c r="D696" s="22"/>
      <c r="E696" s="22"/>
      <c r="F696" s="22"/>
    </row>
    <row r="697" spans="2:6" ht="12.5">
      <c r="B697" s="22"/>
      <c r="C697" s="22"/>
      <c r="D697" s="22"/>
      <c r="E697" s="22"/>
      <c r="F697" s="22"/>
    </row>
    <row r="698" spans="2:6" ht="12.5">
      <c r="B698" s="22"/>
      <c r="C698" s="22"/>
      <c r="D698" s="22"/>
      <c r="E698" s="22"/>
      <c r="F698" s="22"/>
    </row>
    <row r="699" spans="2:6" ht="12.5">
      <c r="B699" s="22"/>
      <c r="C699" s="22"/>
      <c r="D699" s="22"/>
      <c r="E699" s="22"/>
      <c r="F699" s="22"/>
    </row>
    <row r="700" spans="2:6" ht="12.5">
      <c r="B700" s="22"/>
      <c r="C700" s="22"/>
      <c r="D700" s="22"/>
      <c r="E700" s="22"/>
      <c r="F700" s="22"/>
    </row>
    <row r="701" spans="2:6" ht="12.5">
      <c r="B701" s="22"/>
      <c r="C701" s="22"/>
      <c r="D701" s="22"/>
      <c r="E701" s="22"/>
      <c r="F701" s="22"/>
    </row>
    <row r="702" spans="2:6" ht="12.5">
      <c r="B702" s="22"/>
      <c r="C702" s="22"/>
      <c r="D702" s="22"/>
      <c r="E702" s="22"/>
      <c r="F702" s="22"/>
    </row>
    <row r="703" spans="2:6" ht="12.5">
      <c r="B703" s="22"/>
      <c r="C703" s="22"/>
      <c r="D703" s="22"/>
      <c r="E703" s="22"/>
      <c r="F703" s="22"/>
    </row>
    <row r="704" spans="2:6" ht="12.5">
      <c r="B704" s="22"/>
      <c r="C704" s="22"/>
      <c r="D704" s="22"/>
      <c r="E704" s="22"/>
      <c r="F704" s="22"/>
    </row>
    <row r="705" spans="2:6" ht="12.5">
      <c r="B705" s="22"/>
      <c r="C705" s="22"/>
      <c r="D705" s="22"/>
      <c r="E705" s="22"/>
      <c r="F705" s="22"/>
    </row>
    <row r="706" spans="2:6" ht="12.5">
      <c r="B706" s="22"/>
      <c r="C706" s="22"/>
      <c r="D706" s="22"/>
      <c r="E706" s="22"/>
      <c r="F706" s="22"/>
    </row>
    <row r="707" spans="2:6" ht="12.5">
      <c r="B707" s="22"/>
      <c r="C707" s="22"/>
      <c r="D707" s="22"/>
      <c r="E707" s="22"/>
      <c r="F707" s="22"/>
    </row>
    <row r="708" spans="2:6" ht="12.5">
      <c r="B708" s="22"/>
      <c r="C708" s="22"/>
      <c r="D708" s="22"/>
      <c r="E708" s="22"/>
      <c r="F708" s="22"/>
    </row>
    <row r="709" spans="2:6" ht="12.5">
      <c r="B709" s="22"/>
      <c r="C709" s="22"/>
      <c r="D709" s="22"/>
      <c r="E709" s="22"/>
      <c r="F709" s="22"/>
    </row>
    <row r="710" spans="2:6" ht="12.5">
      <c r="B710" s="22"/>
      <c r="C710" s="22"/>
      <c r="D710" s="22"/>
      <c r="E710" s="22"/>
      <c r="F710" s="22"/>
    </row>
    <row r="711" spans="2:6" ht="12.5">
      <c r="B711" s="22"/>
      <c r="C711" s="22"/>
      <c r="D711" s="22"/>
      <c r="E711" s="22"/>
      <c r="F711" s="22"/>
    </row>
    <row r="712" spans="2:6" ht="12.5">
      <c r="B712" s="22"/>
      <c r="C712" s="22"/>
      <c r="D712" s="22"/>
      <c r="E712" s="22"/>
      <c r="F712" s="22"/>
    </row>
    <row r="713" spans="2:6" ht="12.5">
      <c r="B713" s="22"/>
      <c r="C713" s="22"/>
      <c r="D713" s="22"/>
      <c r="E713" s="22"/>
      <c r="F713" s="22"/>
    </row>
    <row r="714" spans="2:6" ht="12.5">
      <c r="B714" s="22"/>
      <c r="C714" s="22"/>
      <c r="D714" s="22"/>
      <c r="E714" s="22"/>
      <c r="F714" s="22"/>
    </row>
    <row r="715" spans="2:6" ht="12.5">
      <c r="B715" s="22"/>
      <c r="C715" s="22"/>
      <c r="D715" s="22"/>
      <c r="E715" s="22"/>
      <c r="F715" s="22"/>
    </row>
    <row r="716" spans="2:6" ht="12.5">
      <c r="B716" s="22"/>
      <c r="C716" s="22"/>
      <c r="D716" s="22"/>
      <c r="E716" s="22"/>
      <c r="F716" s="22"/>
    </row>
    <row r="717" spans="2:6" ht="12.5">
      <c r="B717" s="22"/>
      <c r="C717" s="22"/>
      <c r="D717" s="22"/>
      <c r="E717" s="22"/>
      <c r="F717" s="22"/>
    </row>
    <row r="718" spans="2:6" ht="12.5">
      <c r="B718" s="22"/>
      <c r="C718" s="22"/>
      <c r="D718" s="22"/>
      <c r="E718" s="22"/>
      <c r="F718" s="22"/>
    </row>
    <row r="719" spans="2:6" ht="12.5">
      <c r="B719" s="22"/>
      <c r="C719" s="22"/>
      <c r="D719" s="22"/>
      <c r="E719" s="22"/>
      <c r="F719" s="22"/>
    </row>
    <row r="720" spans="2:6" ht="12.5">
      <c r="B720" s="22"/>
      <c r="C720" s="22"/>
      <c r="D720" s="22"/>
      <c r="E720" s="22"/>
      <c r="F720" s="22"/>
    </row>
    <row r="721" spans="2:6" ht="12.5">
      <c r="B721" s="22"/>
      <c r="C721" s="22"/>
      <c r="D721" s="22"/>
      <c r="E721" s="22"/>
      <c r="F721" s="22"/>
    </row>
    <row r="722" spans="2:6" ht="12.5">
      <c r="B722" s="22"/>
      <c r="C722" s="22"/>
      <c r="D722" s="22"/>
      <c r="E722" s="22"/>
      <c r="F722" s="22"/>
    </row>
    <row r="723" spans="2:6" ht="12.5">
      <c r="B723" s="22"/>
      <c r="C723" s="22"/>
      <c r="D723" s="22"/>
      <c r="E723" s="22"/>
      <c r="F723" s="22"/>
    </row>
    <row r="724" spans="2:6" ht="12.5">
      <c r="B724" s="22"/>
      <c r="C724" s="22"/>
      <c r="D724" s="22"/>
      <c r="E724" s="22"/>
      <c r="F724" s="22"/>
    </row>
    <row r="725" spans="2:6" ht="12.5">
      <c r="B725" s="22"/>
      <c r="C725" s="22"/>
      <c r="D725" s="22"/>
      <c r="E725" s="22"/>
      <c r="F725" s="22"/>
    </row>
    <row r="726" spans="2:6" ht="12.5">
      <c r="B726" s="22"/>
      <c r="C726" s="22"/>
      <c r="D726" s="22"/>
      <c r="E726" s="22"/>
      <c r="F726" s="22"/>
    </row>
    <row r="727" spans="2:6" ht="12.5">
      <c r="B727" s="22"/>
      <c r="C727" s="22"/>
      <c r="D727" s="22"/>
      <c r="E727" s="22"/>
      <c r="F727" s="22"/>
    </row>
    <row r="728" spans="2:6" ht="12.5">
      <c r="B728" s="22"/>
      <c r="C728" s="22"/>
      <c r="D728" s="22"/>
      <c r="E728" s="22"/>
      <c r="F728" s="22"/>
    </row>
    <row r="729" spans="2:6" ht="12.5">
      <c r="B729" s="22"/>
      <c r="C729" s="22"/>
      <c r="D729" s="22"/>
      <c r="E729" s="22"/>
      <c r="F729" s="22"/>
    </row>
    <row r="730" spans="2:6" ht="12.5">
      <c r="B730" s="22"/>
      <c r="C730" s="22"/>
      <c r="D730" s="22"/>
      <c r="E730" s="22"/>
      <c r="F730" s="22"/>
    </row>
    <row r="731" spans="2:6" ht="12.5">
      <c r="B731" s="22"/>
      <c r="C731" s="22"/>
      <c r="D731" s="22"/>
      <c r="E731" s="22"/>
      <c r="F731" s="22"/>
    </row>
    <row r="732" spans="2:6" ht="12.5">
      <c r="B732" s="22"/>
      <c r="C732" s="22"/>
      <c r="D732" s="22"/>
      <c r="E732" s="22"/>
      <c r="F732" s="22"/>
    </row>
    <row r="733" spans="2:6" ht="12.5">
      <c r="B733" s="22"/>
      <c r="C733" s="22"/>
      <c r="D733" s="22"/>
      <c r="E733" s="22"/>
      <c r="F733" s="22"/>
    </row>
    <row r="734" spans="2:6" ht="12.5">
      <c r="B734" s="22"/>
      <c r="C734" s="22"/>
      <c r="D734" s="22"/>
      <c r="E734" s="22"/>
      <c r="F734" s="22"/>
    </row>
    <row r="735" spans="2:6" ht="12.5">
      <c r="B735" s="22"/>
      <c r="C735" s="22"/>
      <c r="D735" s="22"/>
      <c r="E735" s="22"/>
      <c r="F735" s="22"/>
    </row>
    <row r="736" spans="2:6" ht="12.5">
      <c r="B736" s="22"/>
      <c r="C736" s="22"/>
      <c r="D736" s="22"/>
      <c r="E736" s="22"/>
      <c r="F736" s="22"/>
    </row>
    <row r="737" spans="2:6" ht="12.5">
      <c r="B737" s="22"/>
      <c r="C737" s="22"/>
      <c r="D737" s="22"/>
      <c r="E737" s="22"/>
      <c r="F737" s="22"/>
    </row>
    <row r="738" spans="2:6" ht="12.5">
      <c r="B738" s="22"/>
      <c r="C738" s="22"/>
      <c r="D738" s="22"/>
      <c r="E738" s="22"/>
      <c r="F738" s="22"/>
    </row>
    <row r="739" spans="2:6" ht="12.5">
      <c r="B739" s="22"/>
      <c r="C739" s="22"/>
      <c r="D739" s="22"/>
      <c r="E739" s="22"/>
      <c r="F739" s="22"/>
    </row>
    <row r="740" spans="2:6" ht="12.5">
      <c r="B740" s="22"/>
      <c r="C740" s="22"/>
      <c r="D740" s="22"/>
      <c r="E740" s="22"/>
      <c r="F740" s="22"/>
    </row>
    <row r="741" spans="2:6" ht="12.5">
      <c r="B741" s="22"/>
      <c r="C741" s="22"/>
      <c r="D741" s="22"/>
      <c r="E741" s="22"/>
      <c r="F741" s="22"/>
    </row>
    <row r="742" spans="2:6" ht="12.5">
      <c r="B742" s="22"/>
      <c r="C742" s="22"/>
      <c r="D742" s="22"/>
      <c r="E742" s="22"/>
      <c r="F742" s="22"/>
    </row>
    <row r="743" spans="2:6" ht="12.5">
      <c r="B743" s="22"/>
      <c r="C743" s="22"/>
      <c r="D743" s="22"/>
      <c r="E743" s="22"/>
      <c r="F743" s="22"/>
    </row>
    <row r="744" spans="2:6" ht="12.5">
      <c r="B744" s="22"/>
      <c r="C744" s="22"/>
      <c r="D744" s="22"/>
      <c r="E744" s="22"/>
      <c r="F744" s="22"/>
    </row>
    <row r="745" spans="2:6" ht="12.5">
      <c r="B745" s="22"/>
      <c r="C745" s="22"/>
      <c r="D745" s="22"/>
      <c r="E745" s="22"/>
      <c r="F745" s="22"/>
    </row>
    <row r="746" spans="2:6" ht="12.5">
      <c r="B746" s="22"/>
      <c r="C746" s="22"/>
      <c r="D746" s="22"/>
      <c r="E746" s="22"/>
      <c r="F746" s="22"/>
    </row>
    <row r="747" spans="2:6" ht="12.5">
      <c r="B747" s="22"/>
      <c r="C747" s="22"/>
      <c r="D747" s="22"/>
      <c r="E747" s="22"/>
      <c r="F747" s="22"/>
    </row>
    <row r="748" spans="2:6" ht="12.5">
      <c r="B748" s="22"/>
      <c r="C748" s="22"/>
      <c r="D748" s="22"/>
      <c r="E748" s="22"/>
      <c r="F748" s="22"/>
    </row>
    <row r="749" spans="2:6" ht="12.5">
      <c r="B749" s="22"/>
      <c r="C749" s="22"/>
      <c r="D749" s="22"/>
      <c r="E749" s="22"/>
      <c r="F749" s="22"/>
    </row>
    <row r="750" spans="2:6" ht="12.5">
      <c r="B750" s="22"/>
      <c r="C750" s="22"/>
      <c r="D750" s="22"/>
      <c r="E750" s="22"/>
      <c r="F750" s="22"/>
    </row>
    <row r="751" spans="2:6" ht="12.5">
      <c r="B751" s="22"/>
      <c r="C751" s="22"/>
      <c r="D751" s="22"/>
      <c r="E751" s="22"/>
      <c r="F751" s="22"/>
    </row>
    <row r="752" spans="2:6" ht="12.5">
      <c r="B752" s="22"/>
      <c r="C752" s="22"/>
      <c r="D752" s="22"/>
      <c r="E752" s="22"/>
      <c r="F752" s="22"/>
    </row>
    <row r="753" spans="2:6" ht="12.5">
      <c r="B753" s="22"/>
      <c r="C753" s="22"/>
      <c r="D753" s="22"/>
      <c r="E753" s="22"/>
      <c r="F753" s="22"/>
    </row>
    <row r="754" spans="2:6" ht="12.5">
      <c r="B754" s="22"/>
      <c r="C754" s="22"/>
      <c r="D754" s="22"/>
      <c r="E754" s="22"/>
      <c r="F754" s="22"/>
    </row>
    <row r="755" spans="2:6" ht="12.5">
      <c r="B755" s="22"/>
      <c r="C755" s="22"/>
      <c r="D755" s="22"/>
      <c r="E755" s="22"/>
      <c r="F755" s="22"/>
    </row>
    <row r="756" spans="2:6" ht="12.5">
      <c r="B756" s="22"/>
      <c r="C756" s="22"/>
      <c r="D756" s="22"/>
      <c r="E756" s="22"/>
      <c r="F756" s="22"/>
    </row>
    <row r="757" spans="2:6" ht="12.5">
      <c r="B757" s="22"/>
      <c r="C757" s="22"/>
      <c r="D757" s="22"/>
      <c r="E757" s="22"/>
      <c r="F757" s="22"/>
    </row>
    <row r="758" spans="2:6" ht="12.5">
      <c r="B758" s="22"/>
      <c r="C758" s="22"/>
      <c r="D758" s="22"/>
      <c r="E758" s="22"/>
      <c r="F758" s="22"/>
    </row>
    <row r="759" spans="2:6" ht="12.5">
      <c r="B759" s="22"/>
      <c r="C759" s="22"/>
      <c r="D759" s="22"/>
      <c r="E759" s="22"/>
      <c r="F759" s="22"/>
    </row>
    <row r="760" spans="2:6" ht="12.5">
      <c r="B760" s="22"/>
      <c r="C760" s="22"/>
      <c r="D760" s="22"/>
      <c r="E760" s="22"/>
      <c r="F760" s="22"/>
    </row>
    <row r="761" spans="2:6" ht="12.5">
      <c r="B761" s="22"/>
      <c r="C761" s="22"/>
      <c r="D761" s="22"/>
      <c r="E761" s="22"/>
      <c r="F761" s="22"/>
    </row>
    <row r="762" spans="2:6" ht="12.5">
      <c r="B762" s="22"/>
      <c r="C762" s="22"/>
      <c r="D762" s="22"/>
      <c r="E762" s="22"/>
      <c r="F762" s="22"/>
    </row>
    <row r="763" spans="2:6" ht="12.5">
      <c r="B763" s="22"/>
      <c r="C763" s="22"/>
      <c r="D763" s="22"/>
      <c r="E763" s="22"/>
      <c r="F763" s="22"/>
    </row>
    <row r="764" spans="2:6" ht="12.5">
      <c r="B764" s="22"/>
      <c r="C764" s="22"/>
      <c r="D764" s="22"/>
      <c r="E764" s="22"/>
      <c r="F764" s="22"/>
    </row>
    <row r="765" spans="2:6" ht="12.5">
      <c r="B765" s="22"/>
      <c r="C765" s="22"/>
      <c r="D765" s="22"/>
      <c r="E765" s="22"/>
      <c r="F765" s="22"/>
    </row>
    <row r="766" spans="2:6" ht="12.5">
      <c r="B766" s="22"/>
      <c r="C766" s="22"/>
      <c r="D766" s="22"/>
      <c r="E766" s="22"/>
      <c r="F766" s="22"/>
    </row>
    <row r="767" spans="2:6" ht="12.5">
      <c r="B767" s="22"/>
      <c r="C767" s="22"/>
      <c r="D767" s="22"/>
      <c r="E767" s="22"/>
      <c r="F767" s="22"/>
    </row>
    <row r="768" spans="2:6" ht="12.5">
      <c r="B768" s="22"/>
      <c r="C768" s="22"/>
      <c r="D768" s="22"/>
      <c r="E768" s="22"/>
      <c r="F768" s="22"/>
    </row>
    <row r="769" spans="2:6" ht="12.5">
      <c r="B769" s="22"/>
      <c r="C769" s="22"/>
      <c r="D769" s="22"/>
      <c r="E769" s="22"/>
      <c r="F769" s="22"/>
    </row>
    <row r="770" spans="2:6" ht="12.5">
      <c r="B770" s="22"/>
      <c r="C770" s="22"/>
      <c r="D770" s="22"/>
      <c r="E770" s="22"/>
      <c r="F770" s="22"/>
    </row>
    <row r="771" spans="2:6" ht="12.5">
      <c r="B771" s="22"/>
      <c r="C771" s="22"/>
      <c r="D771" s="22"/>
      <c r="E771" s="22"/>
      <c r="F771" s="22"/>
    </row>
    <row r="772" spans="2:6" ht="12.5">
      <c r="B772" s="22"/>
      <c r="C772" s="22"/>
      <c r="D772" s="22"/>
      <c r="E772" s="22"/>
      <c r="F772" s="22"/>
    </row>
    <row r="773" spans="2:6" ht="12.5">
      <c r="B773" s="22"/>
      <c r="C773" s="22"/>
      <c r="D773" s="22"/>
      <c r="E773" s="22"/>
      <c r="F773" s="22"/>
    </row>
    <row r="774" spans="2:6" ht="12.5">
      <c r="B774" s="22"/>
      <c r="C774" s="22"/>
      <c r="D774" s="22"/>
      <c r="E774" s="22"/>
      <c r="F774" s="22"/>
    </row>
    <row r="775" spans="2:6" ht="12.5">
      <c r="B775" s="22"/>
      <c r="C775" s="22"/>
      <c r="D775" s="22"/>
      <c r="E775" s="22"/>
      <c r="F775" s="22"/>
    </row>
    <row r="776" spans="2:6" ht="12.5">
      <c r="B776" s="22"/>
      <c r="C776" s="22"/>
      <c r="D776" s="22"/>
      <c r="E776" s="22"/>
      <c r="F776" s="22"/>
    </row>
    <row r="777" spans="2:6" ht="12.5">
      <c r="B777" s="22"/>
      <c r="C777" s="22"/>
      <c r="D777" s="22"/>
      <c r="E777" s="22"/>
      <c r="F777" s="22"/>
    </row>
    <row r="778" spans="2:6" ht="12.5">
      <c r="B778" s="22"/>
      <c r="C778" s="22"/>
      <c r="D778" s="22"/>
      <c r="E778" s="22"/>
      <c r="F778" s="22"/>
    </row>
    <row r="779" spans="2:6" ht="12.5">
      <c r="B779" s="22"/>
      <c r="C779" s="22"/>
      <c r="D779" s="22"/>
      <c r="E779" s="22"/>
      <c r="F779" s="22"/>
    </row>
    <row r="780" spans="2:6" ht="12.5">
      <c r="B780" s="22"/>
      <c r="C780" s="22"/>
      <c r="D780" s="22"/>
      <c r="E780" s="22"/>
      <c r="F780" s="22"/>
    </row>
    <row r="781" spans="2:6" ht="12.5">
      <c r="B781" s="22"/>
      <c r="C781" s="22"/>
      <c r="D781" s="22"/>
      <c r="E781" s="22"/>
      <c r="F781" s="22"/>
    </row>
    <row r="782" spans="2:6" ht="12.5">
      <c r="B782" s="22"/>
      <c r="C782" s="22"/>
      <c r="D782" s="22"/>
      <c r="E782" s="22"/>
      <c r="F782" s="22"/>
    </row>
    <row r="783" spans="2:6" ht="12.5">
      <c r="B783" s="22"/>
      <c r="C783" s="22"/>
      <c r="D783" s="22"/>
      <c r="E783" s="22"/>
      <c r="F783" s="22"/>
    </row>
    <row r="784" spans="2:6" ht="12.5">
      <c r="B784" s="22"/>
      <c r="C784" s="22"/>
      <c r="D784" s="22"/>
      <c r="E784" s="22"/>
      <c r="F784" s="22"/>
    </row>
    <row r="785" spans="2:6" ht="12.5">
      <c r="B785" s="22"/>
      <c r="C785" s="22"/>
      <c r="D785" s="22"/>
      <c r="E785" s="22"/>
      <c r="F785" s="22"/>
    </row>
    <row r="786" spans="2:6" ht="12.5">
      <c r="B786" s="22"/>
      <c r="C786" s="22"/>
      <c r="D786" s="22"/>
      <c r="E786" s="22"/>
      <c r="F786" s="22"/>
    </row>
    <row r="787" spans="2:6" ht="12.5">
      <c r="B787" s="22"/>
      <c r="C787" s="22"/>
      <c r="D787" s="22"/>
      <c r="E787" s="22"/>
      <c r="F787" s="22"/>
    </row>
    <row r="788" spans="2:6" ht="12.5">
      <c r="B788" s="22"/>
      <c r="C788" s="22"/>
      <c r="D788" s="22"/>
      <c r="E788" s="22"/>
      <c r="F788" s="22"/>
    </row>
    <row r="789" spans="2:6" ht="12.5">
      <c r="B789" s="22"/>
      <c r="C789" s="22"/>
      <c r="D789" s="22"/>
      <c r="E789" s="22"/>
      <c r="F789" s="22"/>
    </row>
    <row r="790" spans="2:6" ht="12.5">
      <c r="B790" s="22"/>
      <c r="C790" s="22"/>
      <c r="D790" s="22"/>
      <c r="E790" s="22"/>
      <c r="F790" s="22"/>
    </row>
    <row r="791" spans="2:6" ht="12.5">
      <c r="B791" s="22"/>
      <c r="C791" s="22"/>
      <c r="D791" s="22"/>
      <c r="E791" s="22"/>
      <c r="F791" s="22"/>
    </row>
    <row r="792" spans="2:6" ht="12.5">
      <c r="B792" s="22"/>
      <c r="C792" s="22"/>
      <c r="D792" s="22"/>
      <c r="E792" s="22"/>
      <c r="F792" s="22"/>
    </row>
    <row r="793" spans="2:6" ht="12.5">
      <c r="B793" s="22"/>
      <c r="C793" s="22"/>
      <c r="D793" s="22"/>
      <c r="E793" s="22"/>
      <c r="F793" s="22"/>
    </row>
    <row r="794" spans="2:6" ht="12.5">
      <c r="B794" s="22"/>
      <c r="C794" s="22"/>
      <c r="D794" s="22"/>
      <c r="E794" s="22"/>
      <c r="F794" s="22"/>
    </row>
    <row r="795" spans="2:6" ht="12.5">
      <c r="B795" s="22"/>
      <c r="C795" s="22"/>
      <c r="D795" s="22"/>
      <c r="E795" s="22"/>
      <c r="F795" s="22"/>
    </row>
    <row r="796" spans="2:6" ht="12.5">
      <c r="B796" s="22"/>
      <c r="C796" s="22"/>
      <c r="D796" s="22"/>
      <c r="E796" s="22"/>
      <c r="F796" s="22"/>
    </row>
    <row r="797" spans="2:6" ht="12.5">
      <c r="B797" s="22"/>
      <c r="C797" s="22"/>
      <c r="D797" s="22"/>
      <c r="E797" s="22"/>
      <c r="F797" s="22"/>
    </row>
    <row r="798" spans="2:6" ht="12.5">
      <c r="B798" s="22"/>
      <c r="C798" s="22"/>
      <c r="D798" s="22"/>
      <c r="E798" s="22"/>
      <c r="F798" s="22"/>
    </row>
    <row r="799" spans="2:6" ht="12.5">
      <c r="B799" s="22"/>
      <c r="C799" s="22"/>
      <c r="D799" s="22"/>
      <c r="E799" s="22"/>
      <c r="F799" s="22"/>
    </row>
    <row r="800" spans="2:6" ht="12.5">
      <c r="B800" s="22"/>
      <c r="C800" s="22"/>
      <c r="D800" s="22"/>
      <c r="E800" s="22"/>
      <c r="F800" s="22"/>
    </row>
    <row r="801" spans="2:6" ht="12.5">
      <c r="B801" s="22"/>
      <c r="C801" s="22"/>
      <c r="D801" s="22"/>
      <c r="E801" s="22"/>
      <c r="F801" s="22"/>
    </row>
    <row r="802" spans="2:6" ht="12.5">
      <c r="B802" s="22"/>
      <c r="C802" s="22"/>
      <c r="D802" s="22"/>
      <c r="E802" s="22"/>
      <c r="F802" s="22"/>
    </row>
    <row r="803" spans="2:6" ht="12.5">
      <c r="B803" s="22"/>
      <c r="C803" s="22"/>
      <c r="D803" s="22"/>
      <c r="E803" s="22"/>
      <c r="F803" s="22"/>
    </row>
    <row r="804" spans="2:6" ht="12.5">
      <c r="B804" s="22"/>
      <c r="C804" s="22"/>
      <c r="D804" s="22"/>
      <c r="E804" s="22"/>
      <c r="F804" s="22"/>
    </row>
    <row r="805" spans="2:6" ht="12.5">
      <c r="B805" s="22"/>
      <c r="C805" s="22"/>
      <c r="D805" s="22"/>
      <c r="E805" s="22"/>
      <c r="F805" s="22"/>
    </row>
    <row r="806" spans="2:6" ht="12.5">
      <c r="B806" s="22"/>
      <c r="C806" s="22"/>
      <c r="D806" s="22"/>
      <c r="E806" s="22"/>
      <c r="F806" s="22"/>
    </row>
    <row r="807" spans="2:6" ht="12.5">
      <c r="B807" s="22"/>
      <c r="C807" s="22"/>
      <c r="D807" s="22"/>
      <c r="E807" s="22"/>
      <c r="F807" s="22"/>
    </row>
    <row r="808" spans="2:6" ht="12.5">
      <c r="B808" s="22"/>
      <c r="C808" s="22"/>
      <c r="D808" s="22"/>
      <c r="E808" s="22"/>
      <c r="F808" s="22"/>
    </row>
    <row r="809" spans="2:6" ht="12.5">
      <c r="B809" s="22"/>
      <c r="C809" s="22"/>
      <c r="D809" s="22"/>
      <c r="E809" s="22"/>
      <c r="F809" s="22"/>
    </row>
    <row r="810" spans="2:6" ht="12.5">
      <c r="B810" s="22"/>
      <c r="C810" s="22"/>
      <c r="D810" s="22"/>
      <c r="E810" s="22"/>
      <c r="F810" s="22"/>
    </row>
    <row r="811" spans="2:6" ht="12.5">
      <c r="B811" s="22"/>
      <c r="C811" s="22"/>
      <c r="D811" s="22"/>
      <c r="E811" s="22"/>
      <c r="F811" s="22"/>
    </row>
    <row r="812" spans="2:6" ht="12.5">
      <c r="B812" s="22"/>
      <c r="C812" s="22"/>
      <c r="D812" s="22"/>
      <c r="E812" s="22"/>
      <c r="F812" s="22"/>
    </row>
    <row r="813" spans="2:6" ht="12.5">
      <c r="B813" s="22"/>
      <c r="C813" s="22"/>
      <c r="D813" s="22"/>
      <c r="E813" s="22"/>
      <c r="F813" s="22"/>
    </row>
    <row r="814" spans="2:6" ht="12.5">
      <c r="B814" s="22"/>
      <c r="C814" s="22"/>
      <c r="D814" s="22"/>
      <c r="E814" s="22"/>
      <c r="F814" s="22"/>
    </row>
    <row r="815" spans="2:6" ht="12.5">
      <c r="B815" s="22"/>
      <c r="C815" s="22"/>
      <c r="D815" s="22"/>
      <c r="E815" s="22"/>
      <c r="F815" s="22"/>
    </row>
    <row r="816" spans="2:6" ht="12.5">
      <c r="B816" s="22"/>
      <c r="C816" s="22"/>
      <c r="D816" s="22"/>
      <c r="E816" s="22"/>
      <c r="F816" s="22"/>
    </row>
    <row r="817" spans="2:6" ht="12.5">
      <c r="B817" s="22"/>
      <c r="C817" s="22"/>
      <c r="D817" s="22"/>
      <c r="E817" s="22"/>
      <c r="F817" s="22"/>
    </row>
    <row r="818" spans="2:6" ht="12.5">
      <c r="B818" s="22"/>
      <c r="C818" s="22"/>
      <c r="D818" s="22"/>
      <c r="E818" s="22"/>
      <c r="F818" s="22"/>
    </row>
    <row r="819" spans="2:6" ht="12.5">
      <c r="B819" s="22"/>
      <c r="C819" s="22"/>
      <c r="D819" s="22"/>
      <c r="E819" s="22"/>
      <c r="F819" s="22"/>
    </row>
    <row r="820" spans="2:6" ht="12.5">
      <c r="B820" s="22"/>
      <c r="C820" s="22"/>
      <c r="D820" s="22"/>
      <c r="E820" s="22"/>
      <c r="F820" s="22"/>
    </row>
    <row r="821" spans="2:6" ht="12.5">
      <c r="B821" s="22"/>
      <c r="C821" s="22"/>
      <c r="D821" s="22"/>
      <c r="E821" s="22"/>
      <c r="F821" s="22"/>
    </row>
    <row r="822" spans="2:6" ht="12.5">
      <c r="B822" s="22"/>
      <c r="C822" s="22"/>
      <c r="D822" s="22"/>
      <c r="E822" s="22"/>
      <c r="F822" s="22"/>
    </row>
    <row r="823" spans="2:6" ht="12.5">
      <c r="B823" s="22"/>
      <c r="C823" s="22"/>
      <c r="D823" s="22"/>
      <c r="E823" s="22"/>
      <c r="F823" s="22"/>
    </row>
    <row r="824" spans="2:6" ht="12.5">
      <c r="B824" s="22"/>
      <c r="C824" s="22"/>
      <c r="D824" s="22"/>
      <c r="E824" s="22"/>
      <c r="F824" s="22"/>
    </row>
    <row r="825" spans="2:6" ht="12.5">
      <c r="B825" s="22"/>
      <c r="C825" s="22"/>
      <c r="D825" s="22"/>
      <c r="E825" s="22"/>
      <c r="F825" s="22"/>
    </row>
    <row r="826" spans="2:6" ht="12.5">
      <c r="B826" s="22"/>
      <c r="C826" s="22"/>
      <c r="D826" s="22"/>
      <c r="E826" s="22"/>
      <c r="F826" s="22"/>
    </row>
    <row r="827" spans="2:6" ht="12.5">
      <c r="B827" s="22"/>
      <c r="C827" s="22"/>
      <c r="D827" s="22"/>
      <c r="E827" s="22"/>
      <c r="F827" s="22"/>
    </row>
    <row r="828" spans="2:6" ht="12.5">
      <c r="B828" s="22"/>
      <c r="C828" s="22"/>
      <c r="D828" s="22"/>
      <c r="E828" s="22"/>
      <c r="F828" s="22"/>
    </row>
    <row r="829" spans="2:6" ht="12.5">
      <c r="B829" s="22"/>
      <c r="C829" s="22"/>
      <c r="D829" s="22"/>
      <c r="E829" s="22"/>
      <c r="F829" s="22"/>
    </row>
    <row r="830" spans="2:6" ht="12.5">
      <c r="B830" s="22"/>
      <c r="C830" s="22"/>
      <c r="D830" s="22"/>
      <c r="E830" s="22"/>
      <c r="F830" s="22"/>
    </row>
    <row r="831" spans="2:6" ht="12.5">
      <c r="B831" s="22"/>
      <c r="C831" s="22"/>
      <c r="D831" s="22"/>
      <c r="E831" s="22"/>
      <c r="F831" s="22"/>
    </row>
    <row r="832" spans="2:6" ht="12.5">
      <c r="B832" s="22"/>
      <c r="C832" s="22"/>
      <c r="D832" s="22"/>
      <c r="E832" s="22"/>
      <c r="F832" s="22"/>
    </row>
    <row r="833" spans="2:6" ht="12.5">
      <c r="B833" s="22"/>
      <c r="C833" s="22"/>
      <c r="D833" s="22"/>
      <c r="E833" s="22"/>
      <c r="F833" s="22"/>
    </row>
    <row r="834" spans="2:6" ht="12.5">
      <c r="B834" s="22"/>
      <c r="C834" s="22"/>
      <c r="D834" s="22"/>
      <c r="E834" s="22"/>
      <c r="F834" s="22"/>
    </row>
    <row r="835" spans="2:6" ht="12.5">
      <c r="B835" s="22"/>
      <c r="C835" s="22"/>
      <c r="D835" s="22"/>
      <c r="E835" s="22"/>
      <c r="F835" s="22"/>
    </row>
    <row r="836" spans="2:6" ht="12.5">
      <c r="B836" s="22"/>
      <c r="C836" s="22"/>
      <c r="D836" s="22"/>
      <c r="E836" s="22"/>
      <c r="F836" s="22"/>
    </row>
    <row r="837" spans="2:6" ht="12.5">
      <c r="B837" s="22"/>
      <c r="C837" s="22"/>
      <c r="D837" s="22"/>
      <c r="E837" s="22"/>
      <c r="F837" s="22"/>
    </row>
    <row r="838" spans="2:6" ht="12.5">
      <c r="B838" s="22"/>
      <c r="C838" s="22"/>
      <c r="D838" s="22"/>
      <c r="E838" s="22"/>
      <c r="F838" s="22"/>
    </row>
    <row r="839" spans="2:6" ht="12.5">
      <c r="B839" s="22"/>
      <c r="C839" s="22"/>
      <c r="D839" s="22"/>
      <c r="E839" s="22"/>
      <c r="F839" s="22"/>
    </row>
    <row r="840" spans="2:6" ht="12.5">
      <c r="B840" s="22"/>
      <c r="C840" s="22"/>
      <c r="D840" s="22"/>
      <c r="E840" s="22"/>
      <c r="F840" s="22"/>
    </row>
    <row r="841" spans="2:6" ht="12.5">
      <c r="B841" s="22"/>
      <c r="C841" s="22"/>
      <c r="D841" s="22"/>
      <c r="E841" s="22"/>
      <c r="F841" s="22"/>
    </row>
    <row r="842" spans="2:6" ht="12.5">
      <c r="B842" s="22"/>
      <c r="C842" s="22"/>
      <c r="D842" s="22"/>
      <c r="E842" s="22"/>
      <c r="F842" s="22"/>
    </row>
    <row r="843" spans="2:6" ht="12.5">
      <c r="B843" s="22"/>
      <c r="C843" s="22"/>
      <c r="D843" s="22"/>
      <c r="E843" s="22"/>
      <c r="F843" s="22"/>
    </row>
    <row r="844" spans="2:6" ht="12.5">
      <c r="B844" s="22"/>
      <c r="C844" s="22"/>
      <c r="D844" s="22"/>
      <c r="E844" s="22"/>
      <c r="F844" s="22"/>
    </row>
    <row r="845" spans="2:6" ht="12.5">
      <c r="B845" s="22"/>
      <c r="C845" s="22"/>
      <c r="D845" s="22"/>
      <c r="E845" s="22"/>
      <c r="F845" s="22"/>
    </row>
    <row r="846" spans="2:6" ht="12.5">
      <c r="B846" s="22"/>
      <c r="C846" s="22"/>
      <c r="D846" s="22"/>
      <c r="E846" s="22"/>
      <c r="F846" s="22"/>
    </row>
    <row r="847" spans="2:6" ht="12.5">
      <c r="B847" s="22"/>
      <c r="C847" s="22"/>
      <c r="D847" s="22"/>
      <c r="E847" s="22"/>
      <c r="F847" s="22"/>
    </row>
    <row r="848" spans="2:6" ht="12.5">
      <c r="B848" s="22"/>
      <c r="C848" s="22"/>
      <c r="D848" s="22"/>
      <c r="E848" s="22"/>
      <c r="F848" s="22"/>
    </row>
    <row r="849" spans="2:6" ht="12.5">
      <c r="B849" s="22"/>
      <c r="C849" s="22"/>
      <c r="D849" s="22"/>
      <c r="E849" s="22"/>
      <c r="F849" s="22"/>
    </row>
    <row r="850" spans="2:6" ht="12.5">
      <c r="B850" s="22"/>
      <c r="C850" s="22"/>
      <c r="D850" s="22"/>
      <c r="E850" s="22"/>
      <c r="F850" s="22"/>
    </row>
    <row r="851" spans="2:6" ht="12.5">
      <c r="B851" s="22"/>
      <c r="C851" s="22"/>
      <c r="D851" s="22"/>
      <c r="E851" s="22"/>
      <c r="F851" s="22"/>
    </row>
    <row r="852" spans="2:6" ht="12.5">
      <c r="B852" s="22"/>
      <c r="C852" s="22"/>
      <c r="D852" s="22"/>
      <c r="E852" s="22"/>
      <c r="F852" s="22"/>
    </row>
    <row r="853" spans="2:6" ht="12.5">
      <c r="B853" s="22"/>
      <c r="C853" s="22"/>
      <c r="D853" s="22"/>
      <c r="E853" s="22"/>
      <c r="F853" s="22"/>
    </row>
    <row r="854" spans="2:6" ht="12.5">
      <c r="B854" s="22"/>
      <c r="C854" s="22"/>
      <c r="D854" s="22"/>
      <c r="E854" s="22"/>
      <c r="F854" s="22"/>
    </row>
    <row r="855" spans="2:6" ht="12.5">
      <c r="B855" s="22"/>
      <c r="C855" s="22"/>
      <c r="D855" s="22"/>
      <c r="E855" s="22"/>
      <c r="F855" s="22"/>
    </row>
    <row r="856" spans="2:6" ht="12.5">
      <c r="B856" s="22"/>
      <c r="C856" s="22"/>
      <c r="D856" s="22"/>
      <c r="E856" s="22"/>
      <c r="F856" s="22"/>
    </row>
    <row r="857" spans="2:6" ht="12.5">
      <c r="B857" s="22"/>
      <c r="C857" s="22"/>
      <c r="D857" s="22"/>
      <c r="E857" s="22"/>
      <c r="F857" s="22"/>
    </row>
    <row r="858" spans="2:6" ht="12.5">
      <c r="B858" s="22"/>
      <c r="C858" s="22"/>
      <c r="D858" s="22"/>
      <c r="E858" s="22"/>
      <c r="F858" s="22"/>
    </row>
    <row r="859" spans="2:6" ht="12.5">
      <c r="B859" s="22"/>
      <c r="C859" s="22"/>
      <c r="D859" s="22"/>
      <c r="E859" s="22"/>
      <c r="F859" s="22"/>
    </row>
    <row r="860" spans="2:6" ht="12.5">
      <c r="B860" s="22"/>
      <c r="C860" s="22"/>
      <c r="D860" s="22"/>
      <c r="E860" s="22"/>
      <c r="F860" s="22"/>
    </row>
    <row r="861" spans="2:6" ht="12.5">
      <c r="B861" s="22"/>
      <c r="C861" s="22"/>
      <c r="D861" s="22"/>
      <c r="E861" s="22"/>
      <c r="F861" s="22"/>
    </row>
    <row r="862" spans="2:6" ht="12.5">
      <c r="B862" s="22"/>
      <c r="C862" s="22"/>
      <c r="D862" s="22"/>
      <c r="E862" s="22"/>
      <c r="F862" s="22"/>
    </row>
    <row r="863" spans="2:6" ht="12.5">
      <c r="B863" s="22"/>
      <c r="C863" s="22"/>
      <c r="D863" s="22"/>
      <c r="E863" s="22"/>
      <c r="F863" s="22"/>
    </row>
    <row r="864" spans="2:6" ht="12.5">
      <c r="B864" s="22"/>
      <c r="C864" s="22"/>
      <c r="D864" s="22"/>
      <c r="E864" s="22"/>
      <c r="F864" s="22"/>
    </row>
    <row r="865" spans="2:6" ht="12.5">
      <c r="B865" s="22"/>
      <c r="C865" s="22"/>
      <c r="D865" s="22"/>
      <c r="E865" s="22"/>
      <c r="F865" s="22"/>
    </row>
    <row r="866" spans="2:6" ht="12.5">
      <c r="B866" s="22"/>
      <c r="C866" s="22"/>
      <c r="D866" s="22"/>
      <c r="E866" s="22"/>
      <c r="F866" s="22"/>
    </row>
    <row r="867" spans="2:6" ht="12.5">
      <c r="B867" s="22"/>
      <c r="C867" s="22"/>
      <c r="D867" s="22"/>
      <c r="E867" s="22"/>
      <c r="F867" s="22"/>
    </row>
    <row r="868" spans="2:6" ht="12.5">
      <c r="B868" s="22"/>
      <c r="C868" s="22"/>
      <c r="D868" s="22"/>
      <c r="E868" s="22"/>
      <c r="F868" s="22"/>
    </row>
    <row r="869" spans="2:6" ht="12.5">
      <c r="B869" s="22"/>
      <c r="C869" s="22"/>
      <c r="D869" s="22"/>
      <c r="E869" s="22"/>
      <c r="F869" s="22"/>
    </row>
    <row r="870" spans="2:6" ht="12.5">
      <c r="B870" s="22"/>
      <c r="C870" s="22"/>
      <c r="D870" s="22"/>
      <c r="E870" s="22"/>
      <c r="F870" s="22"/>
    </row>
    <row r="871" spans="2:6" ht="12.5">
      <c r="B871" s="22"/>
      <c r="C871" s="22"/>
      <c r="D871" s="22"/>
      <c r="E871" s="22"/>
      <c r="F871" s="22"/>
    </row>
    <row r="872" spans="2:6" ht="12.5">
      <c r="B872" s="22"/>
      <c r="C872" s="22"/>
      <c r="D872" s="22"/>
      <c r="E872" s="22"/>
      <c r="F872" s="22"/>
    </row>
    <row r="873" spans="2:6" ht="12.5">
      <c r="B873" s="22"/>
      <c r="C873" s="22"/>
      <c r="D873" s="22"/>
      <c r="E873" s="22"/>
      <c r="F873" s="22"/>
    </row>
    <row r="874" spans="2:6" ht="12.5">
      <c r="B874" s="22"/>
      <c r="C874" s="22"/>
      <c r="D874" s="22"/>
      <c r="E874" s="22"/>
      <c r="F874" s="22"/>
    </row>
    <row r="875" spans="2:6" ht="12.5">
      <c r="B875" s="22"/>
      <c r="C875" s="22"/>
      <c r="D875" s="22"/>
      <c r="E875" s="22"/>
      <c r="F875" s="22"/>
    </row>
    <row r="876" spans="2:6" ht="12.5">
      <c r="B876" s="22"/>
      <c r="C876" s="22"/>
      <c r="D876" s="22"/>
      <c r="E876" s="22"/>
      <c r="F876" s="22"/>
    </row>
    <row r="877" spans="2:6" ht="12.5">
      <c r="B877" s="22"/>
      <c r="C877" s="22"/>
      <c r="D877" s="22"/>
      <c r="E877" s="22"/>
      <c r="F877" s="22"/>
    </row>
    <row r="878" spans="2:6" ht="12.5">
      <c r="B878" s="22"/>
      <c r="C878" s="22"/>
      <c r="D878" s="22"/>
      <c r="E878" s="22"/>
      <c r="F878" s="22"/>
    </row>
    <row r="879" spans="2:6" ht="12.5">
      <c r="B879" s="22"/>
      <c r="C879" s="22"/>
      <c r="D879" s="22"/>
      <c r="E879" s="22"/>
      <c r="F879" s="22"/>
    </row>
    <row r="880" spans="2:6" ht="12.5">
      <c r="B880" s="22"/>
      <c r="C880" s="22"/>
      <c r="D880" s="22"/>
      <c r="E880" s="22"/>
      <c r="F880" s="22"/>
    </row>
    <row r="881" spans="2:6" ht="12.5">
      <c r="B881" s="22"/>
      <c r="C881" s="22"/>
      <c r="D881" s="22"/>
      <c r="E881" s="22"/>
      <c r="F881" s="22"/>
    </row>
    <row r="882" spans="2:6" ht="12.5">
      <c r="B882" s="22"/>
      <c r="C882" s="22"/>
      <c r="D882" s="22"/>
      <c r="E882" s="22"/>
      <c r="F882" s="22"/>
    </row>
    <row r="883" spans="2:6" ht="12.5">
      <c r="B883" s="22"/>
      <c r="C883" s="22"/>
      <c r="D883" s="22"/>
      <c r="E883" s="22"/>
      <c r="F883" s="22"/>
    </row>
    <row r="884" spans="2:6" ht="12.5">
      <c r="B884" s="22"/>
      <c r="C884" s="22"/>
      <c r="D884" s="22"/>
      <c r="E884" s="22"/>
      <c r="F884" s="22"/>
    </row>
    <row r="885" spans="2:6" ht="12.5">
      <c r="B885" s="22"/>
      <c r="C885" s="22"/>
      <c r="D885" s="22"/>
      <c r="E885" s="22"/>
      <c r="F885" s="22"/>
    </row>
    <row r="886" spans="2:6" ht="12.5">
      <c r="B886" s="22"/>
      <c r="C886" s="22"/>
      <c r="D886" s="22"/>
      <c r="E886" s="22"/>
      <c r="F886" s="22"/>
    </row>
    <row r="887" spans="2:6" ht="12.5">
      <c r="B887" s="22"/>
      <c r="C887" s="22"/>
      <c r="D887" s="22"/>
      <c r="E887" s="22"/>
      <c r="F887" s="22"/>
    </row>
    <row r="888" spans="2:6" ht="12.5">
      <c r="B888" s="22"/>
      <c r="C888" s="22"/>
      <c r="D888" s="22"/>
      <c r="E888" s="22"/>
      <c r="F888" s="22"/>
    </row>
    <row r="889" spans="2:6" ht="12.5">
      <c r="B889" s="22"/>
      <c r="C889" s="22"/>
      <c r="D889" s="22"/>
      <c r="E889" s="22"/>
      <c r="F889" s="22"/>
    </row>
    <row r="890" spans="2:6" ht="12.5">
      <c r="B890" s="22"/>
      <c r="C890" s="22"/>
      <c r="D890" s="22"/>
      <c r="E890" s="22"/>
      <c r="F890" s="22"/>
    </row>
    <row r="891" spans="2:6" ht="12.5">
      <c r="B891" s="22"/>
      <c r="C891" s="22"/>
      <c r="D891" s="22"/>
      <c r="E891" s="22"/>
      <c r="F891" s="22"/>
    </row>
    <row r="892" spans="2:6" ht="12.5">
      <c r="B892" s="22"/>
      <c r="C892" s="22"/>
      <c r="D892" s="22"/>
      <c r="E892" s="22"/>
      <c r="F892" s="22"/>
    </row>
    <row r="893" spans="2:6" ht="12.5">
      <c r="B893" s="22"/>
      <c r="C893" s="22"/>
      <c r="D893" s="22"/>
      <c r="E893" s="22"/>
      <c r="F893" s="22"/>
    </row>
    <row r="894" spans="2:6" ht="12.5">
      <c r="B894" s="22"/>
      <c r="C894" s="22"/>
      <c r="D894" s="22"/>
      <c r="E894" s="22"/>
      <c r="F894" s="22"/>
    </row>
    <row r="895" spans="2:6" ht="12.5">
      <c r="B895" s="22"/>
      <c r="C895" s="22"/>
      <c r="D895" s="22"/>
      <c r="E895" s="22"/>
      <c r="F895" s="22"/>
    </row>
    <row r="896" spans="2:6" ht="12.5">
      <c r="B896" s="22"/>
      <c r="C896" s="22"/>
      <c r="D896" s="22"/>
      <c r="E896" s="22"/>
      <c r="F896" s="22"/>
    </row>
    <row r="897" spans="2:6" ht="12.5">
      <c r="B897" s="22"/>
      <c r="C897" s="22"/>
      <c r="D897" s="22"/>
      <c r="E897" s="22"/>
      <c r="F897" s="22"/>
    </row>
    <row r="898" spans="2:6" ht="12.5">
      <c r="B898" s="22"/>
      <c r="C898" s="22"/>
      <c r="D898" s="22"/>
      <c r="E898" s="22"/>
      <c r="F898" s="22"/>
    </row>
    <row r="899" spans="2:6" ht="12.5">
      <c r="B899" s="22"/>
      <c r="C899" s="22"/>
      <c r="D899" s="22"/>
      <c r="E899" s="22"/>
      <c r="F899" s="22"/>
    </row>
    <row r="900" spans="2:6" ht="12.5">
      <c r="B900" s="22"/>
      <c r="C900" s="22"/>
      <c r="D900" s="22"/>
      <c r="E900" s="22"/>
      <c r="F900" s="22"/>
    </row>
    <row r="901" spans="2:6" ht="12.5">
      <c r="B901" s="22"/>
      <c r="C901" s="22"/>
      <c r="D901" s="22"/>
      <c r="E901" s="22"/>
      <c r="F901" s="22"/>
    </row>
    <row r="902" spans="2:6" ht="12.5">
      <c r="B902" s="22"/>
      <c r="C902" s="22"/>
      <c r="D902" s="22"/>
      <c r="E902" s="22"/>
      <c r="F902" s="22"/>
    </row>
    <row r="903" spans="2:6" ht="12.5">
      <c r="B903" s="22"/>
      <c r="C903" s="22"/>
      <c r="D903" s="22"/>
      <c r="E903" s="22"/>
      <c r="F903" s="22"/>
    </row>
    <row r="904" spans="2:6" ht="12.5">
      <c r="B904" s="22"/>
      <c r="C904" s="22"/>
      <c r="D904" s="22"/>
      <c r="E904" s="22"/>
      <c r="F904" s="22"/>
    </row>
    <row r="905" spans="2:6" ht="12.5">
      <c r="B905" s="22"/>
      <c r="C905" s="22"/>
      <c r="D905" s="22"/>
      <c r="E905" s="22"/>
      <c r="F905" s="22"/>
    </row>
    <row r="906" spans="2:6" ht="12.5">
      <c r="B906" s="22"/>
      <c r="C906" s="22"/>
      <c r="D906" s="22"/>
      <c r="E906" s="22"/>
      <c r="F906" s="22"/>
    </row>
    <row r="907" spans="2:6" ht="12.5">
      <c r="B907" s="22"/>
      <c r="C907" s="22"/>
      <c r="D907" s="22"/>
      <c r="E907" s="22"/>
      <c r="F907" s="22"/>
    </row>
    <row r="908" spans="2:6" ht="12.5">
      <c r="B908" s="22"/>
      <c r="C908" s="22"/>
      <c r="D908" s="22"/>
      <c r="E908" s="22"/>
      <c r="F908" s="22"/>
    </row>
    <row r="909" spans="2:6" ht="12.5">
      <c r="B909" s="22"/>
      <c r="C909" s="22"/>
      <c r="D909" s="22"/>
      <c r="E909" s="22"/>
      <c r="F909" s="22"/>
    </row>
    <row r="910" spans="2:6" ht="12.5">
      <c r="B910" s="22"/>
      <c r="C910" s="22"/>
      <c r="D910" s="22"/>
      <c r="E910" s="22"/>
      <c r="F910" s="22"/>
    </row>
    <row r="911" spans="2:6" ht="12.5">
      <c r="B911" s="22"/>
      <c r="C911" s="22"/>
      <c r="D911" s="22"/>
      <c r="E911" s="22"/>
      <c r="F911" s="22"/>
    </row>
    <row r="912" spans="2:6" ht="12.5">
      <c r="B912" s="22"/>
      <c r="C912" s="22"/>
      <c r="D912" s="22"/>
      <c r="E912" s="22"/>
      <c r="F912" s="22"/>
    </row>
    <row r="913" spans="2:6" ht="12.5">
      <c r="B913" s="22"/>
      <c r="C913" s="22"/>
      <c r="D913" s="22"/>
      <c r="E913" s="22"/>
      <c r="F913" s="22"/>
    </row>
    <row r="914" spans="2:6" ht="12.5">
      <c r="B914" s="22"/>
      <c r="C914" s="22"/>
      <c r="D914" s="22"/>
      <c r="E914" s="22"/>
      <c r="F914" s="22"/>
    </row>
    <row r="915" spans="2:6" ht="12.5">
      <c r="B915" s="22"/>
      <c r="C915" s="22"/>
      <c r="D915" s="22"/>
      <c r="E915" s="22"/>
      <c r="F915" s="22"/>
    </row>
    <row r="916" spans="2:6" ht="12.5">
      <c r="B916" s="22"/>
      <c r="C916" s="22"/>
      <c r="D916" s="22"/>
      <c r="E916" s="22"/>
      <c r="F916" s="22"/>
    </row>
    <row r="917" spans="2:6" ht="12.5">
      <c r="B917" s="22"/>
      <c r="C917" s="22"/>
      <c r="D917" s="22"/>
      <c r="E917" s="22"/>
      <c r="F917" s="22"/>
    </row>
    <row r="918" spans="2:6" ht="12.5">
      <c r="B918" s="22"/>
      <c r="C918" s="22"/>
      <c r="D918" s="22"/>
      <c r="E918" s="22"/>
      <c r="F918" s="22"/>
    </row>
    <row r="919" spans="2:6" ht="12.5">
      <c r="B919" s="22"/>
      <c r="C919" s="22"/>
      <c r="D919" s="22"/>
      <c r="E919" s="22"/>
      <c r="F919" s="22"/>
    </row>
    <row r="920" spans="2:6" ht="12.5">
      <c r="B920" s="22"/>
      <c r="C920" s="22"/>
      <c r="D920" s="22"/>
      <c r="E920" s="22"/>
      <c r="F920" s="22"/>
    </row>
    <row r="921" spans="2:6" ht="12.5">
      <c r="B921" s="22"/>
      <c r="C921" s="22"/>
      <c r="D921" s="22"/>
      <c r="E921" s="22"/>
      <c r="F921" s="22"/>
    </row>
    <row r="922" spans="2:6" ht="12.5">
      <c r="B922" s="22"/>
      <c r="C922" s="22"/>
      <c r="D922" s="22"/>
      <c r="E922" s="22"/>
      <c r="F922" s="22"/>
    </row>
    <row r="923" spans="2:6" ht="12.5">
      <c r="B923" s="22"/>
      <c r="C923" s="22"/>
      <c r="D923" s="22"/>
      <c r="E923" s="22"/>
      <c r="F923" s="22"/>
    </row>
    <row r="924" spans="2:6" ht="12.5">
      <c r="B924" s="22"/>
      <c r="C924" s="22"/>
      <c r="D924" s="22"/>
      <c r="E924" s="22"/>
      <c r="F924" s="22"/>
    </row>
    <row r="925" spans="2:6" ht="12.5">
      <c r="B925" s="22"/>
      <c r="C925" s="22"/>
      <c r="D925" s="22"/>
      <c r="E925" s="22"/>
      <c r="F925" s="22"/>
    </row>
    <row r="926" spans="2:6" ht="12.5">
      <c r="B926" s="22"/>
      <c r="C926" s="22"/>
      <c r="D926" s="22"/>
      <c r="E926" s="22"/>
      <c r="F926" s="22"/>
    </row>
    <row r="927" spans="2:6" ht="12.5">
      <c r="B927" s="22"/>
      <c r="C927" s="22"/>
      <c r="D927" s="22"/>
      <c r="E927" s="22"/>
      <c r="F927" s="22"/>
    </row>
    <row r="928" spans="2:6" ht="12.5">
      <c r="B928" s="22"/>
      <c r="C928" s="22"/>
      <c r="D928" s="22"/>
      <c r="E928" s="22"/>
      <c r="F928" s="22"/>
    </row>
    <row r="929" spans="2:6" ht="12.5">
      <c r="B929" s="22"/>
      <c r="C929" s="22"/>
      <c r="D929" s="22"/>
      <c r="E929" s="22"/>
      <c r="F929" s="22"/>
    </row>
    <row r="930" spans="2:6" ht="12.5">
      <c r="B930" s="22"/>
      <c r="C930" s="22"/>
      <c r="D930" s="22"/>
      <c r="E930" s="22"/>
      <c r="F930" s="22"/>
    </row>
    <row r="931" spans="2:6" ht="12.5">
      <c r="B931" s="22"/>
      <c r="C931" s="22"/>
      <c r="D931" s="22"/>
      <c r="E931" s="22"/>
      <c r="F931" s="22"/>
    </row>
    <row r="932" spans="2:6" ht="12.5">
      <c r="B932" s="22"/>
      <c r="C932" s="22"/>
      <c r="D932" s="22"/>
      <c r="E932" s="22"/>
      <c r="F932" s="22"/>
    </row>
    <row r="933" spans="2:6" ht="12.5">
      <c r="B933" s="22"/>
      <c r="C933" s="22"/>
      <c r="D933" s="22"/>
      <c r="E933" s="22"/>
      <c r="F933" s="22"/>
    </row>
    <row r="934" spans="2:6" ht="12.5">
      <c r="B934" s="22"/>
      <c r="C934" s="22"/>
      <c r="D934" s="22"/>
      <c r="E934" s="22"/>
      <c r="F934" s="22"/>
    </row>
    <row r="935" spans="2:6" ht="12.5">
      <c r="B935" s="22"/>
      <c r="C935" s="22"/>
      <c r="D935" s="22"/>
      <c r="E935" s="22"/>
      <c r="F935" s="22"/>
    </row>
    <row r="936" spans="2:6" ht="12.5">
      <c r="B936" s="22"/>
      <c r="C936" s="22"/>
      <c r="D936" s="22"/>
      <c r="E936" s="22"/>
      <c r="F936" s="22"/>
    </row>
    <row r="937" spans="2:6" ht="12.5">
      <c r="B937" s="22"/>
      <c r="C937" s="22"/>
      <c r="D937" s="22"/>
      <c r="E937" s="22"/>
      <c r="F937" s="22"/>
    </row>
    <row r="938" spans="2:6" ht="12.5">
      <c r="B938" s="22"/>
      <c r="C938" s="22"/>
      <c r="D938" s="22"/>
      <c r="E938" s="22"/>
      <c r="F938" s="22"/>
    </row>
    <row r="939" spans="2:6" ht="12.5">
      <c r="B939" s="22"/>
      <c r="C939" s="22"/>
      <c r="D939" s="22"/>
      <c r="E939" s="22"/>
      <c r="F939" s="22"/>
    </row>
    <row r="940" spans="2:6" ht="12.5">
      <c r="B940" s="22"/>
      <c r="C940" s="22"/>
      <c r="D940" s="22"/>
      <c r="E940" s="22"/>
      <c r="F940" s="22"/>
    </row>
    <row r="941" spans="2:6" ht="12.5">
      <c r="B941" s="22"/>
      <c r="C941" s="22"/>
      <c r="D941" s="22"/>
      <c r="E941" s="22"/>
      <c r="F941" s="22"/>
    </row>
    <row r="942" spans="2:6" ht="12.5">
      <c r="B942" s="22"/>
      <c r="C942" s="22"/>
      <c r="D942" s="22"/>
      <c r="E942" s="22"/>
      <c r="F942" s="22"/>
    </row>
    <row r="943" spans="2:6" ht="12.5">
      <c r="B943" s="22"/>
      <c r="C943" s="22"/>
      <c r="D943" s="22"/>
      <c r="E943" s="22"/>
      <c r="F943" s="22"/>
    </row>
    <row r="944" spans="2:6" ht="12.5">
      <c r="B944" s="22"/>
      <c r="C944" s="22"/>
      <c r="D944" s="22"/>
      <c r="E944" s="22"/>
      <c r="F944" s="22"/>
    </row>
    <row r="945" spans="2:6" ht="12.5">
      <c r="B945" s="22"/>
      <c r="C945" s="22"/>
      <c r="D945" s="22"/>
      <c r="E945" s="22"/>
      <c r="F945" s="22"/>
    </row>
    <row r="946" spans="2:6" ht="12.5">
      <c r="B946" s="22"/>
      <c r="C946" s="22"/>
      <c r="D946" s="22"/>
      <c r="E946" s="22"/>
      <c r="F946" s="22"/>
    </row>
    <row r="947" spans="2:6" ht="12.5">
      <c r="B947" s="22"/>
      <c r="C947" s="22"/>
      <c r="D947" s="22"/>
      <c r="E947" s="22"/>
      <c r="F947" s="22"/>
    </row>
    <row r="948" spans="2:6" ht="12.5">
      <c r="B948" s="22"/>
      <c r="C948" s="22"/>
      <c r="D948" s="22"/>
      <c r="E948" s="22"/>
      <c r="F948" s="22"/>
    </row>
    <row r="949" spans="2:6" ht="12.5">
      <c r="B949" s="22"/>
      <c r="C949" s="22"/>
      <c r="D949" s="22"/>
      <c r="E949" s="22"/>
      <c r="F949" s="22"/>
    </row>
    <row r="950" spans="2:6" ht="12.5">
      <c r="B950" s="22"/>
      <c r="C950" s="22"/>
      <c r="D950" s="22"/>
      <c r="E950" s="22"/>
      <c r="F950" s="22"/>
    </row>
    <row r="951" spans="2:6" ht="12.5">
      <c r="B951" s="22"/>
      <c r="C951" s="22"/>
      <c r="D951" s="22"/>
      <c r="E951" s="22"/>
      <c r="F951" s="22"/>
    </row>
    <row r="952" spans="2:6" ht="12.5">
      <c r="B952" s="22"/>
      <c r="C952" s="22"/>
      <c r="D952" s="22"/>
      <c r="E952" s="22"/>
      <c r="F952" s="22"/>
    </row>
    <row r="953" spans="2:6" ht="12.5">
      <c r="B953" s="22"/>
      <c r="C953" s="22"/>
      <c r="D953" s="22"/>
      <c r="E953" s="22"/>
      <c r="F953" s="22"/>
    </row>
    <row r="954" spans="2:6" ht="12.5">
      <c r="B954" s="22"/>
      <c r="C954" s="22"/>
      <c r="D954" s="22"/>
      <c r="E954" s="22"/>
      <c r="F954" s="22"/>
    </row>
    <row r="955" spans="2:6" ht="12.5">
      <c r="B955" s="22"/>
      <c r="C955" s="22"/>
      <c r="D955" s="22"/>
      <c r="E955" s="22"/>
      <c r="F955" s="22"/>
    </row>
    <row r="956" spans="2:6" ht="12.5">
      <c r="B956" s="22"/>
      <c r="C956" s="22"/>
      <c r="D956" s="22"/>
      <c r="E956" s="22"/>
      <c r="F956" s="22"/>
    </row>
    <row r="957" spans="2:6" ht="12.5">
      <c r="B957" s="22"/>
      <c r="C957" s="22"/>
      <c r="D957" s="22"/>
      <c r="E957" s="22"/>
      <c r="F957" s="22"/>
    </row>
    <row r="958" spans="2:6" ht="12.5">
      <c r="B958" s="22"/>
      <c r="C958" s="22"/>
      <c r="D958" s="22"/>
      <c r="E958" s="22"/>
      <c r="F958" s="22"/>
    </row>
    <row r="959" spans="2:6" ht="12.5">
      <c r="B959" s="22"/>
      <c r="C959" s="22"/>
      <c r="D959" s="22"/>
      <c r="E959" s="22"/>
      <c r="F959" s="22"/>
    </row>
    <row r="960" spans="2:6" ht="12.5">
      <c r="B960" s="22"/>
      <c r="C960" s="22"/>
      <c r="D960" s="22"/>
      <c r="E960" s="22"/>
      <c r="F960" s="22"/>
    </row>
    <row r="961" spans="2:6" ht="12.5">
      <c r="B961" s="22"/>
      <c r="C961" s="22"/>
      <c r="D961" s="22"/>
      <c r="E961" s="22"/>
      <c r="F961" s="22"/>
    </row>
    <row r="962" spans="2:6" ht="12.5">
      <c r="B962" s="22"/>
      <c r="C962" s="22"/>
      <c r="D962" s="22"/>
      <c r="E962" s="22"/>
      <c r="F962" s="22"/>
    </row>
    <row r="963" spans="2:6" ht="12.5">
      <c r="B963" s="22"/>
      <c r="C963" s="22"/>
      <c r="D963" s="22"/>
      <c r="E963" s="22"/>
      <c r="F963" s="22"/>
    </row>
    <row r="964" spans="2:6" ht="12.5">
      <c r="B964" s="22"/>
      <c r="C964" s="22"/>
      <c r="D964" s="22"/>
      <c r="E964" s="22"/>
      <c r="F964" s="22"/>
    </row>
    <row r="965" spans="2:6" ht="12.5">
      <c r="B965" s="22"/>
      <c r="C965" s="22"/>
      <c r="D965" s="22"/>
      <c r="E965" s="22"/>
      <c r="F965" s="22"/>
    </row>
    <row r="966" spans="2:6" ht="12.5">
      <c r="B966" s="22"/>
      <c r="C966" s="22"/>
      <c r="D966" s="22"/>
      <c r="E966" s="22"/>
      <c r="F966" s="22"/>
    </row>
    <row r="967" spans="2:6" ht="12.5">
      <c r="B967" s="22"/>
      <c r="C967" s="22"/>
      <c r="D967" s="22"/>
      <c r="E967" s="22"/>
      <c r="F967" s="22"/>
    </row>
    <row r="968" spans="2:6" ht="12.5">
      <c r="B968" s="22"/>
      <c r="C968" s="22"/>
      <c r="D968" s="22"/>
      <c r="E968" s="22"/>
      <c r="F968" s="22"/>
    </row>
    <row r="969" spans="2:6" ht="12.5">
      <c r="B969" s="22"/>
      <c r="C969" s="22"/>
      <c r="D969" s="22"/>
      <c r="E969" s="22"/>
      <c r="F969" s="22"/>
    </row>
    <row r="970" spans="2:6" ht="12.5">
      <c r="B970" s="22"/>
      <c r="C970" s="22"/>
      <c r="D970" s="22"/>
      <c r="E970" s="22"/>
      <c r="F970" s="22"/>
    </row>
    <row r="971" spans="2:6" ht="12.5">
      <c r="B971" s="22"/>
      <c r="C971" s="22"/>
      <c r="D971" s="22"/>
      <c r="E971" s="22"/>
      <c r="F971" s="22"/>
    </row>
    <row r="972" spans="2:6" ht="12.5">
      <c r="B972" s="22"/>
      <c r="C972" s="22"/>
      <c r="D972" s="22"/>
      <c r="E972" s="22"/>
      <c r="F972" s="22"/>
    </row>
    <row r="973" spans="2:6" ht="12.5">
      <c r="B973" s="22"/>
      <c r="C973" s="22"/>
      <c r="D973" s="22"/>
      <c r="E973" s="22"/>
      <c r="F973" s="22"/>
    </row>
    <row r="974" spans="2:6" ht="12.5">
      <c r="B974" s="22"/>
      <c r="C974" s="22"/>
      <c r="D974" s="22"/>
      <c r="E974" s="22"/>
      <c r="F974" s="22"/>
    </row>
    <row r="975" spans="2:6" ht="12.5">
      <c r="B975" s="22"/>
      <c r="C975" s="22"/>
      <c r="D975" s="22"/>
      <c r="E975" s="22"/>
      <c r="F975" s="22"/>
    </row>
    <row r="976" spans="2:6" ht="12.5">
      <c r="B976" s="22"/>
      <c r="C976" s="22"/>
      <c r="D976" s="22"/>
      <c r="E976" s="22"/>
      <c r="F976" s="22"/>
    </row>
    <row r="977" spans="2:6" ht="12.5">
      <c r="B977" s="22"/>
      <c r="C977" s="22"/>
      <c r="D977" s="22"/>
      <c r="E977" s="22"/>
      <c r="F977" s="22"/>
    </row>
    <row r="978" spans="2:6" ht="12.5">
      <c r="B978" s="22"/>
      <c r="C978" s="22"/>
      <c r="D978" s="22"/>
      <c r="E978" s="22"/>
      <c r="F978" s="22"/>
    </row>
    <row r="979" spans="2:6" ht="12.5">
      <c r="B979" s="22"/>
      <c r="C979" s="22"/>
      <c r="D979" s="22"/>
      <c r="E979" s="22"/>
      <c r="F979" s="22"/>
    </row>
    <row r="980" spans="2:6" ht="12.5">
      <c r="B980" s="22"/>
      <c r="C980" s="22"/>
      <c r="D980" s="22"/>
      <c r="E980" s="22"/>
      <c r="F980" s="22"/>
    </row>
    <row r="981" spans="2:6" ht="12.5">
      <c r="B981" s="22"/>
      <c r="C981" s="22"/>
      <c r="D981" s="22"/>
      <c r="E981" s="22"/>
      <c r="F981" s="22"/>
    </row>
    <row r="982" spans="2:6" ht="12.5">
      <c r="B982" s="22"/>
      <c r="C982" s="22"/>
      <c r="D982" s="22"/>
      <c r="E982" s="22"/>
      <c r="F982" s="22"/>
    </row>
    <row r="983" spans="2:6" ht="12.5">
      <c r="B983" s="22"/>
      <c r="C983" s="22"/>
      <c r="D983" s="22"/>
      <c r="E983" s="22"/>
      <c r="F983" s="22"/>
    </row>
    <row r="984" spans="2:6" ht="12.5">
      <c r="B984" s="22"/>
      <c r="C984" s="22"/>
      <c r="D984" s="22"/>
      <c r="E984" s="22"/>
      <c r="F984" s="22"/>
    </row>
    <row r="985" spans="2:6" ht="12.5">
      <c r="B985" s="22"/>
      <c r="C985" s="22"/>
      <c r="D985" s="22"/>
      <c r="E985" s="22"/>
      <c r="F985" s="22"/>
    </row>
    <row r="986" spans="2:6" ht="12.5">
      <c r="B986" s="22"/>
      <c r="C986" s="22"/>
      <c r="D986" s="22"/>
      <c r="E986" s="22"/>
      <c r="F986" s="22"/>
    </row>
    <row r="987" spans="2:6" ht="12.5">
      <c r="B987" s="22"/>
      <c r="C987" s="22"/>
      <c r="D987" s="22"/>
      <c r="E987" s="22"/>
      <c r="F987" s="22"/>
    </row>
    <row r="988" spans="2:6" ht="12.5">
      <c r="B988" s="22"/>
      <c r="C988" s="22"/>
      <c r="D988" s="22"/>
      <c r="E988" s="22"/>
      <c r="F988" s="22"/>
    </row>
    <row r="989" spans="2:6" ht="12.5">
      <c r="B989" s="22"/>
      <c r="C989" s="22"/>
      <c r="D989" s="22"/>
      <c r="E989" s="22"/>
      <c r="F989" s="22"/>
    </row>
    <row r="990" spans="2:6" ht="12.5">
      <c r="B990" s="22"/>
      <c r="C990" s="22"/>
      <c r="D990" s="22"/>
      <c r="E990" s="22"/>
      <c r="F990" s="22"/>
    </row>
    <row r="991" spans="2:6" ht="12.5">
      <c r="B991" s="22"/>
      <c r="C991" s="22"/>
      <c r="D991" s="22"/>
      <c r="E991" s="22"/>
      <c r="F991" s="22"/>
    </row>
    <row r="992" spans="2:6" ht="12.5">
      <c r="B992" s="22"/>
      <c r="C992" s="22"/>
      <c r="D992" s="22"/>
      <c r="E992" s="22"/>
      <c r="F992" s="22"/>
    </row>
    <row r="993" spans="2:6" ht="12.5">
      <c r="B993" s="22"/>
      <c r="C993" s="22"/>
      <c r="D993" s="22"/>
      <c r="E993" s="22"/>
      <c r="F993" s="22"/>
    </row>
    <row r="994" spans="2:6" ht="12.5">
      <c r="B994" s="22"/>
      <c r="C994" s="22"/>
      <c r="D994" s="22"/>
      <c r="E994" s="22"/>
      <c r="F994" s="22"/>
    </row>
    <row r="995" spans="2:6" ht="12.5">
      <c r="B995" s="22"/>
      <c r="C995" s="22"/>
      <c r="D995" s="22"/>
      <c r="E995" s="22"/>
      <c r="F995" s="22"/>
    </row>
    <row r="996" spans="2:6" ht="12.5">
      <c r="B996" s="22"/>
      <c r="C996" s="22"/>
      <c r="D996" s="22"/>
      <c r="E996" s="22"/>
      <c r="F996" s="22"/>
    </row>
    <row r="997" spans="2:6" ht="12.5">
      <c r="B997" s="22"/>
      <c r="C997" s="22"/>
      <c r="D997" s="22"/>
      <c r="E997" s="22"/>
      <c r="F997" s="22"/>
    </row>
    <row r="998" spans="2:6" ht="12.5">
      <c r="B998" s="22"/>
      <c r="C998" s="22"/>
      <c r="D998" s="22"/>
      <c r="E998" s="22"/>
      <c r="F998" s="22"/>
    </row>
    <row r="999" spans="2:6" ht="12.5">
      <c r="B999" s="22"/>
      <c r="C999" s="22"/>
      <c r="D999" s="22"/>
      <c r="E999" s="22"/>
      <c r="F999" s="22"/>
    </row>
    <row r="1000" spans="2:6" ht="12.5">
      <c r="B1000" s="22"/>
      <c r="C1000" s="22"/>
      <c r="D1000" s="22"/>
      <c r="E1000" s="22"/>
      <c r="F1000" s="2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Cover</vt:lpstr>
      <vt:lpstr>Summary</vt:lpstr>
      <vt:lpstr>Assumptions</vt:lpstr>
      <vt:lpstr>Scenarios</vt:lpstr>
      <vt:lpstr>Model</vt:lpstr>
      <vt:lpstr>UFCF</vt:lpstr>
      <vt:lpstr>DCF Schedule</vt:lpstr>
      <vt:lpstr>IS</vt:lpstr>
      <vt:lpstr>BS</vt:lpstr>
      <vt:lpstr>CF</vt:lpstr>
      <vt:lpstr>Scrap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Goddard</dc:creator>
  <cp:keywords/>
  <dc:description/>
  <cp:lastModifiedBy>Evan Goddard</cp:lastModifiedBy>
  <cp:revision/>
  <dcterms:created xsi:type="dcterms:W3CDTF">2022-12-08T19:59:31Z</dcterms:created>
  <dcterms:modified xsi:type="dcterms:W3CDTF">2022-12-12T19:45:05Z</dcterms:modified>
  <cp:category/>
  <cp:contentStatus/>
</cp:coreProperties>
</file>