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5\8.1\"/>
    </mc:Choice>
  </mc:AlternateContent>
  <bookViews>
    <workbookView xWindow="0" yWindow="0" windowWidth="23040" windowHeight="82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5" i="1"/>
  <c r="Q6" i="1"/>
  <c r="Q7" i="1"/>
  <c r="Q8" i="1"/>
  <c r="Q5" i="1"/>
  <c r="P6" i="1"/>
  <c r="P7" i="1"/>
  <c r="P8" i="1"/>
  <c r="P5" i="1"/>
  <c r="O6" i="1"/>
  <c r="O7" i="1"/>
  <c r="O8" i="1"/>
  <c r="O5" i="1"/>
  <c r="N5" i="1"/>
  <c r="N8" i="1"/>
  <c r="N6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B6" i="1" l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D5" i="1"/>
  <c r="C5" i="1"/>
  <c r="C4" i="1"/>
  <c r="E4" i="1"/>
  <c r="D4" i="1"/>
  <c r="E3" i="1"/>
  <c r="D3" i="1"/>
  <c r="C3" i="1"/>
  <c r="C2" i="1"/>
  <c r="E2" i="1"/>
  <c r="D2" i="1"/>
  <c r="A9" i="1"/>
  <c r="A4" i="1"/>
  <c r="A3" i="1"/>
  <c r="A2" i="1"/>
  <c r="B2" i="1"/>
  <c r="A5" i="1"/>
  <c r="A7" i="1"/>
  <c r="A6" i="1"/>
  <c r="B4" i="1"/>
</calcChain>
</file>

<file path=xl/sharedStrings.xml><?xml version="1.0" encoding="utf-8"?>
<sst xmlns="http://schemas.openxmlformats.org/spreadsheetml/2006/main" count="24" uniqueCount="19">
  <si>
    <t>T АЧТ, К</t>
  </si>
  <si>
    <t>Вольт АЧТ</t>
  </si>
  <si>
    <t>Сред</t>
  </si>
  <si>
    <t>Яркост, К</t>
  </si>
  <si>
    <t>Вольт</t>
  </si>
  <si>
    <t>Ампер</t>
  </si>
  <si>
    <t>Неон,К</t>
  </si>
  <si>
    <t>Терм,К</t>
  </si>
  <si>
    <t>погр T, К</t>
  </si>
  <si>
    <t>W, Вт</t>
  </si>
  <si>
    <t>Погр W</t>
  </si>
  <si>
    <t>ln W</t>
  </si>
  <si>
    <t>Погр lnW</t>
  </si>
  <si>
    <t>ln T</t>
  </si>
  <si>
    <t>Погр Ln T</t>
  </si>
  <si>
    <t>epsilonT</t>
  </si>
  <si>
    <t>sigma</t>
  </si>
  <si>
    <t>D(sigma)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</si>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</sst>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M17" sqref="C1:M17"/>
    </sheetView>
  </sheetViews>
  <sheetFormatPr defaultRowHeight="14.4" x14ac:dyDescent="0.3"/>
  <cols>
    <col min="3" max="3" width="10.5546875" customWidth="1"/>
    <col min="15" max="17" width="12" bestFit="1" customWidth="1"/>
    <col min="18" max="18" width="12.6640625" bestFit="1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11</v>
      </c>
      <c r="I1" t="s">
        <v>12</v>
      </c>
      <c r="J1" t="s">
        <v>7</v>
      </c>
      <c r="K1" t="s">
        <v>8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>
        <f>1197+273</f>
        <v>1470</v>
      </c>
      <c r="B2">
        <f>58.58</f>
        <v>58.58</v>
      </c>
      <c r="C2">
        <f>972+273</f>
        <v>1245</v>
      </c>
      <c r="D2">
        <f>1.678</f>
        <v>1.6779999999999999</v>
      </c>
      <c r="E2">
        <f>0.47</f>
        <v>0.47</v>
      </c>
      <c r="F2">
        <f>D2*E2</f>
        <v>0.78865999999999992</v>
      </c>
      <c r="G2">
        <f>F2*(0.02)</f>
        <v>1.5773199999999998E-2</v>
      </c>
      <c r="H2">
        <f>LN(F2)</f>
        <v>-0.23741997623301844</v>
      </c>
      <c r="I2">
        <f>ABS(1/F2*H2)</f>
        <v>0.30104224410141056</v>
      </c>
      <c r="J2">
        <f>800+(C2-800)*550/500</f>
        <v>1289.5</v>
      </c>
      <c r="K2">
        <f>30</f>
        <v>30</v>
      </c>
      <c r="L2">
        <f>LN(J2)</f>
        <v>7.1620098253213991</v>
      </c>
      <c r="M2">
        <f>1/J2*(30)</f>
        <v>2.3264831329972858E-2</v>
      </c>
    </row>
    <row r="3" spans="1:18" x14ac:dyDescent="0.3">
      <c r="A3">
        <f>1190+273</f>
        <v>1463</v>
      </c>
      <c r="B3" t="s">
        <v>0</v>
      </c>
      <c r="C3">
        <f>1134+273</f>
        <v>1407</v>
      </c>
      <c r="D3">
        <f>2.38</f>
        <v>2.38</v>
      </c>
      <c r="E3">
        <f>0.55</f>
        <v>0.55000000000000004</v>
      </c>
      <c r="F3">
        <f t="shared" ref="F3:F12" si="0">D3*E3</f>
        <v>1.3089999999999999</v>
      </c>
      <c r="G3">
        <f t="shared" ref="G3:G12" si="1">F3*(0.02)</f>
        <v>2.6179999999999998E-2</v>
      </c>
      <c r="H3">
        <f t="shared" ref="H3:H12" si="2">LN(F3)</f>
        <v>0.26926348692776281</v>
      </c>
      <c r="I3">
        <f t="shared" ref="I3:I12" si="3">ABS(1/F3*H3)</f>
        <v>0.20570167068583867</v>
      </c>
      <c r="J3">
        <f>800+(C3-800)*550/500</f>
        <v>1467.7</v>
      </c>
      <c r="K3">
        <f>30</f>
        <v>30</v>
      </c>
      <c r="L3">
        <f t="shared" ref="L3:L12" si="4">LN(J3)</f>
        <v>7.291451828617153</v>
      </c>
      <c r="M3">
        <f t="shared" ref="M3:M12" si="5">1/J3*(30)</f>
        <v>2.0440144443687403E-2</v>
      </c>
    </row>
    <row r="4" spans="1:18" x14ac:dyDescent="0.3">
      <c r="A4">
        <f>1120+273</f>
        <v>1393</v>
      </c>
      <c r="B4">
        <f>B2/(41*10^-3)</f>
        <v>1428.780487804878</v>
      </c>
      <c r="C4">
        <f>1276+273</f>
        <v>1549</v>
      </c>
      <c r="D4">
        <f>2.98</f>
        <v>2.98</v>
      </c>
      <c r="E4">
        <f>0.61</f>
        <v>0.61</v>
      </c>
      <c r="F4">
        <f t="shared" si="0"/>
        <v>1.8177999999999999</v>
      </c>
      <c r="G4">
        <f t="shared" si="1"/>
        <v>3.6355999999999999E-2</v>
      </c>
      <c r="H4">
        <f t="shared" si="2"/>
        <v>0.5976269787025329</v>
      </c>
      <c r="I4">
        <f t="shared" si="3"/>
        <v>0.32876387870092033</v>
      </c>
      <c r="J4">
        <f>800+(C4-800)*550/500</f>
        <v>1623.9</v>
      </c>
      <c r="K4">
        <f>30</f>
        <v>30</v>
      </c>
      <c r="L4">
        <f t="shared" si="4"/>
        <v>7.3925859424710421</v>
      </c>
      <c r="M4">
        <f t="shared" si="5"/>
        <v>1.8474043968224645E-2</v>
      </c>
    </row>
    <row r="5" spans="1:18" x14ac:dyDescent="0.3">
      <c r="A5">
        <f>1187+273</f>
        <v>1460</v>
      </c>
      <c r="B5" t="s">
        <v>6</v>
      </c>
      <c r="C5">
        <f>1346+273</f>
        <v>1619</v>
      </c>
      <c r="D5">
        <f>3.66</f>
        <v>3.66</v>
      </c>
      <c r="E5">
        <v>0.68</v>
      </c>
      <c r="F5">
        <f t="shared" si="0"/>
        <v>2.4888000000000003</v>
      </c>
      <c r="G5">
        <f t="shared" si="1"/>
        <v>4.9776000000000008E-2</v>
      </c>
      <c r="H5">
        <f t="shared" si="2"/>
        <v>0.91180066660129033</v>
      </c>
      <c r="I5">
        <f t="shared" si="3"/>
        <v>0.36636156645824902</v>
      </c>
      <c r="J5">
        <f>800+(C5-800)*550/500</f>
        <v>1700.9</v>
      </c>
      <c r="K5">
        <f>30</f>
        <v>30</v>
      </c>
      <c r="L5">
        <f t="shared" si="4"/>
        <v>7.4389128017200461</v>
      </c>
      <c r="M5">
        <f t="shared" si="5"/>
        <v>1.763772120642013E-2</v>
      </c>
      <c r="N5">
        <f>0.21</f>
        <v>0.21</v>
      </c>
      <c r="O5">
        <f>F5/(N5*(0.36*10^-4)*J5^4)</f>
        <v>3.9332638266091327E-8</v>
      </c>
      <c r="P5">
        <f>O5*(G5/F5-4*J5^(-5)*30)</f>
        <v>7.8665276532149499E-10</v>
      </c>
      <c r="Q5">
        <f>(2*3.1415^5*(1.3*10^-23)^4/15/(3*10^8)^2/O5)^(1/3)</f>
        <v>6.9045274339524511E-34</v>
      </c>
      <c r="R5">
        <f>4/3*Q5*P5/O5</f>
        <v>1.8412073157198779E-35</v>
      </c>
    </row>
    <row r="6" spans="1:18" x14ac:dyDescent="0.3">
      <c r="A6">
        <f>1160+273</f>
        <v>1433</v>
      </c>
      <c r="B6">
        <f>938+273</f>
        <v>1211</v>
      </c>
      <c r="C6">
        <f>1492+273</f>
        <v>1765</v>
      </c>
      <c r="D6">
        <f>4.6</f>
        <v>4.5999999999999996</v>
      </c>
      <c r="E6">
        <f>0.76</f>
        <v>0.76</v>
      </c>
      <c r="F6">
        <f t="shared" si="0"/>
        <v>3.4959999999999996</v>
      </c>
      <c r="G6">
        <f t="shared" si="1"/>
        <v>6.9919999999999996E-2</v>
      </c>
      <c r="H6">
        <f t="shared" si="2"/>
        <v>1.2516194577932889</v>
      </c>
      <c r="I6">
        <f t="shared" si="3"/>
        <v>0.35801471904842364</v>
      </c>
      <c r="J6">
        <f>800+(C6-800)*550/500</f>
        <v>1861.5</v>
      </c>
      <c r="K6">
        <f>30</f>
        <v>30</v>
      </c>
      <c r="L6">
        <f t="shared" si="4"/>
        <v>7.5291378933127717</v>
      </c>
      <c r="M6">
        <f t="shared" si="5"/>
        <v>1.6116035455278004E-2</v>
      </c>
      <c r="N6">
        <f>0.23</f>
        <v>0.23</v>
      </c>
      <c r="O6">
        <f t="shared" ref="O6:O8" si="6">F6/(N6*(0.36*10^-4)*J6^4)</f>
        <v>3.5163243246047563E-8</v>
      </c>
      <c r="P6">
        <f t="shared" ref="P6:P8" si="7">O6*(G6/F6-4*J6^(-5)*30)</f>
        <v>7.0326486492076258E-10</v>
      </c>
      <c r="Q6">
        <f t="shared" ref="Q6:Q8" si="8">(2*3.1415^5*(1.3*10^-23)^4/15/(3*10^8)^2/O6)^(1/3)</f>
        <v>7.1672960538300458E-34</v>
      </c>
      <c r="R6">
        <f t="shared" ref="R6:R8" si="9">4/3*Q6*P6/O6</f>
        <v>1.9112789476874995E-35</v>
      </c>
    </row>
    <row r="7" spans="1:18" x14ac:dyDescent="0.3">
      <c r="A7">
        <f>1170+273</f>
        <v>1443</v>
      </c>
      <c r="C7">
        <f>1541+273</f>
        <v>1814</v>
      </c>
      <c r="D7">
        <f>5.3</f>
        <v>5.3</v>
      </c>
      <c r="E7">
        <f>0.81</f>
        <v>0.81</v>
      </c>
      <c r="F7">
        <f t="shared" si="0"/>
        <v>4.2930000000000001</v>
      </c>
      <c r="G7">
        <f t="shared" si="1"/>
        <v>8.5860000000000006E-2</v>
      </c>
      <c r="H7">
        <f t="shared" si="2"/>
        <v>1.4569857892424236</v>
      </c>
      <c r="I7">
        <f t="shared" si="3"/>
        <v>0.33938639395351122</v>
      </c>
      <c r="J7">
        <f>800+(C7-800)*550/500</f>
        <v>1915.4</v>
      </c>
      <c r="K7">
        <f>30</f>
        <v>30</v>
      </c>
      <c r="L7">
        <f t="shared" si="4"/>
        <v>7.5576817570875185</v>
      </c>
      <c r="M7">
        <f t="shared" si="5"/>
        <v>1.5662524798997598E-2</v>
      </c>
      <c r="N7">
        <v>0.24</v>
      </c>
      <c r="O7">
        <f t="shared" si="6"/>
        <v>3.6915538980503995E-8</v>
      </c>
      <c r="P7">
        <f t="shared" si="7"/>
        <v>7.38310779609908E-10</v>
      </c>
      <c r="Q7">
        <f t="shared" si="8"/>
        <v>7.0520478049272786E-34</v>
      </c>
      <c r="R7">
        <f t="shared" si="9"/>
        <v>1.8805460813135031E-35</v>
      </c>
    </row>
    <row r="8" spans="1:18" x14ac:dyDescent="0.3">
      <c r="A8" t="s">
        <v>2</v>
      </c>
      <c r="C8">
        <f>1643+273</f>
        <v>1916</v>
      </c>
      <c r="D8">
        <f>5.85</f>
        <v>5.85</v>
      </c>
      <c r="E8">
        <f>0.86</f>
        <v>0.86</v>
      </c>
      <c r="F8">
        <f t="shared" si="0"/>
        <v>5.0309999999999997</v>
      </c>
      <c r="G8">
        <f t="shared" si="1"/>
        <v>0.10062</v>
      </c>
      <c r="H8">
        <f t="shared" si="2"/>
        <v>1.6156187715091814</v>
      </c>
      <c r="I8">
        <f t="shared" si="3"/>
        <v>0.3211327313673587</v>
      </c>
      <c r="J8">
        <f>800+(C8-800)*550/500</f>
        <v>2027.6</v>
      </c>
      <c r="K8">
        <f>30</f>
        <v>30</v>
      </c>
      <c r="L8">
        <f t="shared" si="4"/>
        <v>7.6146081065981939</v>
      </c>
      <c r="M8">
        <f t="shared" si="5"/>
        <v>1.4795817715525746E-2</v>
      </c>
      <c r="N8">
        <f>2.25</f>
        <v>2.25</v>
      </c>
      <c r="O8">
        <f t="shared" si="6"/>
        <v>3.674854666508995E-9</v>
      </c>
      <c r="P8">
        <f t="shared" si="7"/>
        <v>7.3497093330167035E-11</v>
      </c>
      <c r="Q8">
        <f t="shared" si="8"/>
        <v>1.5216155206599512E-33</v>
      </c>
      <c r="R8">
        <f t="shared" si="9"/>
        <v>4.0576413884258259E-35</v>
      </c>
    </row>
    <row r="9" spans="1:18" x14ac:dyDescent="0.3">
      <c r="A9">
        <f>AVERAGE(A2:A7)</f>
        <v>1443.6666666666667</v>
      </c>
      <c r="C9">
        <f>1753+273</f>
        <v>2026</v>
      </c>
      <c r="D9">
        <f>6.66</f>
        <v>6.66</v>
      </c>
      <c r="E9">
        <f>0.92</f>
        <v>0.92</v>
      </c>
      <c r="F9">
        <f t="shared" si="0"/>
        <v>6.1272000000000002</v>
      </c>
      <c r="G9">
        <f t="shared" si="1"/>
        <v>0.122544</v>
      </c>
      <c r="H9">
        <f t="shared" si="2"/>
        <v>1.8127378756132468</v>
      </c>
      <c r="I9">
        <f t="shared" si="3"/>
        <v>0.29585093935455786</v>
      </c>
      <c r="J9">
        <f>800+(C9-800)*550/500</f>
        <v>2148.6</v>
      </c>
      <c r="K9">
        <f>30</f>
        <v>30</v>
      </c>
      <c r="L9">
        <f t="shared" si="4"/>
        <v>7.6725717462324416</v>
      </c>
      <c r="M9">
        <f t="shared" si="5"/>
        <v>1.3962580284836639E-2</v>
      </c>
    </row>
    <row r="10" spans="1:18" x14ac:dyDescent="0.3">
      <c r="C10">
        <f>1823+273</f>
        <v>2096</v>
      </c>
      <c r="D10">
        <f>7.22</f>
        <v>7.22</v>
      </c>
      <c r="E10">
        <f>0.96</f>
        <v>0.96</v>
      </c>
      <c r="F10">
        <f t="shared" si="0"/>
        <v>6.9311999999999996</v>
      </c>
      <c r="G10">
        <f t="shared" si="1"/>
        <v>0.138624</v>
      </c>
      <c r="H10">
        <f t="shared" si="2"/>
        <v>1.9360329583844798</v>
      </c>
      <c r="I10">
        <f t="shared" si="3"/>
        <v>0.2793214679109649</v>
      </c>
      <c r="J10">
        <f>800+(C10-800)*550/500</f>
        <v>2225.6</v>
      </c>
      <c r="K10">
        <f>30</f>
        <v>30</v>
      </c>
      <c r="L10">
        <f t="shared" si="4"/>
        <v>7.7077818211691786</v>
      </c>
      <c r="M10">
        <f t="shared" si="5"/>
        <v>1.3479511143062544E-2</v>
      </c>
    </row>
    <row r="11" spans="1:18" x14ac:dyDescent="0.3">
      <c r="C11">
        <f>1883+273</f>
        <v>2156</v>
      </c>
      <c r="D11">
        <f>7.82</f>
        <v>7.82</v>
      </c>
      <c r="E11">
        <f>1</f>
        <v>1</v>
      </c>
      <c r="F11">
        <f t="shared" si="0"/>
        <v>7.82</v>
      </c>
      <c r="G11">
        <f t="shared" si="1"/>
        <v>0.15640000000000001</v>
      </c>
      <c r="H11">
        <f t="shared" si="2"/>
        <v>2.0566845545572199</v>
      </c>
      <c r="I11">
        <f t="shared" si="3"/>
        <v>0.26300313996895397</v>
      </c>
      <c r="J11">
        <f>800+(C11-800)*550/500</f>
        <v>2291.6</v>
      </c>
      <c r="K11">
        <f>30</f>
        <v>30</v>
      </c>
      <c r="L11">
        <f t="shared" si="4"/>
        <v>7.7370055425344226</v>
      </c>
      <c r="M11">
        <f t="shared" si="5"/>
        <v>1.3091289928434282E-2</v>
      </c>
    </row>
    <row r="12" spans="1:18" x14ac:dyDescent="0.3">
      <c r="C12">
        <f>1920+273</f>
        <v>2193</v>
      </c>
      <c r="D12">
        <f>8.62</f>
        <v>8.6199999999999992</v>
      </c>
      <c r="E12">
        <f>1.05</f>
        <v>1.05</v>
      </c>
      <c r="F12">
        <f t="shared" si="0"/>
        <v>9.0510000000000002</v>
      </c>
      <c r="G12">
        <f t="shared" si="1"/>
        <v>0.18102000000000001</v>
      </c>
      <c r="H12">
        <f t="shared" si="2"/>
        <v>2.2028752488450336</v>
      </c>
      <c r="I12">
        <f t="shared" si="3"/>
        <v>0.24338473636559865</v>
      </c>
      <c r="J12">
        <f>800+(C12-800)*550/500</f>
        <v>2332.3000000000002</v>
      </c>
      <c r="K12">
        <f>30</f>
        <v>30</v>
      </c>
      <c r="L12">
        <f t="shared" si="4"/>
        <v>7.7546101841362978</v>
      </c>
      <c r="M12">
        <f t="shared" si="5"/>
        <v>1.2862839257385413E-2</v>
      </c>
    </row>
    <row r="13" spans="1:18" x14ac:dyDescent="0.3">
      <c r="F13" t="s">
        <v>7</v>
      </c>
      <c r="G13" t="s">
        <v>16</v>
      </c>
      <c r="H13" t="s">
        <v>17</v>
      </c>
      <c r="I13" t="s">
        <v>18</v>
      </c>
    </row>
    <row r="14" spans="1:18" x14ac:dyDescent="0.3">
      <c r="F14">
        <v>1700.9</v>
      </c>
      <c r="G14">
        <v>3.9332638266091327E-8</v>
      </c>
      <c r="H14">
        <v>7.8665276532149499E-10</v>
      </c>
      <c r="I14">
        <v>6.9045274339524511E-34</v>
      </c>
      <c r="J14">
        <v>1.8412073157198779E-35</v>
      </c>
    </row>
    <row r="15" spans="1:18" x14ac:dyDescent="0.3">
      <c r="F15">
        <v>1861.5</v>
      </c>
      <c r="G15">
        <v>3.5163243246047563E-8</v>
      </c>
      <c r="H15">
        <v>7.0326486492076258E-10</v>
      </c>
      <c r="I15">
        <v>7.1672960538300458E-34</v>
      </c>
      <c r="J15">
        <v>1.9112789476874995E-35</v>
      </c>
    </row>
    <row r="16" spans="1:18" x14ac:dyDescent="0.3">
      <c r="F16">
        <v>1915.4</v>
      </c>
      <c r="G16">
        <v>3.6915538980503995E-8</v>
      </c>
      <c r="H16">
        <v>7.38310779609908E-10</v>
      </c>
      <c r="I16">
        <v>7.0520478049272786E-34</v>
      </c>
      <c r="J16">
        <v>1.8805460813135031E-35</v>
      </c>
    </row>
    <row r="17" spans="6:10" x14ac:dyDescent="0.3">
      <c r="F17">
        <v>2027.6</v>
      </c>
      <c r="G17">
        <v>3.674854666508995E-9</v>
      </c>
      <c r="H17">
        <v>7.3497093330167035E-11</v>
      </c>
      <c r="I17">
        <v>1.5216155206599512E-33</v>
      </c>
      <c r="J17">
        <v>4.0576413884258259E-35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2021-09-22T05:59:23Z</dcterms:created>
  <dcterms:modified xsi:type="dcterms:W3CDTF">2021-10-05T19:34:31Z</dcterms:modified>
</cp:coreProperties>
</file>