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4\ВПВ\"/>
    </mc:Choice>
  </mc:AlternateContent>
  <bookViews>
    <workbookView xWindow="0" yWindow="0" windowWidth="23040" windowHeight="8244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A3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C2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11" i="1"/>
  <c r="D11" i="1" s="1"/>
  <c r="N4" i="1"/>
  <c r="N5" i="1"/>
  <c r="N6" i="1"/>
  <c r="N7" i="1"/>
  <c r="B15" i="1" s="1"/>
  <c r="N8" i="1"/>
  <c r="N9" i="1"/>
  <c r="N10" i="1"/>
  <c r="N11" i="1"/>
  <c r="B19" i="1" s="1"/>
  <c r="N12" i="1"/>
  <c r="N13" i="1"/>
  <c r="N14" i="1"/>
  <c r="N15" i="1"/>
  <c r="B23" i="1" s="1"/>
  <c r="N16" i="1"/>
  <c r="N17" i="1"/>
  <c r="N18" i="1"/>
  <c r="N19" i="1"/>
  <c r="B27" i="1" s="1"/>
  <c r="N3" i="1"/>
  <c r="B12" i="1"/>
  <c r="B13" i="1"/>
  <c r="B14" i="1"/>
  <c r="B16" i="1"/>
  <c r="B17" i="1"/>
  <c r="B18" i="1"/>
  <c r="B20" i="1"/>
  <c r="B21" i="1"/>
  <c r="B22" i="1"/>
  <c r="B24" i="1"/>
  <c r="B25" i="1"/>
  <c r="B2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M7" i="1"/>
  <c r="M11" i="1"/>
  <c r="M15" i="1"/>
  <c r="M19" i="1"/>
  <c r="K6" i="1"/>
  <c r="K14" i="1"/>
  <c r="K15" i="1"/>
  <c r="K17" i="1"/>
  <c r="K19" i="1"/>
  <c r="L22" i="1"/>
  <c r="K22" i="1"/>
  <c r="J22" i="1"/>
  <c r="L19" i="1"/>
  <c r="L18" i="1"/>
  <c r="M18" i="1" s="1"/>
  <c r="J18" i="1"/>
  <c r="K18" i="1" s="1"/>
  <c r="L17" i="1"/>
  <c r="M17" i="1" s="1"/>
  <c r="J17" i="1"/>
  <c r="L16" i="1"/>
  <c r="M16" i="1" s="1"/>
  <c r="J16" i="1"/>
  <c r="K16" i="1" s="1"/>
  <c r="L15" i="1"/>
  <c r="J15" i="1"/>
  <c r="J14" i="1"/>
  <c r="L14" i="1"/>
  <c r="M14" i="1" s="1"/>
  <c r="J13" i="1"/>
  <c r="K13" i="1" s="1"/>
  <c r="L13" i="1"/>
  <c r="M13" i="1" s="1"/>
  <c r="L12" i="1"/>
  <c r="M12" i="1" s="1"/>
  <c r="J12" i="1"/>
  <c r="K12" i="1" s="1"/>
  <c r="J11" i="1"/>
  <c r="K11" i="1" s="1"/>
  <c r="L11" i="1"/>
  <c r="L10" i="1"/>
  <c r="M10" i="1" s="1"/>
  <c r="J10" i="1"/>
  <c r="K10" i="1" s="1"/>
  <c r="J9" i="1"/>
  <c r="K9" i="1" s="1"/>
  <c r="L9" i="1"/>
  <c r="M9" i="1" s="1"/>
  <c r="L8" i="1"/>
  <c r="M8" i="1" s="1"/>
  <c r="J8" i="1"/>
  <c r="K8" i="1" s="1"/>
  <c r="J7" i="1"/>
  <c r="K7" i="1" s="1"/>
  <c r="L7" i="1"/>
  <c r="J6" i="1"/>
  <c r="L6" i="1"/>
  <c r="M6" i="1" s="1"/>
  <c r="J5" i="1"/>
  <c r="K5" i="1" s="1"/>
  <c r="L5" i="1"/>
  <c r="M5" i="1" s="1"/>
  <c r="J4" i="1"/>
  <c r="K4" i="1" s="1"/>
  <c r="L4" i="1"/>
  <c r="M4" i="1" s="1"/>
  <c r="L3" i="1"/>
  <c r="M3" i="1" s="1"/>
  <c r="J3" i="1"/>
  <c r="K3" i="1" s="1"/>
  <c r="H5" i="1"/>
  <c r="H8" i="1"/>
  <c r="H9" i="1"/>
  <c r="H13" i="1"/>
  <c r="H17" i="1"/>
  <c r="H18" i="1"/>
  <c r="H21" i="1"/>
  <c r="H22" i="1"/>
  <c r="F4" i="1"/>
  <c r="F8" i="1"/>
  <c r="F9" i="1"/>
  <c r="F12" i="1"/>
  <c r="F15" i="1"/>
  <c r="F16" i="1"/>
  <c r="F19" i="1"/>
  <c r="F21" i="1"/>
  <c r="F23" i="1"/>
  <c r="F3" i="1"/>
  <c r="G23" i="1"/>
  <c r="H23" i="1" s="1"/>
  <c r="E23" i="1"/>
  <c r="G22" i="1"/>
  <c r="E22" i="1"/>
  <c r="F22" i="1" s="1"/>
  <c r="G21" i="1"/>
  <c r="E21" i="1"/>
  <c r="G20" i="1"/>
  <c r="H20" i="1" s="1"/>
  <c r="E20" i="1"/>
  <c r="F20" i="1" s="1"/>
  <c r="G19" i="1"/>
  <c r="H19" i="1" s="1"/>
  <c r="E19" i="1"/>
  <c r="G18" i="1"/>
  <c r="E18" i="1"/>
  <c r="F18" i="1" s="1"/>
  <c r="E17" i="1"/>
  <c r="F17" i="1" s="1"/>
  <c r="G17" i="1"/>
  <c r="E16" i="1"/>
  <c r="G16" i="1"/>
  <c r="H16" i="1" s="1"/>
  <c r="G15" i="1"/>
  <c r="H15" i="1" s="1"/>
  <c r="E15" i="1"/>
  <c r="G14" i="1"/>
  <c r="H14" i="1" s="1"/>
  <c r="E14" i="1"/>
  <c r="F14" i="1" s="1"/>
  <c r="E13" i="1"/>
  <c r="F13" i="1" s="1"/>
  <c r="G13" i="1"/>
  <c r="E12" i="1"/>
  <c r="G12" i="1"/>
  <c r="H12" i="1" s="1"/>
  <c r="E11" i="1"/>
  <c r="F11" i="1" s="1"/>
  <c r="G11" i="1"/>
  <c r="H11" i="1" s="1"/>
  <c r="E10" i="1"/>
  <c r="F10" i="1" s="1"/>
  <c r="G10" i="1"/>
  <c r="H10" i="1" s="1"/>
  <c r="E4" i="1"/>
  <c r="G9" i="1"/>
  <c r="E9" i="1"/>
  <c r="E5" i="1"/>
  <c r="F5" i="1" s="1"/>
  <c r="E8" i="1"/>
  <c r="G8" i="1"/>
  <c r="G7" i="1"/>
  <c r="H7" i="1" s="1"/>
  <c r="E7" i="1"/>
  <c r="F7" i="1" s="1"/>
  <c r="G6" i="1"/>
  <c r="H6" i="1" s="1"/>
  <c r="E6" i="1"/>
  <c r="F6" i="1" s="1"/>
  <c r="G5" i="1"/>
  <c r="G4" i="1"/>
  <c r="H4" i="1" s="1"/>
  <c r="G3" i="1"/>
  <c r="H3" i="1" s="1"/>
  <c r="D8" i="1"/>
  <c r="E3" i="1"/>
  <c r="G26" i="1"/>
  <c r="F26" i="1"/>
  <c r="C5" i="1"/>
  <c r="E26" i="1"/>
  <c r="D6" i="1"/>
  <c r="D5" i="1"/>
  <c r="D3" i="1"/>
  <c r="D2" i="1"/>
  <c r="A5" i="1"/>
  <c r="C3" i="1"/>
  <c r="C29" i="1" l="1"/>
</calcChain>
</file>

<file path=xl/sharedStrings.xml><?xml version="1.0" encoding="utf-8"?>
<sst xmlns="http://schemas.openxmlformats.org/spreadsheetml/2006/main" count="28" uniqueCount="22">
  <si>
    <t>Преломляющий угол A</t>
  </si>
  <si>
    <t>Риска 1, градусы</t>
  </si>
  <si>
    <t>Риска 2, градусы</t>
  </si>
  <si>
    <t>A, градусы</t>
  </si>
  <si>
    <t>Погрешность, градусы</t>
  </si>
  <si>
    <t>Горизонтальная поляризация, градусы</t>
  </si>
  <si>
    <t>Вертикальная поляризация, градусы</t>
  </si>
  <si>
    <t>2*phi_1</t>
  </si>
  <si>
    <t>Вертикальная(обыкновенная) волна, градусы</t>
  </si>
  <si>
    <t>Горизонтальная(необыкновенная) волна, градусы</t>
  </si>
  <si>
    <t>180+psi_o</t>
  </si>
  <si>
    <t>psi_o</t>
  </si>
  <si>
    <t>180+psi_e</t>
  </si>
  <si>
    <t>psi_e</t>
  </si>
  <si>
    <t>n_o</t>
  </si>
  <si>
    <t>n_e</t>
  </si>
  <si>
    <t>teta_e</t>
  </si>
  <si>
    <t>cos(teta_e)</t>
  </si>
  <si>
    <t>Показатели преломления, угол тета</t>
  </si>
  <si>
    <t>phi_2</t>
  </si>
  <si>
    <t>phi_1</t>
  </si>
  <si>
    <t>cos^2(teta_e)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</si>
</sst>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20" workbookViewId="0">
      <selection activeCell="C29" sqref="C29:C45"/>
    </sheetView>
  </sheetViews>
  <sheetFormatPr defaultRowHeight="14.4" x14ac:dyDescent="0.3"/>
  <cols>
    <col min="1" max="1" width="21.33203125" customWidth="1"/>
    <col min="2" max="2" width="19.44140625" customWidth="1"/>
    <col min="3" max="3" width="12.21875" customWidth="1"/>
    <col min="4" max="4" width="36.5546875" customWidth="1"/>
    <col min="6" max="6" width="18.109375" customWidth="1"/>
    <col min="7" max="7" width="14.88671875" customWidth="1"/>
    <col min="9" max="9" width="13.33203125" customWidth="1"/>
    <col min="10" max="10" width="16.21875" customWidth="1"/>
    <col min="11" max="11" width="11.21875" customWidth="1"/>
  </cols>
  <sheetData>
    <row r="1" spans="1:14" x14ac:dyDescent="0.3">
      <c r="A1" s="3" t="s">
        <v>0</v>
      </c>
      <c r="B1" s="3"/>
      <c r="C1" s="3"/>
      <c r="D1" s="4" t="s">
        <v>5</v>
      </c>
      <c r="E1" s="3" t="s">
        <v>8</v>
      </c>
      <c r="F1" s="3"/>
      <c r="G1" s="3"/>
      <c r="H1" s="3"/>
      <c r="I1" s="3"/>
      <c r="J1" s="3" t="s">
        <v>9</v>
      </c>
      <c r="K1" s="3"/>
      <c r="L1" s="3"/>
      <c r="M1" s="3"/>
    </row>
    <row r="2" spans="1:14" x14ac:dyDescent="0.3">
      <c r="A2" t="s">
        <v>1</v>
      </c>
      <c r="B2" t="s">
        <v>2</v>
      </c>
      <c r="C2" t="s">
        <v>3</v>
      </c>
      <c r="D2">
        <f>186</f>
        <v>186</v>
      </c>
      <c r="E2" t="s">
        <v>7</v>
      </c>
      <c r="F2" t="s">
        <v>20</v>
      </c>
      <c r="G2" t="s">
        <v>10</v>
      </c>
      <c r="H2" t="s">
        <v>11</v>
      </c>
      <c r="I2" t="s">
        <v>19</v>
      </c>
      <c r="J2" t="s">
        <v>7</v>
      </c>
      <c r="K2" t="s">
        <v>20</v>
      </c>
      <c r="L2" t="s">
        <v>12</v>
      </c>
      <c r="M2" t="s">
        <v>13</v>
      </c>
      <c r="N2" t="s">
        <v>19</v>
      </c>
    </row>
    <row r="3" spans="1:14" x14ac:dyDescent="0.3">
      <c r="A3">
        <v>0</v>
      </c>
      <c r="B3">
        <v>215</v>
      </c>
      <c r="C3">
        <f>B3-180</f>
        <v>35</v>
      </c>
      <c r="D3">
        <f>6</f>
        <v>6</v>
      </c>
      <c r="E3">
        <f>10</f>
        <v>10</v>
      </c>
      <c r="F3">
        <f>E3/2</f>
        <v>5</v>
      </c>
      <c r="G3">
        <f>216</f>
        <v>216</v>
      </c>
      <c r="H3">
        <f>G3-180</f>
        <v>36</v>
      </c>
      <c r="I3">
        <f>35+H3-F3</f>
        <v>66</v>
      </c>
      <c r="J3">
        <f>10</f>
        <v>10</v>
      </c>
      <c r="K3">
        <f>J3/2</f>
        <v>5</v>
      </c>
      <c r="L3">
        <f>203</f>
        <v>203</v>
      </c>
      <c r="M3">
        <f>L3-180</f>
        <v>23</v>
      </c>
      <c r="N3">
        <f>33+M3-K3</f>
        <v>51</v>
      </c>
    </row>
    <row r="4" spans="1:14" x14ac:dyDescent="0.3">
      <c r="A4" s="1" t="s">
        <v>4</v>
      </c>
      <c r="B4" s="1"/>
      <c r="C4" s="1"/>
      <c r="D4" t="s">
        <v>6</v>
      </c>
      <c r="E4">
        <f>16</f>
        <v>16</v>
      </c>
      <c r="F4">
        <f t="shared" ref="F4:F23" si="0">E4/2</f>
        <v>8</v>
      </c>
      <c r="G4">
        <f>213</f>
        <v>213</v>
      </c>
      <c r="H4">
        <f t="shared" ref="H4:H23" si="1">G4-180</f>
        <v>33</v>
      </c>
      <c r="I4">
        <f t="shared" ref="I4:I23" si="2">33+H4-F4</f>
        <v>58</v>
      </c>
      <c r="J4">
        <f>17</f>
        <v>17</v>
      </c>
      <c r="K4">
        <f t="shared" ref="K4:K19" si="3">J4/2</f>
        <v>8.5</v>
      </c>
      <c r="L4">
        <f>202</f>
        <v>202</v>
      </c>
      <c r="M4">
        <f t="shared" ref="M4:M19" si="4">L4-180</f>
        <v>22</v>
      </c>
      <c r="N4">
        <f t="shared" ref="N4:N19" si="5">33+M4-K4</f>
        <v>46.5</v>
      </c>
    </row>
    <row r="5" spans="1:14" x14ac:dyDescent="0.3">
      <c r="A5" s="1">
        <f>0.5</f>
        <v>0.5</v>
      </c>
      <c r="B5" s="1"/>
      <c r="C5" s="2">
        <f>1</f>
        <v>1</v>
      </c>
      <c r="D5">
        <f>96</f>
        <v>96</v>
      </c>
      <c r="E5">
        <f>21</f>
        <v>21</v>
      </c>
      <c r="F5">
        <f t="shared" si="0"/>
        <v>10.5</v>
      </c>
      <c r="G5">
        <f>211</f>
        <v>211</v>
      </c>
      <c r="H5">
        <f t="shared" si="1"/>
        <v>31</v>
      </c>
      <c r="I5">
        <f t="shared" si="2"/>
        <v>53.5</v>
      </c>
      <c r="J5">
        <f>25</f>
        <v>25</v>
      </c>
      <c r="K5">
        <f t="shared" si="3"/>
        <v>12.5</v>
      </c>
      <c r="L5">
        <f>201</f>
        <v>201</v>
      </c>
      <c r="M5">
        <f t="shared" si="4"/>
        <v>21</v>
      </c>
      <c r="N5">
        <f t="shared" si="5"/>
        <v>41.5</v>
      </c>
    </row>
    <row r="6" spans="1:14" x14ac:dyDescent="0.3">
      <c r="D6">
        <f>276</f>
        <v>276</v>
      </c>
      <c r="E6">
        <f>25</f>
        <v>25</v>
      </c>
      <c r="F6">
        <f t="shared" si="0"/>
        <v>12.5</v>
      </c>
      <c r="G6">
        <f>210</f>
        <v>210</v>
      </c>
      <c r="H6">
        <f t="shared" si="1"/>
        <v>30</v>
      </c>
      <c r="I6">
        <f t="shared" si="2"/>
        <v>50.5</v>
      </c>
      <c r="J6">
        <f>40</f>
        <v>40</v>
      </c>
      <c r="K6">
        <f t="shared" si="3"/>
        <v>20</v>
      </c>
      <c r="L6">
        <f>200</f>
        <v>200</v>
      </c>
      <c r="M6">
        <f t="shared" si="4"/>
        <v>20</v>
      </c>
      <c r="N6">
        <f t="shared" si="5"/>
        <v>33</v>
      </c>
    </row>
    <row r="7" spans="1:14" x14ac:dyDescent="0.3">
      <c r="D7" t="s">
        <v>4</v>
      </c>
      <c r="E7">
        <f>30</f>
        <v>30</v>
      </c>
      <c r="F7">
        <f t="shared" si="0"/>
        <v>15</v>
      </c>
      <c r="G7">
        <f>209</f>
        <v>209</v>
      </c>
      <c r="H7">
        <f t="shared" si="1"/>
        <v>29</v>
      </c>
      <c r="I7">
        <f t="shared" si="2"/>
        <v>47</v>
      </c>
      <c r="J7">
        <f>80</f>
        <v>80</v>
      </c>
      <c r="K7">
        <f t="shared" si="3"/>
        <v>40</v>
      </c>
      <c r="L7">
        <f>201</f>
        <v>201</v>
      </c>
      <c r="M7">
        <f t="shared" si="4"/>
        <v>21</v>
      </c>
      <c r="N7">
        <f t="shared" si="5"/>
        <v>14</v>
      </c>
    </row>
    <row r="8" spans="1:14" x14ac:dyDescent="0.3">
      <c r="D8">
        <f>0.5</f>
        <v>0.5</v>
      </c>
      <c r="E8">
        <f>37</f>
        <v>37</v>
      </c>
      <c r="F8">
        <f t="shared" si="0"/>
        <v>18.5</v>
      </c>
      <c r="G8">
        <f>208</f>
        <v>208</v>
      </c>
      <c r="H8">
        <f t="shared" si="1"/>
        <v>28</v>
      </c>
      <c r="I8">
        <f t="shared" si="2"/>
        <v>42.5</v>
      </c>
      <c r="J8">
        <f>88</f>
        <v>88</v>
      </c>
      <c r="K8">
        <f t="shared" si="3"/>
        <v>44</v>
      </c>
      <c r="L8">
        <f>202</f>
        <v>202</v>
      </c>
      <c r="M8">
        <f t="shared" si="4"/>
        <v>22</v>
      </c>
      <c r="N8">
        <f t="shared" si="5"/>
        <v>11</v>
      </c>
    </row>
    <row r="9" spans="1:14" x14ac:dyDescent="0.3">
      <c r="A9" s="3" t="s">
        <v>18</v>
      </c>
      <c r="B9" s="3"/>
      <c r="C9" s="3"/>
      <c r="D9" s="3"/>
      <c r="E9">
        <f>18</f>
        <v>18</v>
      </c>
      <c r="F9">
        <f t="shared" si="0"/>
        <v>9</v>
      </c>
      <c r="G9">
        <f>212</f>
        <v>212</v>
      </c>
      <c r="H9">
        <f t="shared" si="1"/>
        <v>32</v>
      </c>
      <c r="I9">
        <f t="shared" si="2"/>
        <v>56</v>
      </c>
      <c r="J9">
        <f>96</f>
        <v>96</v>
      </c>
      <c r="K9">
        <f t="shared" si="3"/>
        <v>48</v>
      </c>
      <c r="L9">
        <f>203</f>
        <v>203</v>
      </c>
      <c r="M9">
        <f t="shared" si="4"/>
        <v>23</v>
      </c>
      <c r="N9">
        <f t="shared" si="5"/>
        <v>8</v>
      </c>
    </row>
    <row r="10" spans="1:14" x14ac:dyDescent="0.3">
      <c r="A10" t="s">
        <v>14</v>
      </c>
      <c r="B10" t="s">
        <v>15</v>
      </c>
      <c r="C10" t="s">
        <v>17</v>
      </c>
      <c r="D10" t="s">
        <v>16</v>
      </c>
      <c r="E10">
        <f>14</f>
        <v>14</v>
      </c>
      <c r="F10">
        <f t="shared" si="0"/>
        <v>7</v>
      </c>
      <c r="G10">
        <f>214</f>
        <v>214</v>
      </c>
      <c r="H10">
        <f t="shared" si="1"/>
        <v>34</v>
      </c>
      <c r="I10">
        <f t="shared" si="2"/>
        <v>60</v>
      </c>
      <c r="J10">
        <f>102</f>
        <v>102</v>
      </c>
      <c r="K10">
        <f t="shared" si="3"/>
        <v>51</v>
      </c>
      <c r="L10">
        <f>204</f>
        <v>204</v>
      </c>
      <c r="M10">
        <f t="shared" si="4"/>
        <v>24</v>
      </c>
      <c r="N10">
        <f t="shared" si="5"/>
        <v>6</v>
      </c>
    </row>
    <row r="11" spans="1:14" x14ac:dyDescent="0.3">
      <c r="A11">
        <f>1/(SIN(35*3.14159/180))*SQRT((SIN(F3*3.14159/180))^2 + (SIN(I3*3.14159/180))^2+2*(SIN(F3*3.14159/180))* (SIN(I3*3.14159/180))*COS(35*3.14159/180))</f>
        <v>1.7194000795079747</v>
      </c>
      <c r="B11">
        <f>1/(SIN(35*3.14159/180))*SQRT((SIN(K3*3.14159/180))^2 + (SIN(N3*3.14159/180))^2+2*(SIN(K3*3.14159/180))* (SIN(N3*3.14159/180))*COS(35*3.14159/180))</f>
        <v>1.4819492399579848</v>
      </c>
      <c r="C11">
        <f>SIN(K3*3.14159/180)/B11</f>
        <v>5.8811507821815323E-2</v>
      </c>
      <c r="D11">
        <f>ACOS(C11)/3.14159*180</f>
        <v>86.628476469405641</v>
      </c>
      <c r="E11">
        <f>48</f>
        <v>48</v>
      </c>
      <c r="F11">
        <f t="shared" si="0"/>
        <v>24</v>
      </c>
      <c r="G11">
        <f>207</f>
        <v>207</v>
      </c>
      <c r="H11">
        <f t="shared" si="1"/>
        <v>27</v>
      </c>
      <c r="I11">
        <f t="shared" si="2"/>
        <v>36</v>
      </c>
      <c r="J11">
        <f>109</f>
        <v>109</v>
      </c>
      <c r="K11">
        <f t="shared" si="3"/>
        <v>54.5</v>
      </c>
      <c r="L11">
        <f>205</f>
        <v>205</v>
      </c>
      <c r="M11">
        <f t="shared" si="4"/>
        <v>25</v>
      </c>
      <c r="N11">
        <f t="shared" si="5"/>
        <v>3.5</v>
      </c>
    </row>
    <row r="12" spans="1:14" x14ac:dyDescent="0.3">
      <c r="A12">
        <f t="shared" ref="A12:A31" si="6">1/(SIN(35*3.14159/180))*SQRT((SIN(F4*3.14159/180))^2 + (SIN(I4*3.14159/180))^2+2*(SIN(F4*3.14159/180))* (SIN(I4*3.14159/180))*COS(35*3.14159/180))</f>
        <v>1.6830509129693489</v>
      </c>
      <c r="B12">
        <f t="shared" ref="B12:B27" si="7">1/(SIN(35*3.14159/180))*SQRT((SIN(K4*3.14159/180))^2 + (SIN(N4*3.14159/180))^2+2*(SIN(K4*3.14159/180))* (SIN(N4*3.14159/180))*COS(35*3.14159/180))</f>
        <v>1.4831292506418274</v>
      </c>
      <c r="C12">
        <f>SIN(K4*3.14159/180)/B12</f>
        <v>9.9660422133568197E-2</v>
      </c>
      <c r="D12">
        <f t="shared" ref="D12:D27" si="8">ACOS(C12)/3.14159*180</f>
        <v>84.280454772616721</v>
      </c>
      <c r="E12">
        <f>60</f>
        <v>60</v>
      </c>
      <c r="F12">
        <f t="shared" si="0"/>
        <v>30</v>
      </c>
      <c r="G12">
        <f>206</f>
        <v>206</v>
      </c>
      <c r="H12">
        <f t="shared" si="1"/>
        <v>26</v>
      </c>
      <c r="I12">
        <f t="shared" si="2"/>
        <v>29</v>
      </c>
      <c r="J12">
        <f>114</f>
        <v>114</v>
      </c>
      <c r="K12">
        <f t="shared" si="3"/>
        <v>57</v>
      </c>
      <c r="L12">
        <f>206</f>
        <v>206</v>
      </c>
      <c r="M12">
        <f t="shared" si="4"/>
        <v>26</v>
      </c>
      <c r="N12">
        <f t="shared" si="5"/>
        <v>2</v>
      </c>
    </row>
    <row r="13" spans="1:14" x14ac:dyDescent="0.3">
      <c r="A13">
        <f t="shared" si="6"/>
        <v>1.6717038388938934</v>
      </c>
      <c r="B13">
        <f t="shared" si="7"/>
        <v>1.4802598124355411</v>
      </c>
      <c r="C13">
        <f t="shared" ref="C12:C27" si="9">SIN(K5*3.14159/180)/B13</f>
        <v>0.14621719255690296</v>
      </c>
      <c r="D13">
        <f t="shared" si="8"/>
        <v>81.592298451443469</v>
      </c>
      <c r="E13">
        <f>80</f>
        <v>80</v>
      </c>
      <c r="F13">
        <f t="shared" si="0"/>
        <v>40</v>
      </c>
      <c r="G13">
        <f>207</f>
        <v>207</v>
      </c>
      <c r="H13">
        <f t="shared" si="1"/>
        <v>27</v>
      </c>
      <c r="I13">
        <f t="shared" si="2"/>
        <v>20</v>
      </c>
      <c r="J13">
        <f>119</f>
        <v>119</v>
      </c>
      <c r="K13">
        <f t="shared" si="3"/>
        <v>59.5</v>
      </c>
      <c r="L13">
        <f>207</f>
        <v>207</v>
      </c>
      <c r="M13">
        <f t="shared" si="4"/>
        <v>27</v>
      </c>
      <c r="N13">
        <f t="shared" si="5"/>
        <v>0.5</v>
      </c>
    </row>
    <row r="14" spans="1:14" x14ac:dyDescent="0.3">
      <c r="A14">
        <f t="shared" si="6"/>
        <v>1.6684924494602174</v>
      </c>
      <c r="B14">
        <f t="shared" si="7"/>
        <v>1.4781187682271779</v>
      </c>
      <c r="C14">
        <f t="shared" si="9"/>
        <v>0.23138862290056819</v>
      </c>
      <c r="D14">
        <f t="shared" si="8"/>
        <v>76.62122514991573</v>
      </c>
      <c r="E14">
        <f>93</f>
        <v>93</v>
      </c>
      <c r="F14">
        <f t="shared" si="0"/>
        <v>46.5</v>
      </c>
      <c r="G14">
        <f>208</f>
        <v>208</v>
      </c>
      <c r="H14">
        <f t="shared" si="1"/>
        <v>28</v>
      </c>
      <c r="I14">
        <f t="shared" si="2"/>
        <v>14.5</v>
      </c>
      <c r="J14">
        <f>123</f>
        <v>123</v>
      </c>
      <c r="K14">
        <f t="shared" si="3"/>
        <v>61.5</v>
      </c>
      <c r="L14">
        <f>208</f>
        <v>208</v>
      </c>
      <c r="M14">
        <f t="shared" si="4"/>
        <v>28</v>
      </c>
      <c r="N14">
        <f t="shared" si="5"/>
        <v>-0.5</v>
      </c>
    </row>
    <row r="15" spans="1:14" x14ac:dyDescent="0.3">
      <c r="A15">
        <f t="shared" si="6"/>
        <v>1.6649483077739444</v>
      </c>
      <c r="B15">
        <f t="shared" si="7"/>
        <v>1.4859912610935198</v>
      </c>
      <c r="C15">
        <f t="shared" si="9"/>
        <v>0.43256456130653875</v>
      </c>
      <c r="D15">
        <f t="shared" si="8"/>
        <v>64.369630288189768</v>
      </c>
      <c r="E15">
        <f>102</f>
        <v>102</v>
      </c>
      <c r="F15">
        <f t="shared" si="0"/>
        <v>51</v>
      </c>
      <c r="G15">
        <f>209</f>
        <v>209</v>
      </c>
      <c r="H15">
        <f t="shared" si="1"/>
        <v>29</v>
      </c>
      <c r="I15">
        <f t="shared" si="2"/>
        <v>11</v>
      </c>
      <c r="J15">
        <f>126</f>
        <v>126</v>
      </c>
      <c r="K15">
        <f t="shared" si="3"/>
        <v>63</v>
      </c>
      <c r="L15">
        <f>209</f>
        <v>209</v>
      </c>
      <c r="M15">
        <f t="shared" si="4"/>
        <v>29</v>
      </c>
      <c r="N15">
        <f t="shared" si="5"/>
        <v>-1</v>
      </c>
    </row>
    <row r="16" spans="1:14" x14ac:dyDescent="0.3">
      <c r="A16">
        <f t="shared" si="6"/>
        <v>1.6615920230829728</v>
      </c>
      <c r="B16">
        <f t="shared" si="7"/>
        <v>1.4958233510556227</v>
      </c>
      <c r="C16">
        <f t="shared" si="9"/>
        <v>0.46439835517012096</v>
      </c>
      <c r="D16">
        <f t="shared" si="8"/>
        <v>62.328761069001523</v>
      </c>
      <c r="E16">
        <f>108</f>
        <v>108</v>
      </c>
      <c r="F16">
        <f t="shared" si="0"/>
        <v>54</v>
      </c>
      <c r="G16">
        <f>210</f>
        <v>210</v>
      </c>
      <c r="H16">
        <f t="shared" si="1"/>
        <v>30</v>
      </c>
      <c r="I16">
        <f t="shared" si="2"/>
        <v>9</v>
      </c>
      <c r="J16">
        <f>131</f>
        <v>131</v>
      </c>
      <c r="K16">
        <f t="shared" si="3"/>
        <v>65.5</v>
      </c>
      <c r="L16">
        <f>210</f>
        <v>210</v>
      </c>
      <c r="M16">
        <f t="shared" si="4"/>
        <v>30</v>
      </c>
      <c r="N16">
        <f t="shared" si="5"/>
        <v>-2.5</v>
      </c>
    </row>
    <row r="17" spans="1:14" x14ac:dyDescent="0.3">
      <c r="A17">
        <f t="shared" si="6"/>
        <v>1.6761108980484662</v>
      </c>
      <c r="B17">
        <f t="shared" si="7"/>
        <v>1.5008600365877252</v>
      </c>
      <c r="C17">
        <f t="shared" si="9"/>
        <v>0.49514567239323787</v>
      </c>
      <c r="D17">
        <f t="shared" si="8"/>
        <v>60.320694353116586</v>
      </c>
      <c r="E17">
        <f>113</f>
        <v>113</v>
      </c>
      <c r="F17">
        <f t="shared" si="0"/>
        <v>56.5</v>
      </c>
      <c r="G17">
        <f>211</f>
        <v>211</v>
      </c>
      <c r="H17">
        <f t="shared" si="1"/>
        <v>31</v>
      </c>
      <c r="I17">
        <f t="shared" si="2"/>
        <v>7.5</v>
      </c>
      <c r="J17">
        <f>135</f>
        <v>135</v>
      </c>
      <c r="K17">
        <f t="shared" si="3"/>
        <v>67.5</v>
      </c>
      <c r="L17">
        <f>211</f>
        <v>211</v>
      </c>
      <c r="M17">
        <f t="shared" si="4"/>
        <v>31</v>
      </c>
      <c r="N17">
        <f t="shared" si="5"/>
        <v>-3.5</v>
      </c>
    </row>
    <row r="18" spans="1:14" x14ac:dyDescent="0.3">
      <c r="A18">
        <f t="shared" si="6"/>
        <v>1.6883212909974252</v>
      </c>
      <c r="B18">
        <f t="shared" si="7"/>
        <v>1.5078224936906361</v>
      </c>
      <c r="C18">
        <f t="shared" si="9"/>
        <v>0.51540913572641422</v>
      </c>
      <c r="D18">
        <f t="shared" si="8"/>
        <v>58.975243705741477</v>
      </c>
      <c r="E18">
        <f>119</f>
        <v>119</v>
      </c>
      <c r="F18">
        <f t="shared" si="0"/>
        <v>59.5</v>
      </c>
      <c r="G18">
        <f>212</f>
        <v>212</v>
      </c>
      <c r="H18">
        <f t="shared" si="1"/>
        <v>32</v>
      </c>
      <c r="I18">
        <f t="shared" si="2"/>
        <v>5.5</v>
      </c>
      <c r="J18">
        <f>137</f>
        <v>137</v>
      </c>
      <c r="K18">
        <f t="shared" si="3"/>
        <v>68.5</v>
      </c>
      <c r="L18">
        <f>212</f>
        <v>212</v>
      </c>
      <c r="M18">
        <f t="shared" si="4"/>
        <v>32</v>
      </c>
      <c r="N18">
        <f t="shared" si="5"/>
        <v>-3.5</v>
      </c>
    </row>
    <row r="19" spans="1:14" x14ac:dyDescent="0.3">
      <c r="A19">
        <f t="shared" si="6"/>
        <v>1.6563679487034491</v>
      </c>
      <c r="B19">
        <f t="shared" si="7"/>
        <v>1.5077900909135329</v>
      </c>
      <c r="C19">
        <f t="shared" si="9"/>
        <v>0.53993925062749537</v>
      </c>
      <c r="D19">
        <f t="shared" si="8"/>
        <v>57.320544947235881</v>
      </c>
      <c r="E19">
        <f>123</f>
        <v>123</v>
      </c>
      <c r="F19">
        <f t="shared" si="0"/>
        <v>61.5</v>
      </c>
      <c r="G19">
        <f>213</f>
        <v>213</v>
      </c>
      <c r="H19">
        <f t="shared" si="1"/>
        <v>33</v>
      </c>
      <c r="I19">
        <f t="shared" si="2"/>
        <v>4.5</v>
      </c>
      <c r="J19">
        <v>140</v>
      </c>
      <c r="K19">
        <f t="shared" si="3"/>
        <v>70</v>
      </c>
      <c r="L19">
        <f>213</f>
        <v>213</v>
      </c>
      <c r="M19">
        <f t="shared" si="4"/>
        <v>33</v>
      </c>
      <c r="N19">
        <f t="shared" si="5"/>
        <v>-4</v>
      </c>
    </row>
    <row r="20" spans="1:14" x14ac:dyDescent="0.3">
      <c r="A20">
        <f t="shared" si="6"/>
        <v>1.6375163320217152</v>
      </c>
      <c r="B20">
        <f t="shared" si="7"/>
        <v>1.512422163101939</v>
      </c>
      <c r="C20">
        <f t="shared" si="9"/>
        <v>0.55452117189487982</v>
      </c>
      <c r="D20">
        <f t="shared" si="8"/>
        <v>56.322306950217083</v>
      </c>
      <c r="E20">
        <f>127</f>
        <v>127</v>
      </c>
      <c r="F20">
        <f t="shared" si="0"/>
        <v>63.5</v>
      </c>
      <c r="G20">
        <f>214</f>
        <v>214</v>
      </c>
      <c r="H20">
        <f t="shared" si="1"/>
        <v>34</v>
      </c>
      <c r="I20">
        <f t="shared" si="2"/>
        <v>3.5</v>
      </c>
    </row>
    <row r="21" spans="1:14" x14ac:dyDescent="0.3">
      <c r="A21">
        <f t="shared" si="6"/>
        <v>1.645068325147274</v>
      </c>
      <c r="B21">
        <f t="shared" si="7"/>
        <v>1.5146928550889451</v>
      </c>
      <c r="C21">
        <f t="shared" si="9"/>
        <v>0.5688471509947356</v>
      </c>
      <c r="D21">
        <f t="shared" si="8"/>
        <v>55.330173582606797</v>
      </c>
      <c r="E21">
        <f>131</f>
        <v>131</v>
      </c>
      <c r="F21">
        <f t="shared" si="0"/>
        <v>65.5</v>
      </c>
      <c r="G21">
        <f>215</f>
        <v>215</v>
      </c>
      <c r="H21">
        <f t="shared" si="1"/>
        <v>35</v>
      </c>
      <c r="I21">
        <f t="shared" si="2"/>
        <v>2.5</v>
      </c>
      <c r="J21" s="1" t="s">
        <v>4</v>
      </c>
      <c r="K21" s="1"/>
      <c r="L21" s="1"/>
      <c r="M21" s="1"/>
    </row>
    <row r="22" spans="1:14" x14ac:dyDescent="0.3">
      <c r="A22">
        <f t="shared" si="6"/>
        <v>1.641439974205108</v>
      </c>
      <c r="B22">
        <f t="shared" si="7"/>
        <v>1.5197335210689897</v>
      </c>
      <c r="C22">
        <f t="shared" si="9"/>
        <v>0.57827024795156434</v>
      </c>
      <c r="D22">
        <f t="shared" si="8"/>
        <v>54.671073339672944</v>
      </c>
      <c r="E22">
        <f>135</f>
        <v>135</v>
      </c>
      <c r="F22">
        <f t="shared" si="0"/>
        <v>67.5</v>
      </c>
      <c r="G22">
        <f>216</f>
        <v>216</v>
      </c>
      <c r="H22">
        <f t="shared" si="1"/>
        <v>36</v>
      </c>
      <c r="I22">
        <f t="shared" si="2"/>
        <v>1.5</v>
      </c>
      <c r="J22" s="2">
        <f>0.5</f>
        <v>0.5</v>
      </c>
      <c r="K22" s="2">
        <f>0.25</f>
        <v>0.25</v>
      </c>
      <c r="L22" s="1">
        <f>0.5</f>
        <v>0.5</v>
      </c>
      <c r="M22" s="1"/>
    </row>
    <row r="23" spans="1:14" x14ac:dyDescent="0.3">
      <c r="A23">
        <f t="shared" si="6"/>
        <v>1.6385640198120872</v>
      </c>
      <c r="B23">
        <f t="shared" si="7"/>
        <v>1.5285978857183864</v>
      </c>
      <c r="C23">
        <f t="shared" si="9"/>
        <v>0.58289109965806851</v>
      </c>
      <c r="D23">
        <f t="shared" si="8"/>
        <v>54.345900735113965</v>
      </c>
      <c r="E23">
        <f>138</f>
        <v>138</v>
      </c>
      <c r="F23">
        <f t="shared" si="0"/>
        <v>69</v>
      </c>
      <c r="G23">
        <f>217</f>
        <v>217</v>
      </c>
      <c r="H23">
        <f t="shared" si="1"/>
        <v>37</v>
      </c>
      <c r="I23">
        <f t="shared" si="2"/>
        <v>1</v>
      </c>
    </row>
    <row r="24" spans="1:14" x14ac:dyDescent="0.3">
      <c r="A24">
        <f t="shared" si="6"/>
        <v>1.6413616387552892</v>
      </c>
      <c r="B24">
        <f t="shared" si="7"/>
        <v>1.5247986048400066</v>
      </c>
      <c r="C24">
        <f t="shared" si="9"/>
        <v>0.59677446421777991</v>
      </c>
      <c r="D24">
        <f t="shared" si="8"/>
        <v>53.360811800587328</v>
      </c>
    </row>
    <row r="25" spans="1:14" x14ac:dyDescent="0.3">
      <c r="A25">
        <f t="shared" si="6"/>
        <v>1.6454318517927746</v>
      </c>
      <c r="B25">
        <f t="shared" si="7"/>
        <v>1.5247715747850559</v>
      </c>
      <c r="C25">
        <f t="shared" si="9"/>
        <v>0.60591315248924937</v>
      </c>
      <c r="D25">
        <f t="shared" si="8"/>
        <v>52.705464214703952</v>
      </c>
      <c r="E25" s="1" t="s">
        <v>4</v>
      </c>
      <c r="F25" s="1"/>
      <c r="G25" s="1"/>
      <c r="H25" s="1"/>
    </row>
    <row r="26" spans="1:14" x14ac:dyDescent="0.3">
      <c r="A26">
        <f t="shared" si="6"/>
        <v>1.6418867834134863</v>
      </c>
      <c r="B26">
        <f t="shared" si="7"/>
        <v>1.5361612467245191</v>
      </c>
      <c r="C26">
        <f t="shared" si="9"/>
        <v>0.60567678025887139</v>
      </c>
      <c r="D26">
        <f t="shared" si="8"/>
        <v>52.722486322165736</v>
      </c>
      <c r="E26" s="2">
        <f>0.5</f>
        <v>0.5</v>
      </c>
      <c r="F26" s="2">
        <f>0.25</f>
        <v>0.25</v>
      </c>
      <c r="G26" s="1">
        <f>0.5</f>
        <v>0.5</v>
      </c>
      <c r="H26" s="1"/>
    </row>
    <row r="27" spans="1:14" x14ac:dyDescent="0.3">
      <c r="A27">
        <f t="shared" si="6"/>
        <v>1.6460933736753753</v>
      </c>
      <c r="B27">
        <f t="shared" si="7"/>
        <v>1.5402624840172798</v>
      </c>
      <c r="C27">
        <f>SIN(K19*3.14159/180)/B27</f>
        <v>0.61008579874405122</v>
      </c>
      <c r="D27">
        <f t="shared" si="8"/>
        <v>52.404337232993456</v>
      </c>
    </row>
    <row r="28" spans="1:14" x14ac:dyDescent="0.3">
      <c r="A28">
        <f t="shared" si="6"/>
        <v>1.6485879629297018</v>
      </c>
      <c r="C28" t="s">
        <v>21</v>
      </c>
    </row>
    <row r="29" spans="1:14" x14ac:dyDescent="0.3">
      <c r="A29">
        <f t="shared" si="6"/>
        <v>1.6493413807608057</v>
      </c>
      <c r="C29">
        <f>C11*C11</f>
        <v>3.4587934522754449E-3</v>
      </c>
    </row>
    <row r="30" spans="1:14" x14ac:dyDescent="0.3">
      <c r="A30">
        <f t="shared" si="6"/>
        <v>1.6483277692102412</v>
      </c>
      <c r="C30">
        <f t="shared" ref="C30:C52" si="10">C12*C12</f>
        <v>9.9321997398410106E-3</v>
      </c>
    </row>
    <row r="31" spans="1:14" x14ac:dyDescent="0.3">
      <c r="A31">
        <f t="shared" si="6"/>
        <v>1.6526651451729297</v>
      </c>
      <c r="C31">
        <f t="shared" si="10"/>
        <v>2.1379467399222439E-2</v>
      </c>
    </row>
    <row r="32" spans="1:14" x14ac:dyDescent="0.3">
      <c r="A32" s="4">
        <f>AVERAGE(A11:A31)</f>
        <v>1.6583939193492614</v>
      </c>
      <c r="C32">
        <f t="shared" si="10"/>
        <v>5.3540694807821351E-2</v>
      </c>
    </row>
    <row r="33" spans="3:3" x14ac:dyDescent="0.3">
      <c r="C33">
        <f t="shared" si="10"/>
        <v>0.18711209969831832</v>
      </c>
    </row>
    <row r="34" spans="3:3" x14ac:dyDescent="0.3">
      <c r="C34">
        <f t="shared" si="10"/>
        <v>0.21566583228471381</v>
      </c>
    </row>
    <row r="35" spans="3:3" x14ac:dyDescent="0.3">
      <c r="C35">
        <f t="shared" si="10"/>
        <v>0.24516923688975165</v>
      </c>
    </row>
    <row r="36" spans="3:3" x14ac:dyDescent="0.3">
      <c r="C36">
        <f t="shared" si="10"/>
        <v>0.26564657719024926</v>
      </c>
    </row>
    <row r="37" spans="3:3" x14ac:dyDescent="0.3">
      <c r="C37">
        <f t="shared" si="10"/>
        <v>0.29153439436818124</v>
      </c>
    </row>
    <row r="38" spans="3:3" x14ac:dyDescent="0.3">
      <c r="C38">
        <f t="shared" si="10"/>
        <v>0.30749373007967085</v>
      </c>
    </row>
    <row r="39" spans="3:3" x14ac:dyDescent="0.3">
      <c r="C39">
        <f t="shared" si="10"/>
        <v>0.32358708119482754</v>
      </c>
    </row>
    <row r="40" spans="3:3" x14ac:dyDescent="0.3">
      <c r="C40">
        <f t="shared" si="10"/>
        <v>0.3343964796659637</v>
      </c>
    </row>
    <row r="41" spans="3:3" x14ac:dyDescent="0.3">
      <c r="C41">
        <f t="shared" si="10"/>
        <v>0.33976203406059236</v>
      </c>
    </row>
    <row r="42" spans="3:3" x14ac:dyDescent="0.3">
      <c r="C42">
        <f t="shared" si="10"/>
        <v>0.3561397611424183</v>
      </c>
    </row>
    <row r="43" spans="3:3" x14ac:dyDescent="0.3">
      <c r="C43">
        <f t="shared" si="10"/>
        <v>0.36713074835946036</v>
      </c>
    </row>
    <row r="44" spans="3:3" x14ac:dyDescent="0.3">
      <c r="C44">
        <f t="shared" si="10"/>
        <v>0.36684436214475319</v>
      </c>
    </row>
    <row r="45" spans="3:3" x14ac:dyDescent="0.3">
      <c r="C45">
        <f t="shared" si="10"/>
        <v>0.37220468182916699</v>
      </c>
    </row>
  </sheetData>
  <mergeCells count="10">
    <mergeCell ref="A9:D9"/>
    <mergeCell ref="E1:I1"/>
    <mergeCell ref="E25:H25"/>
    <mergeCell ref="G26:H26"/>
    <mergeCell ref="J1:M1"/>
    <mergeCell ref="J21:M21"/>
    <mergeCell ref="L22:M22"/>
    <mergeCell ref="A1:C1"/>
    <mergeCell ref="A4:C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2021-04-24T05:59:35Z</dcterms:created>
  <dcterms:modified xsi:type="dcterms:W3CDTF">2021-04-24T08:49:51Z</dcterms:modified>
</cp:coreProperties>
</file>