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5\2.2\"/>
    </mc:Choice>
  </mc:AlternateContent>
  <bookViews>
    <workbookView xWindow="0" yWindow="0" windowWidth="23040" windowHeight="82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7" i="1"/>
  <c r="I37" i="1"/>
  <c r="I38" i="1"/>
  <c r="K38" i="1"/>
  <c r="K36" i="1"/>
  <c r="K33" i="1"/>
  <c r="K34" i="1"/>
  <c r="K32" i="1"/>
  <c r="J32" i="1"/>
  <c r="J33" i="1"/>
  <c r="J34" i="1"/>
  <c r="I33" i="1"/>
  <c r="I34" i="1"/>
  <c r="I32" i="1"/>
  <c r="I13" i="1"/>
  <c r="H33" i="1"/>
  <c r="H34" i="1"/>
  <c r="H32" i="1"/>
  <c r="H13" i="1"/>
  <c r="H27" i="1" s="1"/>
  <c r="G34" i="1"/>
  <c r="G33" i="1"/>
  <c r="G32" i="1"/>
  <c r="J29" i="1"/>
  <c r="J28" i="1"/>
  <c r="J27" i="1"/>
  <c r="I29" i="1"/>
  <c r="I28" i="1"/>
  <c r="I27" i="1"/>
  <c r="H29" i="1"/>
  <c r="H28" i="1"/>
  <c r="G27" i="1"/>
  <c r="G24" i="1"/>
  <c r="G23" i="1"/>
  <c r="H19" i="1"/>
  <c r="J15" i="1"/>
  <c r="J24" i="1" s="1"/>
  <c r="J14" i="1"/>
  <c r="J23" i="1" s="1"/>
  <c r="J13" i="1"/>
  <c r="I15" i="1"/>
  <c r="H14" i="1"/>
  <c r="I20" i="1"/>
  <c r="G20" i="1"/>
  <c r="H20" i="1" s="1"/>
  <c r="G19" i="1"/>
  <c r="I19" i="1" s="1"/>
  <c r="G18" i="1"/>
  <c r="I18" i="1" s="1"/>
  <c r="G15" i="1"/>
  <c r="H15" i="1" s="1"/>
  <c r="G14" i="1"/>
  <c r="I14" i="1" s="1"/>
  <c r="G13" i="1"/>
  <c r="E12" i="1"/>
  <c r="E11" i="1"/>
  <c r="E10" i="1"/>
  <c r="E9" i="1"/>
  <c r="E8" i="1"/>
  <c r="E7" i="1"/>
  <c r="H24" i="1" l="1"/>
  <c r="I24" i="1"/>
  <c r="I23" i="1"/>
  <c r="H23" i="1"/>
  <c r="H18" i="1"/>
  <c r="D22" i="1"/>
  <c r="D21" i="1"/>
  <c r="D20" i="1"/>
  <c r="E17" i="1"/>
  <c r="D17" i="1"/>
  <c r="E16" i="1"/>
  <c r="D12" i="1"/>
  <c r="D11" i="1"/>
  <c r="D10" i="1"/>
  <c r="D9" i="1"/>
  <c r="D8" i="1"/>
  <c r="D7" i="1"/>
  <c r="A26" i="1"/>
  <c r="A25" i="1"/>
  <c r="A24" i="1"/>
  <c r="A23" i="1"/>
  <c r="A15" i="1"/>
  <c r="A12" i="1"/>
  <c r="A11" i="1"/>
  <c r="A10" i="1"/>
  <c r="A7" i="1"/>
  <c r="D16" i="1"/>
  <c r="E15" i="1"/>
  <c r="D15" i="1"/>
  <c r="B26" i="1"/>
  <c r="B25" i="1"/>
  <c r="B24" i="1"/>
  <c r="B23" i="1"/>
  <c r="B22" i="1"/>
  <c r="A22" i="1"/>
  <c r="B21" i="1"/>
  <c r="A21" i="1"/>
  <c r="B20" i="1"/>
  <c r="A20" i="1"/>
  <c r="A19" i="1"/>
  <c r="B19" i="1"/>
  <c r="B18" i="1"/>
  <c r="A18" i="1"/>
  <c r="B17" i="1"/>
  <c r="A17" i="1"/>
  <c r="A16" i="1"/>
  <c r="B16" i="1"/>
  <c r="B15" i="1"/>
  <c r="B14" i="1"/>
  <c r="A14" i="1"/>
  <c r="B13" i="1"/>
  <c r="A13" i="1"/>
  <c r="B12" i="1"/>
  <c r="B11" i="1"/>
  <c r="B10" i="1"/>
  <c r="B9" i="1"/>
  <c r="A9" i="1"/>
  <c r="B8" i="1"/>
  <c r="A8" i="1"/>
  <c r="B7" i="1"/>
  <c r="B2" i="1"/>
  <c r="A4" i="1"/>
  <c r="A2" i="1"/>
</calcChain>
</file>

<file path=xl/sharedStrings.xml><?xml version="1.0" encoding="utf-8"?>
<sst xmlns="http://schemas.openxmlformats.org/spreadsheetml/2006/main" count="74" uniqueCount="46">
  <si>
    <t>Ноль винта 9, мм</t>
  </si>
  <si>
    <t>Винт, мм</t>
  </si>
  <si>
    <t>Винт 8, мм</t>
  </si>
  <si>
    <t>Барабан, градус</t>
  </si>
  <si>
    <t>Длина волны, А</t>
  </si>
  <si>
    <t>Спектр неона</t>
  </si>
  <si>
    <t>Спектр ртути</t>
  </si>
  <si>
    <t>Длина волны, нм</t>
  </si>
  <si>
    <t>Спектр водорода</t>
  </si>
  <si>
    <t>alpha</t>
  </si>
  <si>
    <t>beta</t>
  </si>
  <si>
    <t>gamma</t>
  </si>
  <si>
    <t>hv</t>
  </si>
  <si>
    <t>1,0</t>
  </si>
  <si>
    <t>1,5</t>
  </si>
  <si>
    <t>гр</t>
  </si>
  <si>
    <t>Спектр Йода</t>
  </si>
  <si>
    <t>Градус барабана</t>
  </si>
  <si>
    <t>Неон</t>
  </si>
  <si>
    <t>Ртуть</t>
  </si>
  <si>
    <t>Аппроксимации, А</t>
  </si>
  <si>
    <t>Погрешности, А</t>
  </si>
  <si>
    <t>Длина волны(эталон), А</t>
  </si>
  <si>
    <t>Сериальное отношение</t>
  </si>
  <si>
    <t>Эталон</t>
  </si>
  <si>
    <t>a/b</t>
  </si>
  <si>
    <t>a/g</t>
  </si>
  <si>
    <t>b</t>
  </si>
  <si>
    <t>g</t>
  </si>
  <si>
    <t>a</t>
  </si>
  <si>
    <t>Измерение постоянной Ридберга</t>
  </si>
  <si>
    <t>Расчетное значение, м^-1</t>
  </si>
  <si>
    <t>Неон, м^-1</t>
  </si>
  <si>
    <t>Ртуть, м^-1</t>
  </si>
  <si>
    <t>Эталон, м^-1</t>
  </si>
  <si>
    <t>Вычисление длин волн a,b,g</t>
  </si>
  <si>
    <t>Номер</t>
  </si>
  <si>
    <t>Вычисления у йода:</t>
  </si>
  <si>
    <t>длины волны, А</t>
  </si>
  <si>
    <t>энергии кванта, эВ</t>
  </si>
  <si>
    <t>Вычисление энергий йода</t>
  </si>
  <si>
    <t>E_a, эВ</t>
  </si>
  <si>
    <t>hv_1, эВ</t>
  </si>
  <si>
    <t>Электронный переход</t>
  </si>
  <si>
    <t>Диссоциация в осноном</t>
  </si>
  <si>
    <t>Диссоциация в возбужденном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</si>
</sst>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B7" workbookViewId="0">
      <selection activeCell="M20" sqref="M20"/>
    </sheetView>
  </sheetViews>
  <sheetFormatPr defaultRowHeight="14.4" x14ac:dyDescent="0.3"/>
  <cols>
    <col min="1" max="1" width="15.88671875" customWidth="1"/>
    <col min="2" max="2" width="15.77734375" customWidth="1"/>
    <col min="3" max="3" width="13.44140625" customWidth="1"/>
    <col min="4" max="4" width="16.77734375" customWidth="1"/>
    <col min="5" max="5" width="23.21875" customWidth="1"/>
    <col min="7" max="7" width="23.109375" customWidth="1"/>
    <col min="8" max="8" width="10.109375" customWidth="1"/>
    <col min="9" max="9" width="11.77734375" customWidth="1"/>
    <col min="10" max="10" width="12" customWidth="1"/>
    <col min="11" max="11" width="10.5546875" bestFit="1" customWidth="1"/>
  </cols>
  <sheetData>
    <row r="1" spans="1:11" x14ac:dyDescent="0.3">
      <c r="A1" t="s">
        <v>0</v>
      </c>
      <c r="B1" t="s">
        <v>2</v>
      </c>
    </row>
    <row r="2" spans="1:11" x14ac:dyDescent="0.3">
      <c r="A2">
        <f>0.13</f>
        <v>0.13</v>
      </c>
      <c r="B2">
        <f>11</f>
        <v>11</v>
      </c>
    </row>
    <row r="3" spans="1:11" x14ac:dyDescent="0.3">
      <c r="A3" t="s">
        <v>1</v>
      </c>
    </row>
    <row r="4" spans="1:11" x14ac:dyDescent="0.3">
      <c r="A4">
        <f>0.2</f>
        <v>0.2</v>
      </c>
    </row>
    <row r="5" spans="1:11" x14ac:dyDescent="0.3">
      <c r="A5" s="2" t="s">
        <v>5</v>
      </c>
      <c r="B5" s="2"/>
      <c r="D5" s="2" t="s">
        <v>6</v>
      </c>
      <c r="E5" s="2"/>
    </row>
    <row r="6" spans="1:11" x14ac:dyDescent="0.3">
      <c r="A6" t="s">
        <v>3</v>
      </c>
      <c r="B6" t="s">
        <v>4</v>
      </c>
      <c r="D6" t="s">
        <v>3</v>
      </c>
      <c r="E6" t="s">
        <v>7</v>
      </c>
    </row>
    <row r="7" spans="1:11" x14ac:dyDescent="0.3">
      <c r="A7">
        <f>2500-3*2</f>
        <v>2494</v>
      </c>
      <c r="B7">
        <f>6096.1</f>
        <v>6096.1</v>
      </c>
      <c r="D7">
        <f>1950-36</f>
        <v>1914</v>
      </c>
      <c r="E7">
        <f>491.6*10</f>
        <v>4916</v>
      </c>
    </row>
    <row r="8" spans="1:11" x14ac:dyDescent="0.3">
      <c r="A8">
        <f>2500-20</f>
        <v>2480</v>
      </c>
      <c r="B8">
        <f>6074.33</f>
        <v>6074.33</v>
      </c>
      <c r="D8">
        <f>2100-6</f>
        <v>2094</v>
      </c>
      <c r="E8">
        <f>579*10</f>
        <v>5790</v>
      </c>
    </row>
    <row r="9" spans="1:11" x14ac:dyDescent="0.3">
      <c r="A9">
        <f>2450</f>
        <v>2450</v>
      </c>
      <c r="B9">
        <f>6029.99</f>
        <v>6029.99</v>
      </c>
      <c r="D9">
        <f>2150-44</f>
        <v>2106</v>
      </c>
      <c r="E9">
        <f>579.1*10</f>
        <v>5791</v>
      </c>
    </row>
    <row r="10" spans="1:11" x14ac:dyDescent="0.3">
      <c r="A10">
        <f>2428</f>
        <v>2428</v>
      </c>
      <c r="B10">
        <f>5975.93</f>
        <v>5975.93</v>
      </c>
      <c r="D10">
        <f>2240</f>
        <v>2240</v>
      </c>
      <c r="E10">
        <f>607.3*10</f>
        <v>6073</v>
      </c>
      <c r="F10" s="3" t="s">
        <v>35</v>
      </c>
      <c r="G10" s="3"/>
      <c r="H10" s="3"/>
      <c r="I10" s="3"/>
      <c r="J10" s="3"/>
      <c r="K10" s="3"/>
    </row>
    <row r="11" spans="1:11" x14ac:dyDescent="0.3">
      <c r="A11">
        <f>2418</f>
        <v>2418</v>
      </c>
      <c r="B11">
        <f>5944.83</f>
        <v>5944.83</v>
      </c>
      <c r="D11">
        <f>2300-36</f>
        <v>2264</v>
      </c>
      <c r="E11">
        <f>612.3*10</f>
        <v>6123</v>
      </c>
      <c r="H11" s="2" t="s">
        <v>20</v>
      </c>
      <c r="I11" s="2"/>
    </row>
    <row r="12" spans="1:11" x14ac:dyDescent="0.3">
      <c r="A12">
        <f>2378</f>
        <v>2378</v>
      </c>
      <c r="B12">
        <f>5881.9</f>
        <v>5881.9</v>
      </c>
      <c r="D12">
        <f>2350-42</f>
        <v>2308</v>
      </c>
      <c r="E12">
        <f>623.4*10</f>
        <v>6234</v>
      </c>
      <c r="G12" t="s">
        <v>17</v>
      </c>
      <c r="H12" t="s">
        <v>18</v>
      </c>
      <c r="I12" t="s">
        <v>19</v>
      </c>
      <c r="J12" s="2" t="s">
        <v>22</v>
      </c>
      <c r="K12" s="2"/>
    </row>
    <row r="13" spans="1:11" x14ac:dyDescent="0.3">
      <c r="A13">
        <f>2400-30</f>
        <v>2370</v>
      </c>
      <c r="B13">
        <f>5852.18</f>
        <v>5852.18</v>
      </c>
      <c r="D13" s="2" t="s">
        <v>8</v>
      </c>
      <c r="E13" s="2"/>
      <c r="F13" t="s">
        <v>29</v>
      </c>
      <c r="G13">
        <f>2450-10</f>
        <v>2440</v>
      </c>
      <c r="H13" s="6">
        <f>G13*1.94+ 1270</f>
        <v>6003.5999999999995</v>
      </c>
      <c r="I13">
        <f>2.1*G13+ 1400</f>
        <v>6524</v>
      </c>
      <c r="J13" s="2">
        <f>6562.8</f>
        <v>6562.8</v>
      </c>
      <c r="K13" s="2"/>
    </row>
    <row r="14" spans="1:11" x14ac:dyDescent="0.3">
      <c r="A14">
        <f>2350</f>
        <v>2350</v>
      </c>
      <c r="B14">
        <f>5820.15</f>
        <v>5820.15</v>
      </c>
      <c r="D14" t="s">
        <v>3</v>
      </c>
      <c r="E14" t="s">
        <v>22</v>
      </c>
      <c r="F14" t="s">
        <v>27</v>
      </c>
      <c r="G14">
        <f>1450-12</f>
        <v>1438</v>
      </c>
      <c r="H14" s="6">
        <f t="shared" ref="H14:H15" si="0">G14*1.94+ 1270</f>
        <v>4059.72</v>
      </c>
      <c r="I14">
        <f t="shared" ref="I14:I15" si="1">2.1*G14+ 1400</f>
        <v>4419.8</v>
      </c>
      <c r="J14" s="2">
        <f>4861.3</f>
        <v>4861.3</v>
      </c>
      <c r="K14" s="2"/>
    </row>
    <row r="15" spans="1:11" x14ac:dyDescent="0.3">
      <c r="A15">
        <f>2338-2</f>
        <v>2336</v>
      </c>
      <c r="B15">
        <f>5804.45</f>
        <v>5804.45</v>
      </c>
      <c r="C15" t="s">
        <v>9</v>
      </c>
      <c r="D15">
        <f>2450-10</f>
        <v>2440</v>
      </c>
      <c r="E15">
        <f>6562.8</f>
        <v>6562.8</v>
      </c>
      <c r="F15" t="s">
        <v>28</v>
      </c>
      <c r="G15">
        <f>800-6</f>
        <v>794</v>
      </c>
      <c r="H15" s="6">
        <f t="shared" si="0"/>
        <v>2810.3599999999997</v>
      </c>
      <c r="I15">
        <f t="shared" si="1"/>
        <v>3067.4</v>
      </c>
      <c r="J15" s="2">
        <f>4340.3</f>
        <v>4340.3</v>
      </c>
      <c r="K15" s="2"/>
    </row>
    <row r="16" spans="1:11" x14ac:dyDescent="0.3">
      <c r="A16">
        <f>2320</f>
        <v>2320</v>
      </c>
      <c r="B16">
        <f>5765</f>
        <v>5765</v>
      </c>
      <c r="C16" t="s">
        <v>10</v>
      </c>
      <c r="D16">
        <f>1450-12</f>
        <v>1438</v>
      </c>
      <c r="E16">
        <f>4861.3</f>
        <v>4861.3</v>
      </c>
      <c r="H16" s="2" t="s">
        <v>21</v>
      </c>
      <c r="I16" s="2"/>
    </row>
    <row r="17" spans="1:11" x14ac:dyDescent="0.3">
      <c r="A17">
        <f>2300</f>
        <v>2300</v>
      </c>
      <c r="B17">
        <f>5749</f>
        <v>5749</v>
      </c>
      <c r="C17" t="s">
        <v>11</v>
      </c>
      <c r="D17">
        <f>800-6</f>
        <v>794</v>
      </c>
      <c r="E17">
        <f>4340.3</f>
        <v>4340.3</v>
      </c>
      <c r="H17" t="s">
        <v>18</v>
      </c>
      <c r="I17" t="s">
        <v>19</v>
      </c>
    </row>
    <row r="18" spans="1:11" x14ac:dyDescent="0.3">
      <c r="A18">
        <f>2280</f>
        <v>2280</v>
      </c>
      <c r="B18">
        <f>5719</f>
        <v>5719</v>
      </c>
      <c r="D18" s="2" t="s">
        <v>16</v>
      </c>
      <c r="E18" s="2"/>
      <c r="F18" t="s">
        <v>29</v>
      </c>
      <c r="G18">
        <f>2450-10</f>
        <v>2440</v>
      </c>
      <c r="H18">
        <f>G18*0.03+68</f>
        <v>141.19999999999999</v>
      </c>
      <c r="I18" s="6">
        <f>G18*0.07+154</f>
        <v>324.8</v>
      </c>
    </row>
    <row r="19" spans="1:11" x14ac:dyDescent="0.3">
      <c r="A19">
        <f>2270</f>
        <v>2270</v>
      </c>
      <c r="B19">
        <f>5688</f>
        <v>5688</v>
      </c>
      <c r="D19" t="s">
        <v>3</v>
      </c>
      <c r="E19" t="s">
        <v>12</v>
      </c>
      <c r="F19" t="s">
        <v>27</v>
      </c>
      <c r="G19">
        <f>1450-12</f>
        <v>1438</v>
      </c>
      <c r="H19">
        <f t="shared" ref="H19:H20" si="2">G19*0.03+68</f>
        <v>111.14</v>
      </c>
      <c r="I19" s="6">
        <f t="shared" ref="I19:I20" si="3">G19*0.07+154</f>
        <v>254.66000000000003</v>
      </c>
    </row>
    <row r="20" spans="1:11" x14ac:dyDescent="0.3">
      <c r="A20">
        <f>2250</f>
        <v>2250</v>
      </c>
      <c r="B20">
        <f>5653</f>
        <v>5653</v>
      </c>
      <c r="C20" t="s">
        <v>13</v>
      </c>
      <c r="D20">
        <f>2250</f>
        <v>2250</v>
      </c>
      <c r="F20" t="s">
        <v>28</v>
      </c>
      <c r="G20">
        <f>800-6</f>
        <v>794</v>
      </c>
      <c r="H20">
        <f t="shared" si="2"/>
        <v>91.82</v>
      </c>
      <c r="I20" s="6">
        <f t="shared" si="3"/>
        <v>209.58</v>
      </c>
    </row>
    <row r="21" spans="1:11" x14ac:dyDescent="0.3">
      <c r="A21">
        <f>2240</f>
        <v>2240</v>
      </c>
      <c r="B21">
        <f>5650</f>
        <v>5650</v>
      </c>
      <c r="C21" t="s">
        <v>14</v>
      </c>
      <c r="D21">
        <f>2200-32</f>
        <v>2168</v>
      </c>
      <c r="F21" s="3" t="s">
        <v>23</v>
      </c>
      <c r="G21" s="3"/>
      <c r="H21" s="3"/>
      <c r="I21" s="3"/>
      <c r="J21" s="3"/>
      <c r="K21" s="3"/>
    </row>
    <row r="22" spans="1:11" x14ac:dyDescent="0.3">
      <c r="A22">
        <f>2220</f>
        <v>2220</v>
      </c>
      <c r="B22">
        <f>5642</f>
        <v>5642</v>
      </c>
      <c r="C22" t="s">
        <v>15</v>
      </c>
      <c r="D22">
        <f>1750-46</f>
        <v>1704</v>
      </c>
      <c r="H22" t="s">
        <v>18</v>
      </c>
      <c r="I22" t="s">
        <v>19</v>
      </c>
      <c r="J22" s="2" t="s">
        <v>24</v>
      </c>
      <c r="K22" s="2"/>
    </row>
    <row r="23" spans="1:11" x14ac:dyDescent="0.3">
      <c r="A23">
        <f>2198-2</f>
        <v>2196</v>
      </c>
      <c r="B23">
        <f>5505</f>
        <v>5505</v>
      </c>
      <c r="F23" t="s">
        <v>25</v>
      </c>
      <c r="G23" s="7">
        <f>(((1/2)^2-(1/3)^2)/((1/2)^2-(1/4)^2))^-1</f>
        <v>1.3499999999999999</v>
      </c>
      <c r="H23" s="7">
        <f>H$13/H14</f>
        <v>1.4788211994915905</v>
      </c>
      <c r="I23" s="7">
        <f>I$13/I14</f>
        <v>1.4760848907190369</v>
      </c>
      <c r="J23" s="8">
        <f>J$13/J14</f>
        <v>1.350009256783165</v>
      </c>
      <c r="K23" s="8"/>
    </row>
    <row r="24" spans="1:11" x14ac:dyDescent="0.3">
      <c r="A24">
        <f>1900-26</f>
        <v>1874</v>
      </c>
      <c r="B24">
        <f>4932</f>
        <v>4932</v>
      </c>
      <c r="F24" t="s">
        <v>26</v>
      </c>
      <c r="G24" s="7">
        <f>(((1/2)^2-(1/3)^2)/((1/2)^2-(1/5)^2))^-1</f>
        <v>1.512</v>
      </c>
      <c r="H24" s="7">
        <f>H$13/H15</f>
        <v>2.1362387736802404</v>
      </c>
      <c r="I24" s="7">
        <f>I$13/I15</f>
        <v>2.126882701962574</v>
      </c>
      <c r="J24" s="8">
        <f>J$13/J15</f>
        <v>1.5120613782457433</v>
      </c>
      <c r="K24" s="8"/>
    </row>
    <row r="25" spans="1:11" x14ac:dyDescent="0.3">
      <c r="A25">
        <f>1850-16</f>
        <v>1834</v>
      </c>
      <c r="B25">
        <f>4839</f>
        <v>4839</v>
      </c>
      <c r="F25" s="3" t="s">
        <v>30</v>
      </c>
      <c r="G25" s="3"/>
      <c r="H25" s="3"/>
      <c r="I25" s="3"/>
      <c r="J25" s="3"/>
      <c r="K25" s="3"/>
    </row>
    <row r="26" spans="1:11" x14ac:dyDescent="0.3">
      <c r="A26">
        <f>1850-24</f>
        <v>1826</v>
      </c>
      <c r="B26">
        <f>4756</f>
        <v>4756</v>
      </c>
      <c r="G26" t="s">
        <v>31</v>
      </c>
      <c r="H26" t="s">
        <v>32</v>
      </c>
      <c r="I26" t="s">
        <v>33</v>
      </c>
      <c r="J26" s="2" t="s">
        <v>34</v>
      </c>
      <c r="K26" s="2"/>
    </row>
    <row r="27" spans="1:11" x14ac:dyDescent="0.3">
      <c r="F27" t="s">
        <v>29</v>
      </c>
      <c r="G27" s="9">
        <f>109677.6*10^2</f>
        <v>10967760</v>
      </c>
      <c r="H27" s="5">
        <f>1/(H13*10^-10)/((1/2)^2-(1/3)^2)</f>
        <v>11992804.317409554</v>
      </c>
      <c r="I27" s="5">
        <f>1/(I13*10^-10)/((1/2)^2-(1/3)^2)</f>
        <v>11036174.126302881</v>
      </c>
      <c r="J27" s="10">
        <f>1/(J13*10^-10)/((1/2)^2-(1/3)^2)</f>
        <v>10970927.04333516</v>
      </c>
      <c r="K27" s="10"/>
    </row>
    <row r="28" spans="1:11" x14ac:dyDescent="0.3">
      <c r="F28" t="s">
        <v>27</v>
      </c>
      <c r="G28" s="9"/>
      <c r="H28" s="5">
        <f>1/(H14*10^-10)/((1/2)^2-(1/4)^2)</f>
        <v>13137195.011807054</v>
      </c>
      <c r="I28" s="5">
        <f>1/(I14*10^-10)/((1/2)^2-(1/4)^2)</f>
        <v>12066911.021614851</v>
      </c>
      <c r="J28" s="10">
        <f>1/(J14*10^-10)/((1/2)^2-(1/4)^2)</f>
        <v>10971002.269626092</v>
      </c>
      <c r="K28" s="10"/>
    </row>
    <row r="29" spans="1:11" x14ac:dyDescent="0.3">
      <c r="F29" t="s">
        <v>28</v>
      </c>
      <c r="G29" s="9"/>
      <c r="H29" s="5">
        <f>1/(H15*10^-10)/((1/2)^2-(1/5)^2)</f>
        <v>16944109.515879683</v>
      </c>
      <c r="I29" s="5">
        <f>1/(I15*10^-10)/((1/2)^2-(1/5)^2)</f>
        <v>15524237.992778124</v>
      </c>
      <c r="J29" s="10">
        <f>1/(J15*10^-10)/((1/2)^2-(1/5)^2)</f>
        <v>10971372.398001894</v>
      </c>
      <c r="K29" s="10"/>
    </row>
    <row r="30" spans="1:11" x14ac:dyDescent="0.3">
      <c r="F30" s="3" t="s">
        <v>37</v>
      </c>
      <c r="G30" s="3"/>
      <c r="H30" s="3" t="s">
        <v>38</v>
      </c>
      <c r="I30" s="3"/>
      <c r="J30" s="3" t="s">
        <v>39</v>
      </c>
      <c r="K30" s="3"/>
    </row>
    <row r="31" spans="1:11" x14ac:dyDescent="0.3">
      <c r="F31" t="s">
        <v>36</v>
      </c>
      <c r="G31" s="1" t="s">
        <v>17</v>
      </c>
      <c r="H31" t="s">
        <v>18</v>
      </c>
      <c r="I31" t="s">
        <v>19</v>
      </c>
      <c r="J31" t="s">
        <v>18</v>
      </c>
      <c r="K31" t="s">
        <v>19</v>
      </c>
    </row>
    <row r="32" spans="1:11" x14ac:dyDescent="0.3">
      <c r="F32" t="s">
        <v>13</v>
      </c>
      <c r="G32">
        <f>2250</f>
        <v>2250</v>
      </c>
      <c r="H32">
        <f>G32*1.94+ 1270</f>
        <v>5635</v>
      </c>
      <c r="I32">
        <f>2.1*G32+ 1400</f>
        <v>6125</v>
      </c>
      <c r="J32" s="7">
        <f>4.1*10^-15*(3*10^8)/(H32*10^-10)</f>
        <v>2.1827861579414374</v>
      </c>
      <c r="K32" s="7">
        <f>4.1*10^-15*(3*10^8)/(I32*10^-10)</f>
        <v>2.0081632653061221</v>
      </c>
    </row>
    <row r="33" spans="6:11" x14ac:dyDescent="0.3">
      <c r="F33" t="s">
        <v>14</v>
      </c>
      <c r="G33">
        <f>2200-32</f>
        <v>2168</v>
      </c>
      <c r="H33" s="6">
        <f t="shared" ref="H33:H34" si="4">G33*1.94+ 1270</f>
        <v>5475.92</v>
      </c>
      <c r="I33">
        <f t="shared" ref="I33:I34" si="5">2.1*G33+ 1400</f>
        <v>5952.8</v>
      </c>
      <c r="J33" s="7">
        <f t="shared" ref="J33:J34" si="6">4.1*10^-15*(3*10^8)/(H33*10^-10)</f>
        <v>2.2461978991658018</v>
      </c>
      <c r="K33" s="7">
        <f t="shared" ref="K33:K34" si="7">4.1*10^-15*(3*10^8)/(I33*10^-10)</f>
        <v>2.0662545356806876</v>
      </c>
    </row>
    <row r="34" spans="6:11" x14ac:dyDescent="0.3">
      <c r="F34" t="s">
        <v>15</v>
      </c>
      <c r="G34">
        <f>1750-46</f>
        <v>1704</v>
      </c>
      <c r="H34" s="6">
        <f t="shared" si="4"/>
        <v>4575.76</v>
      </c>
      <c r="I34">
        <f t="shared" si="5"/>
        <v>4978.3999999999996</v>
      </c>
      <c r="J34" s="7">
        <f t="shared" si="6"/>
        <v>2.6880780460513658</v>
      </c>
      <c r="K34" s="7">
        <f t="shared" si="7"/>
        <v>2.4706733086935562</v>
      </c>
    </row>
    <row r="35" spans="6:11" x14ac:dyDescent="0.3">
      <c r="F35" t="s">
        <v>36</v>
      </c>
      <c r="G35" s="3" t="s">
        <v>40</v>
      </c>
      <c r="H35" s="3"/>
      <c r="I35" t="s">
        <v>18</v>
      </c>
      <c r="J35" t="s">
        <v>19</v>
      </c>
      <c r="K35" s="4" t="s">
        <v>42</v>
      </c>
    </row>
    <row r="36" spans="6:11" x14ac:dyDescent="0.3">
      <c r="F36" t="s">
        <v>13</v>
      </c>
      <c r="G36" s="2" t="s">
        <v>43</v>
      </c>
      <c r="H36" s="2"/>
      <c r="I36" s="7">
        <v>2.1827861579414374</v>
      </c>
      <c r="J36" s="7">
        <v>2.0081632653061221</v>
      </c>
      <c r="K36">
        <f>0.027</f>
        <v>2.7E-2</v>
      </c>
    </row>
    <row r="37" spans="6:11" x14ac:dyDescent="0.3">
      <c r="F37" t="s">
        <v>14</v>
      </c>
      <c r="G37" s="2" t="s">
        <v>44</v>
      </c>
      <c r="H37" s="2"/>
      <c r="I37" s="7">
        <f>J34-$K38</f>
        <v>1.7480780460513659</v>
      </c>
      <c r="J37" s="7">
        <f>K34-$K38</f>
        <v>1.5306733086935562</v>
      </c>
      <c r="K37" t="s">
        <v>41</v>
      </c>
    </row>
    <row r="38" spans="6:11" x14ac:dyDescent="0.3">
      <c r="F38" t="s">
        <v>15</v>
      </c>
      <c r="G38" s="2" t="s">
        <v>45</v>
      </c>
      <c r="H38" s="2"/>
      <c r="I38" s="7">
        <f>J34-I36</f>
        <v>0.50529188810992842</v>
      </c>
      <c r="J38" s="7">
        <f>K34-J36</f>
        <v>0.46251004338743407</v>
      </c>
      <c r="K38">
        <f>0.94</f>
        <v>0.94</v>
      </c>
    </row>
    <row r="39" spans="6:11" x14ac:dyDescent="0.3">
      <c r="G39" s="4"/>
      <c r="H39" s="4"/>
    </row>
  </sheetData>
  <mergeCells count="28">
    <mergeCell ref="G38:H38"/>
    <mergeCell ref="G35:H35"/>
    <mergeCell ref="G36:H36"/>
    <mergeCell ref="G37:H37"/>
    <mergeCell ref="J13:K13"/>
    <mergeCell ref="J14:K14"/>
    <mergeCell ref="J15:K15"/>
    <mergeCell ref="J22:K22"/>
    <mergeCell ref="J23:K23"/>
    <mergeCell ref="J24:K24"/>
    <mergeCell ref="J26:K26"/>
    <mergeCell ref="J27:K27"/>
    <mergeCell ref="J28:K28"/>
    <mergeCell ref="J29:K29"/>
    <mergeCell ref="F30:G30"/>
    <mergeCell ref="H30:I30"/>
    <mergeCell ref="J30:K30"/>
    <mergeCell ref="F21:K21"/>
    <mergeCell ref="F25:K25"/>
    <mergeCell ref="G27:G29"/>
    <mergeCell ref="A5:B5"/>
    <mergeCell ref="D5:E5"/>
    <mergeCell ref="D13:E13"/>
    <mergeCell ref="D18:E18"/>
    <mergeCell ref="H11:I11"/>
    <mergeCell ref="H16:I16"/>
    <mergeCell ref="J12:K12"/>
    <mergeCell ref="F10:K10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2021-09-08T06:14:37Z</dcterms:created>
  <dcterms:modified xsi:type="dcterms:W3CDTF">2021-09-12T10:00:48Z</dcterms:modified>
</cp:coreProperties>
</file>