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4\4.3.6\"/>
    </mc:Choice>
  </mc:AlternateContent>
  <bookViews>
    <workbookView xWindow="0" yWindow="0" windowWidth="23040" windowHeight="82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  <c r="J22" i="1" l="1"/>
  <c r="I22" i="1"/>
  <c r="M20" i="1"/>
  <c r="L20" i="1"/>
  <c r="K20" i="1"/>
  <c r="J20" i="1"/>
  <c r="I20" i="1"/>
  <c r="E20" i="1"/>
  <c r="P9" i="1"/>
  <c r="P7" i="1"/>
  <c r="Q11" i="1"/>
  <c r="Q9" i="1"/>
  <c r="Q7" i="1"/>
  <c r="R11" i="1"/>
  <c r="R9" i="1"/>
  <c r="R7" i="1"/>
  <c r="B18" i="1"/>
  <c r="A18" i="1"/>
  <c r="F18" i="1"/>
  <c r="E18" i="1"/>
  <c r="G18" i="1" s="1"/>
  <c r="H18" i="1" s="1"/>
  <c r="D18" i="1"/>
  <c r="C18" i="1"/>
  <c r="S9" i="1"/>
  <c r="S7" i="1"/>
  <c r="O5" i="1"/>
  <c r="O13" i="1" s="1"/>
  <c r="P5" i="1"/>
  <c r="P13" i="1" s="1"/>
  <c r="Q5" i="1"/>
  <c r="Q13" i="1" s="1"/>
  <c r="R5" i="1"/>
  <c r="R13" i="1" s="1"/>
  <c r="S5" i="1"/>
  <c r="S13" i="1" s="1"/>
  <c r="U3" i="1"/>
  <c r="T3" i="1"/>
  <c r="I5" i="1"/>
  <c r="H7" i="1"/>
  <c r="H11" i="1"/>
  <c r="I7" i="1"/>
  <c r="I11" i="1" s="1"/>
  <c r="J7" i="1"/>
  <c r="J5" i="1"/>
  <c r="K5" i="1"/>
  <c r="K7" i="1"/>
  <c r="N3" i="1"/>
  <c r="L7" i="1"/>
  <c r="L5" i="1"/>
  <c r="L9" i="1" s="1"/>
  <c r="L13" i="1" s="1"/>
  <c r="N5" i="1"/>
  <c r="M5" i="1"/>
  <c r="M3" i="1"/>
  <c r="L11" i="1"/>
  <c r="G3" i="1"/>
  <c r="E5" i="1"/>
  <c r="E9" i="1"/>
  <c r="E13" i="1" s="1"/>
  <c r="D7" i="1"/>
  <c r="D5" i="1"/>
  <c r="E11" i="1"/>
  <c r="C7" i="1"/>
  <c r="C11" i="1" s="1"/>
  <c r="C5" i="1"/>
  <c r="C9" i="1" s="1"/>
  <c r="C13" i="1" s="1"/>
  <c r="B7" i="1"/>
  <c r="B11" i="1" s="1"/>
  <c r="B5" i="1"/>
  <c r="A5" i="1"/>
  <c r="A7" i="1"/>
  <c r="A11" i="1" s="1"/>
  <c r="F5" i="1"/>
  <c r="G5" i="1"/>
  <c r="F3" i="1"/>
  <c r="C15" i="1" l="1"/>
  <c r="E23" i="1"/>
  <c r="L15" i="1"/>
  <c r="G24" i="1"/>
  <c r="E15" i="1"/>
  <c r="G23" i="1"/>
  <c r="I9" i="1"/>
  <c r="I13" i="1" s="1"/>
  <c r="D24" i="1" s="1"/>
  <c r="I15" i="1"/>
  <c r="J9" i="1"/>
  <c r="J13" i="1" s="1"/>
  <c r="E24" i="1" s="1"/>
  <c r="J11" i="1"/>
  <c r="K9" i="1"/>
  <c r="K13" i="1" s="1"/>
  <c r="F24" i="1" s="1"/>
  <c r="K11" i="1"/>
  <c r="A9" i="1"/>
  <c r="A13" i="1" s="1"/>
  <c r="B9" i="1"/>
  <c r="B13" i="1" s="1"/>
  <c r="D9" i="1"/>
  <c r="D13" i="1" s="1"/>
  <c r="H9" i="1"/>
  <c r="H13" i="1" s="1"/>
  <c r="D11" i="1"/>
  <c r="B15" i="1" l="1"/>
  <c r="D23" i="1"/>
  <c r="H15" i="1"/>
  <c r="C24" i="1"/>
  <c r="D15" i="1"/>
  <c r="F23" i="1"/>
  <c r="A15" i="1"/>
  <c r="C23" i="1"/>
  <c r="K15" i="1"/>
  <c r="J15" i="1"/>
</calcChain>
</file>

<file path=xl/sharedStrings.xml><?xml version="1.0" encoding="utf-8"?>
<sst xmlns="http://schemas.openxmlformats.org/spreadsheetml/2006/main" count="52" uniqueCount="34">
  <si>
    <t>Определение периода решеток по их пространственному спектру</t>
  </si>
  <si>
    <t>Номер решетки</t>
  </si>
  <si>
    <t>m</t>
  </si>
  <si>
    <t>lambda, м</t>
  </si>
  <si>
    <t>dX, м</t>
  </si>
  <si>
    <t>L, м</t>
  </si>
  <si>
    <t>dL, м</t>
  </si>
  <si>
    <t>X, м</t>
  </si>
  <si>
    <t>x = X/m, м</t>
  </si>
  <si>
    <t>dx, м</t>
  </si>
  <si>
    <t>d, м</t>
  </si>
  <si>
    <t>dd, м</t>
  </si>
  <si>
    <t>a, м</t>
  </si>
  <si>
    <t>b, м</t>
  </si>
  <si>
    <t>Определение периода решеток по изображению и линзе</t>
  </si>
  <si>
    <t>D = X/m, м</t>
  </si>
  <si>
    <t>dD, м</t>
  </si>
  <si>
    <t>da, м</t>
  </si>
  <si>
    <t>db, м</t>
  </si>
  <si>
    <t>Определение периода решеток по cаморепродукции</t>
  </si>
  <si>
    <t>z_1, м</t>
  </si>
  <si>
    <t>z_2, м</t>
  </si>
  <si>
    <t>z_3, м</t>
  </si>
  <si>
    <t>z_4, м</t>
  </si>
  <si>
    <t>x,м</t>
  </si>
  <si>
    <t>Измерение периода миры 25 с помощью линзы и законов геометрической оптики</t>
  </si>
  <si>
    <t>Измерение периода миры 25 с помощью саморепродукции</t>
  </si>
  <si>
    <t>n</t>
  </si>
  <si>
    <t>z_n</t>
  </si>
  <si>
    <t>d, микрон</t>
  </si>
  <si>
    <t>спектр</t>
  </si>
  <si>
    <t>линза</t>
  </si>
  <si>
    <t>саморепродукция</t>
  </si>
  <si>
    <t>наклон,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</si>
</sst>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I16" sqref="I16:P22"/>
    </sheetView>
  </sheetViews>
  <sheetFormatPr defaultRowHeight="14.4" x14ac:dyDescent="0.3"/>
  <cols>
    <col min="1" max="1" width="12" bestFit="1" customWidth="1"/>
    <col min="2" max="2" width="17.6640625" customWidth="1"/>
    <col min="5" max="5" width="12" bestFit="1" customWidth="1"/>
    <col min="6" max="6" width="10" customWidth="1"/>
    <col min="8" max="8" width="12" bestFit="1" customWidth="1"/>
    <col min="10" max="10" width="12" bestFit="1" customWidth="1"/>
    <col min="12" max="12" width="12" bestFit="1" customWidth="1"/>
  </cols>
  <sheetData>
    <row r="1" spans="1:21" x14ac:dyDescent="0.3">
      <c r="A1" s="3" t="s">
        <v>0</v>
      </c>
      <c r="B1" s="3"/>
      <c r="C1" s="3"/>
      <c r="D1" s="3"/>
      <c r="E1" s="3"/>
      <c r="F1" s="3"/>
      <c r="G1" s="3"/>
      <c r="H1" s="3" t="s">
        <v>14</v>
      </c>
      <c r="I1" s="3"/>
      <c r="J1" s="3"/>
      <c r="K1" s="3"/>
      <c r="L1" s="3"/>
      <c r="M1" s="3"/>
      <c r="N1" s="3"/>
      <c r="O1" s="3" t="s">
        <v>19</v>
      </c>
      <c r="P1" s="3"/>
      <c r="Q1" s="3"/>
      <c r="R1" s="3"/>
      <c r="S1" s="3"/>
      <c r="T1" s="3"/>
      <c r="U1" s="3"/>
    </row>
    <row r="2" spans="1:21" x14ac:dyDescent="0.3">
      <c r="A2" s="2" t="s">
        <v>1</v>
      </c>
      <c r="B2" s="2"/>
      <c r="C2" s="2"/>
      <c r="D2" s="2"/>
      <c r="E2" s="2"/>
      <c r="F2" s="1" t="s">
        <v>3</v>
      </c>
      <c r="G2" t="s">
        <v>5</v>
      </c>
      <c r="H2" s="2" t="s">
        <v>1</v>
      </c>
      <c r="I2" s="2"/>
      <c r="J2" s="2"/>
      <c r="K2" s="2"/>
      <c r="L2" s="2"/>
      <c r="M2" s="1" t="s">
        <v>12</v>
      </c>
      <c r="N2" t="s">
        <v>13</v>
      </c>
      <c r="O2" s="2" t="s">
        <v>1</v>
      </c>
      <c r="P2" s="2"/>
      <c r="Q2" s="2"/>
      <c r="R2" s="2"/>
      <c r="S2" s="2"/>
      <c r="T2" s="1" t="s">
        <v>12</v>
      </c>
      <c r="U2" t="s">
        <v>13</v>
      </c>
    </row>
    <row r="3" spans="1:21" x14ac:dyDescent="0.3">
      <c r="A3">
        <v>1</v>
      </c>
      <c r="B3">
        <v>2</v>
      </c>
      <c r="C3">
        <v>3</v>
      </c>
      <c r="D3">
        <v>4</v>
      </c>
      <c r="E3">
        <v>5</v>
      </c>
      <c r="F3">
        <f>532*10^-9</f>
        <v>5.3200000000000005E-7</v>
      </c>
      <c r="G3">
        <f>1353*10^-3</f>
        <v>1.353</v>
      </c>
      <c r="H3">
        <v>1</v>
      </c>
      <c r="I3">
        <v>2</v>
      </c>
      <c r="J3">
        <v>3</v>
      </c>
      <c r="K3">
        <v>4</v>
      </c>
      <c r="L3">
        <v>5</v>
      </c>
      <c r="M3">
        <f>55*10^-3</f>
        <v>5.5E-2</v>
      </c>
      <c r="N3">
        <f>1200*10^-3</f>
        <v>1.2</v>
      </c>
      <c r="O3">
        <v>1</v>
      </c>
      <c r="P3">
        <v>2</v>
      </c>
      <c r="Q3">
        <v>3</v>
      </c>
      <c r="R3">
        <v>4</v>
      </c>
      <c r="S3">
        <v>5</v>
      </c>
      <c r="T3">
        <f>55*10^-3</f>
        <v>5.5E-2</v>
      </c>
      <c r="U3">
        <f>1200*10^-3</f>
        <v>1.2</v>
      </c>
    </row>
    <row r="4" spans="1:21" x14ac:dyDescent="0.3">
      <c r="A4" s="2" t="s">
        <v>7</v>
      </c>
      <c r="B4" s="2"/>
      <c r="C4" s="2"/>
      <c r="D4" s="2"/>
      <c r="E4" s="2"/>
      <c r="F4" t="s">
        <v>4</v>
      </c>
      <c r="G4" t="s">
        <v>6</v>
      </c>
      <c r="H4" s="2" t="s">
        <v>7</v>
      </c>
      <c r="I4" s="2"/>
      <c r="J4" s="2"/>
      <c r="K4" s="2"/>
      <c r="L4" s="2"/>
      <c r="M4" t="s">
        <v>17</v>
      </c>
      <c r="N4" t="s">
        <v>18</v>
      </c>
      <c r="O4" s="2" t="s">
        <v>20</v>
      </c>
      <c r="P4" s="2"/>
      <c r="Q4" s="2"/>
      <c r="R4" s="2"/>
      <c r="S4" s="2"/>
    </row>
    <row r="5" spans="1:21" x14ac:dyDescent="0.3">
      <c r="A5">
        <f>253*10^-3</f>
        <v>0.253</v>
      </c>
      <c r="B5">
        <f>243*10^-3</f>
        <v>0.24299999999999999</v>
      </c>
      <c r="C5">
        <f>0.266</f>
        <v>0.26600000000000001</v>
      </c>
      <c r="D5">
        <f>0.2</f>
        <v>0.2</v>
      </c>
      <c r="E5">
        <f>0.01</f>
        <v>0.01</v>
      </c>
      <c r="F5">
        <f>0.0005</f>
        <v>5.0000000000000001E-4</v>
      </c>
      <c r="G5">
        <f>0.5*10^-3</f>
        <v>5.0000000000000001E-4</v>
      </c>
      <c r="H5">
        <v>8.0000000000000002E-3</v>
      </c>
      <c r="I5">
        <f>0.01</f>
        <v>0.01</v>
      </c>
      <c r="J5">
        <f>0.003</f>
        <v>3.0000000000000001E-3</v>
      </c>
      <c r="K5">
        <f>49*10^-3</f>
        <v>4.9000000000000002E-2</v>
      </c>
      <c r="L5">
        <f>0.063</f>
        <v>6.3E-2</v>
      </c>
      <c r="M5">
        <f>0.0005</f>
        <v>5.0000000000000001E-4</v>
      </c>
      <c r="N5">
        <f>0.0005</f>
        <v>5.0000000000000001E-4</v>
      </c>
      <c r="O5">
        <f>0.002</f>
        <v>2E-3</v>
      </c>
      <c r="P5">
        <f>0.003</f>
        <v>3.0000000000000001E-3</v>
      </c>
      <c r="Q5">
        <f>0.013</f>
        <v>1.2999999999999999E-2</v>
      </c>
      <c r="R5">
        <f>0.037</f>
        <v>3.6999999999999998E-2</v>
      </c>
      <c r="S5">
        <f>57*10^-3</f>
        <v>5.7000000000000002E-2</v>
      </c>
    </row>
    <row r="6" spans="1:21" x14ac:dyDescent="0.3">
      <c r="A6" s="2" t="s">
        <v>2</v>
      </c>
      <c r="B6" s="2"/>
      <c r="C6" s="2"/>
      <c r="D6" s="2"/>
      <c r="E6" s="2"/>
      <c r="H6" s="2" t="s">
        <v>2</v>
      </c>
      <c r="I6" s="2"/>
      <c r="J6" s="2"/>
      <c r="K6" s="2"/>
      <c r="L6" s="2"/>
      <c r="O6" s="2" t="s">
        <v>21</v>
      </c>
      <c r="P6" s="2"/>
      <c r="Q6" s="2"/>
      <c r="R6" s="2"/>
      <c r="S6" s="2"/>
    </row>
    <row r="7" spans="1:21" x14ac:dyDescent="0.3">
      <c r="A7">
        <f>7</f>
        <v>7</v>
      </c>
      <c r="B7">
        <f>10</f>
        <v>10</v>
      </c>
      <c r="C7">
        <f>22</f>
        <v>22</v>
      </c>
      <c r="D7">
        <f>33</f>
        <v>33</v>
      </c>
      <c r="E7">
        <v>2</v>
      </c>
      <c r="H7">
        <f>20</f>
        <v>20</v>
      </c>
      <c r="I7">
        <f>15</f>
        <v>15</v>
      </c>
      <c r="J7">
        <f>2</f>
        <v>2</v>
      </c>
      <c r="K7">
        <f>17</f>
        <v>17</v>
      </c>
      <c r="L7">
        <f>16</f>
        <v>16</v>
      </c>
      <c r="O7">
        <v>5.0000000000000001E-3</v>
      </c>
      <c r="P7">
        <f>0.007</f>
        <v>7.0000000000000001E-3</v>
      </c>
      <c r="Q7">
        <f>0.03</f>
        <v>0.03</v>
      </c>
      <c r="R7">
        <f>0.08</f>
        <v>0.08</v>
      </c>
      <c r="S7">
        <f>0.12</f>
        <v>0.12</v>
      </c>
    </row>
    <row r="8" spans="1:21" x14ac:dyDescent="0.3">
      <c r="A8" s="2" t="s">
        <v>8</v>
      </c>
      <c r="B8" s="2"/>
      <c r="C8" s="2"/>
      <c r="D8" s="2"/>
      <c r="E8" s="2"/>
      <c r="H8" s="2" t="s">
        <v>15</v>
      </c>
      <c r="I8" s="2"/>
      <c r="J8" s="2"/>
      <c r="K8" s="2"/>
      <c r="L8" s="2"/>
      <c r="O8" s="2" t="s">
        <v>22</v>
      </c>
      <c r="P8" s="2"/>
      <c r="Q8" s="2"/>
      <c r="R8" s="2"/>
      <c r="S8" s="2"/>
    </row>
    <row r="9" spans="1:21" x14ac:dyDescent="0.3">
      <c r="A9">
        <f>A5/A7</f>
        <v>3.6142857142857143E-2</v>
      </c>
      <c r="B9">
        <f>B5/B7</f>
        <v>2.4299999999999999E-2</v>
      </c>
      <c r="C9">
        <f>C5/C7</f>
        <v>1.2090909090909091E-2</v>
      </c>
      <c r="D9">
        <f t="shared" ref="D9:E9" si="0">D5/D7</f>
        <v>6.0606060606060606E-3</v>
      </c>
      <c r="E9">
        <f t="shared" si="0"/>
        <v>5.0000000000000001E-3</v>
      </c>
      <c r="H9">
        <f>H5/H7</f>
        <v>4.0000000000000002E-4</v>
      </c>
      <c r="I9">
        <f>I5/I7</f>
        <v>6.6666666666666664E-4</v>
      </c>
      <c r="J9">
        <f>J5/J7</f>
        <v>1.5E-3</v>
      </c>
      <c r="K9">
        <f t="shared" ref="K9" si="1">K5/K7</f>
        <v>2.8823529411764709E-3</v>
      </c>
      <c r="L9">
        <f>L5/L7</f>
        <v>3.9375E-3</v>
      </c>
      <c r="O9">
        <v>6.0000000000000001E-3</v>
      </c>
      <c r="P9">
        <f>0.01</f>
        <v>0.01</v>
      </c>
      <c r="Q9">
        <f>0.045</f>
        <v>4.4999999999999998E-2</v>
      </c>
      <c r="R9">
        <f>0.104</f>
        <v>0.104</v>
      </c>
      <c r="S9">
        <f>0.165</f>
        <v>0.16500000000000001</v>
      </c>
    </row>
    <row r="10" spans="1:21" x14ac:dyDescent="0.3">
      <c r="A10" s="2" t="s">
        <v>9</v>
      </c>
      <c r="B10" s="2"/>
      <c r="C10" s="2"/>
      <c r="D10" s="2"/>
      <c r="E10" s="2"/>
      <c r="H10" s="2" t="s">
        <v>16</v>
      </c>
      <c r="I10" s="2"/>
      <c r="J10" s="2"/>
      <c r="K10" s="2"/>
      <c r="L10" s="2"/>
      <c r="O10" s="2" t="s">
        <v>23</v>
      </c>
      <c r="P10" s="2"/>
      <c r="Q10" s="2"/>
      <c r="R10" s="2"/>
      <c r="S10" s="2"/>
    </row>
    <row r="11" spans="1:21" x14ac:dyDescent="0.3">
      <c r="A11">
        <f>0.0005/A7</f>
        <v>7.1428571428571434E-5</v>
      </c>
      <c r="B11">
        <f t="shared" ref="B11:E11" si="2">0.0005/B7</f>
        <v>5.0000000000000002E-5</v>
      </c>
      <c r="C11">
        <f t="shared" si="2"/>
        <v>2.2727272727272729E-5</v>
      </c>
      <c r="D11">
        <f t="shared" si="2"/>
        <v>1.5151515151515151E-5</v>
      </c>
      <c r="E11">
        <f t="shared" si="2"/>
        <v>2.5000000000000001E-4</v>
      </c>
      <c r="H11">
        <f>0.0005/H7</f>
        <v>2.5000000000000001E-5</v>
      </c>
      <c r="I11">
        <f t="shared" ref="I11:K11" si="3">0.0005/I7</f>
        <v>3.3333333333333335E-5</v>
      </c>
      <c r="J11">
        <f t="shared" si="3"/>
        <v>2.5000000000000001E-4</v>
      </c>
      <c r="K11">
        <f t="shared" si="3"/>
        <v>2.9411764705882354E-5</v>
      </c>
      <c r="L11">
        <f>0.0005/L7</f>
        <v>3.1250000000000001E-5</v>
      </c>
      <c r="O11">
        <v>8.9999999999999993E-3</v>
      </c>
      <c r="P11">
        <v>1.2999999999999999E-2</v>
      </c>
      <c r="Q11">
        <f>0.049</f>
        <v>4.9000000000000002E-2</v>
      </c>
      <c r="R11">
        <f>0.143</f>
        <v>0.14299999999999999</v>
      </c>
      <c r="S11">
        <v>0.23</v>
      </c>
    </row>
    <row r="12" spans="1:21" x14ac:dyDescent="0.3">
      <c r="A12" s="2" t="s">
        <v>10</v>
      </c>
      <c r="B12" s="2"/>
      <c r="C12" s="2"/>
      <c r="D12" s="2"/>
      <c r="E12" s="2"/>
      <c r="H12" s="2" t="s">
        <v>10</v>
      </c>
      <c r="I12" s="2"/>
      <c r="J12" s="2"/>
      <c r="K12" s="2"/>
      <c r="L12" s="2"/>
      <c r="O12" s="2" t="s">
        <v>10</v>
      </c>
      <c r="P12" s="2"/>
      <c r="Q12" s="2"/>
      <c r="R12" s="2"/>
      <c r="S12" s="2"/>
    </row>
    <row r="13" spans="1:21" x14ac:dyDescent="0.3">
      <c r="A13">
        <f>532*10^-9*1.353/A9</f>
        <v>1.991530434782609E-5</v>
      </c>
      <c r="B13">
        <f t="shared" ref="B13:D13" si="4">532*10^-9*1.353/B9</f>
        <v>2.9621234567901239E-5</v>
      </c>
      <c r="C13">
        <f t="shared" si="4"/>
        <v>5.9532000000000005E-5</v>
      </c>
      <c r="D13">
        <f t="shared" si="4"/>
        <v>1.1876634000000002E-4</v>
      </c>
      <c r="E13">
        <f>532*10^-9*1.353/E9</f>
        <v>1.4395920000000002E-4</v>
      </c>
      <c r="H13">
        <f t="shared" ref="H13:K13" si="5">H9*0.055/1.2</f>
        <v>1.8333333333333336E-5</v>
      </c>
      <c r="I13">
        <f t="shared" si="5"/>
        <v>3.0555555555555554E-5</v>
      </c>
      <c r="J13">
        <f t="shared" si="5"/>
        <v>6.8750000000000004E-5</v>
      </c>
      <c r="K13">
        <f t="shared" si="5"/>
        <v>1.3210784313725493E-4</v>
      </c>
      <c r="L13">
        <f>L9*0.055/1.2</f>
        <v>1.8046875000000002E-4</v>
      </c>
      <c r="O13">
        <f t="shared" ref="O13:Q13" si="6">SQRT(O5*532*10^-9/2)</f>
        <v>2.3065125189341593E-5</v>
      </c>
      <c r="P13">
        <f t="shared" si="6"/>
        <v>2.8248893783651072E-5</v>
      </c>
      <c r="Q13">
        <f t="shared" si="6"/>
        <v>5.8804761711956627E-5</v>
      </c>
      <c r="R13">
        <f>SQRT(R5*532*10^-9/2)</f>
        <v>9.9206854601887262E-5</v>
      </c>
      <c r="S13">
        <f>SQRT(S5*532*10^-9/2)</f>
        <v>1.2313407326974935E-4</v>
      </c>
    </row>
    <row r="14" spans="1:21" x14ac:dyDescent="0.3">
      <c r="A14" s="2" t="s">
        <v>11</v>
      </c>
      <c r="B14" s="2"/>
      <c r="C14" s="2"/>
      <c r="D14" s="2"/>
      <c r="E14" s="2"/>
      <c r="H14" s="2" t="s">
        <v>11</v>
      </c>
      <c r="I14" s="2"/>
      <c r="J14" s="2"/>
      <c r="K14" s="2"/>
      <c r="L14" s="2"/>
      <c r="O14" s="2"/>
      <c r="P14" s="2"/>
      <c r="Q14" s="2"/>
      <c r="R14" s="2"/>
      <c r="S14" s="2"/>
    </row>
    <row r="15" spans="1:21" x14ac:dyDescent="0.3">
      <c r="A15">
        <f t="shared" ref="A15:D15" si="7">A13*(0.0005/1.353+A11/A9)</f>
        <v>4.6717992782265009E-8</v>
      </c>
      <c r="B15">
        <f t="shared" si="7"/>
        <v>7.189554437839762E-8</v>
      </c>
      <c r="C15">
        <f t="shared" si="7"/>
        <v>1.3390225563909777E-7</v>
      </c>
      <c r="D15">
        <f t="shared" si="7"/>
        <v>3.4080585000000008E-7</v>
      </c>
      <c r="E15">
        <f>E13*(0.0005/1.353+E11/E9)</f>
        <v>7.2511600000000007E-6</v>
      </c>
      <c r="H15">
        <f t="shared" ref="H15:K15" si="8">H13*(0.0005/0.055+0.0005/1.2+H11/H9)</f>
        <v>1.320138888888889E-6</v>
      </c>
      <c r="I15">
        <f t="shared" si="8"/>
        <v>1.8182870370370371E-6</v>
      </c>
      <c r="J15">
        <f t="shared" si="8"/>
        <v>1.2111979166666666E-5</v>
      </c>
      <c r="K15">
        <f t="shared" si="8"/>
        <v>2.6040645424836602E-6</v>
      </c>
      <c r="L15">
        <f>L13*(0.0005/0.055+0.0005/1.2+L11/L9)</f>
        <v>3.1481119791666668E-6</v>
      </c>
    </row>
    <row r="16" spans="1:21" x14ac:dyDescent="0.3">
      <c r="A16" s="3" t="s">
        <v>25</v>
      </c>
      <c r="B16" s="3"/>
      <c r="C16" s="3"/>
      <c r="D16" s="3"/>
      <c r="E16" s="3"/>
      <c r="F16" s="3"/>
      <c r="G16" s="3"/>
      <c r="H16" s="3"/>
      <c r="I16" s="3" t="s">
        <v>26</v>
      </c>
      <c r="J16" s="3"/>
      <c r="K16" s="3"/>
      <c r="L16" s="3"/>
      <c r="M16" s="3"/>
      <c r="N16" s="3"/>
      <c r="O16" s="3"/>
      <c r="P16" s="3"/>
    </row>
    <row r="17" spans="1:13" x14ac:dyDescent="0.3">
      <c r="A17" s="1" t="s">
        <v>12</v>
      </c>
      <c r="B17" t="s">
        <v>13</v>
      </c>
      <c r="C17" t="s">
        <v>17</v>
      </c>
      <c r="D17" t="s">
        <v>18</v>
      </c>
      <c r="E17" t="s">
        <v>5</v>
      </c>
      <c r="F17" t="s">
        <v>2</v>
      </c>
      <c r="G17" t="s">
        <v>24</v>
      </c>
      <c r="H17" t="s">
        <v>10</v>
      </c>
      <c r="I17" s="2" t="s">
        <v>27</v>
      </c>
      <c r="J17" s="2"/>
      <c r="K17" s="2"/>
      <c r="L17" s="2"/>
      <c r="M17" s="2"/>
    </row>
    <row r="18" spans="1:13" x14ac:dyDescent="0.3">
      <c r="A18">
        <f>54*10^-3</f>
        <v>5.3999999999999999E-2</v>
      </c>
      <c r="B18">
        <f>1280*10^-3</f>
        <v>1.28</v>
      </c>
      <c r="C18">
        <f>0.0005</f>
        <v>5.0000000000000001E-4</v>
      </c>
      <c r="D18">
        <f>0.0005</f>
        <v>5.0000000000000001E-4</v>
      </c>
      <c r="E18">
        <f>18*10^-3</f>
        <v>1.8000000000000002E-2</v>
      </c>
      <c r="F18">
        <f>35</f>
        <v>35</v>
      </c>
      <c r="G18">
        <f>E18/F18</f>
        <v>5.142857142857143E-4</v>
      </c>
      <c r="H18">
        <f>G18*0.054/1.28</f>
        <v>2.169642857142857E-5</v>
      </c>
      <c r="I18">
        <v>1</v>
      </c>
      <c r="J18">
        <v>2</v>
      </c>
      <c r="K18">
        <v>3</v>
      </c>
      <c r="L18">
        <v>4</v>
      </c>
      <c r="M18">
        <v>5</v>
      </c>
    </row>
    <row r="19" spans="1:13" x14ac:dyDescent="0.3">
      <c r="E19" t="s">
        <v>6</v>
      </c>
      <c r="I19" s="2" t="s">
        <v>28</v>
      </c>
      <c r="J19" s="2"/>
      <c r="K19" s="2"/>
      <c r="L19" s="2"/>
      <c r="M19" s="2"/>
    </row>
    <row r="20" spans="1:13" x14ac:dyDescent="0.3">
      <c r="E20">
        <f>0.0005</f>
        <v>5.0000000000000001E-4</v>
      </c>
      <c r="I20">
        <f>2.2*10^-3</f>
        <v>2.2000000000000001E-3</v>
      </c>
      <c r="J20">
        <f>5.1*10^-3</f>
        <v>5.0999999999999995E-3</v>
      </c>
      <c r="K20">
        <f>7.9*10^-3</f>
        <v>7.9000000000000008E-3</v>
      </c>
      <c r="L20">
        <f>11.2*10^-3</f>
        <v>1.12E-2</v>
      </c>
      <c r="M20">
        <f>14.2*10^-3</f>
        <v>1.4199999999999999E-2</v>
      </c>
    </row>
    <row r="21" spans="1:13" x14ac:dyDescent="0.3">
      <c r="I21" t="s">
        <v>33</v>
      </c>
      <c r="J21" t="s">
        <v>10</v>
      </c>
    </row>
    <row r="22" spans="1:13" x14ac:dyDescent="0.3">
      <c r="C22" s="2" t="s">
        <v>29</v>
      </c>
      <c r="D22" s="2"/>
      <c r="E22" s="2"/>
      <c r="F22" s="2"/>
      <c r="G22" s="2"/>
      <c r="I22">
        <f>0.003</f>
        <v>3.0000000000000001E-3</v>
      </c>
      <c r="J22">
        <f>SQRT(532*10^-9*I22/2)</f>
        <v>2.8248893783651072E-5</v>
      </c>
    </row>
    <row r="23" spans="1:13" x14ac:dyDescent="0.3">
      <c r="B23" t="s">
        <v>30</v>
      </c>
      <c r="C23">
        <f>A13*10^6</f>
        <v>19.91530434782609</v>
      </c>
      <c r="D23">
        <f t="shared" ref="D23:G23" si="9">B13*10^6</f>
        <v>29.62123456790124</v>
      </c>
      <c r="E23">
        <f t="shared" si="9"/>
        <v>59.532000000000004</v>
      </c>
      <c r="F23">
        <f t="shared" si="9"/>
        <v>118.76634000000001</v>
      </c>
      <c r="G23">
        <f t="shared" si="9"/>
        <v>143.95920000000001</v>
      </c>
    </row>
    <row r="24" spans="1:13" x14ac:dyDescent="0.3">
      <c r="B24" t="s">
        <v>31</v>
      </c>
      <c r="C24">
        <f>H13*10^6</f>
        <v>18.333333333333336</v>
      </c>
      <c r="D24">
        <f t="shared" ref="D24:G24" si="10">I13*10^6</f>
        <v>30.555555555555554</v>
      </c>
      <c r="E24">
        <f t="shared" si="10"/>
        <v>68.75</v>
      </c>
      <c r="F24">
        <f t="shared" si="10"/>
        <v>132.10784313725495</v>
      </c>
      <c r="G24">
        <f t="shared" si="10"/>
        <v>180.46875000000003</v>
      </c>
    </row>
    <row r="25" spans="1:13" x14ac:dyDescent="0.3">
      <c r="B25" t="s">
        <v>32</v>
      </c>
      <c r="C25">
        <f>O13*10^6</f>
        <v>23.065125189341593</v>
      </c>
      <c r="D25">
        <f t="shared" ref="D25:G25" si="11">P13*10^6</f>
        <v>28.24889378365107</v>
      </c>
      <c r="E25">
        <f t="shared" si="11"/>
        <v>58.80476171195663</v>
      </c>
      <c r="F25">
        <f t="shared" si="11"/>
        <v>99.206854601887258</v>
      </c>
      <c r="G25">
        <f t="shared" si="11"/>
        <v>123.13407326974935</v>
      </c>
    </row>
  </sheetData>
  <mergeCells count="29">
    <mergeCell ref="C22:G22"/>
    <mergeCell ref="A10:E10"/>
    <mergeCell ref="A12:E12"/>
    <mergeCell ref="A14:E14"/>
    <mergeCell ref="H1:N1"/>
    <mergeCell ref="H2:L2"/>
    <mergeCell ref="H4:L4"/>
    <mergeCell ref="H6:L6"/>
    <mergeCell ref="H8:L8"/>
    <mergeCell ref="H10:L10"/>
    <mergeCell ref="A1:G1"/>
    <mergeCell ref="A2:E2"/>
    <mergeCell ref="A4:E4"/>
    <mergeCell ref="A6:E6"/>
    <mergeCell ref="A8:E8"/>
    <mergeCell ref="H12:L12"/>
    <mergeCell ref="H14:L14"/>
    <mergeCell ref="O1:U1"/>
    <mergeCell ref="O2:S2"/>
    <mergeCell ref="O4:S4"/>
    <mergeCell ref="O6:S6"/>
    <mergeCell ref="O8:S8"/>
    <mergeCell ref="O10:S10"/>
    <mergeCell ref="O12:S12"/>
    <mergeCell ref="O14:S14"/>
    <mergeCell ref="A16:H16"/>
    <mergeCell ref="I16:P16"/>
    <mergeCell ref="I17:M17"/>
    <mergeCell ref="I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2021-04-29T09:47:10Z</dcterms:created>
  <dcterms:modified xsi:type="dcterms:W3CDTF">2021-04-30T17:57:26Z</dcterms:modified>
</cp:coreProperties>
</file>