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13" i="1"/>
  <c r="G11" i="1"/>
  <c r="G9" i="1"/>
  <c r="F15" i="1"/>
  <c r="F13" i="1"/>
  <c r="M2" i="1"/>
  <c r="M13" i="1"/>
  <c r="M16" i="1"/>
  <c r="M14" i="1"/>
  <c r="M15" i="1"/>
  <c r="M12" i="1"/>
  <c r="L13" i="1"/>
  <c r="K16" i="1"/>
  <c r="K15" i="1"/>
  <c r="K14" i="1"/>
  <c r="K13" i="1"/>
  <c r="K12" i="1"/>
  <c r="J16" i="1"/>
  <c r="J15" i="1"/>
  <c r="J14" i="1"/>
  <c r="J13" i="1"/>
  <c r="J12" i="1"/>
  <c r="F11" i="1"/>
  <c r="F9" i="1"/>
  <c r="L2" i="1"/>
  <c r="K3" i="1"/>
  <c r="K5" i="1"/>
  <c r="K7" i="1"/>
  <c r="J5" i="1"/>
  <c r="J3" i="1"/>
  <c r="J7" i="1"/>
  <c r="K9" i="1"/>
  <c r="J9" i="1"/>
  <c r="K8" i="1"/>
  <c r="K6" i="1"/>
  <c r="J8" i="1"/>
  <c r="J6" i="1"/>
  <c r="J4" i="1"/>
  <c r="J2" i="1"/>
  <c r="K4" i="1"/>
  <c r="K2" i="1"/>
  <c r="F6" i="1"/>
  <c r="D6" i="1"/>
  <c r="G2" i="1"/>
  <c r="G4" i="1"/>
  <c r="H4" i="1"/>
  <c r="F4" i="1"/>
  <c r="F2" i="1"/>
  <c r="I4" i="1"/>
  <c r="H2" i="1"/>
  <c r="E2" i="1"/>
  <c r="D4" i="1"/>
  <c r="C4" i="1"/>
  <c r="A4" i="1"/>
  <c r="C2" i="1"/>
  <c r="D2" i="1"/>
  <c r="B4" i="1"/>
  <c r="A6" i="1"/>
  <c r="A2" i="1"/>
  <c r="B2" i="1"/>
</calcChain>
</file>

<file path=xl/sharedStrings.xml><?xml version="1.0" encoding="utf-8"?>
<sst xmlns="http://schemas.openxmlformats.org/spreadsheetml/2006/main" count="37" uniqueCount="36">
  <si>
    <t>Кол-во шариков</t>
  </si>
  <si>
    <t>вес, гр</t>
  </si>
  <si>
    <t>погрешность, гр</t>
  </si>
  <si>
    <t>погр, гр</t>
  </si>
  <si>
    <t>диаметр, мм</t>
  </si>
  <si>
    <t>погр, мм</t>
  </si>
  <si>
    <t>вес 1, гр</t>
  </si>
  <si>
    <t>rmax, мм</t>
  </si>
  <si>
    <t>диам 1, мм</t>
  </si>
  <si>
    <t>погр 1, мм</t>
  </si>
  <si>
    <t>Bp, мТл</t>
  </si>
  <si>
    <t>Br, мТл</t>
  </si>
  <si>
    <t>намагнич, ед СГЭ</t>
  </si>
  <si>
    <t>Br, Гс</t>
  </si>
  <si>
    <t>Bp, Гс</t>
  </si>
  <si>
    <t>mгр, гр</t>
  </si>
  <si>
    <t>момент, эрг/Гс, метод А</t>
  </si>
  <si>
    <t>момент, эрг/Гс, метод Б</t>
  </si>
  <si>
    <t>Вp, изм, мТл</t>
  </si>
  <si>
    <t>n</t>
  </si>
  <si>
    <t>T(n), сек</t>
  </si>
  <si>
    <t>T(n) = A*n + B</t>
  </si>
  <si>
    <t>A, сек</t>
  </si>
  <si>
    <t>Bгор, Гс, метод A</t>
  </si>
  <si>
    <t>Bгор, Гс, метод Б</t>
  </si>
  <si>
    <t>rгр,см</t>
  </si>
  <si>
    <t>mгр,гр</t>
  </si>
  <si>
    <t>M(n), ед СГС</t>
  </si>
  <si>
    <t>M(n) = B * n</t>
  </si>
  <si>
    <t>B</t>
  </si>
  <si>
    <t>Bверт, Гс, метод A</t>
  </si>
  <si>
    <t>Bверт, Гс, метод Б</t>
  </si>
  <si>
    <t>B, Гс, метод A</t>
  </si>
  <si>
    <t>B, Гс, метод Б</t>
  </si>
  <si>
    <t>бета, метод А</t>
  </si>
  <si>
    <t>бета, метод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</si>
</sst>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G16" sqref="G16"/>
    </sheetView>
  </sheetViews>
  <sheetFormatPr defaultRowHeight="14.4" x14ac:dyDescent="0.3"/>
  <cols>
    <col min="1" max="1" width="17.109375" customWidth="1"/>
    <col min="3" max="3" width="10.77734375" customWidth="1"/>
    <col min="4" max="4" width="10.33203125" customWidth="1"/>
    <col min="6" max="6" width="24.33203125" customWidth="1"/>
    <col min="7" max="7" width="24" customWidth="1"/>
    <col min="9" max="9" width="11.33203125" customWidth="1"/>
    <col min="10" max="10" width="10.88671875" customWidth="1"/>
    <col min="13" max="13" width="12.109375" customWidth="1"/>
  </cols>
  <sheetData>
    <row r="1" spans="1:13" x14ac:dyDescent="0.3">
      <c r="A1" t="s">
        <v>0</v>
      </c>
      <c r="B1" t="s">
        <v>1</v>
      </c>
      <c r="C1" s="2" t="s">
        <v>6</v>
      </c>
      <c r="D1" s="2" t="s">
        <v>3</v>
      </c>
      <c r="E1" s="2" t="s">
        <v>7</v>
      </c>
      <c r="F1" s="3" t="s">
        <v>16</v>
      </c>
      <c r="G1" s="3" t="s">
        <v>13</v>
      </c>
      <c r="H1" s="3" t="s">
        <v>14</v>
      </c>
      <c r="J1" s="4" t="s">
        <v>19</v>
      </c>
      <c r="K1" s="1" t="s">
        <v>20</v>
      </c>
      <c r="L1" t="s">
        <v>22</v>
      </c>
      <c r="M1" t="s">
        <v>29</v>
      </c>
    </row>
    <row r="2" spans="1:13" x14ac:dyDescent="0.3">
      <c r="A2">
        <f>20</f>
        <v>20</v>
      </c>
      <c r="B2">
        <f>16.927</f>
        <v>16.927</v>
      </c>
      <c r="C2" s="2">
        <f>B2/20</f>
        <v>0.84634999999999994</v>
      </c>
      <c r="D2" s="2">
        <f>A6/20</f>
        <v>5.0000000000000002E-5</v>
      </c>
      <c r="E2" s="2">
        <f>17.6+C4</f>
        <v>23.330000000000002</v>
      </c>
      <c r="F2" s="3">
        <f>SQRT(C2*980*(E2/10)^4/6)</f>
        <v>63.994387910948838</v>
      </c>
      <c r="G2" s="3">
        <f>4*3.1415*F4</f>
        <v>8163.7418897806556</v>
      </c>
      <c r="H2" s="3">
        <f>2/3*G2</f>
        <v>5442.4945931871034</v>
      </c>
      <c r="J2">
        <f>11</f>
        <v>11</v>
      </c>
      <c r="K2">
        <f>53/20</f>
        <v>2.65</v>
      </c>
      <c r="L2">
        <f>0.25</f>
        <v>0.25</v>
      </c>
      <c r="M2">
        <f>266</f>
        <v>266</v>
      </c>
    </row>
    <row r="3" spans="1:13" x14ac:dyDescent="0.3">
      <c r="A3" s="1" t="s">
        <v>4</v>
      </c>
      <c r="B3" s="1" t="s">
        <v>5</v>
      </c>
      <c r="C3" s="2" t="s">
        <v>8</v>
      </c>
      <c r="D3" s="2" t="s">
        <v>9</v>
      </c>
      <c r="F3" s="3" t="s">
        <v>12</v>
      </c>
      <c r="G3" s="3" t="s">
        <v>11</v>
      </c>
      <c r="H3" s="3" t="s">
        <v>10</v>
      </c>
      <c r="I3" s="3" t="s">
        <v>18</v>
      </c>
      <c r="J3">
        <f>10</f>
        <v>10</v>
      </c>
      <c r="K3">
        <f>44/20</f>
        <v>2.2000000000000002</v>
      </c>
    </row>
    <row r="4" spans="1:13" x14ac:dyDescent="0.3">
      <c r="A4" s="1">
        <f>57.3</f>
        <v>57.3</v>
      </c>
      <c r="B4" s="1">
        <f>0.1</f>
        <v>0.1</v>
      </c>
      <c r="C4" s="2">
        <f>57.3/10</f>
        <v>5.7299999999999995</v>
      </c>
      <c r="D4" s="2">
        <f>0.01</f>
        <v>0.01</v>
      </c>
      <c r="F4" s="3">
        <f>F2/(4*3.1415/3*(5.73/2*10^-1)^3)</f>
        <v>649.66909834320029</v>
      </c>
      <c r="G4" s="3">
        <f>G2/10000*1000</f>
        <v>816.3741889780656</v>
      </c>
      <c r="H4" s="3">
        <f>H2/10000*1000</f>
        <v>544.24945931871036</v>
      </c>
      <c r="I4" s="3">
        <f>235</f>
        <v>235</v>
      </c>
      <c r="J4">
        <f>9</f>
        <v>9</v>
      </c>
      <c r="K4">
        <f>43/20</f>
        <v>2.15</v>
      </c>
    </row>
    <row r="5" spans="1:13" x14ac:dyDescent="0.3">
      <c r="A5" t="s">
        <v>2</v>
      </c>
      <c r="D5" s="2" t="s">
        <v>15</v>
      </c>
      <c r="F5" s="3" t="s">
        <v>17</v>
      </c>
      <c r="J5">
        <f>8</f>
        <v>8</v>
      </c>
      <c r="K5">
        <f>34/20</f>
        <v>1.7</v>
      </c>
    </row>
    <row r="6" spans="1:13" x14ac:dyDescent="0.3">
      <c r="A6">
        <f>0.001</f>
        <v>1E-3</v>
      </c>
      <c r="D6" s="2">
        <f>600.6</f>
        <v>600.6</v>
      </c>
      <c r="F6" s="3">
        <f>2*(C4/2*10^-1)^2*SQRT(2*D6*980/(3*1.082323))</f>
        <v>98.846404522691103</v>
      </c>
      <c r="J6">
        <f>7</f>
        <v>7</v>
      </c>
      <c r="K6">
        <f>31/20</f>
        <v>1.55</v>
      </c>
    </row>
    <row r="7" spans="1:13" x14ac:dyDescent="0.3">
      <c r="F7" t="s">
        <v>21</v>
      </c>
      <c r="G7" t="s">
        <v>28</v>
      </c>
      <c r="J7">
        <f>6</f>
        <v>6</v>
      </c>
      <c r="K7">
        <f>25/20</f>
        <v>1.25</v>
      </c>
    </row>
    <row r="8" spans="1:13" x14ac:dyDescent="0.3">
      <c r="F8" s="3" t="s">
        <v>23</v>
      </c>
      <c r="G8" s="3" t="s">
        <v>32</v>
      </c>
      <c r="J8">
        <f>5</f>
        <v>5</v>
      </c>
      <c r="K8">
        <f>27/25</f>
        <v>1.08</v>
      </c>
    </row>
    <row r="9" spans="1:13" x14ac:dyDescent="0.3">
      <c r="F9" s="3">
        <f>4*3.14^2*C2*(C4/2*10^-1)^2/(3*F2*L2^2)</f>
        <v>0.22833651958621914</v>
      </c>
      <c r="G9" s="3">
        <f>SQRT(F9^2+F13^2)</f>
        <v>4.1628814030246222</v>
      </c>
      <c r="J9">
        <f>4</f>
        <v>4</v>
      </c>
      <c r="K9">
        <f>25/30</f>
        <v>0.83333333333333337</v>
      </c>
    </row>
    <row r="10" spans="1:13" x14ac:dyDescent="0.3">
      <c r="F10" s="3" t="s">
        <v>24</v>
      </c>
      <c r="G10" s="3" t="s">
        <v>33</v>
      </c>
    </row>
    <row r="11" spans="1:13" x14ac:dyDescent="0.3">
      <c r="F11" s="3">
        <f>4*3.14^2*C2*(C4/2*10^-1)^2/(3*F6*L2^2)</f>
        <v>0.14782789398558344</v>
      </c>
      <c r="G11" s="3">
        <f>SQRT(F11^2+F15^2)</f>
        <v>2.695101036996018</v>
      </c>
      <c r="J11" t="s">
        <v>19</v>
      </c>
      <c r="K11" t="s">
        <v>25</v>
      </c>
      <c r="L11" t="s">
        <v>26</v>
      </c>
      <c r="M11" t="s">
        <v>27</v>
      </c>
    </row>
    <row r="12" spans="1:13" x14ac:dyDescent="0.3">
      <c r="F12" s="3" t="s">
        <v>30</v>
      </c>
      <c r="G12" s="3" t="s">
        <v>34</v>
      </c>
      <c r="J12">
        <f>12</f>
        <v>12</v>
      </c>
      <c r="K12">
        <f>5*C4</f>
        <v>28.65</v>
      </c>
      <c r="L12">
        <v>0.22800000000000001</v>
      </c>
      <c r="M12">
        <f>L13*980*K12</f>
        <v>4632.7049999999999</v>
      </c>
    </row>
    <row r="13" spans="1:13" x14ac:dyDescent="0.3">
      <c r="F13" s="3">
        <f>M2/F2</f>
        <v>4.1566144889166114</v>
      </c>
      <c r="G13" s="3">
        <f>ATAN(F13/F9)/(3.1415/2)*90</f>
        <v>86.858276117309472</v>
      </c>
      <c r="J13">
        <f>10</f>
        <v>10</v>
      </c>
      <c r="K13">
        <f>4*C4</f>
        <v>22.919999999999998</v>
      </c>
      <c r="L13">
        <f>0.165</f>
        <v>0.16500000000000001</v>
      </c>
      <c r="M13">
        <f>L13*980*K13</f>
        <v>3706.1640000000002</v>
      </c>
    </row>
    <row r="14" spans="1:13" x14ac:dyDescent="0.3">
      <c r="F14" s="3" t="s">
        <v>31</v>
      </c>
      <c r="G14" s="3" t="s">
        <v>35</v>
      </c>
      <c r="J14">
        <f>8</f>
        <v>8</v>
      </c>
      <c r="K14">
        <f>3*C4</f>
        <v>17.189999999999998</v>
      </c>
      <c r="L14">
        <v>0.193</v>
      </c>
      <c r="M14">
        <f>L14*980*K14</f>
        <v>3251.3165999999997</v>
      </c>
    </row>
    <row r="15" spans="1:13" x14ac:dyDescent="0.3">
      <c r="F15" s="3">
        <f>M2/F6</f>
        <v>2.6910437590973504</v>
      </c>
      <c r="G15" s="3">
        <f>ATAN(F15/F11)/(3.1415/2)*90</f>
        <v>86.858276117309472</v>
      </c>
      <c r="J15">
        <f>6</f>
        <v>6</v>
      </c>
      <c r="K15">
        <f>2*C4</f>
        <v>11.459999999999999</v>
      </c>
      <c r="L15">
        <v>0.29699999999999999</v>
      </c>
      <c r="M15">
        <f>L15*980*K15</f>
        <v>3335.5475999999999</v>
      </c>
    </row>
    <row r="16" spans="1:13" x14ac:dyDescent="0.3">
      <c r="J16">
        <f>4</f>
        <v>4</v>
      </c>
      <c r="K16">
        <f>C4</f>
        <v>5.7299999999999995</v>
      </c>
      <c r="L16">
        <v>0.39700000000000002</v>
      </c>
      <c r="M16">
        <f>L16*980*K16</f>
        <v>2229.3137999999999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2020-10-10T08:34:15Z</dcterms:modified>
</cp:coreProperties>
</file>