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D:\LoadRunner\LRProjects\Скрипты\Документы\"/>
    </mc:Choice>
  </mc:AlternateContent>
  <xr:revisionPtr revIDLastSave="0" documentId="13_ncr:1_{7BCECDFD-4457-4AC5-84CF-2C88DAFE7E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втоматизированный расчет" sheetId="3" r:id="rId1"/>
    <sheet name="Соответствие" sheetId="4" r:id="rId2"/>
    <sheet name="SummaryReport" sheetId="5" r:id="rId3"/>
    <sheet name="Результаты всех тестов" sheetId="2" r:id="rId4"/>
  </sheets>
  <calcPr calcId="191029"/>
  <pivotCaches>
    <pivotCache cacheId="10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3" i="3" l="1"/>
  <c r="H44" i="3"/>
  <c r="H45" i="3"/>
  <c r="H46" i="3"/>
  <c r="H47" i="3"/>
  <c r="H48" i="3"/>
  <c r="H49" i="3"/>
  <c r="H50" i="3"/>
  <c r="H51" i="3"/>
  <c r="H40" i="3"/>
  <c r="H41" i="3"/>
  <c r="H42" i="3"/>
  <c r="D21" i="3"/>
  <c r="E21" i="3"/>
  <c r="F21" i="3" s="1"/>
  <c r="G21" i="3"/>
  <c r="E17" i="3"/>
  <c r="F17" i="3" s="1"/>
  <c r="G17" i="3"/>
  <c r="D17" i="3"/>
  <c r="E30" i="3"/>
  <c r="F30" i="3" s="1"/>
  <c r="G30" i="3"/>
  <c r="D30" i="3"/>
  <c r="D6" i="3"/>
  <c r="D28" i="3"/>
  <c r="E28" i="3"/>
  <c r="F28" i="3" s="1"/>
  <c r="G28" i="3"/>
  <c r="C42" i="3"/>
  <c r="H21" i="3" l="1"/>
  <c r="H17" i="3"/>
  <c r="H30" i="3"/>
  <c r="H28" i="3"/>
  <c r="E2" i="3" l="1"/>
  <c r="G3" i="3"/>
  <c r="C43" i="3"/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8" i="3"/>
  <c r="G19" i="3"/>
  <c r="G20" i="3"/>
  <c r="G22" i="3"/>
  <c r="G23" i="3"/>
  <c r="G24" i="3"/>
  <c r="G25" i="3"/>
  <c r="G26" i="3"/>
  <c r="G27" i="3"/>
  <c r="G29" i="3"/>
  <c r="G31" i="3"/>
  <c r="G32" i="3"/>
  <c r="G33" i="3"/>
  <c r="G34" i="3"/>
  <c r="G2" i="3"/>
  <c r="P3" i="3"/>
  <c r="P4" i="3"/>
  <c r="P6" i="3"/>
  <c r="P7" i="3"/>
  <c r="P2" i="3"/>
  <c r="D5" i="3"/>
  <c r="E5" i="3"/>
  <c r="F5" i="3" s="1"/>
  <c r="D42" i="3" l="1"/>
  <c r="D3" i="3" l="1"/>
  <c r="E3" i="3"/>
  <c r="F3" i="3" s="1"/>
  <c r="W2" i="3"/>
  <c r="G42" i="3" l="1"/>
  <c r="A3" i="4" l="1"/>
  <c r="A4" i="4"/>
  <c r="A5" i="4"/>
  <c r="A6" i="4"/>
  <c r="A7" i="4"/>
  <c r="A8" i="4"/>
  <c r="A9" i="4"/>
  <c r="A10" i="4"/>
  <c r="A11" i="4"/>
  <c r="A12" i="4"/>
  <c r="A13" i="4"/>
  <c r="A2" i="4"/>
  <c r="F40" i="3" l="1"/>
  <c r="F49" i="3"/>
  <c r="F51" i="3"/>
  <c r="F43" i="3"/>
  <c r="F44" i="3"/>
  <c r="F50" i="3"/>
  <c r="F45" i="3"/>
  <c r="F41" i="3"/>
  <c r="F48" i="3"/>
  <c r="F47" i="3"/>
  <c r="F46" i="3"/>
  <c r="F42" i="3"/>
  <c r="I42" i="3" s="1"/>
  <c r="F2" i="3"/>
  <c r="D2" i="3"/>
  <c r="T7" i="3"/>
  <c r="D22" i="3"/>
  <c r="D19" i="3"/>
  <c r="D20" i="3"/>
  <c r="D23" i="3"/>
  <c r="C48" i="3"/>
  <c r="C51" i="3"/>
  <c r="C50" i="3"/>
  <c r="C46" i="3"/>
  <c r="C45" i="3"/>
  <c r="C47" i="3"/>
  <c r="C41" i="3"/>
  <c r="C40" i="3"/>
  <c r="C44" i="3"/>
  <c r="C49" i="3"/>
  <c r="G44" i="3" l="1"/>
  <c r="I44" i="3" s="1"/>
  <c r="G46" i="3"/>
  <c r="I46" i="3" s="1"/>
  <c r="G41" i="3"/>
  <c r="I41" i="3" s="1"/>
  <c r="G47" i="3"/>
  <c r="I47" i="3" s="1"/>
  <c r="G48" i="3"/>
  <c r="I48" i="3" s="1"/>
  <c r="G45" i="3"/>
  <c r="I45" i="3" s="1"/>
  <c r="G49" i="3"/>
  <c r="I49" i="3" s="1"/>
  <c r="G51" i="3"/>
  <c r="I51" i="3" s="1"/>
  <c r="G40" i="3"/>
  <c r="G50" i="3"/>
  <c r="I50" i="3" s="1"/>
  <c r="G43" i="3"/>
  <c r="I43" i="3" s="1"/>
  <c r="E19" i="3"/>
  <c r="E23" i="3"/>
  <c r="E20" i="3"/>
  <c r="F20" i="3" s="1"/>
  <c r="E22" i="3"/>
  <c r="B52" i="3"/>
  <c r="D8" i="3"/>
  <c r="D31" i="3"/>
  <c r="E31" i="3"/>
  <c r="F31" i="3" s="1"/>
  <c r="D24" i="3"/>
  <c r="D13" i="3"/>
  <c r="F23" i="3" l="1"/>
  <c r="H23" i="3" s="1"/>
  <c r="F22" i="3"/>
  <c r="H22" i="3" s="1"/>
  <c r="F19" i="3"/>
  <c r="H19" i="3" s="1"/>
  <c r="H20" i="3"/>
  <c r="D49" i="3"/>
  <c r="D40" i="3"/>
  <c r="D50" i="3"/>
  <c r="D51" i="3"/>
  <c r="D14" i="3"/>
  <c r="D16" i="3"/>
  <c r="D15" i="3"/>
  <c r="D18" i="3"/>
  <c r="D32" i="3"/>
  <c r="D33" i="3"/>
  <c r="D34" i="3"/>
  <c r="S6" i="3" l="1"/>
  <c r="S5" i="3"/>
  <c r="S3" i="3"/>
  <c r="S7" i="3"/>
  <c r="S4" i="3"/>
  <c r="E10" i="3"/>
  <c r="E8" i="3"/>
  <c r="F8" i="3" s="1"/>
  <c r="E24" i="3"/>
  <c r="F24" i="3" s="1"/>
  <c r="D25" i="3"/>
  <c r="D29" i="3"/>
  <c r="S2" i="3"/>
  <c r="T2" i="3"/>
  <c r="T6" i="3"/>
  <c r="T3" i="3"/>
  <c r="S8" i="3" l="1"/>
  <c r="V3" i="3"/>
  <c r="D10" i="3" s="1"/>
  <c r="V2" i="3"/>
  <c r="H5" i="3"/>
  <c r="H3" i="3"/>
  <c r="H2" i="3"/>
  <c r="H8" i="3"/>
  <c r="H31" i="3"/>
  <c r="T5" i="3"/>
  <c r="V5" i="3" s="1"/>
  <c r="D26" i="3" s="1"/>
  <c r="E13" i="3"/>
  <c r="F13" i="3" s="1"/>
  <c r="T4" i="3"/>
  <c r="I40" i="3"/>
  <c r="D41" i="3"/>
  <c r="V6" i="3"/>
  <c r="E34" i="3"/>
  <c r="F34" i="3" s="1"/>
  <c r="E18" i="3"/>
  <c r="F18" i="3" s="1"/>
  <c r="D4" i="3"/>
  <c r="D12" i="3"/>
  <c r="D9" i="3"/>
  <c r="D27" i="3"/>
  <c r="D11" i="3"/>
  <c r="D7" i="3"/>
  <c r="E12" i="3"/>
  <c r="F12" i="3" s="1"/>
  <c r="E33" i="3"/>
  <c r="F33" i="3" s="1"/>
  <c r="E27" i="3"/>
  <c r="F27" i="3" s="1"/>
  <c r="E16" i="3"/>
  <c r="F16" i="3" s="1"/>
  <c r="E11" i="3"/>
  <c r="F11" i="3" s="1"/>
  <c r="E7" i="3"/>
  <c r="F7" i="3" s="1"/>
  <c r="E32" i="3"/>
  <c r="E26" i="3"/>
  <c r="F26" i="3" s="1"/>
  <c r="E15" i="3"/>
  <c r="E6" i="3"/>
  <c r="F6" i="3" s="1"/>
  <c r="E29" i="3"/>
  <c r="F29" i="3" s="1"/>
  <c r="H29" i="3" s="1"/>
  <c r="E25" i="3"/>
  <c r="E14" i="3"/>
  <c r="F14" i="3" s="1"/>
  <c r="E9" i="3"/>
  <c r="F9" i="3" s="1"/>
  <c r="E4" i="3"/>
  <c r="F4" i="3" s="1"/>
  <c r="D44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4" i="3" l="1"/>
  <c r="V4" i="3"/>
  <c r="V7" i="3" s="1"/>
  <c r="H13" i="3"/>
  <c r="H18" i="3"/>
  <c r="H26" i="3"/>
  <c r="H27" i="3"/>
  <c r="H24" i="3"/>
  <c r="F32" i="3"/>
  <c r="H32" i="3" s="1"/>
  <c r="F25" i="3"/>
  <c r="F10" i="3"/>
  <c r="H10" i="3" s="1"/>
  <c r="F15" i="3"/>
  <c r="C52" i="3"/>
  <c r="D47" i="3"/>
  <c r="D48" i="3"/>
  <c r="D43" i="3"/>
  <c r="D45" i="3"/>
  <c r="D46" i="3"/>
  <c r="H6" i="3"/>
  <c r="H34" i="3"/>
  <c r="H12" i="3"/>
  <c r="H33" i="3"/>
  <c r="H16" i="3"/>
  <c r="H11" i="3"/>
  <c r="H9" i="3"/>
  <c r="H7" i="3"/>
  <c r="H14" i="3"/>
  <c r="I40" i="2"/>
  <c r="I44" i="2"/>
  <c r="I41" i="2"/>
  <c r="I32" i="2"/>
  <c r="I31" i="2"/>
  <c r="I30" i="2"/>
  <c r="I29" i="2"/>
  <c r="I28" i="2"/>
  <c r="I27" i="2"/>
  <c r="I26" i="2"/>
  <c r="H15" i="3" l="1"/>
  <c r="H25" i="3"/>
  <c r="D52" i="3"/>
  <c r="P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2" authorId="0" shapeId="0" xr:uid="{00000000-0006-0000-0000-000001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 xr:uid="{00000000-0006-0000-0000-000002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ThinkTime - заполнятеся на основе ThinkTime'ов по выполнению одной итерации соотвествующего скрипта в Vugen'е
</t>
        </r>
      </text>
    </comment>
    <comment ref="P2" authorId="0" shapeId="0" xr:uid="{00000000-0006-0000-0000-000003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 xr:uid="{00000000-0006-0000-0000-000004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 xr:uid="{00000000-0006-0000-0000-000005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<sst xmlns="http://schemas.openxmlformats.org/spreadsheetml/2006/main" count="269" uniqueCount="104">
  <si>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</si>
  <si>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</si>
  <si>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</si>
  <si>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</si>
  <si>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</si>
  <si>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</si>
  <si>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</si>
  <si>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</si>
  <si>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</si>
  <si>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</si>
  <si>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</si>
  <si>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</si>
  <si>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</si>
  <si>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</si>
  <si>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</si>
  <si>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</si>
  <si>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</si>
  <si>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</si>
  <si>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</si>
  <si>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</si>
  <si>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</si>
  <si>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</si>
  <si>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</si>
  <si>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</si>
  <si>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</si>
  <si>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</si>
  <si>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</si>
  <si>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</si>
  <si>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</si>
  <si>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</si>
  <si>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</si>
  <si>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</si>
  <si>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</si>
  <si>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</si>
  <si>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</si>
  <si>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</si>
  <si>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</si>
  <si>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</si>
  <si>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</si>
  <si>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</si>
  <si>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</si>
  <si>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</si>
  <si>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Операция (бизнес процесс)</t>
  </si>
  <si>
    <t>VU</t>
  </si>
  <si>
    <t>Duration</t>
  </si>
  <si>
    <t>Think_time</t>
  </si>
  <si>
    <t>Pacing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</si>
  <si>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</si>
  <si>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</si>
  <si>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</si>
  <si>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</si>
  <si>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</si>
  <si>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</si>
  <si>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</si>
  <si>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</si>
  <si>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</si>
  <si>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</si>
  <si>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</si>
  <si>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</si>
  <si>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</si>
  <si>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</si>
  <si>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</si>
  <si>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</si>
  <si>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</si>
  <si>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</si>
  <si>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</si>
  <si>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Поиск билета без покупки</t>
  </si>
  <si>
    <t>Логин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</si>
  <si>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</si>
  <si>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</si>
  <si>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</si>
  <si>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</si>
  <si>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</si>
  <si>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</si>
  <si>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SLA Status</t>
  </si>
  <si>
    <t>Minimum</t>
  </si>
  <si>
    <t>Average</t>
  </si>
  <si>
    <t>Maximum</t>
  </si>
  <si>
    <t>Std. Deviation</t>
  </si>
  <si>
    <t>90 Percent</t>
  </si>
  <si>
    <t>ScriptName</t>
  </si>
  <si>
    <t>Duration + Think_time</t>
  </si>
  <si>
    <t>Action_Transaction</t>
  </si>
  <si>
    <t>Профиль</t>
  </si>
  <si>
    <t>Jmeter, throughput per minute</t>
  </si>
  <si>
    <t>choose_ticket</t>
  </si>
  <si>
    <t>go_to_flights</t>
  </si>
  <si>
    <t>go_to_menu</t>
  </si>
  <si>
    <t>go_to_my_tickets</t>
  </si>
  <si>
    <t>go_to_registrating_menu</t>
  </si>
  <si>
    <t>go_to_welcome_page</t>
  </si>
  <si>
    <t>input_data_to_find_tickets</t>
  </si>
  <si>
    <t>payment</t>
  </si>
  <si>
    <t>registrating</t>
  </si>
  <si>
    <t>removing_ticket</t>
  </si>
  <si>
    <t>UC1_RegisterUser</t>
  </si>
  <si>
    <t>UC2_CheckMyTickets</t>
  </si>
  <si>
    <t>UC3_RemoveTicket</t>
  </si>
  <si>
    <t>UC4_SearchTickets</t>
  </si>
  <si>
    <t>UC5_BuyTicket</t>
  </si>
  <si>
    <t>vuser_init_Transaction</t>
  </si>
  <si>
    <t>FALSE</t>
  </si>
  <si>
    <t>TRUE</t>
  </si>
  <si>
    <t>UC6_Login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</si>
</sst>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rgb="FF212529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7"/>
      <color rgb="FF8E8E8E"/>
      <name val="Arial"/>
      <family val="2"/>
      <charset val="204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rgb="FFDEE2E6"/>
      </top>
      <bottom/>
      <diagonal/>
    </border>
  </borders>
  <cellStyleXfs count="81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4" fillId="0" borderId="0"/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6" applyNumberFormat="0" applyAlignment="0" applyProtection="0"/>
    <xf numFmtId="0" fontId="20" fillId="7" borderId="7" applyNumberFormat="0" applyAlignment="0" applyProtection="0"/>
    <xf numFmtId="0" fontId="21" fillId="7" borderId="6" applyNumberFormat="0" applyAlignment="0" applyProtection="0"/>
    <xf numFmtId="0" fontId="22" fillId="0" borderId="8" applyNumberFormat="0" applyFill="0" applyAlignment="0" applyProtection="0"/>
    <xf numFmtId="0" fontId="23" fillId="8" borderId="9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1" fillId="0" borderId="11" applyNumberFormat="0" applyFill="0" applyAlignment="0" applyProtection="0"/>
    <xf numFmtId="0" fontId="26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26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6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6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6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6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9" fontId="27" fillId="0" borderId="0" applyFont="0" applyFill="0" applyBorder="0" applyAlignment="0" applyProtection="0"/>
    <xf numFmtId="0" fontId="2" fillId="0" borderId="0"/>
    <xf numFmtId="0" fontId="31" fillId="4" borderId="0" applyNumberFormat="0" applyBorder="0" applyAlignment="0" applyProtection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6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6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6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4" fillId="0" borderId="0" applyNumberFormat="0" applyFill="0" applyBorder="0" applyAlignment="0" applyProtection="0"/>
  </cellStyleXfs>
  <cellXfs count="118">
    <xf numFmtId="0" fontId="0" fillId="0" borderId="0" xfId="0"/>
    <xf numFmtId="0" fontId="12" fillId="5" borderId="1" xfId="0" applyFont="1" applyFill="1" applyBorder="1" applyAlignment="1">
      <alignment horizontal="center" vertical="top" wrapText="1"/>
    </xf>
    <xf numFmtId="0" fontId="13" fillId="0" borderId="2" xfId="0" applyFont="1" applyBorder="1" applyAlignment="1">
      <alignment horizontal="left" vertical="top" wrapText="1"/>
    </xf>
    <xf numFmtId="0" fontId="11" fillId="0" borderId="2" xfId="4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10" fontId="12" fillId="0" borderId="2" xfId="0" applyNumberFormat="1" applyFont="1" applyBorder="1" applyAlignment="1">
      <alignment horizontal="center" vertical="top"/>
    </xf>
    <xf numFmtId="10" fontId="14" fillId="0" borderId="2" xfId="0" applyNumberFormat="1" applyFont="1" applyBorder="1" applyAlignment="1">
      <alignment horizontal="center" vertical="top"/>
    </xf>
    <xf numFmtId="10" fontId="14" fillId="0" borderId="2" xfId="0" applyNumberFormat="1" applyFont="1" applyBorder="1" applyAlignment="1">
      <alignment horizontal="left" vertical="top"/>
    </xf>
    <xf numFmtId="0" fontId="12" fillId="5" borderId="2" xfId="0" applyFont="1" applyFill="1" applyBorder="1" applyAlignment="1">
      <alignment horizontal="left" vertical="top"/>
    </xf>
    <xf numFmtId="0" fontId="3" fillId="0" borderId="2" xfId="42" applyBorder="1"/>
    <xf numFmtId="0" fontId="12" fillId="0" borderId="2" xfId="0" applyFont="1" applyBorder="1" applyAlignment="1">
      <alignment horizontal="left" vertical="top"/>
    </xf>
    <xf numFmtId="10" fontId="12" fillId="0" borderId="2" xfId="0" applyNumberFormat="1" applyFont="1" applyBorder="1" applyAlignment="1">
      <alignment horizontal="left" vertical="top"/>
    </xf>
    <xf numFmtId="0" fontId="11" fillId="0" borderId="2" xfId="4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3" fillId="0" borderId="0" xfId="42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0" fontId="7" fillId="0" borderId="2" xfId="0" applyFont="1" applyBorder="1" applyAlignment="1">
      <alignment vertical="center" wrapText="1"/>
    </xf>
    <xf numFmtId="0" fontId="0" fillId="40" borderId="2" xfId="0" applyFill="1" applyBorder="1"/>
    <xf numFmtId="0" fontId="0" fillId="0" borderId="0" xfId="0" applyAlignment="1">
      <alignment horizontal="center"/>
    </xf>
    <xf numFmtId="1" fontId="0" fillId="35" borderId="2" xfId="0" applyNumberFormat="1" applyFill="1" applyBorder="1"/>
    <xf numFmtId="0" fontId="7" fillId="39" borderId="14" xfId="0" applyFont="1" applyFill="1" applyBorder="1" applyAlignment="1">
      <alignment vertical="center" wrapText="1"/>
    </xf>
    <xf numFmtId="0" fontId="5" fillId="39" borderId="14" xfId="0" applyFont="1" applyFill="1" applyBorder="1" applyAlignment="1">
      <alignment horizontal="left" vertical="center" wrapText="1"/>
    </xf>
    <xf numFmtId="0" fontId="6" fillId="39" borderId="15" xfId="0" applyFont="1" applyFill="1" applyBorder="1" applyAlignment="1">
      <alignment horizontal="left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0" xfId="44" applyFont="1" applyBorder="1"/>
    <xf numFmtId="0" fontId="7" fillId="0" borderId="0" xfId="0" applyFont="1" applyAlignment="1">
      <alignment vertical="center" wrapText="1"/>
    </xf>
    <xf numFmtId="1" fontId="0" fillId="36" borderId="2" xfId="0" applyNumberFormat="1" applyFill="1" applyBorder="1"/>
    <xf numFmtId="0" fontId="0" fillId="39" borderId="2" xfId="0" applyFill="1" applyBorder="1"/>
    <xf numFmtId="1" fontId="0" fillId="37" borderId="2" xfId="0" applyNumberFormat="1" applyFill="1" applyBorder="1"/>
    <xf numFmtId="1" fontId="0" fillId="0" borderId="2" xfId="0" applyNumberFormat="1" applyBorder="1"/>
    <xf numFmtId="2" fontId="0" fillId="0" borderId="0" xfId="44" applyNumberFormat="1" applyFont="1" applyBorder="1"/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35" borderId="19" xfId="0" applyFill="1" applyBorder="1"/>
    <xf numFmtId="9" fontId="0" fillId="0" borderId="2" xfId="0" applyNumberFormat="1" applyBorder="1"/>
    <xf numFmtId="0" fontId="0" fillId="0" borderId="28" xfId="0" applyBorder="1"/>
    <xf numFmtId="0" fontId="28" fillId="0" borderId="24" xfId="0" applyFont="1" applyBorder="1"/>
    <xf numFmtId="0" fontId="28" fillId="0" borderId="0" xfId="0" applyFont="1"/>
    <xf numFmtId="1" fontId="28" fillId="0" borderId="0" xfId="0" applyNumberFormat="1" applyFont="1"/>
    <xf numFmtId="9" fontId="0" fillId="0" borderId="29" xfId="0" applyNumberFormat="1" applyBorder="1"/>
    <xf numFmtId="0" fontId="7" fillId="39" borderId="19" xfId="0" applyFont="1" applyFill="1" applyBorder="1" applyAlignment="1">
      <alignment vertical="center" wrapText="1"/>
    </xf>
    <xf numFmtId="0" fontId="5" fillId="39" borderId="19" xfId="0" applyFont="1" applyFill="1" applyBorder="1" applyAlignment="1">
      <alignment horizontal="center" vertical="center" wrapText="1"/>
    </xf>
    <xf numFmtId="0" fontId="5" fillId="39" borderId="32" xfId="0" applyFont="1" applyFill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0" fillId="0" borderId="2" xfId="0" applyBorder="1"/>
    <xf numFmtId="0" fontId="32" fillId="0" borderId="24" xfId="0" applyFont="1" applyBorder="1"/>
    <xf numFmtId="0" fontId="32" fillId="0" borderId="27" xfId="0" applyFont="1" applyBorder="1"/>
    <xf numFmtId="2" fontId="32" fillId="35" borderId="2" xfId="0" applyNumberFormat="1" applyFont="1" applyFill="1" applyBorder="1"/>
    <xf numFmtId="0" fontId="28" fillId="39" borderId="0" xfId="0" applyFont="1" applyFill="1"/>
    <xf numFmtId="1" fontId="28" fillId="39" borderId="0" xfId="0" applyNumberFormat="1" applyFont="1" applyFill="1"/>
    <xf numFmtId="0" fontId="0" fillId="39" borderId="16" xfId="0" applyFill="1" applyBorder="1"/>
    <xf numFmtId="0" fontId="0" fillId="42" borderId="2" xfId="0" applyFill="1" applyBorder="1"/>
    <xf numFmtId="0" fontId="0" fillId="42" borderId="19" xfId="0" applyFill="1" applyBorder="1"/>
    <xf numFmtId="0" fontId="0" fillId="42" borderId="21" xfId="0" applyFill="1" applyBorder="1"/>
    <xf numFmtId="0" fontId="0" fillId="42" borderId="0" xfId="0" applyFill="1"/>
    <xf numFmtId="2" fontId="0" fillId="42" borderId="0" xfId="0" applyNumberFormat="1" applyFill="1"/>
    <xf numFmtId="1" fontId="0" fillId="42" borderId="0" xfId="0" applyNumberFormat="1" applyFill="1"/>
    <xf numFmtId="0" fontId="0" fillId="42" borderId="22" xfId="0" applyFill="1" applyBorder="1"/>
    <xf numFmtId="0" fontId="0" fillId="42" borderId="20" xfId="0" applyFill="1" applyBorder="1"/>
    <xf numFmtId="0" fontId="0" fillId="43" borderId="2" xfId="0" applyFill="1" applyBorder="1"/>
    <xf numFmtId="0" fontId="0" fillId="43" borderId="18" xfId="0" applyFill="1" applyBorder="1"/>
    <xf numFmtId="0" fontId="0" fillId="43" borderId="0" xfId="0" applyFill="1"/>
    <xf numFmtId="2" fontId="0" fillId="43" borderId="0" xfId="0" applyNumberFormat="1" applyFill="1"/>
    <xf numFmtId="1" fontId="0" fillId="43" borderId="0" xfId="0" applyNumberFormat="1" applyFill="1"/>
    <xf numFmtId="0" fontId="0" fillId="43" borderId="16" xfId="0" applyFill="1" applyBorder="1"/>
    <xf numFmtId="0" fontId="0" fillId="43" borderId="17" xfId="0" applyFill="1" applyBorder="1"/>
    <xf numFmtId="0" fontId="0" fillId="44" borderId="2" xfId="0" applyFill="1" applyBorder="1"/>
    <xf numFmtId="0" fontId="0" fillId="44" borderId="19" xfId="0" applyFill="1" applyBorder="1"/>
    <xf numFmtId="0" fontId="0" fillId="44" borderId="21" xfId="0" applyFill="1" applyBorder="1"/>
    <xf numFmtId="0" fontId="0" fillId="44" borderId="0" xfId="0" applyFill="1"/>
    <xf numFmtId="2" fontId="0" fillId="44" borderId="0" xfId="0" applyNumberFormat="1" applyFill="1"/>
    <xf numFmtId="1" fontId="0" fillId="44" borderId="0" xfId="0" applyNumberFormat="1" applyFill="1"/>
    <xf numFmtId="0" fontId="0" fillId="44" borderId="22" xfId="0" applyFill="1" applyBorder="1"/>
    <xf numFmtId="0" fontId="0" fillId="44" borderId="16" xfId="0" applyFill="1" applyBorder="1"/>
    <xf numFmtId="0" fontId="0" fillId="38" borderId="2" xfId="0" applyFill="1" applyBorder="1"/>
    <xf numFmtId="0" fontId="0" fillId="38" borderId="16" xfId="0" applyFill="1" applyBorder="1"/>
    <xf numFmtId="0" fontId="0" fillId="38" borderId="0" xfId="0" applyFill="1"/>
    <xf numFmtId="2" fontId="0" fillId="38" borderId="0" xfId="0" applyNumberFormat="1" applyFill="1"/>
    <xf numFmtId="1" fontId="0" fillId="38" borderId="0" xfId="0" applyNumberFormat="1" applyFill="1"/>
    <xf numFmtId="0" fontId="0" fillId="45" borderId="2" xfId="0" applyFill="1" applyBorder="1"/>
    <xf numFmtId="0" fontId="0" fillId="45" borderId="18" xfId="0" applyFill="1" applyBorder="1"/>
    <xf numFmtId="1" fontId="0" fillId="45" borderId="0" xfId="0" applyNumberFormat="1" applyFill="1"/>
    <xf numFmtId="2" fontId="0" fillId="45" borderId="0" xfId="0" applyNumberFormat="1" applyFill="1"/>
    <xf numFmtId="0" fontId="0" fillId="45" borderId="0" xfId="0" applyFill="1"/>
    <xf numFmtId="0" fontId="0" fillId="45" borderId="16" xfId="0" applyFill="1" applyBorder="1"/>
    <xf numFmtId="0" fontId="1" fillId="0" borderId="2" xfId="66" applyBorder="1"/>
    <xf numFmtId="0" fontId="34" fillId="46" borderId="2" xfId="80" applyFill="1" applyBorder="1" applyAlignment="1">
      <alignment vertical="center" wrapText="1"/>
    </xf>
    <xf numFmtId="0" fontId="0" fillId="41" borderId="12" xfId="0" applyFill="1" applyBorder="1" applyAlignment="1">
      <alignment horizontal="center"/>
    </xf>
    <xf numFmtId="0" fontId="0" fillId="41" borderId="13" xfId="0" applyFill="1" applyBorder="1" applyAlignment="1">
      <alignment horizontal="center"/>
    </xf>
    <xf numFmtId="0" fontId="0" fillId="41" borderId="30" xfId="0" applyFill="1" applyBorder="1" applyAlignment="1">
      <alignment horizontal="center"/>
    </xf>
    <xf numFmtId="0" fontId="0" fillId="41" borderId="31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0" fillId="40" borderId="16" xfId="0" applyFill="1" applyBorder="1"/>
    <xf numFmtId="1" fontId="0" fillId="40" borderId="0" xfId="0" applyNumberFormat="1" applyFill="1"/>
    <xf numFmtId="2" fontId="0" fillId="40" borderId="0" xfId="0" applyNumberFormat="1" applyFill="1"/>
    <xf numFmtId="0" fontId="0" fillId="40" borderId="0" xfId="0" applyFill="1"/>
    <xf numFmtId="0" fontId="0" fillId="40" borderId="18" xfId="0" applyFill="1" applyBorder="1"/>
    <xf numFmtId="0" fontId="0" fillId="40" borderId="17" xfId="0" applyFill="1" applyBorder="1"/>
    <xf numFmtId="0" fontId="0" fillId="0" borderId="25" xfId="0" applyFill="1" applyBorder="1"/>
    <xf numFmtId="1" fontId="0" fillId="0" borderId="2" xfId="0" applyNumberFormat="1" applyFill="1" applyBorder="1"/>
    <xf numFmtId="9" fontId="0" fillId="0" borderId="2" xfId="0" applyNumberFormat="1" applyFill="1" applyBorder="1"/>
    <xf numFmtId="0" fontId="0" fillId="47" borderId="2" xfId="0" applyFill="1" applyBorder="1"/>
    <xf numFmtId="1" fontId="0" fillId="47" borderId="2" xfId="0" applyNumberFormat="1" applyFill="1" applyBorder="1"/>
    <xf numFmtId="0" fontId="34" fillId="46" borderId="33" xfId="80" applyFill="1" applyBorder="1" applyAlignment="1">
      <alignment vertical="center" wrapText="1"/>
    </xf>
    <xf numFmtId="0" fontId="33" fillId="46" borderId="33" xfId="0" applyFont="1" applyFill="1" applyBorder="1" applyAlignment="1">
      <alignment horizontal="center" vertical="center" wrapText="1"/>
    </xf>
    <xf numFmtId="0" fontId="35" fillId="0" borderId="0" xfId="0" applyFont="1" applyAlignment="1">
      <alignment horizontal="left" vertical="center"/>
    </xf>
  </cellXfs>
  <cellStyles count="81">
    <cellStyle name="20% — акцент1" xfId="19" builtinId="30" customBuiltin="1"/>
    <cellStyle name="20% — акцент1 2" xfId="48" xr:uid="{00000000-0005-0000-0000-000001000000}"/>
    <cellStyle name="20% — акцент1 3" xfId="68" xr:uid="{00000000-0005-0000-0000-000002000000}"/>
    <cellStyle name="20% — акцент2" xfId="23" builtinId="34" customBuiltin="1"/>
    <cellStyle name="20% — акцент2 2" xfId="51" xr:uid="{00000000-0005-0000-0000-000004000000}"/>
    <cellStyle name="20% — акцент2 3" xfId="70" xr:uid="{00000000-0005-0000-0000-000005000000}"/>
    <cellStyle name="20% — акцент3" xfId="27" builtinId="38" customBuiltin="1"/>
    <cellStyle name="20% — акцент3 2" xfId="54" xr:uid="{00000000-0005-0000-0000-000007000000}"/>
    <cellStyle name="20% — акцент3 3" xfId="72" xr:uid="{00000000-0005-0000-0000-000008000000}"/>
    <cellStyle name="20% — акцент4" xfId="31" builtinId="42" customBuiltin="1"/>
    <cellStyle name="20% — акцент4 2" xfId="57" xr:uid="{00000000-0005-0000-0000-00000A000000}"/>
    <cellStyle name="20% — акцент4 3" xfId="74" xr:uid="{00000000-0005-0000-0000-00000B000000}"/>
    <cellStyle name="20% — акцент5" xfId="35" builtinId="46" customBuiltin="1"/>
    <cellStyle name="20% — акцент5 2" xfId="60" xr:uid="{00000000-0005-0000-0000-00000D000000}"/>
    <cellStyle name="20% — акцент5 3" xfId="76" xr:uid="{00000000-0005-0000-0000-00000E000000}"/>
    <cellStyle name="20% — акцент6" xfId="39" builtinId="50" customBuiltin="1"/>
    <cellStyle name="20% — акцент6 2" xfId="63" xr:uid="{00000000-0005-0000-0000-000010000000}"/>
    <cellStyle name="20% — акцент6 3" xfId="78" xr:uid="{00000000-0005-0000-0000-000011000000}"/>
    <cellStyle name="40% — акцент1" xfId="20" builtinId="31" customBuiltin="1"/>
    <cellStyle name="40% — акцент1 2" xfId="49" xr:uid="{00000000-0005-0000-0000-000013000000}"/>
    <cellStyle name="40% — акцент1 3" xfId="69" xr:uid="{00000000-0005-0000-0000-000014000000}"/>
    <cellStyle name="40% — акцент2" xfId="24" builtinId="35" customBuiltin="1"/>
    <cellStyle name="40% — акцент2 2" xfId="52" xr:uid="{00000000-0005-0000-0000-000016000000}"/>
    <cellStyle name="40% — акцент2 3" xfId="71" xr:uid="{00000000-0005-0000-0000-000017000000}"/>
    <cellStyle name="40% — акцент3" xfId="28" builtinId="39" customBuiltin="1"/>
    <cellStyle name="40% — акцент3 2" xfId="55" xr:uid="{00000000-0005-0000-0000-000019000000}"/>
    <cellStyle name="40% — акцент3 3" xfId="73" xr:uid="{00000000-0005-0000-0000-00001A000000}"/>
    <cellStyle name="40% — акцент4" xfId="32" builtinId="43" customBuiltin="1"/>
    <cellStyle name="40% — акцент4 2" xfId="58" xr:uid="{00000000-0005-0000-0000-00001C000000}"/>
    <cellStyle name="40% — акцент4 3" xfId="75" xr:uid="{00000000-0005-0000-0000-00001D000000}"/>
    <cellStyle name="40% — акцент5" xfId="36" builtinId="47" customBuiltin="1"/>
    <cellStyle name="40% — акцент5 2" xfId="61" xr:uid="{00000000-0005-0000-0000-00001F000000}"/>
    <cellStyle name="40% — акцент5 3" xfId="77" xr:uid="{00000000-0005-0000-0000-000020000000}"/>
    <cellStyle name="40% — акцент6" xfId="40" builtinId="51" customBuiltin="1"/>
    <cellStyle name="40% — акцент6 2" xfId="64" xr:uid="{00000000-0005-0000-0000-000022000000}"/>
    <cellStyle name="40% — акцент6 3" xfId="79" xr:uid="{00000000-0005-0000-0000-000023000000}"/>
    <cellStyle name="60% — акцент1" xfId="21" builtinId="32" customBuiltin="1"/>
    <cellStyle name="60% — акцент1 2" xfId="50" xr:uid="{00000000-0005-0000-0000-000025000000}"/>
    <cellStyle name="60% — акцент2" xfId="25" builtinId="36" customBuiltin="1"/>
    <cellStyle name="60% — акцент2 2" xfId="53" xr:uid="{00000000-0005-0000-0000-000027000000}"/>
    <cellStyle name="60% — акцент3" xfId="29" builtinId="40" customBuiltin="1"/>
    <cellStyle name="60% — акцент3 2" xfId="56" xr:uid="{00000000-0005-0000-0000-000029000000}"/>
    <cellStyle name="60% — акцент4" xfId="33" builtinId="44" customBuiltin="1"/>
    <cellStyle name="60% — акцент4 2" xfId="59" xr:uid="{00000000-0005-0000-0000-00002B000000}"/>
    <cellStyle name="60% — акцент5" xfId="37" builtinId="48" customBuiltin="1"/>
    <cellStyle name="60% — акцент5 2" xfId="62" xr:uid="{00000000-0005-0000-0000-00002D000000}"/>
    <cellStyle name="60% — акцент6" xfId="41" builtinId="52" customBuiltin="1"/>
    <cellStyle name="60% — акцент6 2" xfId="65" xr:uid="{00000000-0005-0000-0000-00002F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Гиперссылка" xfId="80" builtinId="8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 xr:uid="{00000000-0005-0000-0000-000041000000}"/>
    <cellStyle name="Обычный" xfId="0" builtinId="0"/>
    <cellStyle name="Обычный 2" xfId="4" xr:uid="{00000000-0005-0000-0000-000043000000}"/>
    <cellStyle name="Обычный 3" xfId="42" xr:uid="{00000000-0005-0000-0000-000044000000}"/>
    <cellStyle name="Обычный 4" xfId="45" xr:uid="{00000000-0005-0000-0000-000045000000}"/>
    <cellStyle name="Обычный 5" xfId="66" xr:uid="{00000000-0005-0000-0000-000046000000}"/>
    <cellStyle name="Плохой" xfId="2" builtinId="27" customBuiltin="1"/>
    <cellStyle name="Пояснение" xfId="16" builtinId="53" customBuiltin="1"/>
    <cellStyle name="Примечание 2" xfId="43" xr:uid="{00000000-0005-0000-0000-000049000000}"/>
    <cellStyle name="Примечание 3" xfId="47" xr:uid="{00000000-0005-0000-0000-00004A000000}"/>
    <cellStyle name="Примечание 4" xfId="67" xr:uid="{00000000-0005-0000-0000-00004B000000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70"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3077" name="AutoShape 5">
          <a:extLst>
            <a:ext uri="{FF2B5EF4-FFF2-40B4-BE49-F238E27FC236}">
              <a16:creationId xmlns:a16="http://schemas.microsoft.com/office/drawing/2014/main" id="{2B7FA54C-6071-3675-BB21-7EA8E61ADB4B}"/>
            </a:ext>
          </a:extLst>
        </xdr:cNvPr>
        <xdr:cNvSpPr>
          <a:spLocks noChangeAspect="1" noChangeArrowheads="1"/>
        </xdr:cNvSpPr>
      </xdr:nvSpPr>
      <xdr:spPr bwMode="auto">
        <a:xfrm>
          <a:off x="249936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3078" name="AutoShape 6">
          <a:extLst>
            <a:ext uri="{FF2B5EF4-FFF2-40B4-BE49-F238E27FC236}">
              <a16:creationId xmlns:a16="http://schemas.microsoft.com/office/drawing/2014/main" id="{0AD9021F-AB03-BDC7-D3C8-0DE69D4EC523}"/>
            </a:ext>
          </a:extLst>
        </xdr:cNvPr>
        <xdr:cNvSpPr>
          <a:spLocks noChangeAspect="1" noChangeArrowheads="1"/>
        </xdr:cNvSpPr>
      </xdr:nvSpPr>
      <xdr:spPr bwMode="auto">
        <a:xfrm>
          <a:off x="249936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3079" name="AutoShape 7">
          <a:extLst>
            <a:ext uri="{FF2B5EF4-FFF2-40B4-BE49-F238E27FC236}">
              <a16:creationId xmlns:a16="http://schemas.microsoft.com/office/drawing/2014/main" id="{F7759D7D-27A6-C2A4-3597-36BB1D976DDB}"/>
            </a:ext>
          </a:extLst>
        </xdr:cNvPr>
        <xdr:cNvSpPr>
          <a:spLocks noChangeAspect="1" noChangeArrowheads="1"/>
        </xdr:cNvSpPr>
      </xdr:nvSpPr>
      <xdr:spPr bwMode="auto">
        <a:xfrm>
          <a:off x="249936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3080" name="AutoShape 8">
          <a:extLst>
            <a:ext uri="{FF2B5EF4-FFF2-40B4-BE49-F238E27FC236}">
              <a16:creationId xmlns:a16="http://schemas.microsoft.com/office/drawing/2014/main" id="{2D6E6BFD-9A25-653A-0135-7C398146FCEA}"/>
            </a:ext>
          </a:extLst>
        </xdr:cNvPr>
        <xdr:cNvSpPr>
          <a:spLocks noChangeAspect="1" noChangeArrowheads="1"/>
        </xdr:cNvSpPr>
      </xdr:nvSpPr>
      <xdr:spPr bwMode="auto">
        <a:xfrm>
          <a:off x="249936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3081" name="AutoShape 9">
          <a:extLst>
            <a:ext uri="{FF2B5EF4-FFF2-40B4-BE49-F238E27FC236}">
              <a16:creationId xmlns:a16="http://schemas.microsoft.com/office/drawing/2014/main" id="{22A03088-9EFB-B148-07A2-81EBDD576C2D}"/>
            </a:ext>
          </a:extLst>
        </xdr:cNvPr>
        <xdr:cNvSpPr>
          <a:spLocks noChangeAspect="1" noChangeArrowheads="1"/>
        </xdr:cNvSpPr>
      </xdr:nvSpPr>
      <xdr:spPr bwMode="auto">
        <a:xfrm>
          <a:off x="249936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3082" name="AutoShape 10">
          <a:extLst>
            <a:ext uri="{FF2B5EF4-FFF2-40B4-BE49-F238E27FC236}">
              <a16:creationId xmlns:a16="http://schemas.microsoft.com/office/drawing/2014/main" id="{D4FC3DBB-5F73-C168-F2B3-D0625A3F1D9D}"/>
            </a:ext>
          </a:extLst>
        </xdr:cNvPr>
        <xdr:cNvSpPr>
          <a:spLocks noChangeAspect="1" noChangeArrowheads="1"/>
        </xdr:cNvSpPr>
      </xdr:nvSpPr>
      <xdr:spPr bwMode="auto">
        <a:xfrm>
          <a:off x="249936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3083" name="AutoShape 11">
          <a:extLst>
            <a:ext uri="{FF2B5EF4-FFF2-40B4-BE49-F238E27FC236}">
              <a16:creationId xmlns:a16="http://schemas.microsoft.com/office/drawing/2014/main" id="{65D9C5B0-2BE7-C39A-75FC-9215133DACFC}"/>
            </a:ext>
          </a:extLst>
        </xdr:cNvPr>
        <xdr:cNvSpPr>
          <a:spLocks noChangeAspect="1" noChangeArrowheads="1"/>
        </xdr:cNvSpPr>
      </xdr:nvSpPr>
      <xdr:spPr bwMode="auto">
        <a:xfrm>
          <a:off x="249936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3084" name="AutoShape 12">
          <a:extLst>
            <a:ext uri="{FF2B5EF4-FFF2-40B4-BE49-F238E27FC236}">
              <a16:creationId xmlns:a16="http://schemas.microsoft.com/office/drawing/2014/main" id="{C520393C-6AEA-3641-9BA6-7B5A110620CC}"/>
            </a:ext>
          </a:extLst>
        </xdr:cNvPr>
        <xdr:cNvSpPr>
          <a:spLocks noChangeAspect="1" noChangeArrowheads="1"/>
        </xdr:cNvSpPr>
      </xdr:nvSpPr>
      <xdr:spPr bwMode="auto">
        <a:xfrm>
          <a:off x="249936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121920</xdr:rowOff>
    </xdr:to>
    <xdr:sp macro="" textlink="">
      <xdr:nvSpPr>
        <xdr:cNvPr id="3093" name="AutoShape 21">
          <a:extLst>
            <a:ext uri="{FF2B5EF4-FFF2-40B4-BE49-F238E27FC236}">
              <a16:creationId xmlns:a16="http://schemas.microsoft.com/office/drawing/2014/main" id="{DAC5F597-EAB9-27EB-B7EC-DB069D795E5C}"/>
            </a:ext>
          </a:extLst>
        </xdr:cNvPr>
        <xdr:cNvSpPr>
          <a:spLocks noChangeAspect="1" noChangeArrowheads="1"/>
        </xdr:cNvSpPr>
      </xdr:nvSpPr>
      <xdr:spPr bwMode="auto">
        <a:xfrm>
          <a:off x="2499360" y="399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3099" name="AutoShape 27">
          <a:extLst>
            <a:ext uri="{FF2B5EF4-FFF2-40B4-BE49-F238E27FC236}">
              <a16:creationId xmlns:a16="http://schemas.microsoft.com/office/drawing/2014/main" id="{F3CA98EB-0BBE-63E3-9D97-83F52AADE5CC}"/>
            </a:ext>
          </a:extLst>
        </xdr:cNvPr>
        <xdr:cNvSpPr>
          <a:spLocks noChangeAspect="1" noChangeArrowheads="1"/>
        </xdr:cNvSpPr>
      </xdr:nvSpPr>
      <xdr:spPr bwMode="auto">
        <a:xfrm>
          <a:off x="249936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3100" name="AutoShape 28">
          <a:extLst>
            <a:ext uri="{FF2B5EF4-FFF2-40B4-BE49-F238E27FC236}">
              <a16:creationId xmlns:a16="http://schemas.microsoft.com/office/drawing/2014/main" id="{DAF17A18-C04F-7AE0-B5BF-3E8D707D59F7}"/>
            </a:ext>
          </a:extLst>
        </xdr:cNvPr>
        <xdr:cNvSpPr>
          <a:spLocks noChangeAspect="1" noChangeArrowheads="1"/>
        </xdr:cNvSpPr>
      </xdr:nvSpPr>
      <xdr:spPr bwMode="auto">
        <a:xfrm>
          <a:off x="249936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3101" name="AutoShape 29">
          <a:extLst>
            <a:ext uri="{FF2B5EF4-FFF2-40B4-BE49-F238E27FC236}">
              <a16:creationId xmlns:a16="http://schemas.microsoft.com/office/drawing/2014/main" id="{F71B87FB-882C-84E3-0F9E-2D1F98489BA0}"/>
            </a:ext>
          </a:extLst>
        </xdr:cNvPr>
        <xdr:cNvSpPr>
          <a:spLocks noChangeAspect="1" noChangeArrowheads="1"/>
        </xdr:cNvSpPr>
      </xdr:nvSpPr>
      <xdr:spPr bwMode="auto">
        <a:xfrm>
          <a:off x="249936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3102" name="AutoShape 30">
          <a:extLst>
            <a:ext uri="{FF2B5EF4-FFF2-40B4-BE49-F238E27FC236}">
              <a16:creationId xmlns:a16="http://schemas.microsoft.com/office/drawing/2014/main" id="{CDE38975-3ED0-AADD-E420-DD3F6B9D740F}"/>
            </a:ext>
          </a:extLst>
        </xdr:cNvPr>
        <xdr:cNvSpPr>
          <a:spLocks noChangeAspect="1" noChangeArrowheads="1"/>
        </xdr:cNvSpPr>
      </xdr:nvSpPr>
      <xdr:spPr bwMode="auto">
        <a:xfrm>
          <a:off x="249936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3103" name="AutoShape 31">
          <a:extLst>
            <a:ext uri="{FF2B5EF4-FFF2-40B4-BE49-F238E27FC236}">
              <a16:creationId xmlns:a16="http://schemas.microsoft.com/office/drawing/2014/main" id="{433EB5B6-E7A4-A38C-9CE4-03C5D8A4269F}"/>
            </a:ext>
          </a:extLst>
        </xdr:cNvPr>
        <xdr:cNvSpPr>
          <a:spLocks noChangeAspect="1" noChangeArrowheads="1"/>
        </xdr:cNvSpPr>
      </xdr:nvSpPr>
      <xdr:spPr bwMode="auto">
        <a:xfrm>
          <a:off x="249936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3104" name="AutoShape 32">
          <a:extLst>
            <a:ext uri="{FF2B5EF4-FFF2-40B4-BE49-F238E27FC236}">
              <a16:creationId xmlns:a16="http://schemas.microsoft.com/office/drawing/2014/main" id="{EAC7FC2F-0B95-CE53-5D9D-51DB3B96F0C7}"/>
            </a:ext>
          </a:extLst>
        </xdr:cNvPr>
        <xdr:cNvSpPr>
          <a:spLocks noChangeAspect="1" noChangeArrowheads="1"/>
        </xdr:cNvSpPr>
      </xdr:nvSpPr>
      <xdr:spPr bwMode="auto">
        <a:xfrm>
          <a:off x="249936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3105" name="AutoShape 33">
          <a:extLst>
            <a:ext uri="{FF2B5EF4-FFF2-40B4-BE49-F238E27FC236}">
              <a16:creationId xmlns:a16="http://schemas.microsoft.com/office/drawing/2014/main" id="{34801691-ECD9-E909-C65E-5B8EFA492BA5}"/>
            </a:ext>
          </a:extLst>
        </xdr:cNvPr>
        <xdr:cNvSpPr>
          <a:spLocks noChangeAspect="1" noChangeArrowheads="1"/>
        </xdr:cNvSpPr>
      </xdr:nvSpPr>
      <xdr:spPr bwMode="auto">
        <a:xfrm>
          <a:off x="249936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3120" name="AutoShape 48">
          <a:extLst>
            <a:ext uri="{FF2B5EF4-FFF2-40B4-BE49-F238E27FC236}">
              <a16:creationId xmlns:a16="http://schemas.microsoft.com/office/drawing/2014/main" id="{CCC336DE-121C-85D2-44DD-6AE86B20188F}"/>
            </a:ext>
          </a:extLst>
        </xdr:cNvPr>
        <xdr:cNvSpPr>
          <a:spLocks noChangeAspect="1" noChangeArrowheads="1"/>
        </xdr:cNvSpPr>
      </xdr:nvSpPr>
      <xdr:spPr bwMode="auto">
        <a:xfrm>
          <a:off x="249936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3121" name="AutoShape 49">
          <a:extLst>
            <a:ext uri="{FF2B5EF4-FFF2-40B4-BE49-F238E27FC236}">
              <a16:creationId xmlns:a16="http://schemas.microsoft.com/office/drawing/2014/main" id="{EDA4ADC2-2B80-A37F-3C60-7D738A41E6C2}"/>
            </a:ext>
          </a:extLst>
        </xdr:cNvPr>
        <xdr:cNvSpPr>
          <a:spLocks noChangeAspect="1" noChangeArrowheads="1"/>
        </xdr:cNvSpPr>
      </xdr:nvSpPr>
      <xdr:spPr bwMode="auto">
        <a:xfrm>
          <a:off x="249936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3123" name="AutoShape 51">
          <a:extLst>
            <a:ext uri="{FF2B5EF4-FFF2-40B4-BE49-F238E27FC236}">
              <a16:creationId xmlns:a16="http://schemas.microsoft.com/office/drawing/2014/main" id="{FE6CEF4F-655F-1E4B-426D-0942264286DD}"/>
            </a:ext>
          </a:extLst>
        </xdr:cNvPr>
        <xdr:cNvSpPr>
          <a:spLocks noChangeAspect="1" noChangeArrowheads="1"/>
        </xdr:cNvSpPr>
      </xdr:nvSpPr>
      <xdr:spPr bwMode="auto">
        <a:xfrm>
          <a:off x="249936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3124" name="AutoShape 52">
          <a:extLst>
            <a:ext uri="{FF2B5EF4-FFF2-40B4-BE49-F238E27FC236}">
              <a16:creationId xmlns:a16="http://schemas.microsoft.com/office/drawing/2014/main" id="{86C0DB69-A25F-CE8B-A658-96EA3588515F}"/>
            </a:ext>
          </a:extLst>
        </xdr:cNvPr>
        <xdr:cNvSpPr>
          <a:spLocks noChangeAspect="1" noChangeArrowheads="1"/>
        </xdr:cNvSpPr>
      </xdr:nvSpPr>
      <xdr:spPr bwMode="auto">
        <a:xfrm>
          <a:off x="249936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Егор Дементьев" refreshedDate="45330.425015277775" createdVersion="6" refreshedVersion="8" minRefreshableVersion="3" recordCount="33" xr:uid="{00000000-000A-0000-FFFF-FFFF00000000}">
  <cacheSource type="worksheet">
    <worksheetSource ref="A1:H34" sheet="Автоматизированный расчет"/>
  </cacheSource>
  <cacheFields count="8">
    <cacheField name="Script name" numFmtId="0">
      <sharedItems/>
    </cacheField>
    <cacheField name="transaction rq" numFmtId="0">
      <sharedItems containsBlank="1" count="13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Отмена бронирования "/>
        <s v="Выход из системы"/>
        <s v="Перход на страницу регистрации"/>
        <s v="Заполнение полей регистарции"/>
        <s v="Переход на следуюущий эран после регистарции"/>
        <m u="1"/>
      </sharedItems>
    </cacheField>
    <cacheField name="count" numFmtId="0">
      <sharedItems containsSemiMixedTypes="0" containsString="0" containsNumber="1" containsInteger="1" minValue="0" maxValue="1"/>
    </cacheField>
    <cacheField name="VU" numFmtId="0">
      <sharedItems containsSemiMixedTypes="0" containsString="0" containsNumber="1" containsInteger="1" minValue="1" maxValue="3"/>
    </cacheField>
    <cacheField name="pacing" numFmtId="0">
      <sharedItems containsSemiMixedTypes="0" containsString="0" containsNumber="1" containsInteger="1" minValue="39" maxValue="120"/>
    </cacheField>
    <cacheField name="одним пользователем в минуту" numFmtId="2">
      <sharedItems containsSemiMixedTypes="0" containsString="0" containsNumber="1" minValue="0" maxValue="1.5384615384615385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0" maxValue="55.3846153846153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s v="Покупка билета"/>
    <x v="0"/>
    <n v="1"/>
    <n v="3"/>
    <n v="65"/>
    <n v="0.92307692307692313"/>
    <n v="20"/>
    <n v="55.384615384615387"/>
  </r>
  <r>
    <s v="Покупка билета"/>
    <x v="1"/>
    <n v="1"/>
    <n v="3"/>
    <n v="65"/>
    <n v="0.92307692307692313"/>
    <n v="20"/>
    <n v="55.384615384615387"/>
  </r>
  <r>
    <s v="Покупка билета"/>
    <x v="2"/>
    <n v="1"/>
    <n v="3"/>
    <n v="65"/>
    <n v="0.92307692307692313"/>
    <n v="20"/>
    <n v="55.384615384615387"/>
  </r>
  <r>
    <s v="Покупка билета"/>
    <x v="3"/>
    <n v="1"/>
    <n v="3"/>
    <n v="65"/>
    <n v="0.92307692307692313"/>
    <n v="20"/>
    <n v="55.384615384615387"/>
  </r>
  <r>
    <s v="Покупка билета"/>
    <x v="4"/>
    <n v="1"/>
    <n v="3"/>
    <n v="65"/>
    <n v="0.92307692307692313"/>
    <n v="20"/>
    <n v="55.384615384615387"/>
  </r>
  <r>
    <s v="Покупка билета"/>
    <x v="5"/>
    <n v="1"/>
    <n v="3"/>
    <n v="65"/>
    <n v="0.92307692307692313"/>
    <n v="20"/>
    <n v="55.384615384615387"/>
  </r>
  <r>
    <s v="Удаление бронирования "/>
    <x v="0"/>
    <n v="1"/>
    <n v="1"/>
    <n v="52"/>
    <n v="1.1538461538461537"/>
    <n v="20"/>
    <n v="23.076923076923073"/>
  </r>
  <r>
    <s v="Удаление бронирования "/>
    <x v="1"/>
    <n v="1"/>
    <n v="1"/>
    <n v="52"/>
    <n v="1.1538461538461537"/>
    <n v="20"/>
    <n v="23.076923076923073"/>
  </r>
  <r>
    <s v="Удаление бронирования "/>
    <x v="6"/>
    <n v="1"/>
    <n v="1"/>
    <n v="52"/>
    <n v="1.1538461538461537"/>
    <n v="20"/>
    <n v="23.076923076923073"/>
  </r>
  <r>
    <s v="Удаление бронирования "/>
    <x v="7"/>
    <n v="1"/>
    <n v="1"/>
    <n v="52"/>
    <n v="1.1538461538461537"/>
    <n v="20"/>
    <n v="23.076923076923073"/>
  </r>
  <r>
    <s v="Удаление бронирования "/>
    <x v="8"/>
    <n v="1"/>
    <n v="1"/>
    <n v="52"/>
    <n v="1.1538461538461537"/>
    <n v="20"/>
    <n v="23.076923076923073"/>
  </r>
  <r>
    <s v="Регистрация новых пользователей"/>
    <x v="0"/>
    <n v="1"/>
    <n v="1"/>
    <n v="39"/>
    <n v="1.5384615384615385"/>
    <n v="20"/>
    <n v="30.76923076923077"/>
  </r>
  <r>
    <s v="Регистрация новых пользователей"/>
    <x v="9"/>
    <n v="1"/>
    <n v="1"/>
    <n v="39"/>
    <n v="1.5384615384615385"/>
    <n v="20"/>
    <n v="30.76923076923077"/>
  </r>
  <r>
    <s v="Регистрация новых пользователей"/>
    <x v="10"/>
    <n v="1"/>
    <n v="1"/>
    <n v="39"/>
    <n v="1.5384615384615385"/>
    <n v="20"/>
    <n v="30.76923076923077"/>
  </r>
  <r>
    <s v="Регистрация новых пользователей"/>
    <x v="11"/>
    <n v="1"/>
    <n v="1"/>
    <n v="39"/>
    <n v="1.5384615384615385"/>
    <n v="20"/>
    <n v="30.76923076923077"/>
  </r>
  <r>
    <s v="Регистрация новых пользователей"/>
    <x v="6"/>
    <n v="1"/>
    <n v="1"/>
    <n v="39"/>
    <n v="1.5384615384615385"/>
    <n v="20"/>
    <n v="30.76923076923077"/>
  </r>
  <r>
    <s v="Регистрация новых пользователей"/>
    <x v="8"/>
    <n v="0"/>
    <n v="1"/>
    <n v="39"/>
    <n v="0"/>
    <n v="20"/>
    <n v="0"/>
  </r>
  <r>
    <s v="Логин"/>
    <x v="0"/>
    <n v="1"/>
    <n v="1"/>
    <n v="120"/>
    <n v="0.5"/>
    <n v="20"/>
    <n v="10"/>
  </r>
  <r>
    <s v="Логин"/>
    <x v="1"/>
    <n v="1"/>
    <n v="1"/>
    <n v="120"/>
    <n v="0.5"/>
    <n v="20"/>
    <n v="10"/>
  </r>
  <r>
    <s v="Логин"/>
    <x v="6"/>
    <n v="1"/>
    <n v="1"/>
    <n v="120"/>
    <n v="0.5"/>
    <n v="20"/>
    <n v="10"/>
  </r>
  <r>
    <s v="Логин"/>
    <x v="2"/>
    <n v="1"/>
    <n v="1"/>
    <n v="120"/>
    <n v="0.5"/>
    <n v="20"/>
    <n v="10"/>
  </r>
  <r>
    <s v="Логин"/>
    <x v="8"/>
    <n v="0"/>
    <n v="1"/>
    <n v="120"/>
    <n v="0"/>
    <n v="20"/>
    <n v="0"/>
  </r>
  <r>
    <s v="Поиск билета без покупки"/>
    <x v="0"/>
    <n v="1"/>
    <n v="2"/>
    <n v="70"/>
    <n v="0.8571428571428571"/>
    <n v="20"/>
    <n v="34.285714285714285"/>
  </r>
  <r>
    <s v="Поиск билета без покупки"/>
    <x v="1"/>
    <n v="1"/>
    <n v="2"/>
    <n v="70"/>
    <n v="0.8571428571428571"/>
    <n v="20"/>
    <n v="34.285714285714285"/>
  </r>
  <r>
    <s v="Поиск билета без покупки"/>
    <x v="2"/>
    <n v="1"/>
    <n v="2"/>
    <n v="70"/>
    <n v="0.8571428571428571"/>
    <n v="20"/>
    <n v="34.285714285714285"/>
  </r>
  <r>
    <s v="Поиск билета без покупки"/>
    <x v="3"/>
    <n v="1"/>
    <n v="2"/>
    <n v="70"/>
    <n v="0.8571428571428571"/>
    <n v="20"/>
    <n v="34.285714285714285"/>
  </r>
  <r>
    <s v="Поиск билета без покупки"/>
    <x v="4"/>
    <n v="1"/>
    <n v="2"/>
    <n v="70"/>
    <n v="0.8571428571428571"/>
    <n v="20"/>
    <n v="34.285714285714285"/>
  </r>
  <r>
    <s v="Поиск билета без покупки"/>
    <x v="8"/>
    <n v="0"/>
    <n v="2"/>
    <n v="70"/>
    <n v="0"/>
    <n v="20"/>
    <n v="0"/>
  </r>
  <r>
    <s v="Покупка билета"/>
    <x v="8"/>
    <n v="1"/>
    <n v="3"/>
    <n v="65"/>
    <n v="0.92307692307692313"/>
    <n v="20"/>
    <n v="55.384615384615387"/>
  </r>
  <r>
    <s v="Ознакомление с путевым листом"/>
    <x v="0"/>
    <n v="1"/>
    <n v="1"/>
    <n v="48"/>
    <n v="1.25"/>
    <n v="20"/>
    <n v="25"/>
  </r>
  <r>
    <s v="Ознакомление с путевым листом"/>
    <x v="1"/>
    <n v="1"/>
    <n v="1"/>
    <n v="48"/>
    <n v="1.25"/>
    <n v="20"/>
    <n v="25"/>
  </r>
  <r>
    <s v="Ознакомление с путевым листом"/>
    <x v="6"/>
    <n v="1"/>
    <n v="1"/>
    <n v="48"/>
    <n v="1.25"/>
    <n v="20"/>
    <n v="25"/>
  </r>
  <r>
    <s v="Ознакомление с путевым листом"/>
    <x v="8"/>
    <n v="1"/>
    <n v="1"/>
    <n v="48"/>
    <n v="1.25"/>
    <n v="20"/>
    <n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2" cacheId="108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4">
        <item x="1"/>
        <item x="4"/>
        <item x="8"/>
        <item x="3"/>
        <item x="5"/>
        <item x="7"/>
        <item x="6"/>
        <item x="0"/>
        <item x="9"/>
        <item x="10"/>
        <item x="11"/>
        <item x="2"/>
        <item m="1" x="1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 numFmtId="1"/>
  </dataFields>
  <formats count="7">
    <format dxfId="28">
      <pivotArea outline="0" collapsedLevelsAreSubtotals="1" fieldPosition="0"/>
    </format>
    <format dxfId="29">
      <pivotArea outline="0" collapsedLevelsAreSubtotals="1" fieldPosition="0"/>
    </format>
    <format dxfId="30">
      <pivotArea outline="0" collapsedLevelsAreSubtotals="1" fieldPosition="0"/>
    </format>
    <format dxfId="31">
      <pivotArea outline="0" collapsedLevelsAreSubtotals="1" fieldPosition="0"/>
    </format>
    <format dxfId="32">
      <pivotArea outline="0" collapsedLevelsAreSubtotals="1" fieldPosition="0"/>
    </format>
    <format dxfId="33">
      <pivotArea outline="0" collapsedLevelsAreSubtotals="1" fieldPosition="0"/>
    </format>
    <format dxfId="3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"/>
  <sheetViews>
    <sheetView tabSelected="1" topLeftCell="A18" zoomScale="80" zoomScaleNormal="80" workbookViewId="0">
      <selection activeCell="I21" sqref="I21"/>
    </sheetView>
  </sheetViews>
  <sheetFormatPr defaultColWidth="11.44140625" defaultRowHeight="14.4" x14ac:dyDescent="0.3"/>
  <cols>
    <col min="1" max="1" width="31.6640625" customWidth="1"/>
    <col min="2" max="2" width="31.44140625" bestFit="1" customWidth="1"/>
    <col min="3" max="3" width="18.109375" customWidth="1"/>
    <col min="4" max="4" width="17.88671875" customWidth="1"/>
    <col min="5" max="5" width="19.109375" bestFit="1" customWidth="1"/>
    <col min="7" max="7" width="18.6640625" bestFit="1" customWidth="1"/>
    <col min="8" max="8" width="17" customWidth="1"/>
    <col min="9" max="9" width="46.109375" bestFit="1" customWidth="1"/>
    <col min="10" max="10" width="21" bestFit="1" customWidth="1"/>
    <col min="11" max="11" width="18.109375" customWidth="1"/>
    <col min="12" max="12" width="26.6640625" customWidth="1"/>
    <col min="13" max="13" width="35.109375" bestFit="1" customWidth="1"/>
    <col min="14" max="14" width="17.88671875" customWidth="1"/>
    <col min="15" max="15" width="23.88671875" customWidth="1"/>
    <col min="16" max="16" width="23.44140625" bestFit="1" customWidth="1"/>
    <col min="17" max="17" width="26" customWidth="1"/>
    <col min="18" max="18" width="10.5546875" customWidth="1"/>
    <col min="19" max="19" width="34.109375" bestFit="1" customWidth="1"/>
    <col min="20" max="20" width="53.6640625" bestFit="1" customWidth="1"/>
  </cols>
  <sheetData>
    <row r="1" spans="1:23" ht="15" thickBot="1" x14ac:dyDescent="0.35">
      <c r="A1" t="s">
        <v>37</v>
      </c>
      <c r="B1" t="s">
        <v>38</v>
      </c>
      <c r="C1" t="s">
        <v>39</v>
      </c>
      <c r="D1" t="s">
        <v>43</v>
      </c>
      <c r="E1" t="s">
        <v>52</v>
      </c>
      <c r="F1" t="s">
        <v>53</v>
      </c>
      <c r="G1" t="s">
        <v>54</v>
      </c>
      <c r="H1" t="s">
        <v>7</v>
      </c>
      <c r="I1" s="15" t="s">
        <v>40</v>
      </c>
      <c r="J1" t="s">
        <v>51</v>
      </c>
      <c r="M1" s="38" t="s">
        <v>42</v>
      </c>
      <c r="N1" s="39" t="s">
        <v>44</v>
      </c>
      <c r="O1" s="39" t="s">
        <v>45</v>
      </c>
      <c r="P1" s="39" t="s">
        <v>81</v>
      </c>
      <c r="Q1" s="39" t="s">
        <v>46</v>
      </c>
      <c r="R1" s="39" t="s">
        <v>43</v>
      </c>
      <c r="S1" s="46" t="s">
        <v>49</v>
      </c>
      <c r="T1" s="57" t="s">
        <v>84</v>
      </c>
      <c r="U1" s="47" t="s">
        <v>47</v>
      </c>
      <c r="V1" s="47" t="s">
        <v>48</v>
      </c>
      <c r="W1" s="30" t="s">
        <v>50</v>
      </c>
    </row>
    <row r="2" spans="1:23" x14ac:dyDescent="0.3">
      <c r="A2" s="78" t="s">
        <v>8</v>
      </c>
      <c r="B2" s="78" t="s">
        <v>62</v>
      </c>
      <c r="C2" s="79">
        <v>1</v>
      </c>
      <c r="D2" s="80">
        <f>VLOOKUP(A2,$M$1:$X$8,6,FALSE)</f>
        <v>3</v>
      </c>
      <c r="E2" s="81">
        <f>VLOOKUP(A2,$M$1:$X$8,5,FALSE)</f>
        <v>65</v>
      </c>
      <c r="F2" s="82">
        <f t="shared" ref="F2:F23" si="0">60/E2*C2</f>
        <v>0.92307692307692313</v>
      </c>
      <c r="G2" s="81">
        <f t="shared" ref="G2:G34" si="1">VLOOKUP(A2,$M$1:$X$8,9,FALSE)</f>
        <v>20</v>
      </c>
      <c r="H2" s="83">
        <f>D2*F2*G2</f>
        <v>55.384615384615387</v>
      </c>
      <c r="I2" s="16" t="s">
        <v>0</v>
      </c>
      <c r="J2" s="17">
        <v>147.74725274725273</v>
      </c>
      <c r="M2" s="41" t="s">
        <v>8</v>
      </c>
      <c r="N2" s="18">
        <v>5</v>
      </c>
      <c r="O2" s="35">
        <v>30</v>
      </c>
      <c r="P2" s="36">
        <f>N2+O2</f>
        <v>35</v>
      </c>
      <c r="Q2" s="24">
        <v>65</v>
      </c>
      <c r="R2" s="44">
        <v>3</v>
      </c>
      <c r="S2" s="45">
        <f t="shared" ref="S2:S7" si="2">R2/W$2</f>
        <v>0.33333333333333331</v>
      </c>
      <c r="T2" s="59">
        <f>60/(Q2)</f>
        <v>0.92307692307692313</v>
      </c>
      <c r="U2" s="48">
        <v>20</v>
      </c>
      <c r="V2" s="49">
        <f>ROUND(R2*T2*U2,0)</f>
        <v>55</v>
      </c>
      <c r="W2" s="28">
        <f>SUM(R2:R7)</f>
        <v>9</v>
      </c>
    </row>
    <row r="3" spans="1:23" x14ac:dyDescent="0.3">
      <c r="A3" s="78" t="s">
        <v>8</v>
      </c>
      <c r="B3" s="78" t="s">
        <v>0</v>
      </c>
      <c r="C3" s="79">
        <v>1</v>
      </c>
      <c r="D3" s="84">
        <f>VLOOKUP(A3,$M$1:$X$8,6,FALSE)</f>
        <v>3</v>
      </c>
      <c r="E3" s="81">
        <f>VLOOKUP(A3,$M$1:$X$8,5,FALSE)</f>
        <v>65</v>
      </c>
      <c r="F3" s="82">
        <f t="shared" si="0"/>
        <v>0.92307692307692313</v>
      </c>
      <c r="G3" s="81">
        <f t="shared" si="1"/>
        <v>20</v>
      </c>
      <c r="H3" s="83">
        <f>D3*F3*G3</f>
        <v>55.384615384615387</v>
      </c>
      <c r="I3" s="16" t="s">
        <v>12</v>
      </c>
      <c r="J3" s="17">
        <v>89.670329670329664</v>
      </c>
      <c r="M3" s="41" t="s">
        <v>9</v>
      </c>
      <c r="N3" s="18">
        <v>5</v>
      </c>
      <c r="O3" s="35">
        <v>20.0014</v>
      </c>
      <c r="P3" s="36">
        <f t="shared" ref="P3:P7" si="3">N3+O3</f>
        <v>25.0014</v>
      </c>
      <c r="Q3" s="24">
        <v>52</v>
      </c>
      <c r="R3" s="44">
        <v>1</v>
      </c>
      <c r="S3" s="45">
        <f t="shared" si="2"/>
        <v>0.1111111111111111</v>
      </c>
      <c r="T3" s="59">
        <f>60/(Q3)</f>
        <v>1.1538461538461537</v>
      </c>
      <c r="U3" s="48">
        <v>20</v>
      </c>
      <c r="V3" s="49">
        <f>ROUND(R3*T3*U3,0)</f>
        <v>23</v>
      </c>
      <c r="W3" s="28"/>
    </row>
    <row r="4" spans="1:23" x14ac:dyDescent="0.3">
      <c r="A4" s="78" t="s">
        <v>8</v>
      </c>
      <c r="B4" s="78" t="s">
        <v>69</v>
      </c>
      <c r="C4" s="79">
        <v>1</v>
      </c>
      <c r="D4" s="84">
        <f>VLOOKUP(A5,$M$1:$X$8,6,FALSE)</f>
        <v>3</v>
      </c>
      <c r="E4" s="81">
        <f>VLOOKUP(A5,$M$1:$X$8,5,FALSE)</f>
        <v>65</v>
      </c>
      <c r="F4" s="82">
        <f t="shared" si="0"/>
        <v>0.92307692307692313</v>
      </c>
      <c r="G4" s="81">
        <f t="shared" si="1"/>
        <v>20</v>
      </c>
      <c r="H4" s="83">
        <f>D4*F4*G4</f>
        <v>55.384615384615387</v>
      </c>
      <c r="I4" s="16" t="s">
        <v>6</v>
      </c>
      <c r="J4" s="17">
        <v>103.46153846153845</v>
      </c>
      <c r="M4" s="41" t="s">
        <v>61</v>
      </c>
      <c r="N4" s="18">
        <v>5</v>
      </c>
      <c r="O4" s="35">
        <v>20</v>
      </c>
      <c r="P4" s="36">
        <f t="shared" si="3"/>
        <v>25</v>
      </c>
      <c r="Q4" s="24">
        <v>39</v>
      </c>
      <c r="R4" s="44">
        <v>1</v>
      </c>
      <c r="S4" s="45">
        <f t="shared" si="2"/>
        <v>0.1111111111111111</v>
      </c>
      <c r="T4" s="59">
        <f t="shared" ref="T4:T7" si="4">60/(Q4)</f>
        <v>1.5384615384615385</v>
      </c>
      <c r="U4" s="48">
        <v>20</v>
      </c>
      <c r="V4" s="49">
        <f>ROUND(R4*T4*U4,0)</f>
        <v>31</v>
      </c>
      <c r="W4" s="28"/>
    </row>
    <row r="5" spans="1:23" x14ac:dyDescent="0.3">
      <c r="A5" s="78" t="s">
        <v>8</v>
      </c>
      <c r="B5" s="78" t="s">
        <v>11</v>
      </c>
      <c r="C5" s="79">
        <v>1</v>
      </c>
      <c r="D5" s="84">
        <f>VLOOKUP(A6,$M$1:$X$8,6,FALSE)</f>
        <v>3</v>
      </c>
      <c r="E5" s="81">
        <f>VLOOKUP(A6,$M$1:$X$8,5,FALSE)</f>
        <v>65</v>
      </c>
      <c r="F5" s="82">
        <f t="shared" si="0"/>
        <v>0.92307692307692313</v>
      </c>
      <c r="G5" s="81">
        <f t="shared" si="1"/>
        <v>20</v>
      </c>
      <c r="H5" s="83">
        <f t="shared" ref="H5" si="5">D5*F5*G5</f>
        <v>55.384615384615387</v>
      </c>
      <c r="I5" s="16" t="s">
        <v>11</v>
      </c>
      <c r="J5" s="17">
        <v>89.670329670329664</v>
      </c>
      <c r="M5" s="41" t="s">
        <v>66</v>
      </c>
      <c r="N5" s="18">
        <v>5</v>
      </c>
      <c r="O5" s="35">
        <v>20</v>
      </c>
      <c r="P5" s="36">
        <f t="shared" si="3"/>
        <v>25</v>
      </c>
      <c r="Q5" s="24">
        <v>70</v>
      </c>
      <c r="R5" s="44">
        <v>2</v>
      </c>
      <c r="S5" s="45">
        <f t="shared" si="2"/>
        <v>0.22222222222222221</v>
      </c>
      <c r="T5" s="59">
        <f t="shared" si="4"/>
        <v>0.8571428571428571</v>
      </c>
      <c r="U5" s="48">
        <v>20</v>
      </c>
      <c r="V5" s="49">
        <f>ROUND(R5*T5*U5,0)</f>
        <v>34</v>
      </c>
      <c r="W5" s="28"/>
    </row>
    <row r="6" spans="1:23" x14ac:dyDescent="0.3">
      <c r="A6" s="78" t="s">
        <v>8</v>
      </c>
      <c r="B6" s="78" t="s">
        <v>12</v>
      </c>
      <c r="C6" s="79">
        <v>1</v>
      </c>
      <c r="D6" s="84">
        <f t="shared" ref="D6:D28" si="6">VLOOKUP(A6,$M$1:$X$8,6,FALSE)</f>
        <v>3</v>
      </c>
      <c r="E6" s="81">
        <f t="shared" ref="E6:E34" si="7">VLOOKUP(A6,$M$1:$X$8,5,FALSE)</f>
        <v>65</v>
      </c>
      <c r="F6" s="82">
        <f t="shared" si="0"/>
        <v>0.92307692307692313</v>
      </c>
      <c r="G6" s="81">
        <f t="shared" si="1"/>
        <v>20</v>
      </c>
      <c r="H6" s="83">
        <f t="shared" ref="H6:H16" si="8">D6*F6*G6</f>
        <v>55.384615384615387</v>
      </c>
      <c r="I6" s="16" t="s">
        <v>3</v>
      </c>
      <c r="J6" s="17">
        <v>55.384615384615387</v>
      </c>
      <c r="M6" s="41" t="s">
        <v>10</v>
      </c>
      <c r="N6" s="18">
        <v>3</v>
      </c>
      <c r="O6" s="35">
        <v>15</v>
      </c>
      <c r="P6" s="36">
        <f t="shared" si="3"/>
        <v>18</v>
      </c>
      <c r="Q6" s="24">
        <v>48</v>
      </c>
      <c r="R6" s="44">
        <v>1</v>
      </c>
      <c r="S6" s="45">
        <f t="shared" si="2"/>
        <v>0.1111111111111111</v>
      </c>
      <c r="T6" s="59">
        <f t="shared" si="4"/>
        <v>1.25</v>
      </c>
      <c r="U6" s="48">
        <v>20</v>
      </c>
      <c r="V6" s="49">
        <f>ROUND(R6*T6*U6,0)</f>
        <v>25</v>
      </c>
      <c r="W6" s="28"/>
    </row>
    <row r="7" spans="1:23" ht="15" thickBot="1" x14ac:dyDescent="0.35">
      <c r="A7" s="78" t="s">
        <v>8</v>
      </c>
      <c r="B7" s="78" t="s">
        <v>3</v>
      </c>
      <c r="C7" s="79">
        <v>1</v>
      </c>
      <c r="D7" s="84">
        <f t="shared" si="6"/>
        <v>3</v>
      </c>
      <c r="E7" s="81">
        <f t="shared" si="7"/>
        <v>65</v>
      </c>
      <c r="F7" s="82">
        <f t="shared" si="0"/>
        <v>0.92307692307692313</v>
      </c>
      <c r="G7" s="81">
        <f t="shared" si="1"/>
        <v>20</v>
      </c>
      <c r="H7" s="83">
        <f t="shared" si="8"/>
        <v>55.384615384615387</v>
      </c>
      <c r="I7" s="16" t="s">
        <v>13</v>
      </c>
      <c r="J7" s="17">
        <v>23.076923076923073</v>
      </c>
      <c r="M7" s="110" t="s">
        <v>67</v>
      </c>
      <c r="N7" s="113">
        <v>4</v>
      </c>
      <c r="O7" s="114">
        <v>15</v>
      </c>
      <c r="P7" s="111">
        <f t="shared" si="3"/>
        <v>19</v>
      </c>
      <c r="Q7" s="24">
        <v>120</v>
      </c>
      <c r="R7" s="44">
        <v>1</v>
      </c>
      <c r="S7" s="112">
        <f t="shared" si="2"/>
        <v>0.1111111111111111</v>
      </c>
      <c r="T7" s="59">
        <f t="shared" si="4"/>
        <v>0.5</v>
      </c>
      <c r="U7" s="60">
        <v>20</v>
      </c>
      <c r="V7" s="61">
        <f>SUM(V2:V6)</f>
        <v>168</v>
      </c>
      <c r="W7" s="62"/>
    </row>
    <row r="8" spans="1:23" ht="15" thickBot="1" x14ac:dyDescent="0.35">
      <c r="A8" s="22" t="s">
        <v>9</v>
      </c>
      <c r="B8" s="22" t="s">
        <v>62</v>
      </c>
      <c r="C8" s="22">
        <v>1</v>
      </c>
      <c r="D8" s="108">
        <f t="shared" si="6"/>
        <v>1</v>
      </c>
      <c r="E8" s="105">
        <f t="shared" si="7"/>
        <v>52</v>
      </c>
      <c r="F8" s="106">
        <f t="shared" si="0"/>
        <v>1.1538461538461537</v>
      </c>
      <c r="G8" s="107">
        <f t="shared" si="1"/>
        <v>20</v>
      </c>
      <c r="H8" s="105">
        <f t="shared" si="8"/>
        <v>23.076923076923073</v>
      </c>
      <c r="I8" s="16" t="s">
        <v>4</v>
      </c>
      <c r="J8" s="17">
        <v>88.84615384615384</v>
      </c>
      <c r="M8" s="42"/>
      <c r="N8" s="43"/>
      <c r="O8" s="43"/>
      <c r="P8" s="43"/>
      <c r="Q8" s="43"/>
      <c r="R8" s="43"/>
      <c r="S8" s="50">
        <f>SUM(S2:S7)</f>
        <v>1</v>
      </c>
      <c r="T8" s="58"/>
      <c r="U8" s="43"/>
      <c r="V8" s="43"/>
      <c r="W8" s="29"/>
    </row>
    <row r="9" spans="1:23" x14ac:dyDescent="0.3">
      <c r="A9" s="22" t="s">
        <v>9</v>
      </c>
      <c r="B9" s="22" t="s">
        <v>0</v>
      </c>
      <c r="C9" s="22">
        <v>1</v>
      </c>
      <c r="D9" s="104">
        <f t="shared" si="6"/>
        <v>1</v>
      </c>
      <c r="E9" s="105">
        <f t="shared" si="7"/>
        <v>52</v>
      </c>
      <c r="F9" s="106">
        <f t="shared" si="0"/>
        <v>1.1538461538461537</v>
      </c>
      <c r="G9" s="107">
        <f t="shared" si="1"/>
        <v>20</v>
      </c>
      <c r="H9" s="105">
        <f t="shared" si="8"/>
        <v>23.076923076923073</v>
      </c>
      <c r="I9" s="16" t="s">
        <v>62</v>
      </c>
      <c r="J9" s="17">
        <v>178.5164835164835</v>
      </c>
    </row>
    <row r="10" spans="1:23" x14ac:dyDescent="0.3">
      <c r="A10" s="22" t="s">
        <v>9</v>
      </c>
      <c r="B10" s="22" t="s">
        <v>4</v>
      </c>
      <c r="C10" s="22">
        <v>1</v>
      </c>
      <c r="D10" s="104">
        <f t="shared" si="6"/>
        <v>1</v>
      </c>
      <c r="E10" s="105">
        <f t="shared" si="7"/>
        <v>52</v>
      </c>
      <c r="F10" s="106">
        <f t="shared" si="0"/>
        <v>1.1538461538461537</v>
      </c>
      <c r="G10" s="107">
        <f t="shared" si="1"/>
        <v>20</v>
      </c>
      <c r="H10" s="105">
        <f t="shared" si="8"/>
        <v>23.076923076923073</v>
      </c>
      <c r="I10" s="16" t="s">
        <v>64</v>
      </c>
      <c r="J10" s="17">
        <v>30.76923076923077</v>
      </c>
    </row>
    <row r="11" spans="1:23" x14ac:dyDescent="0.3">
      <c r="A11" s="22" t="s">
        <v>9</v>
      </c>
      <c r="B11" s="22" t="s">
        <v>13</v>
      </c>
      <c r="C11" s="22">
        <v>1</v>
      </c>
      <c r="D11" s="104">
        <f t="shared" si="6"/>
        <v>1</v>
      </c>
      <c r="E11" s="105">
        <f t="shared" si="7"/>
        <v>52</v>
      </c>
      <c r="F11" s="106">
        <f t="shared" si="0"/>
        <v>1.1538461538461537</v>
      </c>
      <c r="G11" s="107">
        <f t="shared" si="1"/>
        <v>20</v>
      </c>
      <c r="H11" s="105">
        <f t="shared" si="8"/>
        <v>23.076923076923073</v>
      </c>
      <c r="I11" s="16" t="s">
        <v>63</v>
      </c>
      <c r="J11" s="17">
        <v>30.76923076923077</v>
      </c>
    </row>
    <row r="12" spans="1:23" ht="15" thickBot="1" x14ac:dyDescent="0.35">
      <c r="A12" s="22" t="s">
        <v>9</v>
      </c>
      <c r="B12" s="22" t="s">
        <v>6</v>
      </c>
      <c r="C12" s="22">
        <v>1</v>
      </c>
      <c r="D12" s="109">
        <f t="shared" si="6"/>
        <v>1</v>
      </c>
      <c r="E12" s="105">
        <f t="shared" si="7"/>
        <v>52</v>
      </c>
      <c r="F12" s="106">
        <f t="shared" si="0"/>
        <v>1.1538461538461537</v>
      </c>
      <c r="G12" s="107">
        <f t="shared" si="1"/>
        <v>20</v>
      </c>
      <c r="H12" s="105">
        <f t="shared" si="8"/>
        <v>23.076923076923073</v>
      </c>
      <c r="I12" s="16" t="s">
        <v>65</v>
      </c>
      <c r="J12" s="17">
        <v>30.76923076923077</v>
      </c>
    </row>
    <row r="13" spans="1:23" x14ac:dyDescent="0.3">
      <c r="A13" s="91" t="s">
        <v>61</v>
      </c>
      <c r="B13" s="91" t="s">
        <v>62</v>
      </c>
      <c r="C13" s="91">
        <v>1</v>
      </c>
      <c r="D13" s="92">
        <f t="shared" si="6"/>
        <v>1</v>
      </c>
      <c r="E13" s="93">
        <f t="shared" si="7"/>
        <v>39</v>
      </c>
      <c r="F13" s="94">
        <f t="shared" si="0"/>
        <v>1.5384615384615385</v>
      </c>
      <c r="G13" s="95">
        <f t="shared" si="1"/>
        <v>20</v>
      </c>
      <c r="H13" s="93">
        <f t="shared" si="8"/>
        <v>30.76923076923077</v>
      </c>
      <c r="I13" s="16" t="s">
        <v>69</v>
      </c>
      <c r="J13" s="17">
        <v>99.670329670329664</v>
      </c>
    </row>
    <row r="14" spans="1:23" x14ac:dyDescent="0.3">
      <c r="A14" s="91" t="s">
        <v>61</v>
      </c>
      <c r="B14" s="91" t="s">
        <v>64</v>
      </c>
      <c r="C14" s="91">
        <v>1</v>
      </c>
      <c r="D14" s="96">
        <f t="shared" si="6"/>
        <v>1</v>
      </c>
      <c r="E14" s="93">
        <f t="shared" si="7"/>
        <v>39</v>
      </c>
      <c r="F14" s="94">
        <f t="shared" si="0"/>
        <v>1.5384615384615385</v>
      </c>
      <c r="G14" s="95">
        <f t="shared" si="1"/>
        <v>20</v>
      </c>
      <c r="H14" s="93">
        <f t="shared" si="8"/>
        <v>30.76923076923077</v>
      </c>
      <c r="I14" s="16" t="s">
        <v>41</v>
      </c>
      <c r="J14" s="17">
        <v>968.35164835164812</v>
      </c>
    </row>
    <row r="15" spans="1:23" x14ac:dyDescent="0.3">
      <c r="A15" s="91" t="s">
        <v>61</v>
      </c>
      <c r="B15" s="91" t="s">
        <v>63</v>
      </c>
      <c r="C15" s="91">
        <v>1</v>
      </c>
      <c r="D15" s="96">
        <f t="shared" si="6"/>
        <v>1</v>
      </c>
      <c r="E15" s="93">
        <f t="shared" si="7"/>
        <v>39</v>
      </c>
      <c r="F15" s="94">
        <f t="shared" si="0"/>
        <v>1.5384615384615385</v>
      </c>
      <c r="G15" s="95">
        <f t="shared" si="1"/>
        <v>20</v>
      </c>
      <c r="H15" s="93">
        <f t="shared" si="8"/>
        <v>30.76923076923077</v>
      </c>
    </row>
    <row r="16" spans="1:23" x14ac:dyDescent="0.3">
      <c r="A16" s="91" t="s">
        <v>61</v>
      </c>
      <c r="B16" s="91" t="s">
        <v>65</v>
      </c>
      <c r="C16" s="91">
        <v>1</v>
      </c>
      <c r="D16" s="96">
        <f t="shared" si="6"/>
        <v>1</v>
      </c>
      <c r="E16" s="93">
        <f t="shared" si="7"/>
        <v>39</v>
      </c>
      <c r="F16" s="94">
        <f t="shared" si="0"/>
        <v>1.5384615384615385</v>
      </c>
      <c r="G16" s="95">
        <f t="shared" si="1"/>
        <v>20</v>
      </c>
      <c r="H16" s="93">
        <f t="shared" si="8"/>
        <v>30.76923076923077</v>
      </c>
    </row>
    <row r="17" spans="1:8" x14ac:dyDescent="0.3">
      <c r="A17" s="91" t="s">
        <v>61</v>
      </c>
      <c r="B17" s="91" t="s">
        <v>4</v>
      </c>
      <c r="C17" s="91">
        <v>1</v>
      </c>
      <c r="D17" s="96">
        <f t="shared" si="6"/>
        <v>1</v>
      </c>
      <c r="E17" s="93">
        <f t="shared" si="7"/>
        <v>39</v>
      </c>
      <c r="F17" s="94">
        <f t="shared" si="0"/>
        <v>1.5384615384615385</v>
      </c>
      <c r="G17" s="95">
        <f t="shared" si="1"/>
        <v>20</v>
      </c>
      <c r="H17" s="93">
        <f t="shared" ref="H17" si="9">D17*F17*G17</f>
        <v>30.76923076923077</v>
      </c>
    </row>
    <row r="18" spans="1:8" ht="15" thickBot="1" x14ac:dyDescent="0.35">
      <c r="A18" s="91" t="s">
        <v>61</v>
      </c>
      <c r="B18" s="91" t="s">
        <v>6</v>
      </c>
      <c r="C18" s="91">
        <v>0</v>
      </c>
      <c r="D18" s="96">
        <f t="shared" si="6"/>
        <v>1</v>
      </c>
      <c r="E18" s="93">
        <f t="shared" si="7"/>
        <v>39</v>
      </c>
      <c r="F18" s="94">
        <f t="shared" si="0"/>
        <v>0</v>
      </c>
      <c r="G18" s="95">
        <f t="shared" si="1"/>
        <v>20</v>
      </c>
      <c r="H18" s="93">
        <f t="shared" ref="H18" si="10">D18*F18*G18</f>
        <v>0</v>
      </c>
    </row>
    <row r="19" spans="1:8" x14ac:dyDescent="0.3">
      <c r="A19" s="63" t="s">
        <v>67</v>
      </c>
      <c r="B19" s="63" t="s">
        <v>62</v>
      </c>
      <c r="C19" s="64">
        <v>1</v>
      </c>
      <c r="D19" s="65">
        <f t="shared" si="6"/>
        <v>1</v>
      </c>
      <c r="E19" s="66">
        <f t="shared" si="7"/>
        <v>120</v>
      </c>
      <c r="F19" s="67">
        <f t="shared" si="0"/>
        <v>0.5</v>
      </c>
      <c r="G19" s="66">
        <f t="shared" si="1"/>
        <v>20</v>
      </c>
      <c r="H19" s="68">
        <f>D19*F19*G19</f>
        <v>10</v>
      </c>
    </row>
    <row r="20" spans="1:8" x14ac:dyDescent="0.3">
      <c r="A20" s="63" t="s">
        <v>67</v>
      </c>
      <c r="B20" s="63" t="s">
        <v>0</v>
      </c>
      <c r="C20" s="64">
        <v>1</v>
      </c>
      <c r="D20" s="69">
        <f t="shared" si="6"/>
        <v>1</v>
      </c>
      <c r="E20" s="66">
        <f t="shared" si="7"/>
        <v>120</v>
      </c>
      <c r="F20" s="67">
        <f t="shared" si="0"/>
        <v>0.5</v>
      </c>
      <c r="G20" s="66">
        <f t="shared" si="1"/>
        <v>20</v>
      </c>
      <c r="H20" s="68">
        <f t="shared" ref="H20:H34" si="11">D20*F20*G20</f>
        <v>10</v>
      </c>
    </row>
    <row r="21" spans="1:8" x14ac:dyDescent="0.3">
      <c r="A21" s="63" t="s">
        <v>67</v>
      </c>
      <c r="B21" s="63" t="s">
        <v>4</v>
      </c>
      <c r="C21" s="64">
        <v>1</v>
      </c>
      <c r="D21" s="69">
        <f t="shared" ref="D21" si="12">VLOOKUP(A21,$M$1:$X$8,6,FALSE)</f>
        <v>1</v>
      </c>
      <c r="E21" s="66">
        <f t="shared" ref="E21" si="13">VLOOKUP(A21,$M$1:$X$8,5,FALSE)</f>
        <v>120</v>
      </c>
      <c r="F21" s="67">
        <f t="shared" ref="F21" si="14">60/E21*C21</f>
        <v>0.5</v>
      </c>
      <c r="G21" s="66">
        <f t="shared" ref="G21" si="15">VLOOKUP(A21,$M$1:$X$8,9,FALSE)</f>
        <v>20</v>
      </c>
      <c r="H21" s="68">
        <f t="shared" ref="H21" si="16">D21*F21*G21</f>
        <v>10</v>
      </c>
    </row>
    <row r="22" spans="1:8" x14ac:dyDescent="0.3">
      <c r="A22" s="63" t="s">
        <v>67</v>
      </c>
      <c r="B22" s="63" t="s">
        <v>69</v>
      </c>
      <c r="C22" s="64">
        <v>1</v>
      </c>
      <c r="D22" s="69">
        <f t="shared" si="6"/>
        <v>1</v>
      </c>
      <c r="E22" s="66">
        <f t="shared" si="7"/>
        <v>120</v>
      </c>
      <c r="F22" s="67">
        <f t="shared" si="0"/>
        <v>0.5</v>
      </c>
      <c r="G22" s="66">
        <f t="shared" si="1"/>
        <v>20</v>
      </c>
      <c r="H22" s="68">
        <f t="shared" si="11"/>
        <v>10</v>
      </c>
    </row>
    <row r="23" spans="1:8" ht="15" thickBot="1" x14ac:dyDescent="0.35">
      <c r="A23" s="63" t="s">
        <v>67</v>
      </c>
      <c r="B23" s="63" t="s">
        <v>6</v>
      </c>
      <c r="C23" s="64">
        <v>0</v>
      </c>
      <c r="D23" s="70">
        <f t="shared" si="6"/>
        <v>1</v>
      </c>
      <c r="E23" s="66">
        <f t="shared" si="7"/>
        <v>120</v>
      </c>
      <c r="F23" s="67">
        <f t="shared" si="0"/>
        <v>0</v>
      </c>
      <c r="G23" s="66">
        <f t="shared" si="1"/>
        <v>20</v>
      </c>
      <c r="H23" s="68">
        <f t="shared" si="11"/>
        <v>0</v>
      </c>
    </row>
    <row r="24" spans="1:8" x14ac:dyDescent="0.3">
      <c r="A24" s="86" t="s">
        <v>66</v>
      </c>
      <c r="B24" s="86" t="s">
        <v>62</v>
      </c>
      <c r="C24" s="86">
        <v>1</v>
      </c>
      <c r="D24" s="87">
        <f t="shared" si="6"/>
        <v>2</v>
      </c>
      <c r="E24" s="88">
        <f t="shared" si="7"/>
        <v>70</v>
      </c>
      <c r="F24" s="89">
        <f t="shared" ref="F24:F34" si="17">60/E24*C24</f>
        <v>0.8571428571428571</v>
      </c>
      <c r="G24" s="88">
        <f t="shared" si="1"/>
        <v>20</v>
      </c>
      <c r="H24" s="90">
        <f t="shared" si="11"/>
        <v>34.285714285714285</v>
      </c>
    </row>
    <row r="25" spans="1:8" x14ac:dyDescent="0.3">
      <c r="A25" s="86" t="s">
        <v>66</v>
      </c>
      <c r="B25" s="86" t="s">
        <v>0</v>
      </c>
      <c r="C25" s="86">
        <v>1</v>
      </c>
      <c r="D25" s="87">
        <f t="shared" si="6"/>
        <v>2</v>
      </c>
      <c r="E25" s="88">
        <f t="shared" si="7"/>
        <v>70</v>
      </c>
      <c r="F25" s="89">
        <f t="shared" si="17"/>
        <v>0.8571428571428571</v>
      </c>
      <c r="G25" s="88">
        <f t="shared" si="1"/>
        <v>20</v>
      </c>
      <c r="H25" s="90">
        <f t="shared" si="11"/>
        <v>34.285714285714285</v>
      </c>
    </row>
    <row r="26" spans="1:8" x14ac:dyDescent="0.3">
      <c r="A26" s="86" t="s">
        <v>66</v>
      </c>
      <c r="B26" s="86" t="s">
        <v>69</v>
      </c>
      <c r="C26" s="86">
        <v>1</v>
      </c>
      <c r="D26" s="87">
        <f t="shared" si="6"/>
        <v>2</v>
      </c>
      <c r="E26" s="88">
        <f t="shared" si="7"/>
        <v>70</v>
      </c>
      <c r="F26" s="89">
        <f t="shared" si="17"/>
        <v>0.8571428571428571</v>
      </c>
      <c r="G26" s="88">
        <f t="shared" si="1"/>
        <v>20</v>
      </c>
      <c r="H26" s="90">
        <f t="shared" si="11"/>
        <v>34.285714285714285</v>
      </c>
    </row>
    <row r="27" spans="1:8" x14ac:dyDescent="0.3">
      <c r="A27" s="86" t="s">
        <v>66</v>
      </c>
      <c r="B27" s="86" t="s">
        <v>11</v>
      </c>
      <c r="C27" s="86">
        <v>1</v>
      </c>
      <c r="D27" s="87">
        <f t="shared" si="6"/>
        <v>2</v>
      </c>
      <c r="E27" s="88">
        <f t="shared" si="7"/>
        <v>70</v>
      </c>
      <c r="F27" s="89">
        <f t="shared" si="17"/>
        <v>0.8571428571428571</v>
      </c>
      <c r="G27" s="88">
        <f t="shared" si="1"/>
        <v>20</v>
      </c>
      <c r="H27" s="90">
        <f t="shared" si="11"/>
        <v>34.285714285714285</v>
      </c>
    </row>
    <row r="28" spans="1:8" x14ac:dyDescent="0.3">
      <c r="A28" s="86" t="s">
        <v>66</v>
      </c>
      <c r="B28" s="86" t="s">
        <v>12</v>
      </c>
      <c r="C28" s="86">
        <v>1</v>
      </c>
      <c r="D28" s="87">
        <f t="shared" si="6"/>
        <v>2</v>
      </c>
      <c r="E28" s="88">
        <f t="shared" si="7"/>
        <v>70</v>
      </c>
      <c r="F28" s="89">
        <f t="shared" si="17"/>
        <v>0.8571428571428571</v>
      </c>
      <c r="G28" s="88">
        <f t="shared" si="1"/>
        <v>20</v>
      </c>
      <c r="H28" s="90">
        <f t="shared" ref="H28" si="18">D28*F28*G28</f>
        <v>34.285714285714285</v>
      </c>
    </row>
    <row r="29" spans="1:8" x14ac:dyDescent="0.3">
      <c r="A29" s="86" t="s">
        <v>66</v>
      </c>
      <c r="B29" s="86" t="s">
        <v>6</v>
      </c>
      <c r="C29" s="86">
        <v>0</v>
      </c>
      <c r="D29" s="87">
        <f t="shared" ref="D29:D34" si="19">VLOOKUP(A29,$M$1:$X$8,6,FALSE)</f>
        <v>2</v>
      </c>
      <c r="E29" s="88">
        <f t="shared" si="7"/>
        <v>70</v>
      </c>
      <c r="F29" s="89">
        <f t="shared" si="17"/>
        <v>0</v>
      </c>
      <c r="G29" s="88">
        <f t="shared" si="1"/>
        <v>20</v>
      </c>
      <c r="H29" s="90">
        <f>D29*F29*G29</f>
        <v>0</v>
      </c>
    </row>
    <row r="30" spans="1:8" ht="15" thickBot="1" x14ac:dyDescent="0.35">
      <c r="A30" s="78" t="s">
        <v>8</v>
      </c>
      <c r="B30" s="78" t="s">
        <v>6</v>
      </c>
      <c r="C30" s="78">
        <v>1</v>
      </c>
      <c r="D30" s="85">
        <f t="shared" si="19"/>
        <v>3</v>
      </c>
      <c r="E30" s="81">
        <f t="shared" si="7"/>
        <v>65</v>
      </c>
      <c r="F30" s="82">
        <f t="shared" si="17"/>
        <v>0.92307692307692313</v>
      </c>
      <c r="G30" s="81">
        <f t="shared" si="1"/>
        <v>20</v>
      </c>
      <c r="H30" s="83">
        <f>D30*F30*G30</f>
        <v>55.384615384615387</v>
      </c>
    </row>
    <row r="31" spans="1:8" x14ac:dyDescent="0.3">
      <c r="A31" s="71" t="s">
        <v>10</v>
      </c>
      <c r="B31" s="71" t="s">
        <v>62</v>
      </c>
      <c r="C31" s="71">
        <v>1</v>
      </c>
      <c r="D31" s="72">
        <f t="shared" si="19"/>
        <v>1</v>
      </c>
      <c r="E31" s="73">
        <f t="shared" si="7"/>
        <v>48</v>
      </c>
      <c r="F31" s="74">
        <f t="shared" si="17"/>
        <v>1.25</v>
      </c>
      <c r="G31" s="73">
        <f t="shared" si="1"/>
        <v>20</v>
      </c>
      <c r="H31" s="75">
        <f t="shared" si="11"/>
        <v>25</v>
      </c>
    </row>
    <row r="32" spans="1:8" x14ac:dyDescent="0.3">
      <c r="A32" s="71" t="s">
        <v>10</v>
      </c>
      <c r="B32" s="71" t="s">
        <v>0</v>
      </c>
      <c r="C32" s="71">
        <v>1</v>
      </c>
      <c r="D32" s="76">
        <f t="shared" si="19"/>
        <v>1</v>
      </c>
      <c r="E32" s="73">
        <f t="shared" si="7"/>
        <v>48</v>
      </c>
      <c r="F32" s="74">
        <f t="shared" si="17"/>
        <v>1.25</v>
      </c>
      <c r="G32" s="73">
        <f t="shared" si="1"/>
        <v>20</v>
      </c>
      <c r="H32" s="75">
        <f t="shared" si="11"/>
        <v>25</v>
      </c>
    </row>
    <row r="33" spans="1:9" x14ac:dyDescent="0.3">
      <c r="A33" s="71" t="s">
        <v>10</v>
      </c>
      <c r="B33" s="71" t="s">
        <v>4</v>
      </c>
      <c r="C33" s="71">
        <v>1</v>
      </c>
      <c r="D33" s="76">
        <f t="shared" si="19"/>
        <v>1</v>
      </c>
      <c r="E33" s="73">
        <f t="shared" si="7"/>
        <v>48</v>
      </c>
      <c r="F33" s="74">
        <f t="shared" si="17"/>
        <v>1.25</v>
      </c>
      <c r="G33" s="73">
        <f t="shared" si="1"/>
        <v>20</v>
      </c>
      <c r="H33" s="75">
        <f t="shared" si="11"/>
        <v>25</v>
      </c>
    </row>
    <row r="34" spans="1:9" ht="15" thickBot="1" x14ac:dyDescent="0.35">
      <c r="A34" s="71" t="s">
        <v>10</v>
      </c>
      <c r="B34" s="71" t="s">
        <v>6</v>
      </c>
      <c r="C34" s="71">
        <v>1</v>
      </c>
      <c r="D34" s="77">
        <f t="shared" si="19"/>
        <v>1</v>
      </c>
      <c r="E34" s="73">
        <f t="shared" si="7"/>
        <v>48</v>
      </c>
      <c r="F34" s="74">
        <f t="shared" si="17"/>
        <v>1.25</v>
      </c>
      <c r="G34" s="73">
        <f t="shared" si="1"/>
        <v>20</v>
      </c>
      <c r="H34" s="75">
        <f t="shared" si="11"/>
        <v>25</v>
      </c>
    </row>
    <row r="37" spans="1:9" ht="15" thickBot="1" x14ac:dyDescent="0.35"/>
    <row r="38" spans="1:9" x14ac:dyDescent="0.3">
      <c r="A38" s="99" t="s">
        <v>71</v>
      </c>
      <c r="B38" s="100"/>
      <c r="C38" s="101" t="s">
        <v>83</v>
      </c>
      <c r="D38" s="102"/>
    </row>
    <row r="39" spans="1:9" ht="72" x14ac:dyDescent="0.35">
      <c r="A39" s="25" t="s">
        <v>70</v>
      </c>
      <c r="B39" s="51" t="s">
        <v>58</v>
      </c>
      <c r="C39" s="21" t="s">
        <v>56</v>
      </c>
      <c r="D39" s="21" t="s">
        <v>57</v>
      </c>
      <c r="E39" s="32"/>
      <c r="F39" s="55" t="s">
        <v>80</v>
      </c>
      <c r="G39" s="21" t="s">
        <v>55</v>
      </c>
      <c r="H39" s="21" t="s">
        <v>59</v>
      </c>
      <c r="I39" s="21" t="s">
        <v>60</v>
      </c>
    </row>
    <row r="40" spans="1:9" ht="18" x14ac:dyDescent="0.3">
      <c r="A40" s="25" t="s">
        <v>62</v>
      </c>
      <c r="B40" s="52">
        <v>520</v>
      </c>
      <c r="C40" s="36">
        <f>GETPIVOTDATA("Итого",$I$1,"transaction rq",A40)*3</f>
        <v>535.54945054945051</v>
      </c>
      <c r="D40" s="19">
        <f>1-B40/C40</f>
        <v>2.903457474094584E-2</v>
      </c>
      <c r="E40" s="31"/>
      <c r="F40" s="56" t="str">
        <f>VLOOKUP(A40,Соответствие!A:B,2,FALSE)</f>
        <v>go_to_welcome_page</v>
      </c>
      <c r="G40" s="33">
        <f>C40/3</f>
        <v>178.5164835164835</v>
      </c>
      <c r="H40" s="22">
        <f>VLOOKUP(F40,SummaryReport!A:J,8,FALSE)</f>
        <v>187</v>
      </c>
      <c r="I40" s="20">
        <f t="shared" ref="I40:I51" si="20">1-G40/H40</f>
        <v>4.5366398307574829E-2</v>
      </c>
    </row>
    <row r="41" spans="1:9" ht="18" x14ac:dyDescent="0.3">
      <c r="A41" s="26" t="s">
        <v>0</v>
      </c>
      <c r="B41" s="52">
        <v>422</v>
      </c>
      <c r="C41" s="36">
        <f t="shared" ref="C41:C51" si="21">GETPIVOTDATA("Итого",$I$1,"transaction rq",A41)*3</f>
        <v>443.24175824175819</v>
      </c>
      <c r="D41" s="19">
        <f>1-B41/C41</f>
        <v>4.7923639519028005E-2</v>
      </c>
      <c r="E41" s="31"/>
      <c r="F41" s="56" t="str">
        <f>VLOOKUP(A41,Соответствие!A:B,2,FALSE)</f>
        <v>login</v>
      </c>
      <c r="G41" s="33">
        <f t="shared" ref="G41:G51" si="22">C41/3</f>
        <v>147.74725274725273</v>
      </c>
      <c r="H41" s="22">
        <f>VLOOKUP(F41,SummaryReport!A:J,8,FALSE)</f>
        <v>155</v>
      </c>
      <c r="I41" s="20">
        <f t="shared" si="20"/>
        <v>4.6791917759659851E-2</v>
      </c>
    </row>
    <row r="42" spans="1:9" ht="36" x14ac:dyDescent="0.3">
      <c r="A42" s="26" t="s">
        <v>69</v>
      </c>
      <c r="B42" s="52">
        <v>305</v>
      </c>
      <c r="C42" s="36">
        <f>GETPIVOTDATA("Итого",$I$1,"transaction rq",A42)*3</f>
        <v>299.01098901098896</v>
      </c>
      <c r="D42" s="19">
        <f>1-B42/C42</f>
        <v>-2.0029400955531296E-2</v>
      </c>
      <c r="E42" s="31"/>
      <c r="F42" s="56" t="str">
        <f>VLOOKUP(A42,Соответствие!A:B,2,FALSE)</f>
        <v>go_to_flights</v>
      </c>
      <c r="G42" s="33">
        <f t="shared" si="22"/>
        <v>99.67032967032965</v>
      </c>
      <c r="H42" s="22">
        <f>VLOOKUP(F42,SummaryReport!A:J,8,FALSE)</f>
        <v>107</v>
      </c>
      <c r="I42" s="20">
        <f t="shared" si="20"/>
        <v>6.8501591866078071E-2</v>
      </c>
    </row>
    <row r="43" spans="1:9" ht="36" x14ac:dyDescent="0.3">
      <c r="A43" s="26" t="s">
        <v>11</v>
      </c>
      <c r="B43" s="52">
        <v>282</v>
      </c>
      <c r="C43" s="36">
        <f>GETPIVOTDATA("Итого",$I$1,"transaction rq",A43)*3</f>
        <v>269.01098901098896</v>
      </c>
      <c r="D43" s="19">
        <f t="shared" ref="D43:D52" si="23">1-B43/C43</f>
        <v>-4.8284313725490469E-2</v>
      </c>
      <c r="E43" s="31"/>
      <c r="F43" s="56" t="str">
        <f>VLOOKUP(A43,Соответствие!A:B,2,FALSE)</f>
        <v>input_data_to_find_tickets</v>
      </c>
      <c r="G43" s="33">
        <f t="shared" si="22"/>
        <v>89.67032967032965</v>
      </c>
      <c r="H43" s="22">
        <f>VLOOKUP(F43,SummaryReport!A:J,8,FALSE)</f>
        <v>91</v>
      </c>
      <c r="I43" s="20">
        <f t="shared" si="20"/>
        <v>1.4611761864509298E-2</v>
      </c>
    </row>
    <row r="44" spans="1:9" ht="18" x14ac:dyDescent="0.3">
      <c r="A44" s="26" t="s">
        <v>12</v>
      </c>
      <c r="B44" s="52">
        <v>270</v>
      </c>
      <c r="C44" s="36">
        <f t="shared" si="21"/>
        <v>269.01098901098896</v>
      </c>
      <c r="D44" s="19">
        <f t="shared" si="23"/>
        <v>-3.6764705882355031E-3</v>
      </c>
      <c r="E44" s="31"/>
      <c r="F44" s="56" t="str">
        <f>VLOOKUP(A44,Соответствие!A:B,2,FALSE)</f>
        <v>choose_ticket</v>
      </c>
      <c r="G44" s="33">
        <f>C44/3</f>
        <v>89.67032967032965</v>
      </c>
      <c r="H44" s="22">
        <f>VLOOKUP(F44,SummaryReport!A:J,8,FALSE)</f>
        <v>91</v>
      </c>
      <c r="I44" s="20">
        <f t="shared" si="20"/>
        <v>1.4611761864509298E-2</v>
      </c>
    </row>
    <row r="45" spans="1:9" ht="18" x14ac:dyDescent="0.3">
      <c r="A45" s="26" t="s">
        <v>3</v>
      </c>
      <c r="B45" s="52">
        <v>175</v>
      </c>
      <c r="C45" s="36">
        <f t="shared" si="21"/>
        <v>166.15384615384616</v>
      </c>
      <c r="D45" s="19">
        <f t="shared" si="23"/>
        <v>-5.32407407407407E-2</v>
      </c>
      <c r="E45" s="31"/>
      <c r="F45" s="56" t="str">
        <f>VLOOKUP(A45,Соответствие!A:B,2,FALSE)</f>
        <v>payment</v>
      </c>
      <c r="G45" s="33">
        <f t="shared" si="22"/>
        <v>55.384615384615387</v>
      </c>
      <c r="H45" s="22">
        <f>VLOOKUP(F45,SummaryReport!A:J,8,FALSE)</f>
        <v>57</v>
      </c>
      <c r="I45" s="20">
        <f t="shared" si="20"/>
        <v>2.8340080971659853E-2</v>
      </c>
    </row>
    <row r="46" spans="1:9" ht="18" x14ac:dyDescent="0.3">
      <c r="A46" s="26" t="s">
        <v>4</v>
      </c>
      <c r="B46" s="52">
        <v>280</v>
      </c>
      <c r="C46" s="36">
        <f t="shared" si="21"/>
        <v>266.53846153846155</v>
      </c>
      <c r="D46" s="19">
        <f t="shared" si="23"/>
        <v>-5.0505050505050386E-2</v>
      </c>
      <c r="E46" s="37"/>
      <c r="F46" s="56" t="str">
        <f>VLOOKUP(A46,Соответствие!A:B,2,FALSE)</f>
        <v>go_to_my_tickets</v>
      </c>
      <c r="G46" s="33">
        <f t="shared" si="22"/>
        <v>88.846153846153854</v>
      </c>
      <c r="H46" s="22">
        <f>VLOOKUP(F46,SummaryReport!A:J,8,FALSE)</f>
        <v>89</v>
      </c>
      <c r="I46" s="20">
        <f t="shared" si="20"/>
        <v>1.7286084701814142E-3</v>
      </c>
    </row>
    <row r="47" spans="1:9" ht="18" x14ac:dyDescent="0.3">
      <c r="A47" s="26" t="s">
        <v>13</v>
      </c>
      <c r="B47" s="52">
        <v>73</v>
      </c>
      <c r="C47" s="36">
        <f t="shared" si="21"/>
        <v>69.230769230769226</v>
      </c>
      <c r="D47" s="19">
        <f t="shared" si="23"/>
        <v>-5.4444444444444517E-2</v>
      </c>
      <c r="E47" s="31"/>
      <c r="F47" s="56" t="str">
        <f>VLOOKUP(A47,Соответствие!A:B,2,FALSE)</f>
        <v>removing_ticket</v>
      </c>
      <c r="G47" s="33">
        <f t="shared" si="22"/>
        <v>23.076923076923077</v>
      </c>
      <c r="H47" s="22">
        <f>VLOOKUP(F47,SummaryReport!A:J,8,FALSE)</f>
        <v>22</v>
      </c>
      <c r="I47" s="20">
        <f t="shared" si="20"/>
        <v>-4.8951048951048959E-2</v>
      </c>
    </row>
    <row r="48" spans="1:9" ht="18" x14ac:dyDescent="0.3">
      <c r="A48" s="26" t="s">
        <v>6</v>
      </c>
      <c r="B48" s="52">
        <v>326</v>
      </c>
      <c r="C48" s="36">
        <f t="shared" si="21"/>
        <v>310.38461538461536</v>
      </c>
      <c r="D48" s="19">
        <f t="shared" si="23"/>
        <v>-5.0309789343246702E-2</v>
      </c>
      <c r="E48" s="31"/>
      <c r="F48" s="56" t="str">
        <f>VLOOKUP(A48,Соответствие!A:B,2,FALSE)</f>
        <v>logout</v>
      </c>
      <c r="G48" s="33">
        <f t="shared" si="22"/>
        <v>103.46153846153845</v>
      </c>
      <c r="H48" s="22">
        <f>VLOOKUP(F48,SummaryReport!A:J,8,FALSE)</f>
        <v>104</v>
      </c>
      <c r="I48" s="20">
        <f t="shared" si="20"/>
        <v>5.177514792899518E-3</v>
      </c>
    </row>
    <row r="49" spans="1:9" ht="36" x14ac:dyDescent="0.3">
      <c r="A49" s="26" t="s">
        <v>64</v>
      </c>
      <c r="B49" s="52">
        <v>97</v>
      </c>
      <c r="C49" s="36">
        <f t="shared" si="21"/>
        <v>92.307692307692307</v>
      </c>
      <c r="D49" s="19">
        <f t="shared" si="23"/>
        <v>-5.0833333333333286E-2</v>
      </c>
      <c r="E49" s="31"/>
      <c r="F49" s="56" t="str">
        <f>VLOOKUP(A49,Соответствие!A:B,2,FALSE)</f>
        <v>go_to_registrating_menu</v>
      </c>
      <c r="G49" s="33">
        <f t="shared" si="22"/>
        <v>30.76923076923077</v>
      </c>
      <c r="H49" s="22">
        <f>VLOOKUP(F49,SummaryReport!A:J,8,FALSE)</f>
        <v>31</v>
      </c>
      <c r="I49" s="20">
        <f t="shared" si="20"/>
        <v>7.4441687344912744E-3</v>
      </c>
    </row>
    <row r="50" spans="1:9" ht="36" x14ac:dyDescent="0.3">
      <c r="A50" s="26" t="s">
        <v>63</v>
      </c>
      <c r="B50" s="52">
        <v>97</v>
      </c>
      <c r="C50" s="36">
        <f t="shared" si="21"/>
        <v>92.307692307692307</v>
      </c>
      <c r="D50" s="19">
        <f t="shared" si="23"/>
        <v>-5.0833333333333286E-2</v>
      </c>
      <c r="E50" s="31"/>
      <c r="F50" s="56" t="str">
        <f>VLOOKUP(A50,Соответствие!A:B,2,FALSE)</f>
        <v>registrating</v>
      </c>
      <c r="G50" s="33">
        <f t="shared" si="22"/>
        <v>30.76923076923077</v>
      </c>
      <c r="H50" s="22">
        <f>VLOOKUP(F50,SummaryReport!A:J,8,FALSE)</f>
        <v>31</v>
      </c>
      <c r="I50" s="20">
        <f t="shared" si="20"/>
        <v>7.4441687344912744E-3</v>
      </c>
    </row>
    <row r="51" spans="1:9" ht="36" x14ac:dyDescent="0.3">
      <c r="A51" s="26" t="s">
        <v>65</v>
      </c>
      <c r="B51" s="52">
        <v>97</v>
      </c>
      <c r="C51" s="36">
        <f t="shared" si="21"/>
        <v>92.307692307692307</v>
      </c>
      <c r="D51" s="19">
        <f t="shared" si="23"/>
        <v>-5.0833333333333286E-2</v>
      </c>
      <c r="E51" s="31"/>
      <c r="F51" s="56" t="str">
        <f>VLOOKUP(A51,Соответствие!A:B,2,FALSE)</f>
        <v>go_to_menu</v>
      </c>
      <c r="G51" s="33">
        <f t="shared" si="22"/>
        <v>30.76923076923077</v>
      </c>
      <c r="H51" s="22">
        <f>VLOOKUP(F51,SummaryReport!A:J,8,FALSE)</f>
        <v>31</v>
      </c>
      <c r="I51" s="20">
        <f t="shared" si="20"/>
        <v>7.4441687344912744E-3</v>
      </c>
    </row>
    <row r="52" spans="1:9" ht="18.600000000000001" thickBot="1" x14ac:dyDescent="0.35">
      <c r="A52" s="27" t="s">
        <v>7</v>
      </c>
      <c r="B52" s="53">
        <f>SUM(B40:B51)</f>
        <v>2944</v>
      </c>
      <c r="C52" s="54">
        <f>SUM(C40:C51)</f>
        <v>2905.0549450549443</v>
      </c>
      <c r="D52" s="19">
        <f t="shared" si="23"/>
        <v>-1.3405961567559688E-2</v>
      </c>
    </row>
    <row r="53" spans="1:9" ht="15" thickBot="1" x14ac:dyDescent="0.35">
      <c r="I53" s="23"/>
    </row>
    <row r="54" spans="1:9" x14ac:dyDescent="0.3">
      <c r="A54" s="38"/>
      <c r="B54" s="39"/>
      <c r="C54" s="40" t="s">
        <v>68</v>
      </c>
      <c r="D54" s="40"/>
      <c r="E54" s="40"/>
      <c r="F54" s="40"/>
      <c r="G54" s="40"/>
      <c r="H54" s="40"/>
      <c r="I54" s="30"/>
    </row>
  </sheetData>
  <mergeCells count="2">
    <mergeCell ref="A38:B38"/>
    <mergeCell ref="C38:D38"/>
  </mergeCell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16" sqref="B16"/>
    </sheetView>
  </sheetViews>
  <sheetFormatPr defaultRowHeight="14.4" x14ac:dyDescent="0.3"/>
  <cols>
    <col min="1" max="1" width="47.44140625" bestFit="1" customWidth="1"/>
    <col min="2" max="2" width="23.5546875" customWidth="1"/>
  </cols>
  <sheetData>
    <row r="1" spans="1:2" x14ac:dyDescent="0.3">
      <c r="A1" s="34" t="s">
        <v>72</v>
      </c>
      <c r="B1" s="34" t="s">
        <v>73</v>
      </c>
    </row>
    <row r="2" spans="1:2" x14ac:dyDescent="0.3">
      <c r="A2" s="56" t="str">
        <f>'Автоматизированный расчет'!A40</f>
        <v>Главная Welcome страница</v>
      </c>
      <c r="B2" s="98" t="s">
        <v>90</v>
      </c>
    </row>
    <row r="3" spans="1:2" x14ac:dyDescent="0.3">
      <c r="A3" s="56" t="str">
        <f>'Автоматизированный расчет'!A41</f>
        <v>Вход в систему</v>
      </c>
      <c r="B3" s="98" t="s">
        <v>24</v>
      </c>
    </row>
    <row r="4" spans="1:2" x14ac:dyDescent="0.3">
      <c r="A4" s="56" t="str">
        <f>'Автоматизированный расчет'!A42</f>
        <v>Переход на страницу поиска билетов</v>
      </c>
      <c r="B4" s="98" t="s">
        <v>86</v>
      </c>
    </row>
    <row r="5" spans="1:2" x14ac:dyDescent="0.3">
      <c r="A5" s="56" t="str">
        <f>'Автоматизированный расчет'!A43</f>
        <v xml:space="preserve">Заполнение полей для поиска билета </v>
      </c>
      <c r="B5" s="98" t="s">
        <v>91</v>
      </c>
    </row>
    <row r="6" spans="1:2" x14ac:dyDescent="0.3">
      <c r="A6" s="56" t="str">
        <f>'Автоматизированный расчет'!A44</f>
        <v xml:space="preserve">Выбор рейса из найденных </v>
      </c>
      <c r="B6" s="98" t="s">
        <v>85</v>
      </c>
    </row>
    <row r="7" spans="1:2" x14ac:dyDescent="0.3">
      <c r="A7" s="56" t="str">
        <f>'Автоматизированный расчет'!A45</f>
        <v>Оплата билета</v>
      </c>
      <c r="B7" s="98" t="s">
        <v>92</v>
      </c>
    </row>
    <row r="8" spans="1:2" x14ac:dyDescent="0.3">
      <c r="A8" s="56" t="str">
        <f>'Автоматизированный расчет'!A46</f>
        <v>Просмотр квитанций</v>
      </c>
      <c r="B8" s="98" t="s">
        <v>88</v>
      </c>
    </row>
    <row r="9" spans="1:2" x14ac:dyDescent="0.3">
      <c r="A9" s="56" t="str">
        <f>'Автоматизированный расчет'!A47</f>
        <v xml:space="preserve">Отмена бронирования </v>
      </c>
      <c r="B9" s="98" t="s">
        <v>94</v>
      </c>
    </row>
    <row r="10" spans="1:2" x14ac:dyDescent="0.3">
      <c r="A10" s="56" t="str">
        <f>'Автоматизированный расчет'!A48</f>
        <v>Выход из системы</v>
      </c>
      <c r="B10" s="98" t="s">
        <v>25</v>
      </c>
    </row>
    <row r="11" spans="1:2" x14ac:dyDescent="0.3">
      <c r="A11" s="56" t="str">
        <f>'Автоматизированный расчет'!A49</f>
        <v>Перход на страницу регистрации</v>
      </c>
      <c r="B11" s="98" t="s">
        <v>89</v>
      </c>
    </row>
    <row r="12" spans="1:2" x14ac:dyDescent="0.3">
      <c r="A12" s="56" t="str">
        <f>'Автоматизированный расчет'!A50</f>
        <v>Заполнение полей регистарции</v>
      </c>
      <c r="B12" s="98" t="s">
        <v>93</v>
      </c>
    </row>
    <row r="13" spans="1:2" x14ac:dyDescent="0.3">
      <c r="A13" s="56" t="str">
        <f>'Автоматизированный расчет'!A51</f>
        <v>Переход на следуюущий эран после регистарции</v>
      </c>
      <c r="B13" s="98" t="s">
        <v>87</v>
      </c>
    </row>
  </sheetData>
  <hyperlinks>
    <hyperlink ref="B2" display="go_to_welcome_page" xr:uid="{446C9947-1BF5-4094-84FB-399E5BFD0C61}"/>
    <hyperlink ref="B3" display="login" xr:uid="{B25533FD-DA0D-4AA2-9408-18398C47807E}"/>
    <hyperlink ref="B4" display="go_to_flights" xr:uid="{1CB98A68-0694-4B86-B2F8-46051BFE3D99}"/>
    <hyperlink ref="B5" display="input_data_to_find_tickets" xr:uid="{57AEED72-A190-45B8-BE5F-8920D8DB92F5}"/>
    <hyperlink ref="B6" display="choose_ticket" xr:uid="{B9FAE8DA-4BEF-410B-B215-E4D8449144D4}"/>
    <hyperlink ref="B7" display="payment" xr:uid="{6A2AB4E4-BA8D-45A9-A095-3A2AF440C317}"/>
    <hyperlink ref="B8" display="go_to_my_tickets" xr:uid="{F1938F99-25FD-4E7C-98B7-9723C340B61F}"/>
    <hyperlink ref="B9" display="removing_ticket" xr:uid="{6D218E6C-798E-4648-A0B3-97F3AEF696DD}"/>
    <hyperlink ref="B10" display="logout" xr:uid="{86F13578-23EA-4E8C-AC54-C009B45298C6}"/>
    <hyperlink ref="B11" display="go_to_registrating_menu" xr:uid="{48D4699C-383A-443D-BB8F-EE24CF6802B1}"/>
    <hyperlink ref="B12" display="registrating" xr:uid="{0F31A3A6-C8A2-4289-9A42-994986FC2A0F}"/>
    <hyperlink ref="B13" display="go_to_menu" xr:uid="{9B8427A1-5A6E-411A-AD23-F2C8D64827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B24" sqref="B24"/>
    </sheetView>
  </sheetViews>
  <sheetFormatPr defaultRowHeight="14.4" x14ac:dyDescent="0.3"/>
  <cols>
    <col min="1" max="1" width="36.44140625" bestFit="1" customWidth="1"/>
  </cols>
  <sheetData>
    <row r="1" spans="1:10" ht="15" thickBot="1" x14ac:dyDescent="0.35">
      <c r="A1" s="97" t="s">
        <v>27</v>
      </c>
      <c r="B1" s="97" t="s">
        <v>74</v>
      </c>
      <c r="C1" s="97" t="s">
        <v>75</v>
      </c>
      <c r="D1" s="97" t="s">
        <v>76</v>
      </c>
      <c r="E1" s="97" t="s">
        <v>77</v>
      </c>
      <c r="F1" s="97" t="s">
        <v>78</v>
      </c>
      <c r="G1" s="97" t="s">
        <v>79</v>
      </c>
      <c r="H1" s="97" t="s">
        <v>28</v>
      </c>
      <c r="I1" s="97" t="s">
        <v>29</v>
      </c>
      <c r="J1" s="97" t="s">
        <v>30</v>
      </c>
    </row>
    <row r="2" spans="1:10" ht="15" thickBot="1" x14ac:dyDescent="0.35">
      <c r="A2" s="115" t="s">
        <v>82</v>
      </c>
      <c r="B2" s="116" t="s">
        <v>101</v>
      </c>
      <c r="C2" s="116">
        <v>1.9690000000000001</v>
      </c>
      <c r="D2" s="116">
        <v>3.1579999999999999</v>
      </c>
      <c r="E2" s="116">
        <v>5.61</v>
      </c>
      <c r="F2" s="116">
        <v>0.85899999999999999</v>
      </c>
      <c r="G2" s="116">
        <v>4.3040000000000003</v>
      </c>
      <c r="H2" s="116">
        <v>179</v>
      </c>
      <c r="I2" s="116">
        <v>7</v>
      </c>
      <c r="J2" s="116">
        <v>0</v>
      </c>
    </row>
    <row r="3" spans="1:10" ht="15" thickBot="1" x14ac:dyDescent="0.35">
      <c r="A3" s="115" t="s">
        <v>85</v>
      </c>
      <c r="B3" s="116" t="s">
        <v>102</v>
      </c>
      <c r="C3" s="116">
        <v>0.23300000000000001</v>
      </c>
      <c r="D3" s="116">
        <v>0.32200000000000001</v>
      </c>
      <c r="E3" s="116">
        <v>0.83299999999999996</v>
      </c>
      <c r="F3" s="116">
        <v>9.7000000000000003E-2</v>
      </c>
      <c r="G3" s="116">
        <v>0.46100000000000002</v>
      </c>
      <c r="H3" s="116">
        <v>91</v>
      </c>
      <c r="I3" s="116">
        <v>0</v>
      </c>
      <c r="J3" s="116">
        <v>0</v>
      </c>
    </row>
    <row r="4" spans="1:10" ht="15" thickBot="1" x14ac:dyDescent="0.35">
      <c r="A4" s="115" t="s">
        <v>86</v>
      </c>
      <c r="B4" s="116" t="s">
        <v>102</v>
      </c>
      <c r="C4" s="116">
        <v>0.46</v>
      </c>
      <c r="D4" s="116">
        <v>0.82199999999999995</v>
      </c>
      <c r="E4" s="116">
        <v>1.5209999999999999</v>
      </c>
      <c r="F4" s="116">
        <v>0.20499999999999999</v>
      </c>
      <c r="G4" s="116">
        <v>1.0900000000000001</v>
      </c>
      <c r="H4" s="116">
        <v>107</v>
      </c>
      <c r="I4" s="116">
        <v>0</v>
      </c>
      <c r="J4" s="116">
        <v>0</v>
      </c>
    </row>
    <row r="5" spans="1:10" ht="15" thickBot="1" x14ac:dyDescent="0.35">
      <c r="A5" s="115" t="s">
        <v>87</v>
      </c>
      <c r="B5" s="116" t="s">
        <v>102</v>
      </c>
      <c r="C5" s="116">
        <v>0.46600000000000003</v>
      </c>
      <c r="D5" s="116">
        <v>0.55500000000000005</v>
      </c>
      <c r="E5" s="116">
        <v>0.90600000000000003</v>
      </c>
      <c r="F5" s="116">
        <v>0.11</v>
      </c>
      <c r="G5" s="116">
        <v>0.71299999999999997</v>
      </c>
      <c r="H5" s="116">
        <v>31</v>
      </c>
      <c r="I5" s="116">
        <v>0</v>
      </c>
      <c r="J5" s="116">
        <v>0</v>
      </c>
    </row>
    <row r="6" spans="1:10" ht="15" thickBot="1" x14ac:dyDescent="0.35">
      <c r="A6" s="115" t="s">
        <v>88</v>
      </c>
      <c r="B6" s="116" t="s">
        <v>102</v>
      </c>
      <c r="C6" s="116">
        <v>0.46600000000000003</v>
      </c>
      <c r="D6" s="116">
        <v>0.66400000000000003</v>
      </c>
      <c r="E6" s="116">
        <v>1.5449999999999999</v>
      </c>
      <c r="F6" s="116">
        <v>0.21299999999999999</v>
      </c>
      <c r="G6" s="116">
        <v>0.98</v>
      </c>
      <c r="H6" s="116">
        <v>89</v>
      </c>
      <c r="I6" s="116">
        <v>0</v>
      </c>
      <c r="J6" s="116">
        <v>0</v>
      </c>
    </row>
    <row r="7" spans="1:10" ht="15" thickBot="1" x14ac:dyDescent="0.35">
      <c r="A7" s="115" t="s">
        <v>89</v>
      </c>
      <c r="B7" s="116" t="s">
        <v>102</v>
      </c>
      <c r="C7" s="116">
        <v>0.24</v>
      </c>
      <c r="D7" s="116">
        <v>0.28999999999999998</v>
      </c>
      <c r="E7" s="116">
        <v>0.46899999999999997</v>
      </c>
      <c r="F7" s="116">
        <v>6.3E-2</v>
      </c>
      <c r="G7" s="116">
        <v>0.373</v>
      </c>
      <c r="H7" s="116">
        <v>31</v>
      </c>
      <c r="I7" s="116">
        <v>0</v>
      </c>
      <c r="J7" s="116">
        <v>0</v>
      </c>
    </row>
    <row r="8" spans="1:10" ht="15" thickBot="1" x14ac:dyDescent="0.35">
      <c r="A8" s="115" t="s">
        <v>90</v>
      </c>
      <c r="B8" s="116" t="s">
        <v>102</v>
      </c>
      <c r="C8" s="116">
        <v>0.46899999999999997</v>
      </c>
      <c r="D8" s="116">
        <v>0.64600000000000002</v>
      </c>
      <c r="E8" s="116">
        <v>1.3080000000000001</v>
      </c>
      <c r="F8" s="116">
        <v>0.182</v>
      </c>
      <c r="G8" s="116">
        <v>0.89100000000000001</v>
      </c>
      <c r="H8" s="116">
        <v>187</v>
      </c>
      <c r="I8" s="116">
        <v>0</v>
      </c>
      <c r="J8" s="116">
        <v>0</v>
      </c>
    </row>
    <row r="9" spans="1:10" ht="15" thickBot="1" x14ac:dyDescent="0.35">
      <c r="A9" s="115" t="s">
        <v>91</v>
      </c>
      <c r="B9" s="116" t="s">
        <v>102</v>
      </c>
      <c r="C9" s="116">
        <v>0.23599999999999999</v>
      </c>
      <c r="D9" s="116">
        <v>0.34100000000000003</v>
      </c>
      <c r="E9" s="116">
        <v>0.60399999999999998</v>
      </c>
      <c r="F9" s="116">
        <v>0.10100000000000001</v>
      </c>
      <c r="G9" s="116">
        <v>0.53100000000000003</v>
      </c>
      <c r="H9" s="116">
        <v>91</v>
      </c>
      <c r="I9" s="116">
        <v>6</v>
      </c>
      <c r="J9" s="116">
        <v>0</v>
      </c>
    </row>
    <row r="10" spans="1:10" ht="15" thickBot="1" x14ac:dyDescent="0.35">
      <c r="A10" s="115" t="s">
        <v>24</v>
      </c>
      <c r="B10" s="116" t="s">
        <v>102</v>
      </c>
      <c r="C10" s="116">
        <v>0.496</v>
      </c>
      <c r="D10" s="116">
        <v>0.86599999999999999</v>
      </c>
      <c r="E10" s="116">
        <v>2.6019999999999999</v>
      </c>
      <c r="F10" s="116">
        <v>0.34599999999999997</v>
      </c>
      <c r="G10" s="116">
        <v>1.375</v>
      </c>
      <c r="H10" s="116">
        <v>155</v>
      </c>
      <c r="I10" s="116">
        <v>0</v>
      </c>
      <c r="J10" s="116">
        <v>0</v>
      </c>
    </row>
    <row r="11" spans="1:10" ht="15" thickBot="1" x14ac:dyDescent="0.35">
      <c r="A11" s="115" t="s">
        <v>25</v>
      </c>
      <c r="B11" s="116" t="s">
        <v>102</v>
      </c>
      <c r="C11" s="116">
        <v>0.44800000000000001</v>
      </c>
      <c r="D11" s="116">
        <v>0.57399999999999995</v>
      </c>
      <c r="E11" s="116">
        <v>0.92800000000000005</v>
      </c>
      <c r="F11" s="116">
        <v>0.122</v>
      </c>
      <c r="G11" s="116">
        <v>0.78300000000000003</v>
      </c>
      <c r="H11" s="116">
        <v>104</v>
      </c>
      <c r="I11" s="116">
        <v>0</v>
      </c>
      <c r="J11" s="116">
        <v>0</v>
      </c>
    </row>
    <row r="12" spans="1:10" ht="15" thickBot="1" x14ac:dyDescent="0.35">
      <c r="A12" s="115" t="s">
        <v>92</v>
      </c>
      <c r="B12" s="116" t="s">
        <v>102</v>
      </c>
      <c r="C12" s="116">
        <v>0.252</v>
      </c>
      <c r="D12" s="116">
        <v>0.33700000000000002</v>
      </c>
      <c r="E12" s="116">
        <v>0.53700000000000003</v>
      </c>
      <c r="F12" s="116">
        <v>7.0999999999999994E-2</v>
      </c>
      <c r="G12" s="116">
        <v>0.504</v>
      </c>
      <c r="H12" s="116">
        <v>57</v>
      </c>
      <c r="I12" s="116">
        <v>0</v>
      </c>
      <c r="J12" s="116">
        <v>0</v>
      </c>
    </row>
    <row r="13" spans="1:10" ht="15" thickBot="1" x14ac:dyDescent="0.35">
      <c r="A13" s="115" t="s">
        <v>93</v>
      </c>
      <c r="B13" s="116" t="s">
        <v>102</v>
      </c>
      <c r="C13" s="116">
        <v>0.245</v>
      </c>
      <c r="D13" s="116">
        <v>0.27700000000000002</v>
      </c>
      <c r="E13" s="116">
        <v>0.58699999999999997</v>
      </c>
      <c r="F13" s="116">
        <v>7.0000000000000007E-2</v>
      </c>
      <c r="G13" s="116">
        <v>0.29899999999999999</v>
      </c>
      <c r="H13" s="116">
        <v>31</v>
      </c>
      <c r="I13" s="116">
        <v>0</v>
      </c>
      <c r="J13" s="116">
        <v>0</v>
      </c>
    </row>
    <row r="14" spans="1:10" ht="15" thickBot="1" x14ac:dyDescent="0.35">
      <c r="A14" s="115" t="s">
        <v>94</v>
      </c>
      <c r="B14" s="116" t="s">
        <v>102</v>
      </c>
      <c r="C14" s="116">
        <v>0.34699999999999998</v>
      </c>
      <c r="D14" s="116">
        <v>0.45300000000000001</v>
      </c>
      <c r="E14" s="116">
        <v>0.68600000000000005</v>
      </c>
      <c r="F14" s="116">
        <v>8.6999999999999994E-2</v>
      </c>
      <c r="G14" s="116">
        <v>0.57599999999999996</v>
      </c>
      <c r="H14" s="116">
        <v>22</v>
      </c>
      <c r="I14" s="116">
        <v>1</v>
      </c>
      <c r="J14" s="116">
        <v>0</v>
      </c>
    </row>
    <row r="15" spans="1:10" ht="15" thickBot="1" x14ac:dyDescent="0.35">
      <c r="A15" s="115" t="s">
        <v>95</v>
      </c>
      <c r="B15" s="116" t="s">
        <v>101</v>
      </c>
      <c r="C15" s="116">
        <v>1.9690000000000001</v>
      </c>
      <c r="D15" s="116">
        <v>2.3340000000000001</v>
      </c>
      <c r="E15" s="116">
        <v>3.45</v>
      </c>
      <c r="F15" s="116">
        <v>0.312</v>
      </c>
      <c r="G15" s="116">
        <v>2.617</v>
      </c>
      <c r="H15" s="116">
        <v>31</v>
      </c>
      <c r="I15" s="116">
        <v>0</v>
      </c>
      <c r="J15" s="116">
        <v>0</v>
      </c>
    </row>
    <row r="16" spans="1:10" ht="15" thickBot="1" x14ac:dyDescent="0.35">
      <c r="A16" s="115" t="s">
        <v>96</v>
      </c>
      <c r="B16" s="116" t="s">
        <v>101</v>
      </c>
      <c r="C16" s="116">
        <v>1.994</v>
      </c>
      <c r="D16" s="116">
        <v>2.552</v>
      </c>
      <c r="E16" s="116">
        <v>3.798</v>
      </c>
      <c r="F16" s="116">
        <v>0.48599999999999999</v>
      </c>
      <c r="G16" s="116">
        <v>3.3660000000000001</v>
      </c>
      <c r="H16" s="116">
        <v>25</v>
      </c>
      <c r="I16" s="116">
        <v>0</v>
      </c>
      <c r="J16" s="116">
        <v>0</v>
      </c>
    </row>
    <row r="17" spans="1:10" ht="15" thickBot="1" x14ac:dyDescent="0.35">
      <c r="A17" s="115" t="s">
        <v>97</v>
      </c>
      <c r="B17" s="116" t="s">
        <v>101</v>
      </c>
      <c r="C17" s="116">
        <v>2.3759999999999999</v>
      </c>
      <c r="D17" s="116">
        <v>2.8730000000000002</v>
      </c>
      <c r="E17" s="116">
        <v>4.5129999999999999</v>
      </c>
      <c r="F17" s="116">
        <v>0.45900000000000002</v>
      </c>
      <c r="G17" s="116">
        <v>3.222</v>
      </c>
      <c r="H17" s="116">
        <v>22</v>
      </c>
      <c r="I17" s="116">
        <v>1</v>
      </c>
      <c r="J17" s="116">
        <v>0</v>
      </c>
    </row>
    <row r="18" spans="1:10" ht="15" thickBot="1" x14ac:dyDescent="0.35">
      <c r="A18" s="115" t="s">
        <v>98</v>
      </c>
      <c r="B18" s="116" t="s">
        <v>101</v>
      </c>
      <c r="C18" s="116">
        <v>2.3380000000000001</v>
      </c>
      <c r="D18" s="116">
        <v>3.0390000000000001</v>
      </c>
      <c r="E18" s="116">
        <v>4.7709999999999999</v>
      </c>
      <c r="F18" s="116">
        <v>0.57099999999999995</v>
      </c>
      <c r="G18" s="116">
        <v>3.6869999999999998</v>
      </c>
      <c r="H18" s="116">
        <v>34</v>
      </c>
      <c r="I18" s="116">
        <v>6</v>
      </c>
      <c r="J18" s="116">
        <v>0</v>
      </c>
    </row>
    <row r="19" spans="1:10" ht="15" thickBot="1" x14ac:dyDescent="0.35">
      <c r="A19" s="115" t="s">
        <v>99</v>
      </c>
      <c r="B19" s="116" t="s">
        <v>101</v>
      </c>
      <c r="C19" s="116">
        <v>3.012</v>
      </c>
      <c r="D19" s="116">
        <v>4.1189999999999998</v>
      </c>
      <c r="E19" s="116">
        <v>5.61</v>
      </c>
      <c r="F19" s="116">
        <v>0.51400000000000001</v>
      </c>
      <c r="G19" s="116">
        <v>4.8689999999999998</v>
      </c>
      <c r="H19" s="116">
        <v>57</v>
      </c>
      <c r="I19" s="116">
        <v>0</v>
      </c>
      <c r="J19" s="116">
        <v>0</v>
      </c>
    </row>
    <row r="20" spans="1:10" ht="15" thickBot="1" x14ac:dyDescent="0.35">
      <c r="A20" s="115" t="s">
        <v>103</v>
      </c>
      <c r="B20" s="116" t="s">
        <v>101</v>
      </c>
      <c r="C20" s="116">
        <v>2.0299999999999998</v>
      </c>
      <c r="D20" s="116">
        <v>2.778</v>
      </c>
      <c r="E20" s="116">
        <v>4.8390000000000004</v>
      </c>
      <c r="F20" s="116">
        <v>0.76400000000000001</v>
      </c>
      <c r="G20" s="116">
        <v>3.1019999999999999</v>
      </c>
      <c r="H20" s="116">
        <v>10</v>
      </c>
      <c r="I20" s="116">
        <v>0</v>
      </c>
      <c r="J20" s="116">
        <v>0</v>
      </c>
    </row>
    <row r="21" spans="1:10" x14ac:dyDescent="0.3">
      <c r="A21" s="115" t="s">
        <v>100</v>
      </c>
      <c r="B21" s="116" t="s">
        <v>102</v>
      </c>
      <c r="C21" s="116">
        <v>1E-3</v>
      </c>
      <c r="D21" s="116">
        <v>3.0000000000000001E-3</v>
      </c>
      <c r="E21" s="116">
        <v>1.6E-2</v>
      </c>
      <c r="F21" s="116">
        <v>5.0000000000000001E-3</v>
      </c>
      <c r="G21" s="116">
        <v>1.6E-2</v>
      </c>
      <c r="H21" s="116">
        <v>9</v>
      </c>
      <c r="I21" s="116">
        <v>0</v>
      </c>
      <c r="J21" s="116">
        <v>0</v>
      </c>
    </row>
    <row r="22" spans="1:10" x14ac:dyDescent="0.3">
      <c r="A22" s="117"/>
    </row>
  </sheetData>
  <hyperlinks>
    <hyperlink ref="A2" xr:uid="{BF5F7FC7-A479-46F9-ACD3-72737B3FF748}"/>
    <hyperlink ref="A3" xr:uid="{026E7AB1-FCEE-46D0-BF91-CC2D03D25AB9}"/>
    <hyperlink ref="A4" xr:uid="{805757A6-C5DE-47B8-B14E-E214A0C68BD4}"/>
    <hyperlink ref="A5" xr:uid="{414C6188-186F-4F07-8055-469348538AA7}"/>
    <hyperlink ref="A6" xr:uid="{99036039-C5C9-4B4E-9C5A-8F60229B3AC4}"/>
    <hyperlink ref="A7" xr:uid="{687C548C-0DCA-4E34-B4B8-8757A0196829}"/>
    <hyperlink ref="A8" xr:uid="{8CAD1642-7A0E-41E4-9EBE-69B43ED36167}"/>
    <hyperlink ref="A9" xr:uid="{176531E2-33A6-4C27-A2AC-1C4D1F1ACE83}"/>
    <hyperlink ref="A10" xr:uid="{F30AE43E-4C33-4C32-B4FB-90082A4B6D48}"/>
    <hyperlink ref="A11" xr:uid="{82D3AC57-A4D0-4183-8B2F-7B9266C6BA5A}"/>
    <hyperlink ref="A12" xr:uid="{DA1D90D3-E61F-4BD1-BFA6-97D02AA8E6EA}"/>
    <hyperlink ref="A13" xr:uid="{661BE65C-37B6-4FB5-981A-8A839105C98A}"/>
    <hyperlink ref="A14" xr:uid="{311B304F-83D2-421E-B6FF-B3171FC96273}"/>
    <hyperlink ref="A15" xr:uid="{FA4323CF-AABF-4744-BB67-8C21A9D9B79F}"/>
    <hyperlink ref="A16" xr:uid="{3BDFC910-CC72-4647-A259-D2E68D9133E1}"/>
    <hyperlink ref="A17" xr:uid="{44624376-BC5B-437A-8B82-9A2C70E3E329}"/>
    <hyperlink ref="A18" xr:uid="{DD872862-541F-4476-9D6A-23C85F4160C5}"/>
    <hyperlink ref="A19" xr:uid="{99B2DA88-2ADD-4D39-97BA-B622982E1FAD}"/>
    <hyperlink ref="A20" xr:uid="{E71F4B8B-9DEF-4255-A071-65121D44E2E2}"/>
    <hyperlink ref="A21" xr:uid="{AC94B147-5636-4A18-8F92-BB5D2739E571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9:O44"/>
  <sheetViews>
    <sheetView topLeftCell="A13" workbookViewId="0">
      <selection activeCell="J46" sqref="J46"/>
    </sheetView>
  </sheetViews>
  <sheetFormatPr defaultColWidth="8.88671875" defaultRowHeight="14.4" x14ac:dyDescent="0.3"/>
  <cols>
    <col min="2" max="2" width="4.44140625" customWidth="1"/>
    <col min="3" max="4" width="9.109375" hidden="1" customWidth="1"/>
    <col min="5" max="5" width="20.44140625" customWidth="1"/>
    <col min="6" max="6" width="18.88671875" customWidth="1"/>
    <col min="7" max="7" width="15.33203125" customWidth="1"/>
    <col min="8" max="8" width="15.109375" customWidth="1"/>
    <col min="9" max="9" width="14" customWidth="1"/>
    <col min="11" max="11" width="1.44140625" customWidth="1"/>
    <col min="12" max="12" width="40.33203125" customWidth="1"/>
    <col min="13" max="13" width="6" bestFit="1" customWidth="1"/>
    <col min="14" max="14" width="4.109375" bestFit="1" customWidth="1"/>
    <col min="15" max="15" width="5" bestFit="1" customWidth="1"/>
    <col min="16" max="16" width="14.109375" bestFit="1" customWidth="1"/>
    <col min="17" max="17" width="19.44140625" bestFit="1" customWidth="1"/>
  </cols>
  <sheetData>
    <row r="9" spans="5:9" x14ac:dyDescent="0.3">
      <c r="E9" s="103" t="s">
        <v>33</v>
      </c>
      <c r="F9" s="103"/>
      <c r="G9" s="103"/>
      <c r="H9" s="103"/>
      <c r="I9" s="103"/>
    </row>
    <row r="11" spans="5:9" ht="27.6" x14ac:dyDescent="0.3"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</row>
    <row r="12" spans="5:9" ht="15.6" x14ac:dyDescent="0.3">
      <c r="E12" s="2" t="s">
        <v>0</v>
      </c>
      <c r="F12" s="3" t="s">
        <v>24</v>
      </c>
      <c r="G12" s="4">
        <v>368</v>
      </c>
      <c r="H12" s="3">
        <f>121*3</f>
        <v>363</v>
      </c>
      <c r="I12" s="5">
        <f>1-G12/H12</f>
        <v>-1.377410468319562E-2</v>
      </c>
    </row>
    <row r="13" spans="5:9" ht="31.2" x14ac:dyDescent="0.3">
      <c r="E13" s="2" t="s">
        <v>1</v>
      </c>
      <c r="F13" s="3" t="s">
        <v>23</v>
      </c>
      <c r="G13" s="4">
        <v>251</v>
      </c>
      <c r="H13" s="3">
        <f>82*3</f>
        <v>246</v>
      </c>
      <c r="I13" s="5">
        <f t="shared" ref="I13:I18" si="0">1-G13/H13</f>
        <v>-2.0325203252032464E-2</v>
      </c>
    </row>
    <row r="14" spans="5:9" ht="31.2" x14ac:dyDescent="0.3">
      <c r="E14" s="2" t="s">
        <v>2</v>
      </c>
      <c r="F14" s="3" t="s">
        <v>26</v>
      </c>
      <c r="G14" s="4">
        <v>251</v>
      </c>
      <c r="H14" s="3">
        <f>82*3</f>
        <v>246</v>
      </c>
      <c r="I14" s="5">
        <f t="shared" si="0"/>
        <v>-2.0325203252032464E-2</v>
      </c>
    </row>
    <row r="15" spans="5:9" ht="15.6" x14ac:dyDescent="0.3">
      <c r="E15" s="2" t="s">
        <v>3</v>
      </c>
      <c r="F15" s="3" t="s">
        <v>19</v>
      </c>
      <c r="G15" s="4">
        <v>175</v>
      </c>
      <c r="H15" s="3">
        <f>56*3</f>
        <v>168</v>
      </c>
      <c r="I15" s="6">
        <f t="shared" si="0"/>
        <v>-4.1666666666666741E-2</v>
      </c>
    </row>
    <row r="16" spans="5:9" ht="31.2" x14ac:dyDescent="0.3">
      <c r="E16" s="2" t="s">
        <v>20</v>
      </c>
      <c r="F16" s="3" t="s">
        <v>22</v>
      </c>
      <c r="G16" s="4">
        <v>159</v>
      </c>
      <c r="H16" s="4">
        <f>56*3</f>
        <v>168</v>
      </c>
      <c r="I16" s="5">
        <f t="shared" si="0"/>
        <v>5.3571428571428603E-2</v>
      </c>
    </row>
    <row r="17" spans="5:9" ht="46.8" x14ac:dyDescent="0.3">
      <c r="E17" s="2" t="s">
        <v>5</v>
      </c>
      <c r="F17" s="3" t="s">
        <v>21</v>
      </c>
      <c r="G17" s="4">
        <v>73</v>
      </c>
      <c r="H17" s="3">
        <f>25*3</f>
        <v>75</v>
      </c>
      <c r="I17" s="5">
        <f t="shared" si="0"/>
        <v>2.6666666666666616E-2</v>
      </c>
    </row>
    <row r="18" spans="5:9" ht="15.6" x14ac:dyDescent="0.3">
      <c r="E18" s="2" t="s">
        <v>6</v>
      </c>
      <c r="F18" s="3" t="s">
        <v>25</v>
      </c>
      <c r="G18" s="4">
        <v>326</v>
      </c>
      <c r="H18" s="3">
        <f>104*3</f>
        <v>312</v>
      </c>
      <c r="I18" s="5">
        <f t="shared" si="0"/>
        <v>-4.4871794871794934E-2</v>
      </c>
    </row>
    <row r="23" spans="5:9" x14ac:dyDescent="0.3">
      <c r="E23" s="103" t="s">
        <v>31</v>
      </c>
      <c r="F23" s="103"/>
      <c r="G23" s="103"/>
      <c r="H23" s="103"/>
      <c r="I23" s="103"/>
    </row>
    <row r="25" spans="5:9" x14ac:dyDescent="0.3">
      <c r="E25" s="8" t="s">
        <v>14</v>
      </c>
      <c r="F25" s="8" t="s">
        <v>15</v>
      </c>
      <c r="G25" s="8" t="s">
        <v>16</v>
      </c>
      <c r="H25" s="8" t="s">
        <v>17</v>
      </c>
      <c r="I25" s="8" t="s">
        <v>18</v>
      </c>
    </row>
    <row r="26" spans="5:9" ht="15.6" x14ac:dyDescent="0.3">
      <c r="E26" s="13" t="s">
        <v>0</v>
      </c>
      <c r="F26" s="12" t="s">
        <v>24</v>
      </c>
      <c r="G26" s="10">
        <f>5*368</f>
        <v>1840</v>
      </c>
      <c r="H26" s="9">
        <f>721*3</f>
        <v>2163</v>
      </c>
      <c r="I26" s="11">
        <f>1-G26/H26</f>
        <v>0.14932963476652794</v>
      </c>
    </row>
    <row r="27" spans="5:9" ht="15.6" x14ac:dyDescent="0.3">
      <c r="E27" s="13" t="s">
        <v>1</v>
      </c>
      <c r="F27" s="12" t="s">
        <v>23</v>
      </c>
      <c r="G27" s="10">
        <f>5*251</f>
        <v>1255</v>
      </c>
      <c r="H27" s="9">
        <f>3*464</f>
        <v>1392</v>
      </c>
      <c r="I27" s="11">
        <f t="shared" ref="I27:I32" si="1">1-G27/H27</f>
        <v>9.8419540229885083E-2</v>
      </c>
    </row>
    <row r="28" spans="5:9" ht="15.6" x14ac:dyDescent="0.3">
      <c r="E28" s="13" t="s">
        <v>2</v>
      </c>
      <c r="F28" s="12" t="s">
        <v>26</v>
      </c>
      <c r="G28" s="10">
        <f>5*251</f>
        <v>1255</v>
      </c>
      <c r="H28" s="9">
        <f>3*462</f>
        <v>1386</v>
      </c>
      <c r="I28" s="11">
        <f t="shared" si="1"/>
        <v>9.4516594516594554E-2</v>
      </c>
    </row>
    <row r="29" spans="5:9" ht="15.6" x14ac:dyDescent="0.3">
      <c r="E29" s="13" t="s">
        <v>3</v>
      </c>
      <c r="F29" s="12" t="s">
        <v>19</v>
      </c>
      <c r="G29" s="10">
        <f>5*175</f>
        <v>875</v>
      </c>
      <c r="H29" s="9">
        <f>3*314</f>
        <v>942</v>
      </c>
      <c r="I29" s="7">
        <f t="shared" si="1"/>
        <v>7.1125265392781301E-2</v>
      </c>
    </row>
    <row r="30" spans="5:9" ht="15.6" x14ac:dyDescent="0.3">
      <c r="E30" s="13" t="s">
        <v>20</v>
      </c>
      <c r="F30" s="12" t="s">
        <v>22</v>
      </c>
      <c r="G30" s="10">
        <f>5*159</f>
        <v>795</v>
      </c>
      <c r="H30" s="9">
        <f>3*330</f>
        <v>990</v>
      </c>
      <c r="I30" s="11">
        <f t="shared" si="1"/>
        <v>0.19696969696969702</v>
      </c>
    </row>
    <row r="31" spans="5:9" ht="15.6" x14ac:dyDescent="0.3">
      <c r="E31" s="13" t="s">
        <v>5</v>
      </c>
      <c r="F31" s="12" t="s">
        <v>21</v>
      </c>
      <c r="G31" s="10">
        <f>5*73</f>
        <v>365</v>
      </c>
      <c r="H31" s="9">
        <f>3*141</f>
        <v>423</v>
      </c>
      <c r="I31" s="11">
        <f t="shared" si="1"/>
        <v>0.13711583924349879</v>
      </c>
    </row>
    <row r="32" spans="5:9" ht="15.6" x14ac:dyDescent="0.3">
      <c r="E32" s="13" t="s">
        <v>6</v>
      </c>
      <c r="F32" s="12" t="s">
        <v>25</v>
      </c>
      <c r="G32" s="10">
        <f>5*326</f>
        <v>1630</v>
      </c>
      <c r="H32" s="9">
        <f>3*599</f>
        <v>1797</v>
      </c>
      <c r="I32" s="11">
        <f t="shared" si="1"/>
        <v>9.2932665553700611E-2</v>
      </c>
    </row>
    <row r="35" spans="5:15" x14ac:dyDescent="0.3">
      <c r="E35" s="103" t="s">
        <v>32</v>
      </c>
      <c r="F35" s="103"/>
      <c r="G35" s="103"/>
      <c r="H35" s="103"/>
      <c r="I35" s="103"/>
    </row>
    <row r="37" spans="5:15" x14ac:dyDescent="0.3">
      <c r="E37" s="8" t="s">
        <v>14</v>
      </c>
      <c r="F37" s="8" t="s">
        <v>15</v>
      </c>
      <c r="G37" s="8" t="s">
        <v>16</v>
      </c>
      <c r="H37" s="8" t="s">
        <v>17</v>
      </c>
      <c r="I37" s="8" t="s">
        <v>18</v>
      </c>
      <c r="L37" s="14" t="s">
        <v>27</v>
      </c>
      <c r="M37" s="14" t="s">
        <v>28</v>
      </c>
      <c r="N37" s="14" t="s">
        <v>29</v>
      </c>
      <c r="O37" s="14" t="s">
        <v>30</v>
      </c>
    </row>
    <row r="38" spans="5:15" ht="15.6" x14ac:dyDescent="0.3">
      <c r="E38" s="13" t="s">
        <v>0</v>
      </c>
      <c r="F38" s="12" t="s">
        <v>24</v>
      </c>
      <c r="G38" s="10">
        <f>5*368</f>
        <v>1840</v>
      </c>
      <c r="H38" s="9">
        <v>2109</v>
      </c>
      <c r="I38" s="11">
        <f>1-G38/H38</f>
        <v>0.12754860123281175</v>
      </c>
      <c r="L38" s="14" t="s">
        <v>21</v>
      </c>
      <c r="M38" s="14">
        <v>377</v>
      </c>
      <c r="N38" s="14">
        <v>27</v>
      </c>
      <c r="O38" s="14">
        <v>0</v>
      </c>
    </row>
    <row r="39" spans="5:15" ht="15.6" x14ac:dyDescent="0.3">
      <c r="E39" s="13" t="s">
        <v>1</v>
      </c>
      <c r="F39" s="12" t="s">
        <v>23</v>
      </c>
      <c r="G39" s="10">
        <f>5*251</f>
        <v>1255</v>
      </c>
      <c r="H39" s="14">
        <v>1315</v>
      </c>
      <c r="I39" s="11">
        <f t="shared" ref="I39:I44" si="2">1-G39/H39</f>
        <v>4.5627376425855459E-2</v>
      </c>
      <c r="L39" s="14" t="s">
        <v>22</v>
      </c>
      <c r="M39" s="14">
        <v>998</v>
      </c>
      <c r="N39" s="14">
        <v>1</v>
      </c>
      <c r="O39" s="14">
        <v>0</v>
      </c>
    </row>
    <row r="40" spans="5:15" ht="15.6" x14ac:dyDescent="0.3">
      <c r="E40" s="13" t="s">
        <v>2</v>
      </c>
      <c r="F40" s="12" t="s">
        <v>26</v>
      </c>
      <c r="G40" s="10">
        <f>5*251</f>
        <v>1255</v>
      </c>
      <c r="H40" s="9">
        <v>1315</v>
      </c>
      <c r="I40" s="11">
        <f t="shared" si="2"/>
        <v>4.5627376425855459E-2</v>
      </c>
      <c r="L40" s="14" t="s">
        <v>23</v>
      </c>
      <c r="M40" s="14" t="s">
        <v>34</v>
      </c>
      <c r="N40" s="14">
        <v>0</v>
      </c>
      <c r="O40" s="14">
        <v>0</v>
      </c>
    </row>
    <row r="41" spans="5:15" ht="15.6" x14ac:dyDescent="0.3">
      <c r="E41" s="13" t="s">
        <v>3</v>
      </c>
      <c r="F41" s="12" t="s">
        <v>19</v>
      </c>
      <c r="G41" s="10">
        <f>5*175</f>
        <v>875</v>
      </c>
      <c r="H41" s="14">
        <v>924</v>
      </c>
      <c r="I41" s="7">
        <f t="shared" si="2"/>
        <v>5.3030303030302983E-2</v>
      </c>
      <c r="L41" s="14" t="s">
        <v>24</v>
      </c>
      <c r="M41" s="14" t="s">
        <v>35</v>
      </c>
      <c r="N41" s="14">
        <v>139</v>
      </c>
      <c r="O41" s="14">
        <v>0</v>
      </c>
    </row>
    <row r="42" spans="5:15" ht="15.6" x14ac:dyDescent="0.3">
      <c r="E42" s="13" t="s">
        <v>20</v>
      </c>
      <c r="F42" s="12" t="s">
        <v>22</v>
      </c>
      <c r="G42" s="10">
        <f>5*159</f>
        <v>795</v>
      </c>
      <c r="H42" s="14">
        <v>998</v>
      </c>
      <c r="I42" s="11">
        <f t="shared" si="2"/>
        <v>0.20340681362725455</v>
      </c>
      <c r="L42" s="14" t="s">
        <v>25</v>
      </c>
      <c r="M42" s="14" t="s">
        <v>36</v>
      </c>
      <c r="N42" s="14">
        <v>1</v>
      </c>
      <c r="O42" s="14">
        <v>0</v>
      </c>
    </row>
    <row r="43" spans="5:15" ht="15.6" x14ac:dyDescent="0.3">
      <c r="E43" s="13" t="s">
        <v>5</v>
      </c>
      <c r="F43" s="12" t="s">
        <v>21</v>
      </c>
      <c r="G43" s="10">
        <f>5*73</f>
        <v>365</v>
      </c>
      <c r="H43" s="14">
        <v>404</v>
      </c>
      <c r="I43" s="11">
        <f t="shared" si="2"/>
        <v>9.6534653465346509E-2</v>
      </c>
      <c r="L43" s="14" t="s">
        <v>19</v>
      </c>
      <c r="M43" s="14">
        <v>924</v>
      </c>
      <c r="N43" s="14">
        <v>0</v>
      </c>
      <c r="O43" s="14">
        <v>0</v>
      </c>
    </row>
    <row r="44" spans="5:15" ht="15.6" x14ac:dyDescent="0.3">
      <c r="E44" s="13" t="s">
        <v>6</v>
      </c>
      <c r="F44" s="12" t="s">
        <v>25</v>
      </c>
      <c r="G44" s="10">
        <f>5*326</f>
        <v>1630</v>
      </c>
      <c r="H44" s="9">
        <v>1675</v>
      </c>
      <c r="I44" s="11">
        <f t="shared" si="2"/>
        <v>2.68656716417911E-2</v>
      </c>
      <c r="L44" s="14" t="s">
        <v>26</v>
      </c>
      <c r="M44" s="14" t="s">
        <v>34</v>
      </c>
      <c r="N44" s="14">
        <v>0</v>
      </c>
      <c r="O44" s="1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Соответствие</vt:lpstr>
      <vt:lpstr>SummaryReport</vt:lpstr>
      <vt:lpstr>Результаты всех тестов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Егор Дементьев</cp:lastModifiedBy>
  <dcterms:created xsi:type="dcterms:W3CDTF">2015-06-05T18:19:34Z</dcterms:created>
  <dcterms:modified xsi:type="dcterms:W3CDTF">2024-02-08T07:27:00Z</dcterms:modified>
</cp:coreProperties>
</file>