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Parts" sheetId="2" r:id="rId4"/>
    <sheet state="visible" name="SMR 1.0.1" sheetId="3" r:id="rId5"/>
    <sheet state="visible" name="Blinds v6.0b" sheetId="4" r:id="rId6"/>
    <sheet state="visible" name="Braids v5.1" sheetId="5" r:id="rId7"/>
    <sheet state="visible" name="Branches v4.0" sheetId="6" r:id="rId8"/>
    <sheet state="visible" name="Clouds v3.0" sheetId="7" r:id="rId9"/>
    <sheet state="visible" name="Edges v2.0" sheetId="8" r:id="rId10"/>
    <sheet state="visible" name="Elements v0.21" sheetId="9" r:id="rId11"/>
    <sheet state="visible" name="Frames v0.3" sheetId="10" r:id="rId12"/>
    <sheet state="visible" name="Grids v0.2" sheetId="11" r:id="rId13"/>
    <sheet state="visible" name="Kinks v4.1" sheetId="12" r:id="rId14"/>
    <sheet state="visible" name="Links v4" sheetId="13" r:id="rId15"/>
    <sheet state="visible" name="Peaks v3.1" sheetId="14" r:id="rId16"/>
    <sheet state="visible" name="Rings v3.0" sheetId="15" r:id="rId17"/>
    <sheet state="visible" name="Ripples v4.0" sheetId="16" r:id="rId18"/>
    <sheet state="visible" name="Shades v3.1" sheetId="17" r:id="rId19"/>
    <sheet state="visible" name="Shelves v0.5" sheetId="18" r:id="rId20"/>
    <sheet state="visible" name="shelves_expander_v10" sheetId="19" r:id="rId21"/>
    <sheet state="visible" name="Streams v0.5" sheetId="20" r:id="rId22"/>
    <sheet state="visible" name="Streams Bargraph v0.2" sheetId="21" r:id="rId23"/>
    <sheet state="visible" name="Tides v4.0" sheetId="22" r:id="rId24"/>
    <sheet state="visible" name="Warps v3.0" sheetId="23" r:id="rId25"/>
    <sheet state="visible" name="Veils v4.0a" sheetId="24" r:id="rId26"/>
    <sheet state="visible" name="Yarns v0.3" sheetId="25" r:id="rId27"/>
    <sheet state="visible" name="VCADSR v1" sheetId="26" r:id="rId28"/>
    <sheet state="visible" name="A.909 SMR" sheetId="27" r:id="rId29"/>
    <sheet state="visible" name="o_C" sheetId="28" r:id="rId30"/>
    <sheet state="visible" name="Parts1" sheetId="29" r:id="rId3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Via Facebook group post (https://www.facebook.com/groups/1677419455833872/permalink/1677856322456852/)</t>
      </text>
    </comment>
    <comment authorId="0" ref="E3">
      <text>
        <t xml:space="preserve">The same Mouser project, only the resistors are the Yageo brand which has the value printed on the part.</t>
      </text>
    </comment>
    <comment authorId="0" ref="E4">
      <text>
        <t xml:space="preserve">This BOM project uses 1% resistors in place of the 0.1% parts - please buy extra and hand-match parts as required.</t>
      </text>
    </comment>
    <comment authorId="0" ref="D20">
      <text>
        <t xml:space="preserve">This BOM project has missing parts. I would suggest that Sascha's "Yageo" BOM is used instead.</t>
      </text>
    </comment>
    <comment authorId="0" ref="B22">
      <text>
        <t xml:space="preserve">Szabó Máté has converted this module to 0603 - Eagle files and Gerbers are available at http://doboz.audio/archive/
Note that the module name has been changed to "4xVCA"</t>
      </text>
    </comment>
    <comment authorId="0" ref="D22">
      <text>
        <t xml:space="preserve">0402 parts swapped for 0603 parts by Szabó Máté - choose your PCB appropriately.</t>
      </text>
    </comment>
    <comment authorId="0" ref="D24">
      <text>
        <t xml:space="preserve">The Yarns cart only has the Yageo resistors.</t>
      </text>
    </comment>
    <comment authorId="0" ref="O26">
      <text>
        <t xml:space="preserve">Description is "STM32F429ZI" but Value is "STM32F427ZG"; schematic says "STM32F42xZ"</t>
      </text>
    </comment>
    <comment authorId="0" ref="B39">
      <text>
        <t xml:space="preserve">https://www.facebook.com/groups/1716364098644678/permalink/1770378589909895/?comment_id=1770695323211555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"The only issue is the 47 uF parts are the wrong size" - this is the corrected part number, as suggested by Altitude909 in https://www.muffwiggler.com/forum/viewtopic.php?p=2204420#2204420</t>
      </text>
    </comment>
    <comment authorId="0" ref="E19">
      <text>
        <t xml:space="preserve">"49k" is not a standard 1% value - nearest values are 48.7k and 49.9k</t>
      </text>
    </comment>
    <comment authorId="0" ref="G19">
      <text>
        <t xml:space="preserve">"49k" is not a standard 1% value - part no. is for 49.9k</t>
      </text>
    </comment>
    <comment authorId="0" ref="G33">
      <text>
        <t xml:space="preserve">"Equivalent" part from Kingbright - note green &amp; blue pins are swapped. Dave Hamara has uploaded firmware to work around this: see SMR_Mouser_LED_main.hex in the Pusherman FB group files section.
</t>
      </text>
    </comment>
    <comment authorId="0" ref="H33">
      <text>
        <t xml:space="preserve">As suggested by Dave Hamara on FB https://www.facebook.com/groups/1677419455833872/permalink/1789411761301307/ - apparently the others (i.e. the Mouser part) have the wrong pinout.</t>
      </text>
    </comment>
    <comment authorId="0" ref="I33">
      <text>
        <t xml:space="preserve">Hebei not available from Mouser - see http://www.alibaba.com/showroom/plcc4rgbct--ca.html</t>
      </text>
    </comment>
    <comment authorId="0" ref="G37">
      <text>
        <t xml:space="preserve">Was PEC12R-4220F-S0024, ref. Dave Hamara's FB post https://www.facebook.com/groups/1677419455833872/permalink/1789411761301307/</t>
      </text>
    </comment>
    <comment authorId="0" ref="C38">
      <text>
        <t xml:space="preserve">Description is "STM32F429ZI" but Value is "STM32F427ZG"; schematic says "STM32F42xZ"</t>
      </text>
    </comment>
    <comment authorId="0" ref="E38">
      <text>
        <t xml:space="preserve">Description is "STM32F429ZI" but Value is "STM32F427ZG"; schematic says "STM32F42xZ"</t>
      </text>
    </comment>
    <comment authorId="0" ref="C39">
      <text>
        <t xml:space="preserve">Description is "OPAMP-2TL072T" but Value is "TL082"; schematic says "TL082"</t>
      </text>
    </comment>
    <comment authorId="0" ref="E39">
      <text>
        <t xml:space="preserve">Description is "OPAMP-2TL072T" but Value is "TL082"; schematic says "TL082"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6">
      <text>
        <t xml:space="preserve">"Texas Instruments CD74HC595M"</t>
      </text>
    </comment>
    <comment authorId="0" ref="C31">
      <text>
        <t xml:space="preserve">"MCP6004 dual op-amp R2R IO"</t>
      </text>
    </comment>
    <comment authorId="0" ref="G45">
      <text>
        <t xml:space="preserve">"649-67996-416HLF"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3">
      <text>
        <t xml:space="preserve">"MCP6004 dual op-amp R2R IO"</t>
      </text>
    </comment>
    <comment authorId="0" ref="G48">
      <text>
        <t xml:space="preserve">Via Jonachi in "THC (Through Hole Clouds)" https://www.muffwiggler.com/forum/viewtopic.php?p=2167397#2167397</t>
      </text>
    </comment>
    <comment authorId="0" ref="A50">
      <text>
        <t xml:space="preserve">"SW2, SW3"</t>
      </text>
    </comment>
    <comment authorId="0" ref="C50">
      <text>
        <t xml:space="preserve">"Cap for switch"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6">
      <text>
        <t xml:space="preserve">"LED 3mm, green"</t>
      </text>
    </comment>
    <comment authorId="0" ref="C43">
      <text>
        <t xml:space="preserve">"Cap for switch"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9">
      <text>
        <t xml:space="preserve">"MCP6004 dual op-amp R2R IO"</t>
      </text>
    </comment>
    <comment authorId="0" ref="G33">
      <text>
        <t xml:space="preserve">Was "926-LME49720MA/NOPB" but Mouser is currently out of stock; the ...MAX is a direct substitute.</t>
      </text>
    </comment>
    <comment authorId="0" ref="G44">
      <text>
        <t xml:space="preserve">Via Jonachi in "THC (Through Hole Clouds)" https://www.muffwiggler.com/forum/viewtopic.php?p=2167397#2167397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">
      <text>
        <t xml:space="preserve">type here
Was "6", thanks Mangu Diaz (https://www.facebook.com/groups/1677419455833872/permalink/1696741627234988/?comment_id=1698948643680953) </t>
      </text>
    </comment>
    <comment authorId="0" ref="C39">
      <text>
        <t xml:space="preserve">"LED 3mm, green"</t>
      </text>
    </comment>
    <comment authorId="0" ref="H39">
      <text>
        <t xml:space="preserve">"Kingbright WP710A10GD"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"Texas Instruments CD74HC595M"</t>
      </text>
    </comment>
    <comment authorId="0" ref="G27">
      <text>
        <t xml:space="preserve">Via Jonachi in "THC (Through Hole Clouds)" https://www.muffwiggler.com/forum/viewtopic.php?p=2167397#2167397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8">
      <text>
        <t xml:space="preserve">Was 81-GRM21BR61E226ME4L, substituted by Sascha Haber.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5">
      <text>
        <t xml:space="preserve">Via Jonachi in "THC (Through Hole Clouds)" https://www.muffwiggler.com/forum/viewtopic.php?p=2167397#2167397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0">
      <text>
        <t xml:space="preserve">"SW1, SW2"</t>
      </text>
    </comment>
    <comment authorId="0" ref="C50">
      <text>
        <t xml:space="preserve">"Cap for switch"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Was "926-LME49720MA/NOPB" but Mouser is currently out of stock; the ...MAX is a direct substitute.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"C24, C28"</t>
      </text>
    </comment>
    <comment authorId="0" ref="B25">
      <text>
        <t xml:space="preserve">Was "4"</t>
      </text>
    </comment>
    <comment authorId="0" ref="A26">
      <text>
        <t xml:space="preserve">"C2, C11"</t>
      </text>
    </comment>
    <comment authorId="0" ref="B26">
      <text>
        <t xml:space="preserve">Was "2" (incl. C2 which is actually 10uF)</t>
      </text>
    </comment>
    <comment authorId="0" ref="C33">
      <text>
        <t xml:space="preserve">"MCP6004 dual op-amp R2R IO"</t>
      </text>
    </comment>
    <comment authorId="0" ref="A50">
      <text>
        <t xml:space="preserve">"SW1, SW2, SW3"</t>
      </text>
    </comment>
    <comment authorId="0" ref="C50">
      <text>
        <t xml:space="preserve">"Cap for switch"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6">
      <text>
        <t xml:space="preserve">"MCP6004 dual op-amp R2R IO"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6">
      <text>
        <t xml:space="preserve">"Cap for switch"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">
      <text>
        <t xml:space="preserve">
Was 81-GRM1885C1H180FA01J, but Mouser didn't recognise that. Replaced by 81-GRM1885C1H180GA.</t>
      </text>
    </comment>
    <comment authorId="0" ref="H18">
      <text>
        <t xml:space="preserve">"Texas Instruments CD74HC595M"</t>
      </text>
    </comment>
    <comment authorId="0" ref="E30">
      <text>
        <t xml:space="preserve">These are 4.7u in Olivier's BOM, but 10u in the Eagle files.</t>
      </text>
    </comment>
    <comment authorId="0" ref="H39">
      <text>
        <t xml:space="preserve">"1003349"</t>
      </text>
    </comment>
  </commentList>
</comments>
</file>

<file path=xl/sharedStrings.xml><?xml version="1.0" encoding="utf-8"?>
<sst xmlns="http://schemas.openxmlformats.org/spreadsheetml/2006/main" count="4268" uniqueCount="1587">
  <si>
    <t>Last updated:</t>
  </si>
  <si>
    <t>"2016-04-12"</t>
  </si>
  <si>
    <t>Module</t>
  </si>
  <si>
    <t>rev.</t>
  </si>
  <si>
    <t>Mouser project</t>
  </si>
  <si>
    <t>w. Yageo</t>
  </si>
  <si>
    <t>Octopart BOM</t>
  </si>
  <si>
    <t>Schematic</t>
  </si>
  <si>
    <t>GitHub</t>
  </si>
  <si>
    <t>Eagle v6</t>
  </si>
  <si>
    <t>Upverter</t>
  </si>
  <si>
    <t>KiCad</t>
  </si>
  <si>
    <t>Panel AI</t>
  </si>
  <si>
    <t>Firmw.</t>
  </si>
  <si>
    <t>Bootl.</t>
  </si>
  <si>
    <t>CPU</t>
  </si>
  <si>
    <t>Codec</t>
  </si>
  <si>
    <t>Notes</t>
  </si>
  <si>
    <t>6.0</t>
  </si>
  <si>
    <t>5.1</t>
  </si>
  <si>
    <t>The MI BOM says "5.1" but the Eagle files are still "braids_v50.{brd|sch}".</t>
  </si>
  <si>
    <t>4.0</t>
  </si>
  <si>
    <t>3.0</t>
  </si>
  <si>
    <t>2.0</t>
  </si>
  <si>
    <t>0.21</t>
  </si>
  <si>
    <t>0.3</t>
  </si>
  <si>
    <t>0.2</t>
  </si>
  <si>
    <t>3.1</t>
  </si>
  <si>
    <t>Diodes D1 &amp; D2 are "DNP" (do not place).</t>
  </si>
  <si>
    <t>0.5</t>
  </si>
  <si>
    <t>Resistors R40 &amp; R41 are "DNP".</t>
  </si>
  <si>
    <t>Yarns is the only board with SMT parts on the bottom side.</t>
  </si>
  <si>
    <t>1.0.1</t>
  </si>
  <si>
    <t>BOM via John Canning. Also includes Mouser part numbers from "Altitude909".</t>
  </si>
  <si>
    <t>1.0</t>
  </si>
  <si>
    <t>v1</t>
  </si>
  <si>
    <t>Linky goodness</t>
  </si>
  <si>
    <t>Revision history</t>
  </si>
  <si>
    <t>Initial release: links &amp; BOMs (as of 28/2/16).</t>
  </si>
  <si>
    <t>Added Eagle v6, KiCad files for Ripples (rev. 001). Added Octopart BOMs.</t>
  </si>
  <si>
    <t>Added "CPU", "Codec" columns.</t>
  </si>
  <si>
    <t>Added "Parts" sheets, built component list, started tidying up BOMs.</t>
  </si>
  <si>
    <t>Re-imported Mouser BOMs &amp; created Octopart BOMs for all remaining modules.</t>
  </si>
  <si>
    <t>Added 612-LP4OA1PBCTG LED switch for Clouds, Elements, Grids &amp; Peaks to Mouser &amp; Octopart BOMs (via Jonachi on "THC (Through Hole Clouds)" MW topic). Added links to V2164M @ CabinTech. Added Octopart BOM for Streams Bargraph. Added first draft of SMR BOM.</t>
  </si>
  <si>
    <t>Added more Muff Wiggler topic links. Bumped up TL072 count in Frames, thanks Mangu Diaz.</t>
  </si>
  <si>
    <t>Added a link to Trei Iunie Nikolaus's black MDF panels group buy sheet.</t>
  </si>
  <si>
    <t>Added MCU to Edges Mouser BOM project &amp; Octopart BOM, thanks Sascha Haber.</t>
  </si>
  <si>
    <t>Added link to John Canning's Google Drive folder, links to Ordnung panel AI files therein from Sascha Haber (there's also a Sheep panel).</t>
  </si>
  <si>
    <t>Fixed Edges Mouser link, added link to Timo Rozendal's Befaco panel run 1.</t>
  </si>
  <si>
    <t>Updated Braids, Yarns encoder/switch part no. &amp; link, thanks Dan Caldwell. Re-imported Rings BOM into Mouser. Updated panel file links to version 2 (no "MI" text), thanks Sascha Haber.</t>
  </si>
  <si>
    <t>Added Bourns 50k pot to Clouds Mouser project &amp; Octopart BOM, thanks Chris Hawkins. Added links to Chris Anticoli's Dropbox firmware &amp; bootloader directories.</t>
  </si>
  <si>
    <t>Added link to Simon Clements-Hawes's SMR lightpipe group buy. Added Altitude909's SMR BOM Mouser part numbers.</t>
  </si>
  <si>
    <t xml:space="preserve">Fixed missing capacitors in Mouser, Octopart BOMs, thanks Chris Anticoli. </t>
  </si>
  <si>
    <t>Updated Edges ceramic capacitor Mouser part numbers, thanks Sascha Haber.</t>
  </si>
  <si>
    <t>Updated Mouser BOMs for Elements &amp; Shades with non-obsolete 926-LME49720MAX/NOPB, thanks Rob Sanders.</t>
  </si>
  <si>
    <t>Updated Mouser &amp; Octopart BOMs for Frames with missing parts, thanks Chris Anticoli.</t>
  </si>
  <si>
    <t>Fixed "Yarns bootloader" firmware link.</t>
  </si>
  <si>
    <t>Added link to Trei's second run of MDF panels. Added Atmel AVR firmware for Branches, Edges and Grids, thanks Sascha Haber.</t>
  </si>
  <si>
    <t>Added link to 4ms SMR firmware+bootloader combo, thanks Marcus Korb.</t>
  </si>
  <si>
    <t>Fixed electrolytic capacitor counts for Streams, thanks Sascha Haber.</t>
  </si>
  <si>
    <t>Added Mouser &amp; Octopart BOM projects for the SMR 1.0.1, based largely on Altitude909's Mouser part numbers. It has the Kingbright RGB LEDs and the 3mm lightpipes.</t>
  </si>
  <si>
    <t>Added 100k resistors to SMR BOM projects, thanks Nicolas Drssl.</t>
  </si>
  <si>
    <t>Added link to the fourth, "July August" PCB group buy sheet.</t>
  </si>
  <si>
    <t>Added Mouser BOM projects for Ming Mecca World &amp; Control Core modules, thanks Crowley Engel II.</t>
  </si>
  <si>
    <t>Added 4ms SMR panel AI files, thanks Crowley Engel II! (C.f. https://www.facebook.com/groups/1677419455833872/permalink/1734115463497604/)</t>
  </si>
  <si>
    <t>Added "Kinks" Mouser BOM project link, thanks Sascha Haber. Imported Olivier's Kinks BOM spreadsheet, created Octopart BOM.</t>
  </si>
  <si>
    <t>Added capacitors to Kinks Mouser BOM project, updated reference designators (I think Mouser has a problem with these). Thanks Sascha Haber.</t>
  </si>
  <si>
    <t>Added BAT54S diodes to Mouser project for Streams, thanks Jicama Camaji and Sacha Haber. Added a link to my MD100 solder paste dispenser GB, and Philip's new PCB panel GB.</t>
  </si>
  <si>
    <t>Started (barely) adding Veils (including a link to Sacha Haber's panel, thanks Sascha!).</t>
  </si>
  <si>
    <t>Changed SMR encoder &amp; updated Mouser cart, changed LEDs eBay link, swapped R124 &amp; R126 as per Dave Hamara on FB, thanks Dave! (https://www.facebook.com/groups/1677419455833872/permalink/1789411761301307/)</t>
  </si>
  <si>
    <t>Updated Mouser BOM projects for Braids, Clouds, Tides, Links, Peaks, Streams (&amp; bargraph), Ripples, Rings, Shades, Warps and Yarns now with Yageo resistors with the values printed on them. Also a MBP &amp; Octopart BOM for Veils with 0603 components, all courtesy of Sacha Haber.</t>
  </si>
  <si>
    <t>Uploaded Dave Hamara's SMR firmware to John Canning's Google Drive share (https://drive.google.com/open?id=0B5t7I7Q0p5bpWS1EVkM1T3RqN1E) - fixes the pinout for Mouser LEDs.</t>
  </si>
  <si>
    <t>Updated/added links to Philip's PCB &amp; panel group buys.</t>
  </si>
  <si>
    <t>Updated Mouser BOM project link for Veils, thanks Sascha Haber. Added links for Korb-Modular Pusher, 4ms DLD.</t>
  </si>
  <si>
    <t>Added links to Gustav Olsson's 3U end panel interest check and Timo Rozendal's FM Ogre chip sheet.</t>
  </si>
  <si>
    <t>Fixed incorrect resistor values, quantities in Veils Mouser BOM project. Thanks Jicama Camaji.</t>
  </si>
  <si>
    <t>Added link to GitHub repository for Korb-Modular Pusher.</t>
  </si>
  <si>
    <t>Fixed Blinds Yageo Mouser BOM project link, thanks Jarred Harvey.</t>
  </si>
  <si>
    <t>Added "Blinds v6.0b" &amp; "Veils v4.0a" pages &amp; Mouser "0.1%" BOM (via Ithal Benjamin, thanks!), fixed incorrect resistor quantities in Sascha's "1%" BOM.</t>
  </si>
  <si>
    <t>Added "YAGEO" Mouser BOM project links for Branches, Veils (in 0603) &amp; Frames, thanks Sascha.</t>
  </si>
  <si>
    <t>Added "VCADSR v1" sheet, provided by Dave Hamara. Thanks Dave! My sheet still needs work (and a Mouser BOM project), but it's a start.</t>
  </si>
  <si>
    <t>Added a note for Veils with a link to Szabó Máté's 0603 Eagle files &amp; Gerbers available at http://doboz.audio/OTHER-STUFF/</t>
  </si>
  <si>
    <t>Fixed links to MI schematics, thanks Jim Matheson.</t>
  </si>
  <si>
    <t>Added link to the latest Pusherman PCBs &amp; panels group buy.</t>
  </si>
  <si>
    <t>Fixed missing 4.7k R6 in "MI Warps v3.0 YAGEO" BOM project, thanks Bu Ma.</t>
  </si>
  <si>
    <t>All "MI &lt;module&gt; v&lt;xx&gt;" BOMs were imported directly from the Excel files in the MI Git repository.</t>
  </si>
  <si>
    <t xml:space="preserve">License: Code (AVR projects): GPL3.0. Code (STM32F projects): MIT license. Hardware: cc-by-sa-3.0 By: Olivier Gillet </t>
  </si>
  <si>
    <t>The Mouser projects generally don't include pots or jacks. Other components may also be missing. Always cross-check carefully before ordering.</t>
  </si>
  <si>
    <t>Please add comments via the "Comments" button at the top right.</t>
  </si>
  <si>
    <t>KiCad files generated using Audas Lachlan's ULPs (https://github.com/lachlanA/eagle-to-kicad).</t>
  </si>
  <si>
    <t>Sort: C, B, D</t>
  </si>
  <si>
    <t>Prefix</t>
  </si>
  <si>
    <t>Key</t>
  </si>
  <si>
    <t>Sheet</t>
  </si>
  <si>
    <t>Component ID</t>
  </si>
  <si>
    <t>Qty</t>
  </si>
  <si>
    <t>Description</t>
  </si>
  <si>
    <t>Specs</t>
  </si>
  <si>
    <t>Value</t>
  </si>
  <si>
    <t>Package</t>
  </si>
  <si>
    <t>Part ID</t>
  </si>
  <si>
    <t>Reference</t>
  </si>
  <si>
    <t>!!!!</t>
  </si>
  <si>
    <t>SMR 1.0.1 as of 14/3/16</t>
  </si>
  <si>
    <t>https://github.com/4ms/SMR/tree/master/hardware</t>
  </si>
  <si>
    <t>No license specified.</t>
  </si>
  <si>
    <t>Index</t>
  </si>
  <si>
    <t>Ref. Mouser</t>
  </si>
  <si>
    <t>A.909 Mouser ref.</t>
  </si>
  <si>
    <t>References</t>
  </si>
  <si>
    <t>AGND, AGND-OPT, DGND, PG2, PG3, PG5, PG6</t>
  </si>
  <si>
    <t>PAD-06</t>
  </si>
  <si>
    <t>C3, C9, C10, C11, C12, C13, C15, C16, C17, C18, C19, C20, C22, C23, C24, C25, C26, C27, C30, C34, C35, C36, C37, C38, C39, C40, C41, C42, C43, C44, C45, C46, C48, C49, C50, C57, C59, C60, C61, C62, C63, C64, C65, C66, C67, C68, C69, C70, C71, C72, C73, C74, C75, C76, C77, C78, C79, C80</t>
  </si>
  <si>
    <t>CB</t>
  </si>
  <si>
    <t>0.1uF</t>
  </si>
  <si>
    <t>C0603</t>
  </si>
  <si>
    <t>81-GRM188R71E104JA1J</t>
  </si>
  <si>
    <t>Non-Polarized Capacitor</t>
  </si>
  <si>
    <t>SLIDE1, SLIDE2, SLIDE3, SLIDE4, SLIDE5, SLIDE6</t>
  </si>
  <si>
    <t>POT-LED</t>
  </si>
  <si>
    <t>100k</t>
  </si>
  <si>
    <t>POT-SLIDER-ALPHA-RA2045F-20</t>
  </si>
  <si>
    <t>FREQNUDGE1, FREQNUDGE6, MORPH, QVAL, SPREAD</t>
  </si>
  <si>
    <t>POTR0904N</t>
  </si>
  <si>
    <t>POT-9MM-SONGHUEI</t>
  </si>
  <si>
    <t>PVZA: Murata series PVZ3A471C01R00</t>
  </si>
  <si>
    <t>R38, R39, R40, R41, R42, R43, R61, R62, R77, R78, R80, R81, R84, R86, R88, R90, R92, R93, R127, R128, R129, R130, R172, R189, R190, R194</t>
  </si>
  <si>
    <t>RB</t>
  </si>
  <si>
    <t>R0603</t>
  </si>
  <si>
    <t>667-ERJ3EKF1003V</t>
  </si>
  <si>
    <t>Resistor</t>
  </si>
  <si>
    <t>R6, R9, R26, R32, R33, R52, R54, R56, R58, R59, R60, R63, R64, R185, R186</t>
  </si>
  <si>
    <t>10k</t>
  </si>
  <si>
    <t>667-ERJ3EKF1002V</t>
  </si>
  <si>
    <t>C1, C2, C52, C53</t>
  </si>
  <si>
    <t>10uF/10V</t>
  </si>
  <si>
    <t>810-C1608X5R1A106K</t>
  </si>
  <si>
    <t>C5, C6, C32, C33, C51, C54, C55</t>
  </si>
  <si>
    <t>18pF</t>
  </si>
  <si>
    <t>81-GRM185C1H180JA01J</t>
  </si>
  <si>
    <t>R187, R188</t>
  </si>
  <si>
    <t>1M</t>
  </si>
  <si>
    <t>667-ERJ3EKF1004V</t>
  </si>
  <si>
    <t>R1, R2, R3, R4, R7, R8, R10, R11, R12, R13, R14, R15, R17, R18, R21, R22, R23, R24, R29, R30, R31, R34, R35, R36, R37, R46, R47, R48, R49, R51, R53, R55, R57, R67, R74, R75, R79, R94, R95, R96, R97, R98, R99, R100, R101, R102, R103, R104, R105, R106, R107, R108, R109, R110, R111, R112, R113, R114, R115, R116, R117, R119, R121, R123, R131, R132, R133, R134, R135, R136, R137, R138, R139, R140, R141, R142, R143, R144, R145, R146, R147, R148, R149, R150, R151, R152, R153, R154, R155, R156, R157, R158, R159, R160, R161, R162, R163, R164, R165, R166, R167, R168, R169, R173, R174, R175, R176, R177, R178, R179, R180, R181, R182, R184</t>
  </si>
  <si>
    <t>1k</t>
  </si>
  <si>
    <t>667-ERJ3EKF1001V</t>
  </si>
  <si>
    <t>C14, C28, C29</t>
  </si>
  <si>
    <t>2.2uF</t>
  </si>
  <si>
    <t>810-C1608X7R1A225KAE</t>
  </si>
  <si>
    <t>R125, R126</t>
  </si>
  <si>
    <t>200k?</t>
  </si>
  <si>
    <t>667-ERJ3EKF2003V</t>
  </si>
  <si>
    <t>R27, R28</t>
  </si>
  <si>
    <t>667-ERJ-3EKF22R0V</t>
  </si>
  <si>
    <t>R44, R45, R50, R118, R120, R122</t>
  </si>
  <si>
    <t>667-ERJ3EKF3300V</t>
  </si>
  <si>
    <t>C4, C7, C8, C21, C31, C47, C56, C58</t>
  </si>
  <si>
    <t>C-POL5</t>
  </si>
  <si>
    <t>47uF</t>
  </si>
  <si>
    <t>C-POL-5</t>
  </si>
  <si>
    <t>667-EEE-FK1V470P</t>
  </si>
  <si>
    <t>EEE-FK1C470UR</t>
  </si>
  <si>
    <t>Polarized Capacitor. (A.909 part is the right size.)</t>
  </si>
  <si>
    <t>R5, R19, R20, R68, R69, R70, R71, R72, R73, R76, R124, R183</t>
  </si>
  <si>
    <t>49k</t>
  </si>
  <si>
    <t>667-ERJ3EKF4992V</t>
  </si>
  <si>
    <t>R16, R25, R65, R66</t>
  </si>
  <si>
    <t>4k7</t>
  </si>
  <si>
    <t>667-ERJ-3EKF4701V</t>
  </si>
  <si>
    <t>R82, R83, R85, R87, R89, R91, R191</t>
  </si>
  <si>
    <t>68k</t>
  </si>
  <si>
    <t>667-ERJ-3EKF6802V</t>
  </si>
  <si>
    <t>VR4</t>
  </si>
  <si>
    <t>VREG-DCDC</t>
  </si>
  <si>
    <t>78E-3.3-0.5</t>
  </si>
  <si>
    <t>RECOM-DCDC</t>
  </si>
  <si>
    <t>X1</t>
  </si>
  <si>
    <t>CRYSTALD</t>
  </si>
  <si>
    <t>8MHz</t>
  </si>
  <si>
    <t>HC-49/US</t>
  </si>
  <si>
    <t>815-ABLS2-8-D4Y-T</t>
  </si>
  <si>
    <t>Crystal</t>
  </si>
  <si>
    <t>D13, D19</t>
  </si>
  <si>
    <t>DA</t>
  </si>
  <si>
    <t>B140-E3</t>
  </si>
  <si>
    <t>SMA</t>
  </si>
  <si>
    <t>Diode</t>
  </si>
  <si>
    <t>D1, D2, D3, D4, D5, D6, D7, D8, D9, D10, D11, D12, D14, D15, D16, D17, D18</t>
  </si>
  <si>
    <t>DIODE-DUAL</t>
  </si>
  <si>
    <t>BAT54S</t>
  </si>
  <si>
    <t>SOT23</t>
  </si>
  <si>
    <t>512-BAT54S</t>
  </si>
  <si>
    <t>ON Semi BAT54SLT1G</t>
  </si>
  <si>
    <t>L1, L2</t>
  </si>
  <si>
    <t>LB</t>
  </si>
  <si>
    <t>BEAD</t>
  </si>
  <si>
    <t>875-MI0603K300R-1</t>
  </si>
  <si>
    <t>Inductor</t>
  </si>
  <si>
    <t>S0, S1</t>
  </si>
  <si>
    <t>BUTTON-TACT</t>
  </si>
  <si>
    <t>BUTTON-TACT-SKQG</t>
  </si>
  <si>
    <t>V-SEL</t>
  </si>
  <si>
    <t>HEADER-1X3</t>
  </si>
  <si>
    <t>HEADER-1X3-TH</t>
  </si>
  <si>
    <t>Male or Female Header 1x3 (35mil holes fits most square pins)</t>
  </si>
  <si>
    <t>SWD</t>
  </si>
  <si>
    <t>HEADER-1X4</t>
  </si>
  <si>
    <t>HEADER-1X4-TH</t>
  </si>
  <si>
    <t>POWER</t>
  </si>
  <si>
    <t>HEADER-2X8SHRD</t>
  </si>
  <si>
    <t>HEADER-2X8-SMT</t>
  </si>
  <si>
    <t>HEADER-2X8-SMT-SHROUDED</t>
  </si>
  <si>
    <t>SMT HEADER 2x8</t>
  </si>
  <si>
    <t>V1</t>
  </si>
  <si>
    <t>VREG-KA78LXX</t>
  </si>
  <si>
    <t>KA78L05</t>
  </si>
  <si>
    <t>SOT89</t>
  </si>
  <si>
    <t>IC7, IC10</t>
  </si>
  <si>
    <t>LD111750TRS</t>
  </si>
  <si>
    <t>LD1117-33</t>
  </si>
  <si>
    <t>SOT223</t>
  </si>
  <si>
    <t>926-LM1117MPX3.3NOPB</t>
  </si>
  <si>
    <t>Low drop fixed and adjustable positive voltage regulators 1 A</t>
  </si>
  <si>
    <t>LED1, LED2, LED3, LED4, LED5, LED6, LED7, LED8, LED9, LED10, LED11, LED12, LED13, LED14, LED15, LED16, LED17, LED18, LED19, LED20, LED21, LED22, LED23, LED24, LED25, LED26</t>
  </si>
  <si>
    <t>LED-RGB-CA-HEBEI</t>
  </si>
  <si>
    <t>PLCC4</t>
  </si>
  <si>
    <t>604-AAA3528LSEEZGKQB</t>
  </si>
  <si>
    <t>http://www.ebay.com/itm/100X-LED-RGB-PLCC-4-1210-3528-SMD-LED-Light-Super-Bright-Light-Common-Anode-/121872332761</t>
  </si>
  <si>
    <t>Hebei I.T. (Shanghai) PLCC4RGBCT-CA</t>
  </si>
  <si>
    <t>LED-INCLIP</t>
  </si>
  <si>
    <t>LEDX2A</t>
  </si>
  <si>
    <t>LED-T1X2</t>
  </si>
  <si>
    <t>Dual LED, Common Cathode</t>
  </si>
  <si>
    <t>U2, U3, U4, U5, U6</t>
  </si>
  <si>
    <t>PCA9685</t>
  </si>
  <si>
    <t>TSSOP28</t>
  </si>
  <si>
    <t>771-PCA9685PW,112</t>
  </si>
  <si>
    <t>PCA9685 - 16 Channel 12-Bit I2C PWM Controller</t>
  </si>
  <si>
    <t>BANDCV1, BANDCV2, BANDCV3, BANDCV4, BANDCV5, BANDCV6, ENV1, ENV2, ENV3, ENV4, ENV5, ENV6, FREQCV1, FREQCV6, IN-1, IN-2, LOCK_135, LOCK_246, MORPHCV, OUT-1, OUT-2, QVALCV, ROTCV, ROTRIGUP, ROTTRIGDOWN, SCALECV, SPREADCV</t>
  </si>
  <si>
    <t>JACK-MONO-SWM2</t>
  </si>
  <si>
    <t>PJ301-M12</t>
  </si>
  <si>
    <t>PJ301M-12-FIX</t>
  </si>
  <si>
    <t>ENC1</t>
  </si>
  <si>
    <t>ROTENC-BUTTON-A</t>
  </si>
  <si>
    <t>ROTENC-12MM-BUT</t>
  </si>
  <si>
    <t>PEC12R-4220F-S0012</t>
  </si>
  <si>
    <t>Correct part via Dave Hamara on FB https://www.facebook.com/groups/1677419455833872/permalink/1789411761301307/</t>
  </si>
  <si>
    <t>U7</t>
  </si>
  <si>
    <t>STM32F429ZI</t>
  </si>
  <si>
    <t>STM32F427ZG</t>
  </si>
  <si>
    <t>LQFP144</t>
  </si>
  <si>
    <t>IC1, IC2, IC3, IC4, IC5, IC6, IC8, IC9</t>
  </si>
  <si>
    <t>OPAMP-2TL072T</t>
  </si>
  <si>
    <t>TL082</t>
  </si>
  <si>
    <t>TSSOP8</t>
  </si>
  <si>
    <t>511-TL082CP</t>
  </si>
  <si>
    <t>Dual OPAMP</t>
  </si>
  <si>
    <t>U$1</t>
  </si>
  <si>
    <t>USB-MINIB-5PIN</t>
  </si>
  <si>
    <t>USB-MINIB</t>
  </si>
  <si>
    <t>Samtec MUSB-05-F-B-SM-A</t>
  </si>
  <si>
    <t>LOCK1, LOCK2, LOCK3, LOCK4, LOCK5, LOCK6</t>
  </si>
  <si>
    <t>BUTTON-LED</t>
  </si>
  <si>
    <t>WHITE-MOM</t>
  </si>
  <si>
    <t>BUTTON-LED-PB61303</t>
  </si>
  <si>
    <t>U1</t>
  </si>
  <si>
    <t>WM8731</t>
  </si>
  <si>
    <t>28-SSOP</t>
  </si>
  <si>
    <t>238-WM8731SEDS/V</t>
  </si>
  <si>
    <t>BANKSCALE-SW, LAG-SW, MOD135-SW, MOD246-SW, PREPOST-SW</t>
  </si>
  <si>
    <t>SPDTT</t>
  </si>
  <si>
    <t>submini-2T</t>
  </si>
  <si>
    <t>SPDT-SUB</t>
  </si>
  <si>
    <t>SPDT Switch</t>
  </si>
  <si>
    <t>SLOWFAST-SW</t>
  </si>
  <si>
    <t>submini-3T</t>
  </si>
  <si>
    <t>Lightpipes (via https://www.muffwiggler.com/forum/viewtopic.php?t=157909)</t>
  </si>
  <si>
    <t>749-PLP2-350</t>
  </si>
  <si>
    <t>Blinds, v6.0b</t>
  </si>
  <si>
    <t>S. MI</t>
  </si>
  <si>
    <t>SMT parts</t>
  </si>
  <si>
    <t>R25, R86</t>
  </si>
  <si>
    <t>DNP</t>
  </si>
  <si>
    <t>R17, R55, R84, R116</t>
  </si>
  <si>
    <t>Resistor, 1%</t>
  </si>
  <si>
    <t>667-ERJ3EKF4020V</t>
  </si>
  <si>
    <t>R26, R27, R32, R33, R87, R88, R93, R94</t>
  </si>
  <si>
    <t>667-ERJ3EKF5100V</t>
  </si>
  <si>
    <t>R15, R21, R48, R53, R59, R60, R75, R80, R108, R113</t>
  </si>
  <si>
    <t>1.2k</t>
  </si>
  <si>
    <t>667-ERJ-3EKF1201V</t>
  </si>
  <si>
    <t>R10, R44, R70</t>
  </si>
  <si>
    <t>Resistor, 0.1%, thin film</t>
  </si>
  <si>
    <t>3.9k</t>
  </si>
  <si>
    <t>667-ERA-3AEB392V</t>
  </si>
  <si>
    <t xml:space="preserve">Panasonic ERA-3AEB392V
</t>
  </si>
  <si>
    <t>R7, R8, R13, R40, R41, R46, R67, R68, R73, R99, R100</t>
  </si>
  <si>
    <t>4.3k</t>
  </si>
  <si>
    <t>667-ERA-3AEB432V</t>
  </si>
  <si>
    <t xml:space="preserve">Panasonic ERA-3AEB432V
</t>
  </si>
  <si>
    <t>R23, R29, R30, R54, R83, R90, R91, R103</t>
  </si>
  <si>
    <t>33.2k</t>
  </si>
  <si>
    <t>667-ERA-3AEB3322V</t>
  </si>
  <si>
    <t>Panasonic ERA-3AEB3322V</t>
  </si>
  <si>
    <t>R14, R47, R56, R74, R82, R107, R114</t>
  </si>
  <si>
    <t>66.5k</t>
  </si>
  <si>
    <t>667-ERA-3AEB6652V</t>
  </si>
  <si>
    <t>Panasonic ERA-3AEB6652V</t>
  </si>
  <si>
    <t>R3, R16, R19, R20, R28, R31, R34, R38, R39, R49, R63, R76, R78, R79, R89, R92, R95, R101, R102, R109</t>
  </si>
  <si>
    <t>667-ERA-3AEB104V</t>
  </si>
  <si>
    <t>Panasonic ERA-3AEB104V</t>
  </si>
  <si>
    <t>R2, R6, R9, R11, R43, R45, R50, R51, R62, R66, R69, R71, R105, R106, R111, R112</t>
  </si>
  <si>
    <t>667-ERJ-3EKF1003V</t>
  </si>
  <si>
    <t>R1, R57, R61, R117</t>
  </si>
  <si>
    <t>205k</t>
  </si>
  <si>
    <t>667-ERA-3AEB2053V</t>
  </si>
  <si>
    <t>R12, R18, R22, R24, R35, R42, R52, R58, R72, R77, R81, R85, R96, R104, R110, R115</t>
  </si>
  <si>
    <t>1.0M</t>
  </si>
  <si>
    <t>667-ERJ-3EKF1004V</t>
  </si>
  <si>
    <t>C6, C9, C10, C19, C20, C23, C31, C34, C35, C44, C45, C48</t>
  </si>
  <si>
    <t>Capacitor, ceramic, C0G</t>
  </si>
  <si>
    <t>&gt;= 50V, 1%</t>
  </si>
  <si>
    <t>47p</t>
  </si>
  <si>
    <t>81-GRM185C1H470JA01J</t>
  </si>
  <si>
    <t>Murata GRM1885C1H470JA01J</t>
  </si>
  <si>
    <t>C12, C13, C14, C15, C37, C38, C39, C40</t>
  </si>
  <si>
    <t>&gt;= 25V, 5%</t>
  </si>
  <si>
    <t>560p</t>
  </si>
  <si>
    <t>81-GRM185C1E561JA01D</t>
  </si>
  <si>
    <t>Murata GRM1885C1E561JA01D</t>
  </si>
  <si>
    <t>C3, C4, C5, C7, C8, C11, C16, C17, C18, C21, C22, C24, C25, C26, C27, C28, C29, C30, C32, C33, C36, C41, C42, C43, C46, C47</t>
  </si>
  <si>
    <t>Capacitor, ceramic</t>
  </si>
  <si>
    <t>&gt;= 25V</t>
  </si>
  <si>
    <t>100n</t>
  </si>
  <si>
    <t>Murata GRM188R71E104JA01J</t>
  </si>
  <si>
    <t>C1, C2</t>
  </si>
  <si>
    <t>Capacitor, electrolytic</t>
  </si>
  <si>
    <t>22u</t>
  </si>
  <si>
    <t>Panasonic C</t>
  </si>
  <si>
    <t>667-EEE-FP1E220AR</t>
  </si>
  <si>
    <t>EEE-FP1E220AR</t>
  </si>
  <si>
    <t>D1, D2</t>
  </si>
  <si>
    <t>1N5819HW diode</t>
  </si>
  <si>
    <t>SOD123</t>
  </si>
  <si>
    <t>621-1N5819HW-F</t>
  </si>
  <si>
    <t>Diodes Inc 1N5819HW-7-F</t>
  </si>
  <si>
    <t>P1</t>
  </si>
  <si>
    <t>Resettable fuse</t>
  </si>
  <si>
    <t>&gt;= 15V</t>
  </si>
  <si>
    <t>&gt;0.1A</t>
  </si>
  <si>
    <t>576-1206L035/16YR</t>
  </si>
  <si>
    <t>Littelfuse 1206L035/16YR</t>
  </si>
  <si>
    <t>IC3, IC10</t>
  </si>
  <si>
    <t>V2164 quad VCA</t>
  </si>
  <si>
    <t>SOIC16</t>
  </si>
  <si>
    <t>CoolAudio V2164M</t>
  </si>
  <si>
    <t>IC1, IC2, IC4, IC5, IC8, IC9, IC11, IC12</t>
  </si>
  <si>
    <t>OPA4171 Quad op-amp</t>
  </si>
  <si>
    <t>TSSOP14</t>
  </si>
  <si>
    <t>595-OPA4171AIPWR</t>
  </si>
  <si>
    <t>Texas Instruments OPA4171AIPWR</t>
  </si>
  <si>
    <t>IC6, IC7</t>
  </si>
  <si>
    <t>LM4040 Shunt Vref</t>
  </si>
  <si>
    <t>0.2%</t>
  </si>
  <si>
    <t>10V</t>
  </si>
  <si>
    <t>595-LM4040B10IDBZR</t>
  </si>
  <si>
    <t>Texas Instruments LM4040B10IDBZR</t>
  </si>
  <si>
    <t>EMI Filter Bead</t>
  </si>
  <si>
    <t>&gt;= 1k ohm@100MHz 300mA</t>
  </si>
  <si>
    <t>710-742792664</t>
  </si>
  <si>
    <t>Wurth Electronics 742792664</t>
  </si>
  <si>
    <t>PTH parts, top side</t>
  </si>
  <si>
    <t>J1, J2, J3, J4, J5, J6, J7, J8, J9, J10, J11, J12</t>
  </si>
  <si>
    <t>Vertical jack connector</t>
  </si>
  <si>
    <t>PJ-301-M-12</t>
  </si>
  <si>
    <t>LED1, LED3, LED5, LED7</t>
  </si>
  <si>
    <t>LED 5mm, 2-leaded, R/G</t>
  </si>
  <si>
    <t>604-WP7113SRSGW</t>
  </si>
  <si>
    <t>Kingbright WP7113SRSGW</t>
  </si>
  <si>
    <t>LED2, LED4, LED6, LED8</t>
  </si>
  <si>
    <t>LED 3mm, 2-leaded, R/G</t>
  </si>
  <si>
    <t>604-WP937EGW</t>
  </si>
  <si>
    <t>Kingbright WP937EGW</t>
  </si>
  <si>
    <t>LED holder 10mm</t>
  </si>
  <si>
    <t>Multicomp LED3-10</t>
  </si>
  <si>
    <t>R5, R37, R65, R98</t>
  </si>
  <si>
    <t>10k linear pot, 25mm shaft with marker</t>
  </si>
  <si>
    <t>https://www.thonk.co.uk/shop/ttpots/</t>
  </si>
  <si>
    <t>R4, R36, R64, R97</t>
  </si>
  <si>
    <t>10k linear pot, 15mm shaft</t>
  </si>
  <si>
    <t>https://www.thonk.co.uk/shop/alpha-9mm-pots/</t>
  </si>
  <si>
    <t>PTH parts, bottom side</t>
  </si>
  <si>
    <t>JP5 ("Red stripe")</t>
  </si>
  <si>
    <t>2x5 male header, 2.54mm pitch</t>
  </si>
  <si>
    <t>649-67996-410HLF</t>
  </si>
  <si>
    <t>PCB</t>
  </si>
  <si>
    <t>106.7 x 59.05</t>
  </si>
  <si>
    <t>Braids, v5.1</t>
  </si>
  <si>
    <t>R49</t>
  </si>
  <si>
    <t>Resistor, 5%, 250mW</t>
  </si>
  <si>
    <t>667-ERJ-8GEYJ4R7V</t>
  </si>
  <si>
    <t>R4, R5, R6, R7, R8, R9, R10, R12, R13, R14, R15, R16, R17, R18</t>
  </si>
  <si>
    <t>667-ERJ3EKF1000V</t>
  </si>
  <si>
    <t>R51</t>
  </si>
  <si>
    <t>R1, R2, R3, R11, R23, R55</t>
  </si>
  <si>
    <t>R22, R27, R33</t>
  </si>
  <si>
    <t>R30, R31, R34, R35, R41, R42, R43, R44, R50, R52, R53</t>
  </si>
  <si>
    <t>24.9k</t>
  </si>
  <si>
    <t>667-ERJ3EKF2492V</t>
  </si>
  <si>
    <t>R45, R46</t>
  </si>
  <si>
    <t>39k</t>
  </si>
  <si>
    <t>667-ERJ3EKF3902V</t>
  </si>
  <si>
    <t>R25, R26</t>
  </si>
  <si>
    <t>49.9k</t>
  </si>
  <si>
    <t>R24, R29, R47, R48, R54, R56</t>
  </si>
  <si>
    <t>R39</t>
  </si>
  <si>
    <t>120k</t>
  </si>
  <si>
    <t>667-ERJ3EKF1203V</t>
  </si>
  <si>
    <t>R28, R32, R40</t>
  </si>
  <si>
    <t>200k</t>
  </si>
  <si>
    <t>C9, C10</t>
  </si>
  <si>
    <t>18p</t>
  </si>
  <si>
    <t>C29</t>
  </si>
  <si>
    <t>&gt;= 50V, &lt;= 2%, C0G</t>
  </si>
  <si>
    <t>81-GRM185C1H470GA01J</t>
  </si>
  <si>
    <t>C21, C22</t>
  </si>
  <si>
    <t>100p</t>
  </si>
  <si>
    <t>81-GRM1885C1H101GA1J</t>
  </si>
  <si>
    <t>C13, C14, C16, C17</t>
  </si>
  <si>
    <t>1n</t>
  </si>
  <si>
    <t>81-GRM1885C1H102FA1J</t>
  </si>
  <si>
    <t>C1, C2, C3, C4, C5, C7, C11, C18, C20, C23, C26, C27, C28, C31</t>
  </si>
  <si>
    <t>&gt;= 16V</t>
  </si>
  <si>
    <t>81-GRM188R61C104KA1D</t>
  </si>
  <si>
    <t>C8</t>
  </si>
  <si>
    <t>&gt;= 6.3V</t>
  </si>
  <si>
    <t>470n</t>
  </si>
  <si>
    <t>81-GRM18F51C474ZA01J</t>
  </si>
  <si>
    <t>C6, C12</t>
  </si>
  <si>
    <t>&gt;= 10V</t>
  </si>
  <si>
    <t>1u</t>
  </si>
  <si>
    <t>81-GRM18R61A105KA61J</t>
  </si>
  <si>
    <t>C24</t>
  </si>
  <si>
    <t>Capacitor, electrolytic NP</t>
  </si>
  <si>
    <t>10u</t>
  </si>
  <si>
    <t>Panasonic B</t>
  </si>
  <si>
    <t>647-UWP1A100MCL</t>
  </si>
  <si>
    <t>Nichicon UWP1A100MCL1GB</t>
  </si>
  <si>
    <t>C15, C19</t>
  </si>
  <si>
    <t>EEEHC1C220R</t>
  </si>
  <si>
    <t>C25, C30</t>
  </si>
  <si>
    <t>47u</t>
  </si>
  <si>
    <t>Panasonic D</t>
  </si>
  <si>
    <t>EEEFK1V470P</t>
  </si>
  <si>
    <t>IC1, IC2</t>
  </si>
  <si>
    <t>74hc595 SIPO shift register</t>
  </si>
  <si>
    <t>595-CD74HC595M</t>
  </si>
  <si>
    <t>Texas Instruments CD74HC595M, NXP 74HC595D,112</t>
  </si>
  <si>
    <t>IC3</t>
  </si>
  <si>
    <t>A, B or C grade</t>
  </si>
  <si>
    <t>2.5V</t>
  </si>
  <si>
    <t>595-LM4040C25IDBZR</t>
  </si>
  <si>
    <t>Texas Instruments LM4040C25IDBZ</t>
  </si>
  <si>
    <t>IC4</t>
  </si>
  <si>
    <t>MCP3204 quad 12-bit DAC</t>
  </si>
  <si>
    <t>SOIC14</t>
  </si>
  <si>
    <t>579-MCP3204-BI/SL</t>
  </si>
  <si>
    <t>Microchip MCP3204-BI/SL</t>
  </si>
  <si>
    <t>IC5</t>
  </si>
  <si>
    <t>DAC8551 single 16-bit DAC</t>
  </si>
  <si>
    <t>MSOP8</t>
  </si>
  <si>
    <t>595-DAC8551IADGKT</t>
  </si>
  <si>
    <t>Texas Instruments DAC8551IADGK</t>
  </si>
  <si>
    <t>IC6</t>
  </si>
  <si>
    <t>LM1117-3.3V LDO Vreg</t>
  </si>
  <si>
    <t>3.3V</t>
  </si>
  <si>
    <t>TO252</t>
  </si>
  <si>
    <t>926-LM1117DT-3.3NOPB</t>
  </si>
  <si>
    <t>National LM1117DT-3.3/NOPB</t>
  </si>
  <si>
    <t>IC7</t>
  </si>
  <si>
    <t>MCP6004 quad op-amp R2R IO</t>
  </si>
  <si>
    <t>579-MCP6004-I/SL</t>
  </si>
  <si>
    <t>MCP6004-I/SL</t>
  </si>
  <si>
    <t>IC8</t>
  </si>
  <si>
    <t>595-LM4040C10IDBZR</t>
  </si>
  <si>
    <t>Texas Instruments LM4040C10IDBZ</t>
  </si>
  <si>
    <t>IC9</t>
  </si>
  <si>
    <t>TL074 quad op-amp</t>
  </si>
  <si>
    <t>595-TL074CD</t>
  </si>
  <si>
    <t>Texas Instruments TL074CD</t>
  </si>
  <si>
    <t>IC10</t>
  </si>
  <si>
    <t>TL072 dual op-amp</t>
  </si>
  <si>
    <t>SOIC8</t>
  </si>
  <si>
    <t>595-TL072CD</t>
  </si>
  <si>
    <t>Texas Instruments TL072CD</t>
  </si>
  <si>
    <t>Q5</t>
  </si>
  <si>
    <t>8 MHz quartz</t>
  </si>
  <si>
    <t>HC49</t>
  </si>
  <si>
    <t>Abracon ABLS2-8.000MHZ-D4Y-T</t>
  </si>
  <si>
    <t>SW2, SW3</t>
  </si>
  <si>
    <t>Switch, 6mm, SMT</t>
  </si>
  <si>
    <t>6mm x 6mm</t>
  </si>
  <si>
    <t>667-EVQ-Q2K01W</t>
  </si>
  <si>
    <t>Panasonic EVQ-Q2K01W</t>
  </si>
  <si>
    <t>Q1, Q2, Q3, Q4, Q6</t>
  </si>
  <si>
    <t>NPN transistor MMBT3904</t>
  </si>
  <si>
    <t>863-MMBT3904LT1G</t>
  </si>
  <si>
    <t>On Semi MMBT3904LT1G</t>
  </si>
  <si>
    <t>UC1</t>
  </si>
  <si>
    <t>STM32F103CBT6 MCU</t>
  </si>
  <si>
    <t>LQFP48</t>
  </si>
  <si>
    <t>511-STM32F103CBT6</t>
  </si>
  <si>
    <t>ST STM32F103CBT6</t>
  </si>
  <si>
    <t>DISP1, DISP2</t>
  </si>
  <si>
    <t>14 segments 2 characters LED module</t>
  </si>
  <si>
    <t>Green, comm. cathode</t>
  </si>
  <si>
    <t>604-PDC54-11GWA</t>
  </si>
  <si>
    <t>KINGBRIGHT PDC54-11GWA</t>
  </si>
  <si>
    <t>J1, J2, J3, J4, J5, J6</t>
  </si>
  <si>
    <t>R19, R20, R21, R36, R37, R38</t>
  </si>
  <si>
    <t>SW1</t>
  </si>
  <si>
    <t>Encoder, 24 steps w/ clicks, w/ switch</t>
  </si>
  <si>
    <t>alternatively: 858-EN11-HSM1BF20</t>
  </si>
  <si>
    <t>JP1</t>
  </si>
  <si>
    <t>2x5, 2.54mm pitch male header</t>
  </si>
  <si>
    <t>JP2</t>
  </si>
  <si>
    <t>2x5, 1.27mm pitch male header</t>
  </si>
  <si>
    <t>649-221111-00010T4LF</t>
  </si>
  <si>
    <t>JP3</t>
  </si>
  <si>
    <t>1x6, 2.54mm pitch male header</t>
  </si>
  <si>
    <t>649-68002-106HLF</t>
  </si>
  <si>
    <t>PCB specifications</t>
  </si>
  <si>
    <t>78.7 x 106.7 ; 2 layers</t>
  </si>
  <si>
    <t>Branches, v4.0</t>
  </si>
  <si>
    <t>R11, R19</t>
  </si>
  <si>
    <t>667-ERJ-3EKF2200V</t>
  </si>
  <si>
    <t>R12, R13, R16, R17</t>
  </si>
  <si>
    <t>667-ERJ-3EKF1001V</t>
  </si>
  <si>
    <t>R1, R2, R14</t>
  </si>
  <si>
    <t>667-ERJ-3EKF1002V</t>
  </si>
  <si>
    <t>R3, R4, R5, R7, R8, R9, R10, R18</t>
  </si>
  <si>
    <t>C2, C5</t>
  </si>
  <si>
    <t>C1, C4, C6, C7, C8</t>
  </si>
  <si>
    <t>C3, C9</t>
  </si>
  <si>
    <t>L1</t>
  </si>
  <si>
    <t>Ferrite bead</t>
  </si>
  <si>
    <t>Z@100M &gt; 200</t>
  </si>
  <si>
    <t>710-742792642</t>
  </si>
  <si>
    <t>WE 742792642</t>
  </si>
  <si>
    <t>ATMega88p</t>
  </si>
  <si>
    <t>TQFP32</t>
  </si>
  <si>
    <t>556-ATMEGA88PA-AU</t>
  </si>
  <si>
    <t>ATMEGA88PA-AU</t>
  </si>
  <si>
    <t>IC1</t>
  </si>
  <si>
    <t>5.0V</t>
  </si>
  <si>
    <t>595-LM4040C50IDBZR</t>
  </si>
  <si>
    <t>Texas Instruments LM4040C50IDBZ</t>
  </si>
  <si>
    <t>MCP6002 dual op-amp R2R IO</t>
  </si>
  <si>
    <t>579-MCP6002-I/SN</t>
  </si>
  <si>
    <t>MCP6002-I/SN</t>
  </si>
  <si>
    <t>IC2</t>
  </si>
  <si>
    <t>LM1117-5.0V LDO Vreg</t>
  </si>
  <si>
    <t>SO223</t>
  </si>
  <si>
    <t>926-LM1117MPX5.0NOPB</t>
  </si>
  <si>
    <t>National LM1117MPX-5.0/NOPB</t>
  </si>
  <si>
    <t>D1</t>
  </si>
  <si>
    <t>Q1, Q2</t>
  </si>
  <si>
    <t>LED1, LED2</t>
  </si>
  <si>
    <t>LED, Red/Green, 2 terminals</t>
  </si>
  <si>
    <t>2 terminals</t>
  </si>
  <si>
    <t>- LED1, LED2</t>
  </si>
  <si>
    <t>LED holder</t>
  </si>
  <si>
    <t>Ø 3mm, 10mm high</t>
  </si>
  <si>
    <t>LED3-10 Multicomp; Farnell P/N 9555277</t>
  </si>
  <si>
    <t>SW1, SW2</t>
  </si>
  <si>
    <t>Switch, 6mm</t>
  </si>
  <si>
    <t>612-TL1105SP-250</t>
  </si>
  <si>
    <t>E-switch TL1105SPF250Q</t>
  </si>
  <si>
    <t>- SW1, SW2</t>
  </si>
  <si>
    <t>Cap for switch, black</t>
  </si>
  <si>
    <t>612-1R-BK</t>
  </si>
  <si>
    <t>E-switch 1RBLK</t>
  </si>
  <si>
    <t>R6, R15</t>
  </si>
  <si>
    <t>J1, J2, J3, J4, J5, J6, J7, J8</t>
  </si>
  <si>
    <t>J10</t>
  </si>
  <si>
    <t>J9</t>
  </si>
  <si>
    <t>2x3, 2.54mm pitch male header</t>
  </si>
  <si>
    <t>649-67996-406HLF</t>
  </si>
  <si>
    <t>106.3 x 29.2 ; 2 layers</t>
  </si>
  <si>
    <t>Clouds, v3.0</t>
  </si>
  <si>
    <t>R11</t>
  </si>
  <si>
    <t>1206</t>
  </si>
  <si>
    <t>R1, R2, R3, R4, R5, R6, R7, R8, R9, R10</t>
  </si>
  <si>
    <t>0603</t>
  </si>
  <si>
    <t>667-ERJ-3EKF68R1V</t>
  </si>
  <si>
    <t>R30</t>
  </si>
  <si>
    <t>667-ERJ-3EKF4700V</t>
  </si>
  <si>
    <t>R61, R62</t>
  </si>
  <si>
    <t>1.0k</t>
  </si>
  <si>
    <t>R40, R41</t>
  </si>
  <si>
    <t>2.2k</t>
  </si>
  <si>
    <t>667-ERJ-3EKF2201V</t>
  </si>
  <si>
    <t>R46, R47</t>
  </si>
  <si>
    <t>3.3k</t>
  </si>
  <si>
    <t>667-ERJ-3EKF3301V</t>
  </si>
  <si>
    <t>R51, R52, R53, R54, R55, R56</t>
  </si>
  <si>
    <t>5.6k</t>
  </si>
  <si>
    <t>667-ERJ-3EKF5601V</t>
  </si>
  <si>
    <t>R13, R14, R16, R17</t>
  </si>
  <si>
    <t>R57, R58</t>
  </si>
  <si>
    <t>22k</t>
  </si>
  <si>
    <t>667-ERJ-3EKF2202V</t>
  </si>
  <si>
    <t>R25, R26, R35</t>
  </si>
  <si>
    <t>33k</t>
  </si>
  <si>
    <t>667-ERJ-3EKF3302V</t>
  </si>
  <si>
    <t>R48, R49, R50, R59</t>
  </si>
  <si>
    <t>667-ERJ-3EKF3902V</t>
  </si>
  <si>
    <t>R34</t>
  </si>
  <si>
    <t>47k</t>
  </si>
  <si>
    <t>667-ERJ-3EKF4702V</t>
  </si>
  <si>
    <t>R27, R31</t>
  </si>
  <si>
    <t>667-ERJ-3EKF6652V</t>
  </si>
  <si>
    <t>R12, R15, R21, R24, R29, R32, R38, R39</t>
  </si>
  <si>
    <t>R36</t>
  </si>
  <si>
    <t>180k</t>
  </si>
  <si>
    <t>667-ERJ-3EKF1803V</t>
  </si>
  <si>
    <t>R22, R23, R28, R33, R37</t>
  </si>
  <si>
    <t>667-ERJ-3EKF2003V</t>
  </si>
  <si>
    <t>C6, C7, C40, C42, C47, C48</t>
  </si>
  <si>
    <t>Murata GRM1885C1H180JA01J</t>
  </si>
  <si>
    <t>C43, C44</t>
  </si>
  <si>
    <t>&gt;= 16V, &lt;= 2%</t>
  </si>
  <si>
    <t>220p</t>
  </si>
  <si>
    <t>81-GRM185C1H221GA01D</t>
  </si>
  <si>
    <t>Murata GRM1885C1H221GA01D</t>
  </si>
  <si>
    <t>C9, C10, C11, C20, C21, C22</t>
  </si>
  <si>
    <t>&gt;= 50V, &lt;= 2%</t>
  </si>
  <si>
    <t>Murata GRM1885C1H102FA1J</t>
  </si>
  <si>
    <t>C3, C5, C8, C14, C15, C16, C17, C18, C23, C25, C26, C29, C30, C32, C34, C38, C39, C45, C46</t>
  </si>
  <si>
    <t>C12, C50</t>
  </si>
  <si>
    <t>Murata GRM18R61A105KA61J</t>
  </si>
  <si>
    <t>C19, C24</t>
  </si>
  <si>
    <t>2.2u</t>
  </si>
  <si>
    <t>0805</t>
  </si>
  <si>
    <t>810-C2012X5R1A225K-2</t>
  </si>
  <si>
    <t>TDK C2012X5R1A225K085AA</t>
  </si>
  <si>
    <t>C31, C33, C35, C36, C37, C41</t>
  </si>
  <si>
    <t>598-AVE106M16B12T-F</t>
  </si>
  <si>
    <t>Cornell Dubilier AVE106M16B12T-F</t>
  </si>
  <si>
    <t>C28, C49</t>
  </si>
  <si>
    <t>Panasonic A</t>
  </si>
  <si>
    <t>647-UWX1C100MCL2</t>
  </si>
  <si>
    <t>Nichicon UWX1C100MCL2GB</t>
  </si>
  <si>
    <t>C1, C2, C4, C13, C27</t>
  </si>
  <si>
    <t>STM32F405RGT6</t>
  </si>
  <si>
    <t>TQFP64</t>
  </si>
  <si>
    <t>511-STM32F405RGT6</t>
  </si>
  <si>
    <t>ST STM32F405RGT6</t>
  </si>
  <si>
    <t>National LM1117MPX3.3/NOPB</t>
  </si>
  <si>
    <t>WM8731 audio codec</t>
  </si>
  <si>
    <t>SSOP28</t>
  </si>
  <si>
    <t>Wolfson micro WM8731SEDS/V</t>
  </si>
  <si>
    <t>IC9, IC10</t>
  </si>
  <si>
    <t>Texas Instruments or ST parts OK</t>
  </si>
  <si>
    <t>Q3</t>
  </si>
  <si>
    <t>Q4</t>
  </si>
  <si>
    <t>12.288 MHz quartz</t>
  </si>
  <si>
    <t>815-ABLS2-12.2-D4Y-T</t>
  </si>
  <si>
    <t>Abracon ABLS2-12.288MHZ-D4Y-T</t>
  </si>
  <si>
    <t>SW4, SW5</t>
  </si>
  <si>
    <t>Panasonic EVQ-Q2@03W (@: B, F, K, P, U, Y)</t>
  </si>
  <si>
    <t>R18, R19, R20, R43, R44, R45</t>
  </si>
  <si>
    <t>R42</t>
  </si>
  <si>
    <t>50k audio pot, dual gang</t>
  </si>
  <si>
    <t>652-PTV112-4420AA503</t>
  </si>
  <si>
    <t>Bourns PTV112-4420A-A503</t>
  </si>
  <si>
    <t>LED1, LED2, LED3, LED4</t>
  </si>
  <si>
    <t>LED 5mm, red &amp; green, diffused, common anode</t>
  </si>
  <si>
    <t>604-WP59EGW</t>
  </si>
  <si>
    <t>Kingbright WP59EGW</t>
  </si>
  <si>
    <t>Switch, On-mom, Green LED</t>
  </si>
  <si>
    <t>E-switch LP4OA1PBCTG</t>
  </si>
  <si>
    <t>- SW2, SW3</t>
  </si>
  <si>
    <t>JP1 ("FTDI Dongle")</t>
  </si>
  <si>
    <t>1x6 male header, 2.54mm pitch</t>
  </si>
  <si>
    <t>JP2 ("JTAG")</t>
  </si>
  <si>
    <t>JP3 (Power, "Red stripe")</t>
  </si>
  <si>
    <t>2x5 male header, 1.27mm pitch</t>
  </si>
  <si>
    <t>106.1 x 88.9 ; 2 layers</t>
  </si>
  <si>
    <t>Edges, v2.0</t>
  </si>
  <si>
    <t>R71, R72, R73, R74</t>
  </si>
  <si>
    <t>R3</t>
  </si>
  <si>
    <t>667-ERJ-3EKF3000V</t>
  </si>
  <si>
    <t>R6, R7, R20, R33, R43, R49, R62</t>
  </si>
  <si>
    <t>R1</t>
  </si>
  <si>
    <t>2k</t>
  </si>
  <si>
    <t>667-ERJ3EKF2001V</t>
  </si>
  <si>
    <t>R2, R9, R10, R15, R18, R45, R46, R53, R60</t>
  </si>
  <si>
    <t>R8, R12, R17, R23, R44, R47, R52, R58</t>
  </si>
  <si>
    <t>R11, R13, R35, R48</t>
  </si>
  <si>
    <t>667-ERJ3EKF3302V</t>
  </si>
  <si>
    <t>R39, R70</t>
  </si>
  <si>
    <t>R54</t>
  </si>
  <si>
    <t>82k</t>
  </si>
  <si>
    <t>652-CR0603FX-8202ELF</t>
  </si>
  <si>
    <t>R14, R21, R22, R24, R29, R30, R34, R36, R37, R38, R40, R50, R56, R57, R59, R66, R67</t>
  </si>
  <si>
    <t>R16, R19, R25, R26, R27, R28, R51, R55, R61, R63, R64, R65</t>
  </si>
  <si>
    <t>C16, C17, C42, C44</t>
  </si>
  <si>
    <t>C4, C6, C10, C12, C23, C26, C29, C31</t>
  </si>
  <si>
    <t>Was 81-GRM1885C1H101GA01J.</t>
  </si>
  <si>
    <t>C3, C5, C7, C11, C13, C14, C15, C20, C21, C22, C24, C27, C30, C34, C36, C37, C40, C41, C43, C45</t>
  </si>
  <si>
    <t>Was 81-GRM188R61C104KA01D.</t>
  </si>
  <si>
    <t>C1, C2, C32</t>
  </si>
  <si>
    <t>Was 81-GRM188F51C474ZA01J.</t>
  </si>
  <si>
    <t>C33, C35</t>
  </si>
  <si>
    <t>Was 81-GRM188R61A105KA61J.</t>
  </si>
  <si>
    <t>C8, C9, C25, C28</t>
  </si>
  <si>
    <t>C18, C19, C38, C39</t>
  </si>
  <si>
    <t>667-EEE-HC1E470XP</t>
  </si>
  <si>
    <t>EEEHC1E470XP</t>
  </si>
  <si>
    <t>D1, D2, D3</t>
  </si>
  <si>
    <t>IC11</t>
  </si>
  <si>
    <t>IC13</t>
  </si>
  <si>
    <t>MCP3208 octal 12-bit ADC</t>
  </si>
  <si>
    <t>579-MCP3208-BI/SL</t>
  </si>
  <si>
    <t>Microchip MCP3208-BI/SL</t>
  </si>
  <si>
    <t>IC15</t>
  </si>
  <si>
    <t>MCP4822 dual 12-bit DAC</t>
  </si>
  <si>
    <t>579-MCP4822-E/SN</t>
  </si>
  <si>
    <t>Microchip MCP4822-E/SN</t>
  </si>
  <si>
    <t>IC14</t>
  </si>
  <si>
    <t>National LM1117MPX3.3NOPB</t>
  </si>
  <si>
    <t>74AHC1G125 buffer, single gate</t>
  </si>
  <si>
    <t>SOT23-5</t>
  </si>
  <si>
    <t>595-SN74AHC1G125DBVR</t>
  </si>
  <si>
    <t>TI SN74AHC1G125DBV</t>
  </si>
  <si>
    <t>IC6, IC8</t>
  </si>
  <si>
    <t>74AHC1G86 XOR, single gate</t>
  </si>
  <si>
    <t>595-SN74AHC1G86DBVR</t>
  </si>
  <si>
    <t>TI SN74AHC1G86DBV</t>
  </si>
  <si>
    <t>IC3, IC4, IC10, IC12</t>
  </si>
  <si>
    <t>IC2, IC7, IC9</t>
  </si>
  <si>
    <t>IC16</t>
  </si>
  <si>
    <t>ATXMega32A4U-AU</t>
  </si>
  <si>
    <t>TQFP44</t>
  </si>
  <si>
    <t>556-ATXMEGA32A4U-AU</t>
  </si>
  <si>
    <t>Q1, Q2, Q3, Q4</t>
  </si>
  <si>
    <t>LED 3mm, green, round</t>
  </si>
  <si>
    <t>604-WP710A10GD</t>
  </si>
  <si>
    <t>Kingbright WP710A10GD ou L-710A10GD</t>
  </si>
  <si>
    <t>Support LED 10mm</t>
  </si>
  <si>
    <t>Ø 3mm, 10mm haut.</t>
  </si>
  <si>
    <t>MULTICOMP LED3-10</t>
  </si>
  <si>
    <t>J1, J2, J3, J4, J5, J6, J7, J8, J9, J10, J11, J12, J13, J14, J15, J16, J17</t>
  </si>
  <si>
    <t>815-ABL-8-B2</t>
  </si>
  <si>
    <t>R4, R5, R31, R32, R41, R42, R68, R69</t>
  </si>
  <si>
    <t>SW1, SW2, SW3</t>
  </si>
  <si>
    <t>Toggle switch, SPDT</t>
  </si>
  <si>
    <t>633-CS12ANW03</t>
  </si>
  <si>
    <t>SW4, SW5, SW6, SW7</t>
  </si>
  <si>
    <t>- SW4, SW5, SW6, SW7</t>
  </si>
  <si>
    <t>J19</t>
  </si>
  <si>
    <t>J20 (ISP)</t>
  </si>
  <si>
    <t>J18 (no label)</t>
  </si>
  <si>
    <t>97.8 x 102.8  ; 2 layers</t>
  </si>
  <si>
    <t>Elements v0.21</t>
  </si>
  <si>
    <t>R10</t>
  </si>
  <si>
    <t>667-ERJ-3EKF33R0V</t>
  </si>
  <si>
    <t>R1, R2, R88, R89</t>
  </si>
  <si>
    <t>R44, R47, R52, R53</t>
  </si>
  <si>
    <t>R58, R68, R74, R87</t>
  </si>
  <si>
    <t>6.8k</t>
  </si>
  <si>
    <t>667-ERJ-3EKF6801V</t>
  </si>
  <si>
    <t>R45, R50, R60</t>
  </si>
  <si>
    <t>R11, R12, R17, R18, R28, R29, R35, R46, R48, R49, R73</t>
  </si>
  <si>
    <t>20k</t>
  </si>
  <si>
    <t>667-ERJ-3EKF2002V</t>
  </si>
  <si>
    <t>R75, R86</t>
  </si>
  <si>
    <t>36k</t>
  </si>
  <si>
    <t>667-ERJ-3EKF3602V</t>
  </si>
  <si>
    <t>R27, R51, R59, R69, R72</t>
  </si>
  <si>
    <t>R13, R16, R19, R22, R30, R33, R36, R39, R40, R43, R54, R57, R67, R71</t>
  </si>
  <si>
    <t>R14, R15, R20, R21, R32, R38, R41, R42, R55, R56, R70</t>
  </si>
  <si>
    <t>667-ERJ-3EKF1203V</t>
  </si>
  <si>
    <t>R37</t>
  </si>
  <si>
    <t>R31</t>
  </si>
  <si>
    <t>C11, C12, C43, C49</t>
  </si>
  <si>
    <t>C54, C57</t>
  </si>
  <si>
    <t>Murata GRM185C1H221GA01D</t>
  </si>
  <si>
    <t>C14, C15, C19, C20, C24, C25, C26, C27, C28, C30, C41, C42, C50</t>
  </si>
  <si>
    <t>&gt;= 50V, &lt;= 5%</t>
  </si>
  <si>
    <t>3.3n</t>
  </si>
  <si>
    <t>81-GRM1885C1H332JA1D</t>
  </si>
  <si>
    <t>C2, C4, C5, C6, C7, C8, C13, C16, C18, C21, C22, C23, C29, C32, C33, C34, C37, C38, C39, C44, C45, C46, C47, C51</t>
  </si>
  <si>
    <t>C17, C36, C48</t>
  </si>
  <si>
    <t>C31, C35</t>
  </si>
  <si>
    <t>C40, C52, C53, C55, C56</t>
  </si>
  <si>
    <t>C1, C3, C9, C10</t>
  </si>
  <si>
    <t>IC2, IC4</t>
  </si>
  <si>
    <t>IC3, IC5, IC8, IC11</t>
  </si>
  <si>
    <t>CD4051 8-1 multiplexer</t>
  </si>
  <si>
    <t>TSSOP16</t>
  </si>
  <si>
    <t>595-CD4051BPWR</t>
  </si>
  <si>
    <t>CD4051BPWR</t>
  </si>
  <si>
    <t>IC6, IC7, IC13</t>
  </si>
  <si>
    <t>IC12</t>
  </si>
  <si>
    <t>LME49720 dual op-amp</t>
  </si>
  <si>
    <t>TI LME49720MA or LME49720MAX</t>
  </si>
  <si>
    <t>Q1</t>
  </si>
  <si>
    <t>&gt;= 2200 ohm</t>
  </si>
  <si>
    <t>710-742792693</t>
  </si>
  <si>
    <t>Wurth Electronics 742792693</t>
  </si>
  <si>
    <t>Q2</t>
  </si>
  <si>
    <t>J1, J2, J3, J4, J5, J6, J7, J8, J9, J10, J11, J12, J13, J14, J15, J16, J17, J18</t>
  </si>
  <si>
    <t>R76, R77, R78, R79, R80, R81, R82, R83, R84, R85</t>
  </si>
  <si>
    <t>R3, R4, R5, R6, R7, R8, R9, R23, R24, R25, R26, R61, R62, R63, R64, R65, R66</t>
  </si>
  <si>
    <t>LED1</t>
  </si>
  <si>
    <t>LED, turquoise</t>
  </si>
  <si>
    <t>696-SSL-LX5093TC</t>
  </si>
  <si>
    <t>Lumex SSL-LX5093TC</t>
  </si>
  <si>
    <t>LED2</t>
  </si>
  <si>
    <t>LED, rose fuschia</t>
  </si>
  <si>
    <t>696-SSL-LX5093PC</t>
  </si>
  <si>
    <t>Lumex SSL-LX5093PC</t>
  </si>
  <si>
    <t>E-switch LP4OA1PBCTG (équivalent)</t>
  </si>
  <si>
    <t>JP1 (“JTAG”)</t>
  </si>
  <si>
    <t>JP3 (“Power / Red stripe”)</t>
  </si>
  <si>
    <t>JP2 (“Serial”)</t>
  </si>
  <si>
    <t>PCB Specifications</t>
  </si>
  <si>
    <t>106.4 x 164.5 ; 2 layers</t>
  </si>
  <si>
    <t>Frames v0.3</t>
  </si>
  <si>
    <t>R6, R7, R8, R9, R11, R12, R13, R16, R19, R20, R21, R22</t>
  </si>
  <si>
    <t>652-CR0603FX-1000ELF</t>
  </si>
  <si>
    <t>R17, R34, R35, R55, R56</t>
  </si>
  <si>
    <t>510</t>
  </si>
  <si>
    <t>652-CR0603FX-5100ELF</t>
  </si>
  <si>
    <t>R28, R39, R48, R51, R58, R61</t>
  </si>
  <si>
    <t>652-CR0603FX-1001ELF</t>
  </si>
  <si>
    <t>R24</t>
  </si>
  <si>
    <t>652-CR0603-FX3301ELF</t>
  </si>
  <si>
    <t>4.7k</t>
  </si>
  <si>
    <t>652-CR0603FX-4701ELF</t>
  </si>
  <si>
    <t>R1, R10, R23</t>
  </si>
  <si>
    <t>652-CR0603-FX-1002GLF</t>
  </si>
  <si>
    <t>R40</t>
  </si>
  <si>
    <t>652-CR0603FX-3302ELF</t>
  </si>
  <si>
    <t>R43</t>
  </si>
  <si>
    <t>652-CR0603FX-4992ELF</t>
  </si>
  <si>
    <t>R18, R27, R29, R30, R31, R32, R33, R36, R37, R38, R41, R44, R45, R46, R47, R49, R50, R52, R53, R54, R57, R59, R60, R62, R63, R64, R65</t>
  </si>
  <si>
    <t>652-CR0603-FX-1003GLF</t>
  </si>
  <si>
    <t>240k</t>
  </si>
  <si>
    <t>652-CR0603FX-2403ELF</t>
  </si>
  <si>
    <t>C1, C9, C23, C38, C39, C40, C44, C46</t>
  </si>
  <si>
    <t>C22, C27, C31, C42, C43</t>
  </si>
  <si>
    <t>C2, C3, C6, C7, C10, C13, C16, C24, C25, C26, C28, C29, C30, C34, C35, C36, C37, C41, C45, C47, C48</t>
  </si>
  <si>
    <t>C12</t>
  </si>
  <si>
    <t>C17, C18, C19, C20</t>
  </si>
  <si>
    <t>&gt;= 6.3V, &lt;= 10%</t>
  </si>
  <si>
    <t>81-GRM185C81A105KE6D</t>
  </si>
  <si>
    <t>GRM185C81A105KE36D</t>
  </si>
  <si>
    <t>C8, C14</t>
  </si>
  <si>
    <t>3.3u</t>
  </si>
  <si>
    <t>81-GRM188R61A335KE5D</t>
  </si>
  <si>
    <t>Murata GRM188R61A335KE15D</t>
  </si>
  <si>
    <t>C5, C11, C15</t>
  </si>
  <si>
    <t>C4, C21</t>
  </si>
  <si>
    <t>D3</t>
  </si>
  <si>
    <t>BAT54S diode</t>
  </si>
  <si>
    <t>IC1, IC4</t>
  </si>
  <si>
    <t>DAC124S085C DAC</t>
  </si>
  <si>
    <t>MSOP10</t>
  </si>
  <si>
    <t>926-DAC124S085CIMMNO</t>
  </si>
  <si>
    <t>Texas Instruments DAC124S085CIMM/NOPB</t>
  </si>
  <si>
    <t>IC6, IC7, IC8, IC9, IC11, IC12, IC13</t>
  </si>
  <si>
    <t>TI TL072CD</t>
  </si>
  <si>
    <t>P1, P2</t>
  </si>
  <si>
    <t>PJ-301-B</t>
  </si>
  <si>
    <t>R15</t>
  </si>
  <si>
    <t>10k linear pot, 15mm shaft, center detent</t>
  </si>
  <si>
    <t>R2, R3, R4, R5, R14</t>
  </si>
  <si>
    <t>LED5</t>
  </si>
  <si>
    <t>LED 5mm RGB</t>
  </si>
  <si>
    <t>604-WP154A4SUREQBFZG</t>
  </si>
  <si>
    <t>Kingbright WP154A4SUREQBFZGWC “water clear”</t>
  </si>
  <si>
    <t>LED6</t>
  </si>
  <si>
    <t>LED 5mm, green</t>
  </si>
  <si>
    <t>604-WP7113SGD</t>
  </si>
  <si>
    <t>Kingbright WP7113SGD</t>
  </si>
  <si>
    <t>SW3, SW4</t>
  </si>
  <si>
    <t>Push-button, round cap, black</t>
  </si>
  <si>
    <t>611-D6R90LFS</t>
  </si>
  <si>
    <t>C&amp;K D6R90 F1 LFS</t>
  </si>
  <si>
    <t>SW5</t>
  </si>
  <si>
    <t>1x3 male header, 2.54mm pitch</t>
  </si>
  <si>
    <t>649-77311-118-03LF</t>
  </si>
  <si>
    <t>JP4</t>
  </si>
  <si>
    <t>Jumper</t>
  </si>
  <si>
    <t>2.54 Shunt jumper</t>
  </si>
  <si>
    <t>517-9691020000DA</t>
  </si>
  <si>
    <t>101.6 x 88.9 ; 2 layers</t>
  </si>
  <si>
    <t>Grids v0.2</t>
  </si>
  <si>
    <t>R4, R39, R40, R41</t>
  </si>
  <si>
    <t>R43, R44, R45, R47, R48, R49</t>
  </si>
  <si>
    <t>R3, R6, R7, R8</t>
  </si>
  <si>
    <t>R9, R11, R13, R14, R15, R16, R17, R18, R19, R20, R21, R22, R23, R24, R27, R28, R29, R30, R31, R32, R33, R34, R35, R36, R37, R38</t>
  </si>
  <si>
    <t>R10, R12</t>
  </si>
  <si>
    <t>C2, C7</t>
  </si>
  <si>
    <t>C10, C12, C14, C15, C16, C17</t>
  </si>
  <si>
    <t>10n</t>
  </si>
  <si>
    <t>81-GRM18R71H103JA01D</t>
  </si>
  <si>
    <t>C3, C4, C5, C6, C9, C11, C13, C18</t>
  </si>
  <si>
    <t>C1, C19</t>
  </si>
  <si>
    <t>Panasonic EEEFP1E220AR</t>
  </si>
  <si>
    <t>ATMega328p</t>
  </si>
  <si>
    <t>556-ATMEGA328P-AU</t>
  </si>
  <si>
    <t>ATMEGA328P-AU</t>
  </si>
  <si>
    <t>IC3, IC4, IC5</t>
  </si>
  <si>
    <t>Quartz, 20 MHz</t>
  </si>
  <si>
    <t>815-ABLS2-20-D4Y-T</t>
  </si>
  <si>
    <t>Abracon ABLS2-20.000MHZ-D4Y-T</t>
  </si>
  <si>
    <t>Q2, Q3</t>
  </si>
  <si>
    <t>LED2, LED3, LED4</t>
  </si>
  <si>
    <t>LED 3mm, green, flat top</t>
  </si>
  <si>
    <t>604-WP424GDT</t>
  </si>
  <si>
    <t>Kingbright WP424GDT / L-424GDT</t>
  </si>
  <si>
    <t>Ø 3mm, 10mm</t>
  </si>
  <si>
    <t>R1, R2, R5, R25, R26, R42, R46</t>
  </si>
  <si>
    <t>SW1 + LED1</t>
  </si>
  <si>
    <t>J1, J2, J3, J4, J5, J6, J7, J8, J9, J10, J11, J12, J13, J14</t>
  </si>
  <si>
    <t>J16</t>
  </si>
  <si>
    <t>J15</t>
  </si>
  <si>
    <t>80 x 102.9 ; 2 layers</t>
  </si>
  <si>
    <t>Kinks, v4.1</t>
  </si>
  <si>
    <t>R12, R13, R14, R22, R23, R34, R35</t>
  </si>
  <si>
    <t>667-ERJ-2RKF1800X</t>
  </si>
  <si>
    <t>R10, R19, R31</t>
  </si>
  <si>
    <t>&gt;= 100mW</t>
  </si>
  <si>
    <t>667-ERJ-2RKF1001X</t>
  </si>
  <si>
    <t>667-ERJ-2RKF4701X</t>
  </si>
  <si>
    <t>R26, R30</t>
  </si>
  <si>
    <t>667-ERJ-2RKF1002X</t>
  </si>
  <si>
    <t>R1, R2, R6, R7, R9, R11</t>
  </si>
  <si>
    <t>Resistor, 0.1%</t>
  </si>
  <si>
    <t>279-CPF0402B200KE1</t>
  </si>
  <si>
    <t>R15, R16, R17, R18</t>
  </si>
  <si>
    <t>220k</t>
  </si>
  <si>
    <t>667-ERJ-2RKF2203X</t>
  </si>
  <si>
    <t>R3, R4, R5, R8, R28, R29, R36</t>
  </si>
  <si>
    <t>667-ERA-2AEB104X</t>
  </si>
  <si>
    <t>R33</t>
  </si>
  <si>
    <t>470k</t>
  </si>
  <si>
    <t>667-ERJ-2RKF4703X</t>
  </si>
  <si>
    <t>R20, R21, R25, R32, R37</t>
  </si>
  <si>
    <t>667-ERJ-2RKF1004X</t>
  </si>
  <si>
    <t>R27</t>
  </si>
  <si>
    <t>Resistor, 5%</t>
  </si>
  <si>
    <t>1.5M</t>
  </si>
  <si>
    <t>667-ERJ-2GEJ155X</t>
  </si>
  <si>
    <t>&gt;= 50V, &lt;= 5%, C0G</t>
  </si>
  <si>
    <t>81-GRM1555C1H101JA1D</t>
  </si>
  <si>
    <t>Murata GRM1555C1H101JA01D</t>
  </si>
  <si>
    <t>C11</t>
  </si>
  <si>
    <t>&gt;= 25V, &lt;= 5%, C0G</t>
  </si>
  <si>
    <t>810-CGA3E1C0G2A103J8</t>
  </si>
  <si>
    <t>TDK CGA3E1C0G2A103J080AC</t>
  </si>
  <si>
    <t>C3, C4, C7, C8, C10</t>
  </si>
  <si>
    <t>81-GRM155R61E104KA7D</t>
  </si>
  <si>
    <t>Murata GRM155R61E104KA87D</t>
  </si>
  <si>
    <t>C9, C13</t>
  </si>
  <si>
    <t>Capacitor, tantalum</t>
  </si>
  <si>
    <t>4.7u</t>
  </si>
  <si>
    <t>647-F981C475MMA</t>
  </si>
  <si>
    <t>AVX F981C475MMA</t>
  </si>
  <si>
    <t>C1, C2, C5, C6</t>
  </si>
  <si>
    <t>Murata GRM21BR61E226ME44L</t>
  </si>
  <si>
    <t>Schottky diode PMEG2010AEB</t>
  </si>
  <si>
    <t>Vf &lt;= 0.5V @ 20mA</t>
  </si>
  <si>
    <t>SOD523</t>
  </si>
  <si>
    <t>771-PMEG2010AEBT/R</t>
  </si>
  <si>
    <t>NXP PMEG2010AEB,115</t>
  </si>
  <si>
    <t>D3, D4, D5, D6, D7, D8, D9, D10, D11, D12</t>
  </si>
  <si>
    <t>Silicon diode 1N4148</t>
  </si>
  <si>
    <t>512-1N4148WT</t>
  </si>
  <si>
    <t>Fairchild Semi 1N4148WT</t>
  </si>
  <si>
    <t>IC1, IC3</t>
  </si>
  <si>
    <t>595-TL074CPWR</t>
  </si>
  <si>
    <t>Texas Instruments TL074CPW</t>
  </si>
  <si>
    <t>IC2, IC5</t>
  </si>
  <si>
    <t>LM321 single op-amp</t>
  </si>
  <si>
    <t>926-LM321MFX/NOPB</t>
  </si>
  <si>
    <t>Texas Instruments LM321MFX/NOPB</t>
  </si>
  <si>
    <t>OPA4171 quad op-amp</t>
  </si>
  <si>
    <t>595-OPA4171AIPW</t>
  </si>
  <si>
    <t>Texas Instruments OPA4171AIPW</t>
  </si>
  <si>
    <t>&gt;= 1k ohm, 300mA</t>
  </si>
  <si>
    <t>SOT23-3</t>
  </si>
  <si>
    <t>N-channel JFET MMBFJ309</t>
  </si>
  <si>
    <t>512-MMBFJ309</t>
  </si>
  <si>
    <t>Fairchild Semi MMBFJ309</t>
  </si>
  <si>
    <t>LED1, LED2, LED3</t>
  </si>
  <si>
    <t>19.0 x 108.4</t>
  </si>
  <si>
    <t>Links, v4.0</t>
  </si>
  <si>
    <t>R2, R4, R5, R12, R13, R21</t>
  </si>
  <si>
    <t>667-ERJ-3EKF51R0V</t>
  </si>
  <si>
    <t>R3, R11, R19</t>
  </si>
  <si>
    <t>667-ERJ3-EKF1001V</t>
  </si>
  <si>
    <t>R6, R7, R8, R9, R10, R14, R16, R17, R18, R20</t>
  </si>
  <si>
    <t>Resistor, 0.1%, Thin film</t>
  </si>
  <si>
    <t>10M</t>
  </si>
  <si>
    <t>603-RC0603FR-0710ML</t>
  </si>
  <si>
    <t>C6, C9</t>
  </si>
  <si>
    <t>&gt;= 16V, &lt;= 5%, C0G</t>
  </si>
  <si>
    <t>10p</t>
  </si>
  <si>
    <t>81-GRM185C1H100JA01J</t>
  </si>
  <si>
    <t>C3, C4, C5, C7, C8, C10</t>
  </si>
  <si>
    <t>Panasonic A (3mm dia)</t>
  </si>
  <si>
    <t>647-UWX1E4R7MCL2</t>
  </si>
  <si>
    <t>Nichicon UWX1E4R7MCL2GB</t>
  </si>
  <si>
    <t>595-TL072CPWR</t>
  </si>
  <si>
    <t>Texas Instruments TL072CPW</t>
  </si>
  <si>
    <t>IC3, IC5</t>
  </si>
  <si>
    <t>LED holder, 3mm LED, 10mm height</t>
  </si>
  <si>
    <t>19.0 x 108.4 ; 2 layers</t>
  </si>
  <si>
    <t>Peaks v3.1</t>
  </si>
  <si>
    <t>R10, R23</t>
  </si>
  <si>
    <t>652-CR0603FX-33R0ELF</t>
  </si>
  <si>
    <t>R2, R4, R6, R7, R8</t>
  </si>
  <si>
    <t>R20, R31</t>
  </si>
  <si>
    <t>R9, R25</t>
  </si>
  <si>
    <t>R3, R13, R16, R28</t>
  </si>
  <si>
    <t>R12, R14, R17, R22, R24, R26</t>
  </si>
  <si>
    <t>652-CR0603FX-3902ELF</t>
  </si>
  <si>
    <t>R15, R27</t>
  </si>
  <si>
    <t>R18, R29</t>
  </si>
  <si>
    <t>249k</t>
  </si>
  <si>
    <t>652-CR0603FX-2493ELF</t>
  </si>
  <si>
    <t>R19, R30</t>
  </si>
  <si>
    <t>309k</t>
  </si>
  <si>
    <t>667-ERJ-3EKF3093V</t>
  </si>
  <si>
    <t>C6, C7, C17, C23</t>
  </si>
  <si>
    <t>C14, C15, C19, C20</t>
  </si>
  <si>
    <t>&gt;= 16V, &lt;= 2%, C0G</t>
  </si>
  <si>
    <t>C3, C5, C8, C9, C10, C12, C16, C18, C21, C24</t>
  </si>
  <si>
    <t>C11, C22</t>
  </si>
  <si>
    <t>C13</t>
  </si>
  <si>
    <t>C1, C2, C4</t>
  </si>
  <si>
    <t>DAC8552 dual 16-bit DAC</t>
  </si>
  <si>
    <t>595-DAC8552IDGKT</t>
  </si>
  <si>
    <t>Texas Instruments DAC8552IDGKT</t>
  </si>
  <si>
    <t>IC4, IC5</t>
  </si>
  <si>
    <t>OPA2171 dual op-amp</t>
  </si>
  <si>
    <t>595-OPA2171AID</t>
  </si>
  <si>
    <t>TI OPA2171AID</t>
  </si>
  <si>
    <t>SW3, SW5</t>
  </si>
  <si>
    <t>J1, J2, J3, J4</t>
  </si>
  <si>
    <t>LED1, LED2, LED3, LED4, LED5</t>
  </si>
  <si>
    <t>10mm</t>
  </si>
  <si>
    <t>R1, R5, R11, R21</t>
  </si>
  <si>
    <t>SW4, SW6</t>
  </si>
  <si>
    <t>38.7 x 106.7 ; 2 layers</t>
  </si>
  <si>
    <t>Rings, v3.0</t>
  </si>
  <si>
    <t>R2</t>
  </si>
  <si>
    <t>R1, R3, R4, R5</t>
  </si>
  <si>
    <t>667-ERJ-3EKF1800V</t>
  </si>
  <si>
    <t>R55, R56</t>
  </si>
  <si>
    <t>R12, R16, R17</t>
  </si>
  <si>
    <t>R40, R43, R51</t>
  </si>
  <si>
    <t>R6, R7, R8</t>
  </si>
  <si>
    <t>R18, R25, R26, R31, R32</t>
  </si>
  <si>
    <t>R27, R54</t>
  </si>
  <si>
    <t>R13, R33, R38, R39, R41, R42, R44</t>
  </si>
  <si>
    <t>R11, R14, R19, R21, R22, R34, R35, R52</t>
  </si>
  <si>
    <t>R20, R23, R24, R36, R37</t>
  </si>
  <si>
    <t>R57</t>
  </si>
  <si>
    <t>667-ERJ-3EKF4703V</t>
  </si>
  <si>
    <t>R53</t>
  </si>
  <si>
    <t>R50</t>
  </si>
  <si>
    <t>Resistor, &lt;=5%</t>
  </si>
  <si>
    <t>3.3M</t>
  </si>
  <si>
    <t>667-ERJ-3GEYJ335V</t>
  </si>
  <si>
    <t>C4, C5, C23, C24, C42, C43</t>
  </si>
  <si>
    <t>C49</t>
  </si>
  <si>
    <t>C14, C29</t>
  </si>
  <si>
    <t>2.2n</t>
  </si>
  <si>
    <t>81-GRM1885C1H222JA1J</t>
  </si>
  <si>
    <t>Murata GRM1885C1H222JA01J</t>
  </si>
  <si>
    <t>C26, C28, C36, C38</t>
  </si>
  <si>
    <t>Murata GRM188R71H103JA01D</t>
  </si>
  <si>
    <t>C6, C9, C10, C11, C13, C15, C17, C19, C20, C25, C27, C31, C35, C37, C39, C44, C45, C47, C48</t>
  </si>
  <si>
    <t>C7, C18, C30</t>
  </si>
  <si>
    <t>C16, C22</t>
  </si>
  <si>
    <t>C12, C21, C32, C33, C34, C40, C41, C46</t>
  </si>
  <si>
    <t>C1</t>
  </si>
  <si>
    <t>C2, C3, C8</t>
  </si>
  <si>
    <t>Capa 18pF</t>
  </si>
  <si>
    <t>Fairchild MMBT3904</t>
  </si>
  <si>
    <t>L1, L2, L3</t>
  </si>
  <si>
    <t>J1, J2, J3, J4, J5, J6, J7, J8, J9, J10</t>
  </si>
  <si>
    <t>R45, R46, R47, R48, R49</t>
  </si>
  <si>
    <t>R9, R10, R28, R29, R30</t>
  </si>
  <si>
    <t>LED, Red/Green, 3 terminals, common K</t>
  </si>
  <si>
    <t>3 terminals</t>
  </si>
  <si>
    <t>604-WP115VEGW</t>
  </si>
  <si>
    <t>Kingbright WP115VEGW</t>
  </si>
  <si>
    <t>JP1 / JTAG</t>
  </si>
  <si>
    <t>JP2 / FTDI</t>
  </si>
  <si>
    <t>106.7 x 69.2</t>
  </si>
  <si>
    <t>Ripples, v4.0</t>
  </si>
  <si>
    <t>R3, R4, R10, R11</t>
  </si>
  <si>
    <t>R14, R17, R19, R21, R28, R32, R41, R46</t>
  </si>
  <si>
    <t>R36, R47</t>
  </si>
  <si>
    <t>15k</t>
  </si>
  <si>
    <t>667-ERJ3EKF1502V</t>
  </si>
  <si>
    <t>R16, R25</t>
  </si>
  <si>
    <t>667-ERJ3EKF2202V</t>
  </si>
  <si>
    <t>R23</t>
  </si>
  <si>
    <t>27k</t>
  </si>
  <si>
    <t>667-ERJ3EKF2702V</t>
  </si>
  <si>
    <t>R1, R2, R5, R6, R8, R12, R13, R43</t>
  </si>
  <si>
    <t>R27, R30, R44</t>
  </si>
  <si>
    <t>R22, R26, R34</t>
  </si>
  <si>
    <t>667-ERJ-P03F4702V</t>
  </si>
  <si>
    <t>62k</t>
  </si>
  <si>
    <t>667-ERJ-P03F6202V</t>
  </si>
  <si>
    <t>R9, R20, R29, R31, R35, R37, R38, R40, R42, R45</t>
  </si>
  <si>
    <t>300k</t>
  </si>
  <si>
    <t>667-ERJ3EKF3003V</t>
  </si>
  <si>
    <t>C22, C23, C26, C27</t>
  </si>
  <si>
    <t>Murata GRM1885C1H470GA01J</t>
  </si>
  <si>
    <t>C1, C4, C6, C9</t>
  </si>
  <si>
    <t>&gt;= 16V, Tol &lt; 2%</t>
  </si>
  <si>
    <t>C2, C3, C7, C8, C17, C18, C24</t>
  </si>
  <si>
    <t>C5, C10, C13, C15, C19, C20, C21, C28</t>
  </si>
  <si>
    <t>C11, C25</t>
  </si>
  <si>
    <t>220n</t>
  </si>
  <si>
    <t>81-GRM188R71C224KA1J</t>
  </si>
  <si>
    <t>Murata GRM188R71C224KA01J</t>
  </si>
  <si>
    <t>C16</t>
  </si>
  <si>
    <t>647-UWP1C4R7MCL</t>
  </si>
  <si>
    <t>Nichicon UWP1C4R7MCL1GB</t>
  </si>
  <si>
    <t>C12, C14</t>
  </si>
  <si>
    <t>D3, D4</t>
  </si>
  <si>
    <t>D5, D6</t>
  </si>
  <si>
    <t>1N4148 diode</t>
  </si>
  <si>
    <t>SOD323</t>
  </si>
  <si>
    <t>512-1N4148WS</t>
  </si>
  <si>
    <t>Fairchild 1N4148WS</t>
  </si>
  <si>
    <t>LM13700 dual OTA</t>
  </si>
  <si>
    <t>926-LM13700M/NOPB</t>
  </si>
  <si>
    <t>National LM13700M/NOPB</t>
  </si>
  <si>
    <t>IC5, IC6</t>
  </si>
  <si>
    <t>PNP transistor MMBT3906</t>
  </si>
  <si>
    <t>SOT23-BEC</t>
  </si>
  <si>
    <t>771-MMBT3906T/R</t>
  </si>
  <si>
    <t>NXP MMBT3906,215</t>
  </si>
  <si>
    <t>R7, R18, R33</t>
  </si>
  <si>
    <t>J1, J2, J3, J4, J5, J6, J7, J8, J9</t>
  </si>
  <si>
    <t>R100</t>
  </si>
  <si>
    <t>Trimmer resistor, 25 turns, horizontal adjust.</t>
  </si>
  <si>
    <t>5k</t>
  </si>
  <si>
    <t>81-PV36X502C01B00</t>
  </si>
  <si>
    <t>Murata PV36X502C01B00</t>
  </si>
  <si>
    <t>39.4 x 106.8 ; 2 layers</t>
  </si>
  <si>
    <t>Shades, v3.1</t>
  </si>
  <si>
    <t>R4, R11, R24, R28, R29, R30</t>
  </si>
  <si>
    <t>667-ERJ3-EKF1002V</t>
  </si>
  <si>
    <t>R1, R2, R5, R6, R7, R8, R9, R12, R13, R14, R15, R16, R17, R18, R19, R20, R22, R23, R25, R26</t>
  </si>
  <si>
    <t>Resistor, 0.1% thin film</t>
  </si>
  <si>
    <t>C5, C8, C14</t>
  </si>
  <si>
    <t>&lt;= 2%, &gt;= 25V</t>
  </si>
  <si>
    <t>22p</t>
  </si>
  <si>
    <t>81-GRM1885C1H220GA1J</t>
  </si>
  <si>
    <t>Murata GRM1885C1H220GA01J</t>
  </si>
  <si>
    <t>C3, C4, C6, C7, C9, C10, C11, C12, C13, C15</t>
  </si>
  <si>
    <t>Panasonic B (3mm dia)</t>
  </si>
  <si>
    <t>667-EEE-1EA100WR</t>
  </si>
  <si>
    <t>EEE-1EA100WR</t>
  </si>
  <si>
    <t>IC1, IC2, IC3, IC4</t>
  </si>
  <si>
    <t>IC7, IC8, IC9</t>
  </si>
  <si>
    <t>TI LM321MFX/NOPB</t>
  </si>
  <si>
    <t>R3, R10, R21</t>
  </si>
  <si>
    <t>JP2, JP3, JP4</t>
  </si>
  <si>
    <t>29.2 x 106.7 ; 2 layers</t>
  </si>
  <si>
    <t>Shelves v0.5</t>
  </si>
  <si>
    <t>R20, R21, R24, R25, R56, R57, R61, R64, R89, R90, R94, R97</t>
  </si>
  <si>
    <t>R2, R111, R112</t>
  </si>
  <si>
    <t>R22, R23, R50, R84, R113</t>
  </si>
  <si>
    <t>12k</t>
  </si>
  <si>
    <t>667-ERJ-3EKF1202V</t>
  </si>
  <si>
    <t>R13, R14, R51, R85</t>
  </si>
  <si>
    <t>18k</t>
  </si>
  <si>
    <t>667-ERJ-3EKF1802V</t>
  </si>
  <si>
    <t>R60, R93, R116</t>
  </si>
  <si>
    <t>R5, R6, R7, R8, R9, R10, R11, R12, R15, R16, R17, R18, R19, R32, R33, R35, R37, R38, R39, R40,
R41, R43, R47, R48, R49, R52, R53, R55, R58, R59, R66, R67, R71, R72, R73, R74, R75, R76, R77, R81,
R82, R83, R86, R87, R88, R91, R92, R98, R99, R102, R103, R104, R105, R108, R109, R110, R114, R115, R117, R118,
R120, R121, R122</t>
  </si>
  <si>
    <t>R26, R27, R30, R31, R44, R45, R78, R79</t>
  </si>
  <si>
    <t>R62, R95</t>
  </si>
  <si>
    <t>150k</t>
  </si>
  <si>
    <t>667-ERJ-3EKF1503V</t>
  </si>
  <si>
    <t>R28, R29, R46, R54, R70, R80, R106, R107</t>
  </si>
  <si>
    <t>R119</t>
  </si>
  <si>
    <t>667-ERJ-3EKF2203V</t>
  </si>
  <si>
    <t>R63, R96</t>
  </si>
  <si>
    <t>667-ERJ-3EKF1504V</t>
  </si>
  <si>
    <t>C6, C7, C25, C26, C40, C41</t>
  </si>
  <si>
    <t>68p</t>
  </si>
  <si>
    <t>81-GRM185C1H680FA01J</t>
  </si>
  <si>
    <t>Murata GRM1885C1H680FA01J</t>
  </si>
  <si>
    <t>C10, C11, C14, C15, C16, C17, C18, C19, C23, C24, C29, C30, C32, C33, C34, C38, C39, C45, C46, C47, C48, C49</t>
  </si>
  <si>
    <t>C3, C4, C5, C8, C9, C12, C13, C20, C21, C22, C27, C28, C31, C35, C36, C37, C42, C43, C44, C50, C51, C52, C53, C54, C55, C56, C57</t>
  </si>
  <si>
    <t>C1, C2, C58</t>
  </si>
  <si>
    <t>D3, D4, D5, D6, D7, D8, D9, D10, D11, D12, D13, D14, D15, D16</t>
  </si>
  <si>
    <t>IC5, IC8, IC11</t>
  </si>
  <si>
    <t>IC3, IC12, IC13, IC14</t>
  </si>
  <si>
    <t>IC4, IC6, IC7, IC9, IC10</t>
  </si>
  <si>
    <t>LED 3mm, red</t>
  </si>
  <si>
    <t>604-WP710A10ID</t>
  </si>
  <si>
    <t>R42, R65</t>
  </si>
  <si>
    <t>652-PTV09A-4025UB103</t>
  </si>
  <si>
    <t>R3, R4, R34, R36, R68, R69, R100, R101</t>
  </si>
  <si>
    <t>JP11</t>
  </si>
  <si>
    <t>JP5+JP7, JP6+JP13</t>
  </si>
  <si>
    <t>2x3 male header, 2.54mm pitch</t>
  </si>
  <si>
    <t>107.6 x 78.7 ; 2 layers</t>
  </si>
  <si>
    <t>Shelves expander v1.0</t>
  </si>
  <si>
    <t>R1, R2, R3, R4, R5, R6</t>
  </si>
  <si>
    <t>14.6 x 105.7 ; 2 layers</t>
  </si>
  <si>
    <t>Streams v0.5</t>
  </si>
  <si>
    <t>R31, R38, R40, R41, R43, R45, R47, R48, R50, R55</t>
  </si>
  <si>
    <t>667-ERJ-3EKF5100V</t>
  </si>
  <si>
    <t>R6, R7, R16, R17, R46, R61, R62</t>
  </si>
  <si>
    <t>R4, R5</t>
  </si>
  <si>
    <t>R8, R57</t>
  </si>
  <si>
    <t>R1, R20, R21</t>
  </si>
  <si>
    <t>R29, R30</t>
  </si>
  <si>
    <t>14k</t>
  </si>
  <si>
    <t>667-ERJ-3EKF1402V</t>
  </si>
  <si>
    <t>R18, R19, R22, R23</t>
  </si>
  <si>
    <t>R60, R63</t>
  </si>
  <si>
    <t>667-ERJ-3EKF2492V</t>
  </si>
  <si>
    <t>R12, R13, R25, R28, R34, R35, R39, R42, R49, R51, R52, R53, R54, R56, R58, R59</t>
  </si>
  <si>
    <t>R9, R10, R24, R26</t>
  </si>
  <si>
    <t>R37, R44</t>
  </si>
  <si>
    <t>R64, R65</t>
  </si>
  <si>
    <t>71-CRCW0603-10M-E3</t>
  </si>
  <si>
    <t>C5, C12</t>
  </si>
  <si>
    <t>C30, C31, C40, C43, C52, C53</t>
  </si>
  <si>
    <t>33p</t>
  </si>
  <si>
    <t>81-GRM39C330G50</t>
  </si>
  <si>
    <t>Murata GRM1885C1H330GA01D</t>
  </si>
  <si>
    <t>C36, C37, C38, C42, C50, C51, C54, C55</t>
  </si>
  <si>
    <t>C18, C19, C22, C23, C26, C27</t>
  </si>
  <si>
    <t>C20, C21</t>
  </si>
  <si>
    <t>&gt;= 25V, &lt;= 5%</t>
  </si>
  <si>
    <t>81-GRM18R71E103JA01D</t>
  </si>
  <si>
    <t>Murata GRM18R71E103JA01D</t>
  </si>
  <si>
    <t>C1, C3, C4, C8, C10, C13, C14, C17, C25, C29, C32, C33, C34, C35, C39, C41, C44, C45, C46, C47, C48, C49, C56</t>
  </si>
  <si>
    <t>C6, C7</t>
  </si>
  <si>
    <t>&lt;= 10%, X5R</t>
  </si>
  <si>
    <t>680n</t>
  </si>
  <si>
    <t>81-GRM188R71A684KA1D</t>
  </si>
  <si>
    <t>Murata GRM188R71A684KA61D</t>
  </si>
  <si>
    <t>C9, C15</t>
  </si>
  <si>
    <t>C2, C24, C28</t>
  </si>
  <si>
    <t>667-EEE-HA1C220WR</t>
  </si>
  <si>
    <t>EEE-HA1C220WR</t>
  </si>
  <si>
    <t>D3, D6</t>
  </si>
  <si>
    <t>D4, D5</t>
  </si>
  <si>
    <t>IC8, IC9</t>
  </si>
  <si>
    <t>IC11, IC12</t>
  </si>
  <si>
    <t>2x3 female header, 2.54mm pitch, bottom entry</t>
  </si>
  <si>
    <t>517-9662062000ARPR</t>
  </si>
  <si>
    <t>4UCON 13102</t>
  </si>
  <si>
    <t>R27, R36</t>
  </si>
  <si>
    <t>R2, R3, R14, R15</t>
  </si>
  <si>
    <t>R32, R33</t>
  </si>
  <si>
    <t>50k linear pot, 15mm shaft</t>
  </si>
  <si>
    <t>- SW1, SW2, SW3</t>
  </si>
  <si>
    <t>JP6</t>
  </si>
  <si>
    <t>JP7</t>
  </si>
  <si>
    <t>107.6 x 58.7 ; 2 layers</t>
  </si>
  <si>
    <t>Streams bargraph v0.2</t>
  </si>
  <si>
    <t>R1, R2, R3, R4, R5, R6, R7, R8, R9, R10, R11, R12, R13, R14, R15, R16</t>
  </si>
  <si>
    <t>667-ERJ3EKF1500V</t>
  </si>
  <si>
    <t>MCP23S17E/SS I/O expander</t>
  </si>
  <si>
    <t>579-MCP23S17-E/SS</t>
  </si>
  <si>
    <t>C2, C3, C4</t>
  </si>
  <si>
    <t>LED1, LED2, LED3, LED4, LED5, LED6, LED7, LED8</t>
  </si>
  <si>
    <t>24.8 x 25.1 ; 2 layers</t>
  </si>
  <si>
    <t>Tides, v4.0</t>
  </si>
  <si>
    <t>R2, R3, R4, R7, R9, R10, R22, R24</t>
  </si>
  <si>
    <t>652-CR0603FX-2700ELF</t>
  </si>
  <si>
    <t>R8</t>
  </si>
  <si>
    <t>2.49k</t>
  </si>
  <si>
    <t>652-CR0603FX-2491ELF</t>
  </si>
  <si>
    <t>R60</t>
  </si>
  <si>
    <t>652-CR0805FX-2491ELF</t>
  </si>
  <si>
    <t>R12, R50, R52</t>
  </si>
  <si>
    <t>R51, R53</t>
  </si>
  <si>
    <t>R1, R11, R47, R48, R49, R57, R58</t>
  </si>
  <si>
    <t>652-CR0603FX-2002ELF</t>
  </si>
  <si>
    <t>652-CR0603FX-2702ELF</t>
  </si>
  <si>
    <t>R20</t>
  </si>
  <si>
    <t>30k</t>
  </si>
  <si>
    <t>652-CR0603FX-3002ELF</t>
  </si>
  <si>
    <t>R13, R15, R28, R33, R40</t>
  </si>
  <si>
    <t>R45</t>
  </si>
  <si>
    <t>R14, R16, R26, R29, R30, R31, R32, R36, R38, R39, R41, R42, R44, R54, R55, R56</t>
  </si>
  <si>
    <t>R23, R35, R43</t>
  </si>
  <si>
    <t>652-CR0603FX-1203ELF</t>
  </si>
  <si>
    <t>R21, R25</t>
  </si>
  <si>
    <t>652-CR0603FX-2203ELF</t>
  </si>
  <si>
    <t>R46</t>
  </si>
  <si>
    <t>71-CRCW06033M30FKEA</t>
  </si>
  <si>
    <t>C2, C17</t>
  </si>
  <si>
    <t>C19, C21, C22, C23</t>
  </si>
  <si>
    <t>C27, C31, C34</t>
  </si>
  <si>
    <t>C28, C29, C32</t>
  </si>
  <si>
    <t>C4, C5, C6, C7, C12, C14, C16, C18, C20, C24, C25, C30, C33</t>
  </si>
  <si>
    <t>C13, C26</t>
  </si>
  <si>
    <t>C11, C15</t>
  </si>
  <si>
    <t>C1, C8, C9</t>
  </si>
  <si>
    <t>C3, C10</t>
  </si>
  <si>
    <t>Q2, Q3, Q4, Q5, Q6</t>
  </si>
  <si>
    <t>J1, J2, J3, J4, J5, J6, J7, J8, J9, J10, J11, J12, J13</t>
  </si>
  <si>
    <t>R5, R17, R18, R19</t>
  </si>
  <si>
    <t>R6</t>
  </si>
  <si>
    <t>R59</t>
  </si>
  <si>
    <t>Trimmer resistor, 25 turns, side adjust.</t>
  </si>
  <si>
    <t>50k</t>
  </si>
  <si>
    <t>81-PV36X503C01B00</t>
  </si>
  <si>
    <t>Murata PV36X503C01B00</t>
  </si>
  <si>
    <t>69.2 x 106.7 ; 2 layers</t>
  </si>
  <si>
    <t>Warps, v3.0</t>
  </si>
  <si>
    <t>R3, R4, R5</t>
  </si>
  <si>
    <t>667-ERJ-3EKF1000V</t>
  </si>
  <si>
    <t>R21, R22</t>
  </si>
  <si>
    <t>R42, R43</t>
  </si>
  <si>
    <t>R24, R25</t>
  </si>
  <si>
    <t>R29, R34, R36, R39</t>
  </si>
  <si>
    <t>R2, R14</t>
  </si>
  <si>
    <t>R15, R16</t>
  </si>
  <si>
    <t>R12, R13, R37, R38</t>
  </si>
  <si>
    <t>R28, R30, R31, R33</t>
  </si>
  <si>
    <t>R8, R9, R17, R18</t>
  </si>
  <si>
    <t>R10, R11</t>
  </si>
  <si>
    <t>R19, R20, R32, R35</t>
  </si>
  <si>
    <t>C10, C11, C26, C35, C38, C41</t>
  </si>
  <si>
    <t>C44, C45</t>
  </si>
  <si>
    <t>C7, C8, C12, C14</t>
  </si>
  <si>
    <t>4.7n</t>
  </si>
  <si>
    <t>81-GRM1885C1H472JA1D</t>
  </si>
  <si>
    <t>Murata GRM1885C1H472JA01D</t>
  </si>
  <si>
    <t>C5, C6, C9, C13, C16, C17, C18, C20, C21, C24, C25, C28, C30, C31, C33, C34, C40, C42</t>
  </si>
  <si>
    <t>C15, C27</t>
  </si>
  <si>
    <t>C19, C22</t>
  </si>
  <si>
    <t>C23, C29, C32, C36, C37, C39, C43</t>
  </si>
  <si>
    <t>C1, C2, C3, C4</t>
  </si>
  <si>
    <t>R26, R27</t>
  </si>
  <si>
    <t>R7, R23</t>
  </si>
  <si>
    <t>Kingbright WP154A4SUREQBFZG</t>
  </si>
  <si>
    <t>SW3</t>
  </si>
  <si>
    <t>- SW3</t>
  </si>
  <si>
    <t>48.9 x 106.7 ; 2 layers</t>
  </si>
  <si>
    <t>Veils, v4.0a</t>
  </si>
  <si>
    <t>R2, R8, R13, R18, R21, R22, R24, R35, R41, R47, R53, R58, R61, R62, R65, R77</t>
  </si>
  <si>
    <t>667-ERJ-2RKF5100X</t>
  </si>
  <si>
    <t>R6, R38, R45, R78</t>
  </si>
  <si>
    <t>667-ERJ-2RKF1201X</t>
  </si>
  <si>
    <t>R74</t>
  </si>
  <si>
    <t>3.6k</t>
  </si>
  <si>
    <t>667-ERJ-2RKF3601X</t>
  </si>
  <si>
    <t>R5, R9, R10, R30, R31, R32, R34, R44, R48, R49, R50, R71, R73, R75</t>
  </si>
  <si>
    <t>5.1k</t>
  </si>
  <si>
    <t>667-ERJ-2RKF5101X</t>
  </si>
  <si>
    <t>R4, R36, R43</t>
  </si>
  <si>
    <t>667-ERJ-2RKF5601X</t>
  </si>
  <si>
    <t>R16, R39, R56, R64, R72</t>
  </si>
  <si>
    <t>24k</t>
  </si>
  <si>
    <t>667-ERJ-2RKF2402X</t>
  </si>
  <si>
    <t>R7, R11, R14, R25, R33, R37, R46, R51, R54, R66, R76, R79</t>
  </si>
  <si>
    <t>667-ERJ-2RKF1003X</t>
  </si>
  <si>
    <t>R17, R23, R57, R63</t>
  </si>
  <si>
    <t>667-ERJ-2RKF4992X</t>
  </si>
  <si>
    <t>R12, R15, R26, R27, R52, R55, R67, R68</t>
  </si>
  <si>
    <t>R19, R20, R59, R60</t>
  </si>
  <si>
    <t>20M</t>
  </si>
  <si>
    <t>603-RC0402JR-0720ML</t>
  </si>
  <si>
    <t>C5, C18, C25, C38, C41, C42, C43, C44</t>
  </si>
  <si>
    <t>&gt;= 25V, &lt;=5%</t>
  </si>
  <si>
    <t>81-GCM1555C1H470JA6D</t>
  </si>
  <si>
    <t>C6, C17, C26, C37</t>
  </si>
  <si>
    <t>C9, C10, C13, C14, C29, C30, C33, C34</t>
  </si>
  <si>
    <t>81-GRM1555C1H561JA1D</t>
  </si>
  <si>
    <t>Murata GRM1555C1H561JA01D</t>
  </si>
  <si>
    <t>C3, C4, C7, C8, C11, C15, C19, C20, C23, C24, C27, C28, C31, C35, C39, C40</t>
  </si>
  <si>
    <t>C12, C16, C32, C36</t>
  </si>
  <si>
    <t>810-C1005X5R1E474K</t>
  </si>
  <si>
    <t>TDK C1005X5R1E474K050B</t>
  </si>
  <si>
    <t>C1, C2, C21, C22</t>
  </si>
  <si>
    <t>667-EEE-FT1E220AR</t>
  </si>
  <si>
    <t>EEE-FT1E220AR</t>
  </si>
  <si>
    <t>IC3, IC7</t>
  </si>
  <si>
    <t>IC1, IC4, IC5, IC10</t>
  </si>
  <si>
    <t>OPA1654 Quad op-amp</t>
  </si>
  <si>
    <t>595-OPA1654AIPW</t>
  </si>
  <si>
    <t>Texas Instruments OPA1654AIPWR</t>
  </si>
  <si>
    <t>IC2, IC6</t>
  </si>
  <si>
    <t>LM358 Dual op-amp</t>
  </si>
  <si>
    <t>595-LM358APWR</t>
  </si>
  <si>
    <t>Texas Instruments LM358APWR</t>
  </si>
  <si>
    <t>Texas Instruments LM4040C25IDBZR</t>
  </si>
  <si>
    <t>Texas Instruments LM4040C10IDBZR</t>
  </si>
  <si>
    <t>LED holder, 6mm</t>
  </si>
  <si>
    <t>534-8906</t>
  </si>
  <si>
    <t>Keystone 8906</t>
  </si>
  <si>
    <t>R1, R28, R40, R69</t>
  </si>
  <si>
    <t>R3, R29, R42, R70</t>
  </si>
  <si>
    <t>Yarns v0.3</t>
  </si>
  <si>
    <t>R39, R40</t>
  </si>
  <si>
    <t>51</t>
  </si>
  <si>
    <t>652-CR0603FX-51R0ELF</t>
  </si>
  <si>
    <t>R2, R3, R4, R5, R6, R7, R8, R10, R11, R12, R13, R14, R15, R16, R33, R36, R41, R42</t>
  </si>
  <si>
    <t>R1, R9, R24, R25, R30, R31, R32, R34, R38, R43</t>
  </si>
  <si>
    <t>R17</t>
  </si>
  <si>
    <t>R18, R19, R20, R21, R22, R23</t>
  </si>
  <si>
    <t>652-CR0603FX-4702ELF</t>
  </si>
  <si>
    <t>R26, R27, R28, R29</t>
  </si>
  <si>
    <t>C7, C10</t>
  </si>
  <si>
    <t>C14, C16, C21, C22</t>
  </si>
  <si>
    <t>81-GRM1885C1H180GA</t>
  </si>
  <si>
    <t>C2, C5, C6, C8, C9, C11, C13, C18, C19, C20, C23, C27</t>
  </si>
  <si>
    <t>C17</t>
  </si>
  <si>
    <t>603</t>
  </si>
  <si>
    <t>C25, C26</t>
  </si>
  <si>
    <t>81-GRM188R61E105KA2J</t>
  </si>
  <si>
    <t>C15</t>
  </si>
  <si>
    <t>IC2, IC3</t>
  </si>
  <si>
    <t>DAC8564 quad 16-bit DAC</t>
  </si>
  <si>
    <t>595-DAC8564IDPW</t>
  </si>
  <si>
    <t>TI DAC8564IDPW</t>
  </si>
  <si>
    <t>REF02 5V reference</t>
  </si>
  <si>
    <t>5V</t>
  </si>
  <si>
    <t>595-REF02AU</t>
  </si>
  <si>
    <t>TI REF02AU</t>
  </si>
  <si>
    <t>OPA4171 quad op-amp, low offset</t>
  </si>
  <si>
    <t>595-OPA4171AIDR</t>
  </si>
  <si>
    <t>TI OPA4171AIDR</t>
  </si>
  <si>
    <t>IC7, IC8, IC10, IC11</t>
  </si>
  <si>
    <t>74AHCT1G125 buffer, single gate AHCT family</t>
  </si>
  <si>
    <t>595-SNAHCT1G125DBVR</t>
  </si>
  <si>
    <t>TI SN74AHCT1G125DBVR</t>
  </si>
  <si>
    <t>MCP1703 LDO Vref</t>
  </si>
  <si>
    <t>579-MCP1703T-5002ECB</t>
  </si>
  <si>
    <t>Microchip MCP1703T-5002E/CB</t>
  </si>
  <si>
    <t>SMT parts, bottom side</t>
  </si>
  <si>
    <t>R35</t>
  </si>
  <si>
    <t>220</t>
  </si>
  <si>
    <t>652-CR0603FX-2200ELF</t>
  </si>
  <si>
    <t>C3, C12</t>
  </si>
  <si>
    <t>Nichicon UWX1E4R7MCL2GB (Note: these are 10u in the Eagle file. Olivier says "If you find 10u that fit, use 10u.")</t>
  </si>
  <si>
    <t>C1, C4</t>
  </si>
  <si>
    <t>OK1</t>
  </si>
  <si>
    <t>6N137 Optocoupler</t>
  </si>
  <si>
    <t>SMD-8</t>
  </si>
  <si>
    <t>512-6N137SDM</t>
  </si>
  <si>
    <t>Fairchild 6N137SDM  or Everlight 6N137S(TB)</t>
  </si>
  <si>
    <t>DISP1</t>
  </si>
  <si>
    <t>Via Dan Caldwell (https://www.facebook.com/groups/1716364098644678/permalink/1733106513637103/)</t>
  </si>
  <si>
    <t>SW2</t>
  </si>
  <si>
    <t>Push-button, round cap, white</t>
  </si>
  <si>
    <t>611-D6R00F1LFS</t>
  </si>
  <si>
    <t>C&amp;K D6R00 F1 LFS</t>
  </si>
  <si>
    <t>X1, X2</t>
  </si>
  <si>
    <t>DIN Connector, vertical</t>
  </si>
  <si>
    <t>737-DJN-005-B</t>
  </si>
  <si>
    <t>Adam Tech DJN-005-B ; CUI-SD-50BV (Digikey PN CP-3150-ND)</t>
  </si>
  <si>
    <t>59.1 x 106.7 ; 2 layers</t>
  </si>
  <si>
    <t>Last updated: 2017-05-27</t>
  </si>
  <si>
    <t>Befaco VCADSR v1 via Dave Hamara</t>
  </si>
  <si>
    <t>1/8W resistors.</t>
  </si>
  <si>
    <t>1/4W resistors that should fit the 5mm PCB footprint.</t>
  </si>
  <si>
    <t>qty</t>
  </si>
  <si>
    <t>description</t>
  </si>
  <si>
    <t>specs</t>
  </si>
  <si>
    <t>value</t>
  </si>
  <si>
    <t>Mouser part no.</t>
  </si>
  <si>
    <t>Digikey part no.</t>
  </si>
  <si>
    <t>R118</t>
  </si>
  <si>
    <t>resistor</t>
  </si>
  <si>
    <t>270</t>
  </si>
  <si>
    <t>270-270-RC</t>
  </si>
  <si>
    <t>300</t>
  </si>
  <si>
    <t>270-300-RC</t>
  </si>
  <si>
    <t>R1, R2, R9, R13, R15, R19, R25, R119</t>
  </si>
  <si>
    <t>R5, R22, R102, R110</t>
  </si>
  <si>
    <t>R117</t>
  </si>
  <si>
    <t>R10, R104, R105, R106</t>
  </si>
  <si>
    <t>R113</t>
  </si>
  <si>
    <t>270-220K-RC</t>
  </si>
  <si>
    <t>S220KCACT-ND</t>
  </si>
  <si>
    <t>R3, R6, R12</t>
  </si>
  <si>
    <t>270-22K-RC</t>
  </si>
  <si>
    <t>S22KCACT-ND</t>
  </si>
  <si>
    <t>R11, R116</t>
  </si>
  <si>
    <t>S27KCACT-ND</t>
  </si>
  <si>
    <t>2M</t>
  </si>
  <si>
    <t>299-2M-RC</t>
  </si>
  <si>
    <t>R100, R101, R103, R107, R108, R109, R114, R115</t>
  </si>
  <si>
    <t>270-30K-RC</t>
  </si>
  <si>
    <t>S30KCACT-ND</t>
  </si>
  <si>
    <t>R4</t>
  </si>
  <si>
    <t>270-33K-RC</t>
  </si>
  <si>
    <t>R16</t>
  </si>
  <si>
    <t>3k3</t>
  </si>
  <si>
    <t>270-3.3K-RC</t>
  </si>
  <si>
    <t>S3.3KCACT-ND</t>
  </si>
  <si>
    <t>R18</t>
  </si>
  <si>
    <t>43k</t>
  </si>
  <si>
    <t>270-43K-RC</t>
  </si>
  <si>
    <t>S43KCACT-ND</t>
  </si>
  <si>
    <t>R7</t>
  </si>
  <si>
    <t>270-47K-RC</t>
  </si>
  <si>
    <t>S47KCACT-ND</t>
  </si>
  <si>
    <t>R21</t>
  </si>
  <si>
    <t>56k</t>
  </si>
  <si>
    <t>270-56K-RC</t>
  </si>
  <si>
    <t>P56.0KCACT-ND</t>
  </si>
  <si>
    <t>R112</t>
  </si>
  <si>
    <t>270-68K-RC</t>
  </si>
  <si>
    <t>S68KCACT-ND</t>
  </si>
  <si>
    <t>6k2</t>
  </si>
  <si>
    <t>270-6.2K-RC</t>
  </si>
  <si>
    <t>S6.2KCACT-ND</t>
  </si>
  <si>
    <t>R14</t>
  </si>
  <si>
    <t>75k</t>
  </si>
  <si>
    <t>270-75K-RC</t>
  </si>
  <si>
    <t>S75KCACT-ND</t>
  </si>
  <si>
    <t>R111</t>
  </si>
  <si>
    <t>8k2</t>
  </si>
  <si>
    <t>270-8.2K-RC</t>
  </si>
  <si>
    <t>S8.2KCACT-ND</t>
  </si>
  <si>
    <t>C1, C2, C5, C6, C7, C8, C9, C10, C12, C13, C14</t>
  </si>
  <si>
    <t>capacitor</t>
  </si>
  <si>
    <t>C3, C4</t>
  </si>
  <si>
    <t>10µF</t>
  </si>
  <si>
    <t>330n</t>
  </si>
  <si>
    <t>871-B32529C334K189</t>
  </si>
  <si>
    <t>jack</t>
  </si>
  <si>
    <t>slider</t>
  </si>
  <si>
    <t>B100K</t>
  </si>
  <si>
    <t>Switch, toggle, DPDT</t>
  </si>
  <si>
    <t>360-2721-ND</t>
  </si>
  <si>
    <t>Switch, pushbutton, SPST</t>
  </si>
  <si>
    <t>706-30-601RED</t>
  </si>
  <si>
    <t>LED, 3mm</t>
  </si>
  <si>
    <t>UA555N</t>
  </si>
  <si>
    <t>CD4013N</t>
  </si>
  <si>
    <t>CD4052N</t>
  </si>
  <si>
    <t>TL074P</t>
  </si>
  <si>
    <t>TL072P</t>
  </si>
  <si>
    <t>D1, D2, D3, D4</t>
  </si>
  <si>
    <t>1N4148</t>
  </si>
  <si>
    <t>T1, T2, T3, T4, T7</t>
  </si>
  <si>
    <t>2N3904</t>
  </si>
  <si>
    <t>T5, T6</t>
  </si>
  <si>
    <t>2N3906</t>
  </si>
  <si>
    <t>F+, F-</t>
  </si>
  <si>
    <t>Ferrite Bead</t>
  </si>
  <si>
    <t>Mouser BOM</t>
  </si>
  <si>
    <t>FB</t>
  </si>
  <si>
    <t>Date</t>
  </si>
  <si>
    <t>Count</t>
  </si>
  <si>
    <t>Offset</t>
  </si>
  <si>
    <t>Braids v5.1</t>
  </si>
  <si>
    <t>Branches v4.0</t>
  </si>
  <si>
    <t>Clouds v3.0</t>
  </si>
  <si>
    <t>Edges v2.0</t>
  </si>
  <si>
    <t>Links v4</t>
  </si>
  <si>
    <t>Rings v3.0</t>
  </si>
  <si>
    <t>Ripples v4.0</t>
  </si>
  <si>
    <t>Shades v3.1</t>
  </si>
  <si>
    <t>shelves_expander_v10</t>
  </si>
  <si>
    <t>Streams Bargraph v0.2</t>
  </si>
  <si>
    <t>Tides v4.0</t>
  </si>
  <si>
    <t>Warps v3.0</t>
  </si>
  <si>
    <t>THTT</t>
  </si>
  <si>
    <t>THTB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</si>
</sst>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###############"/>
    <numFmt numFmtId="165" formatCode="#,##0.000000000000000"/>
    <numFmt numFmtId="166" formatCode="#"/>
    <numFmt numFmtId="167" formatCode="&quot;$&quot;#,##0.00"/>
  </numFmts>
  <fonts count="65">
    <font>
      <sz val="10.0"/>
      <color rgb="FF000000"/>
      <name val="Arial"/>
    </font>
    <font/>
    <font>
      <u/>
      <color rgb="FF0000FF"/>
    </font>
    <font>
      <sz val="9.0"/>
      <name val="Roboto Mono"/>
    </font>
    <font>
      <b/>
    </font>
    <font>
      <u/>
      <color rgb="FF0000FF"/>
    </font>
    <font>
      <sz val="10.0"/>
      <name val="Arial"/>
    </font>
    <font>
      <sz val="8.0"/>
      <name val="Roboto Mono"/>
    </font>
    <font>
      <u/>
      <sz val="10.0"/>
      <color rgb="FF0000FF"/>
      <name val="Arial"/>
    </font>
    <font>
      <u/>
      <sz val="8.0"/>
      <color rgb="FF0000FF"/>
      <name val="Roboto Mono"/>
    </font>
    <font>
      <u/>
      <sz val="10.0"/>
      <color rgb="FF0000FF"/>
      <name val="Arial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10.0"/>
      <color rgb="FF0000FF"/>
      <name val="Arial"/>
    </font>
    <font>
      <u/>
      <sz val="10.0"/>
      <name val="Arial"/>
    </font>
    <font>
      <u/>
      <sz val="8.0"/>
      <color rgb="FF0000FF"/>
      <name val="Roboto Mono"/>
    </font>
    <font>
      <u/>
      <sz val="8.0"/>
      <name val="Roboto Mono"/>
    </font>
    <font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8.0"/>
      <color rgb="FFCCCCCC"/>
      <name val="Roboto Mono"/>
    </font>
    <font>
      <b/>
      <sz val="8.0"/>
      <color rgb="FFCCCCCC"/>
      <name val="Roboto Mono"/>
    </font>
    <font>
      <sz val="8.0"/>
      <color rgb="FFB7B7B7"/>
      <name val="Roboto Mono"/>
    </font>
    <font>
      <u/>
      <color rgb="FF0000FF"/>
    </font>
    <font>
      <b/>
      <sz val="13.0"/>
      <color rgb="FF000000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sz val="9.0"/>
      <name val="Arial"/>
    </font>
    <font>
      <u/>
      <sz val="9.0"/>
      <color rgb="FF0000FF"/>
      <name val="Arial"/>
    </font>
    <font>
      <b/>
      <sz val="9.0"/>
      <color rgb="FF000000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sz val="9.0"/>
      <color rgb="FF333333"/>
      <name val="Arial"/>
    </font>
    <font>
      <b/>
      <sz val="16.0"/>
      <color rgb="FF000000"/>
      <name val="Arial"/>
    </font>
    <font>
      <sz val="9.0"/>
      <color rgb="FF000000"/>
      <name val="Arial"/>
    </font>
    <font>
      <b/>
      <sz val="9.0"/>
      <color rgb="FFFFFFFF"/>
      <name val="Arial"/>
    </font>
    <font>
      <sz val="9.0"/>
      <color rgb="FF222222"/>
      <name val="Arial"/>
    </font>
    <font>
      <sz val="9.0"/>
      <color rgb="FFB7B7B7"/>
      <name val="Arial"/>
    </font>
    <font>
      <u/>
      <sz val="9.0"/>
      <color rgb="FF0000FF"/>
      <name val="Arial"/>
    </font>
    <font>
      <sz val="9.0"/>
      <color rgb="FFFFFFFF"/>
      <name val="Arial"/>
    </font>
    <font>
      <b/>
      <sz val="16.0"/>
      <name val="Arial"/>
    </font>
    <font>
      <b/>
      <sz val="9.0"/>
      <name val="Arial"/>
    </font>
    <font>
      <u/>
      <sz val="9.0"/>
      <color rgb="FF000000"/>
      <name val="Arial"/>
    </font>
    <font>
      <sz val="9.0"/>
    </font>
    <font>
      <b/>
      <sz val="9.0"/>
      <color rgb="FFFF0000"/>
      <name val="Arial"/>
    </font>
    <font>
      <u/>
      <sz val="9.0"/>
      <color rgb="FF0000FF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b/>
      <sz val="14.0"/>
      <color rgb="FF000000"/>
      <name val="Arial"/>
    </font>
    <font>
      <u/>
      <sz val="9.0"/>
      <color rgb="FF0000FF"/>
    </font>
    <font>
      <u/>
      <sz val="9.0"/>
      <color rgb="FF333333"/>
      <name val="Arial"/>
    </font>
    <font>
      <b/>
      <sz val="9.0"/>
      <color rgb="FFFF3333"/>
      <name val="Arial"/>
    </font>
    <font>
      <b/>
      <sz val="14.0"/>
      <name val="Arial"/>
    </font>
    <font>
      <sz val="9.0"/>
      <color rgb="FFFF0000"/>
      <name val="Arial"/>
    </font>
    <font>
      <i/>
    </font>
    <font>
      <u/>
      <sz val="10.0"/>
      <color rgb="FF0000FF"/>
      <name val="Arial"/>
    </font>
    <font>
      <b/>
      <sz val="10.0"/>
      <name val="Arial"/>
    </font>
    <font>
      <name val="Roboto Mono"/>
    </font>
    <font>
      <b/>
      <name val="Roboto Mono"/>
    </font>
    <font>
      <sz val="11.0"/>
      <color rgb="FF000000"/>
      <name val="Inconsolata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left/>
      <top style="thick">
        <color rgb="FF000000"/>
      </top>
      <bottom/>
    </border>
    <border>
      <top style="thick">
        <color rgb="FF000000"/>
      </top>
      <bottom/>
    </border>
    <border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Font="1"/>
    <xf quotePrefix="1" borderId="0" fillId="0" fontId="1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0" fontId="10" numFmtId="0" xfId="0" applyAlignment="1" applyFont="1">
      <alignment horizontal="left" readingOrder="0"/>
    </xf>
    <xf borderId="0" fillId="3" fontId="11" numFmtId="0" xfId="0" applyAlignment="1" applyFill="1" applyFont="1">
      <alignment horizontal="left" readingOrder="0"/>
    </xf>
    <xf borderId="0" fillId="0" fontId="7" numFmtId="0" xfId="0" applyFont="1"/>
    <xf borderId="0" fillId="4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4" numFmtId="0" xfId="0" applyFont="1"/>
    <xf borderId="0" fillId="0" fontId="6" numFmtId="0" xfId="0" applyFont="1"/>
    <xf borderId="0" fillId="0" fontId="7" numFmtId="0" xfId="0" applyFont="1"/>
    <xf borderId="0" fillId="0" fontId="6" numFmtId="0" xfId="0" applyFont="1"/>
    <xf borderId="0" fillId="0" fontId="1" numFmtId="0" xfId="0" applyAlignment="1" applyFont="1">
      <alignment horizontal="center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quotePrefix="1" borderId="0" fillId="0" fontId="1" numFmtId="0" xfId="0" applyAlignment="1" applyFont="1">
      <alignment horizontal="center" readingOrder="0"/>
    </xf>
    <xf borderId="0" fillId="0" fontId="17" numFmtId="0" xfId="0" applyAlignment="1" applyFont="1">
      <alignment horizontal="left" readingOrder="0"/>
    </xf>
    <xf borderId="0" fillId="0" fontId="18" numFmtId="0" xfId="0" applyFont="1"/>
    <xf borderId="0" fillId="0" fontId="4" numFmtId="0" xfId="0" applyAlignment="1" applyFont="1">
      <alignment readingOrder="0"/>
    </xf>
    <xf borderId="0" fillId="5" fontId="19" numFmtId="0" xfId="0" applyFill="1" applyFont="1"/>
    <xf borderId="0" fillId="5" fontId="20" numFmtId="0" xfId="0" applyAlignment="1" applyFont="1">
      <alignment readingOrder="0"/>
    </xf>
    <xf borderId="0" fillId="2" fontId="21" numFmtId="0" xfId="0" applyFont="1"/>
    <xf borderId="0" fillId="4" fontId="22" numFmtId="0" xfId="0" applyFont="1"/>
    <xf borderId="1" fillId="0" fontId="4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14" xfId="0" applyAlignment="1" applyBorder="1" applyFont="1" applyNumberFormat="1">
      <alignment readingOrder="0"/>
    </xf>
    <xf borderId="0" fillId="0" fontId="1" numFmtId="0" xfId="0" applyAlignment="1" applyFont="1">
      <alignment horizontal="left" readingOrder="0" shrinkToFit="0" wrapText="1"/>
    </xf>
    <xf borderId="5" fillId="0" fontId="1" numFmtId="0" xfId="0" applyBorder="1" applyFont="1"/>
    <xf borderId="0" fillId="0" fontId="1" numFmtId="0" xfId="0" applyAlignment="1" applyFont="1">
      <alignment horizontal="left" readingOrder="0"/>
    </xf>
    <xf borderId="6" fillId="0" fontId="1" numFmtId="0" xfId="0" applyBorder="1" applyFont="1"/>
    <xf borderId="7" fillId="0" fontId="1" numFmtId="0" xfId="0" applyAlignment="1" applyBorder="1" applyFont="1">
      <alignment horizontal="left"/>
    </xf>
    <xf borderId="7" fillId="0" fontId="1" numFmtId="0" xfId="0" applyBorder="1" applyFont="1"/>
    <xf borderId="8" fillId="0" fontId="1" numFmtId="0" xfId="0" applyBorder="1" applyFont="1"/>
    <xf borderId="0" fillId="0" fontId="7" numFmtId="0" xfId="0" applyAlignment="1" applyFont="1">
      <alignment readingOrder="0"/>
    </xf>
    <xf borderId="0" fillId="0" fontId="1" numFmtId="0" xfId="0" applyFont="1"/>
    <xf borderId="0" fillId="0" fontId="23" numFmtId="0" xfId="0" applyFont="1"/>
    <xf borderId="0" fillId="0" fontId="1" numFmtId="0" xfId="0" applyFont="1"/>
    <xf borderId="0" fillId="0" fontId="4" numFmtId="0" xfId="0" applyFont="1"/>
    <xf borderId="0" fillId="0" fontId="4" numFmtId="0" xfId="0" applyFont="1"/>
    <xf borderId="0" fillId="0" fontId="24" numFmtId="0" xfId="0" applyFont="1"/>
    <xf borderId="0" fillId="0" fontId="25" numFmtId="0" xfId="0" applyFont="1"/>
    <xf borderId="0" fillId="0" fontId="25" numFmtId="0" xfId="0" applyFont="1"/>
    <xf borderId="0" fillId="0" fontId="1" numFmtId="49" xfId="0" applyFont="1" applyNumberFormat="1"/>
    <xf borderId="0" fillId="0" fontId="23" numFmtId="0" xfId="0" applyAlignment="1" applyFont="1">
      <alignment readingOrder="0"/>
    </xf>
    <xf borderId="0" fillId="0" fontId="25" numFmtId="164" xfId="0" applyFont="1" applyNumberFormat="1"/>
    <xf borderId="0" fillId="0" fontId="1" numFmtId="164" xfId="0" applyFont="1" applyNumberFormat="1"/>
    <xf borderId="0" fillId="0" fontId="25" numFmtId="165" xfId="0" applyFont="1" applyNumberFormat="1"/>
    <xf borderId="0" fillId="0" fontId="1" numFmtId="166" xfId="0" applyFont="1" applyNumberFormat="1"/>
    <xf borderId="0" fillId="0" fontId="1" numFmtId="1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5" numFmtId="166" xfId="0" applyFont="1" applyNumberFormat="1"/>
    <xf borderId="0" fillId="6" fontId="1" numFmtId="0" xfId="0" applyAlignment="1" applyFill="1" applyFont="1">
      <alignment readingOrder="0"/>
    </xf>
    <xf borderId="0" fillId="0" fontId="1" numFmtId="165" xfId="0" applyFont="1" applyNumberFormat="1"/>
    <xf borderId="0" fillId="0" fontId="26" numFmtId="0" xfId="0" applyFont="1"/>
    <xf borderId="0" fillId="0" fontId="25" numFmtId="0" xfId="0" applyAlignment="1" applyFont="1">
      <alignment readingOrder="0"/>
    </xf>
    <xf borderId="0" fillId="0" fontId="27" numFmtId="0" xfId="0" applyAlignment="1" applyFont="1">
      <alignment horizontal="center" readingOrder="0" shrinkToFit="0" vertical="center" wrapText="1"/>
    </xf>
    <xf borderId="0" fillId="0" fontId="28" numFmtId="0" xfId="0" applyAlignment="1" applyFont="1">
      <alignment shrinkToFit="0" wrapText="1"/>
    </xf>
    <xf borderId="0" fillId="0" fontId="29" numFmtId="0" xfId="0" applyAlignment="1" applyFont="1">
      <alignment readingOrder="0" shrinkToFit="0" wrapText="1"/>
    </xf>
    <xf borderId="0" fillId="0" fontId="30" numFmtId="49" xfId="0" applyAlignment="1" applyFont="1" applyNumberFormat="1">
      <alignment readingOrder="0" shrinkToFit="0" wrapText="1"/>
    </xf>
    <xf borderId="0" fillId="0" fontId="30" numFmtId="164" xfId="0" applyAlignment="1" applyFont="1" applyNumberFormat="1">
      <alignment shrinkToFit="0" wrapText="1"/>
    </xf>
    <xf borderId="0" fillId="0" fontId="31" numFmtId="164" xfId="0" applyAlignment="1" applyFont="1" applyNumberFormat="1">
      <alignment shrinkToFit="0" wrapText="1"/>
    </xf>
    <xf borderId="7" fillId="0" fontId="32" numFmtId="0" xfId="0" applyAlignment="1" applyBorder="1" applyFont="1">
      <alignment shrinkToFit="0" wrapText="1"/>
    </xf>
    <xf borderId="7" fillId="0" fontId="32" numFmtId="49" xfId="0" applyAlignment="1" applyBorder="1" applyFont="1" applyNumberFormat="1">
      <alignment shrinkToFit="0" wrapText="1"/>
    </xf>
    <xf borderId="7" fillId="0" fontId="32" numFmtId="164" xfId="0" applyAlignment="1" applyBorder="1" applyFont="1" applyNumberFormat="1">
      <alignment shrinkToFit="0" wrapText="1"/>
    </xf>
    <xf borderId="7" fillId="0" fontId="32" numFmtId="164" xfId="0" applyAlignment="1" applyBorder="1" applyFont="1" applyNumberFormat="1">
      <alignment readingOrder="0" shrinkToFit="0" wrapText="1"/>
    </xf>
    <xf borderId="0" fillId="0" fontId="30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wrapText="0"/>
    </xf>
    <xf borderId="0" fillId="0" fontId="30" numFmtId="0" xfId="0" applyAlignment="1" applyFont="1">
      <alignment shrinkToFit="0" wrapText="0"/>
    </xf>
    <xf borderId="0" fillId="0" fontId="30" numFmtId="0" xfId="0" applyAlignment="1" applyFont="1">
      <alignment horizontal="left" shrinkToFit="0" wrapText="0"/>
    </xf>
    <xf borderId="0" fillId="0" fontId="30" numFmtId="0" xfId="0" applyAlignment="1" applyFont="1">
      <alignment horizontal="left" readingOrder="0" shrinkToFit="0" wrapText="0"/>
    </xf>
    <xf borderId="0" fillId="4" fontId="30" numFmtId="0" xfId="0" applyAlignment="1" applyFont="1">
      <alignment readingOrder="0" shrinkToFit="0" wrapText="0"/>
    </xf>
    <xf borderId="0" fillId="4" fontId="33" numFmtId="0" xfId="0" applyAlignment="1" applyFont="1">
      <alignment horizontal="left" readingOrder="0"/>
    </xf>
    <xf borderId="0" fillId="0" fontId="34" numFmtId="0" xfId="0" applyAlignment="1" applyFont="1">
      <alignment readingOrder="0" shrinkToFit="0" wrapText="0"/>
    </xf>
    <xf borderId="0" fillId="7" fontId="30" numFmtId="0" xfId="0" applyAlignment="1" applyFill="1" applyFont="1">
      <alignment readingOrder="0" shrinkToFit="0" wrapText="0"/>
    </xf>
    <xf borderId="0" fillId="4" fontId="35" numFmtId="0" xfId="0" applyAlignment="1" applyFont="1">
      <alignment horizontal="left" readingOrder="0"/>
    </xf>
    <xf borderId="0" fillId="0" fontId="30" numFmtId="0" xfId="0" applyAlignment="1" applyFont="1">
      <alignment shrinkToFit="0" wrapText="1"/>
    </xf>
    <xf borderId="0" fillId="4" fontId="30" numFmtId="164" xfId="0" applyAlignment="1" applyFont="1" applyNumberFormat="1">
      <alignment readingOrder="0" shrinkToFit="0" wrapText="1"/>
    </xf>
    <xf borderId="0" fillId="3" fontId="36" numFmtId="164" xfId="0" applyAlignment="1" applyFont="1" applyNumberFormat="1">
      <alignment readingOrder="0"/>
    </xf>
    <xf borderId="0" fillId="0" fontId="37" numFmtId="0" xfId="0" applyAlignment="1" applyFont="1">
      <alignment horizontal="center" shrinkToFit="0" vertical="center" wrapText="1"/>
    </xf>
    <xf borderId="0" fillId="0" fontId="38" numFmtId="0" xfId="0" applyAlignment="1" applyFont="1">
      <alignment shrinkToFit="0" wrapText="0"/>
    </xf>
    <xf borderId="9" fillId="0" fontId="32" numFmtId="0" xfId="0" applyAlignment="1" applyBorder="1" applyFont="1">
      <alignment shrinkToFit="0" wrapText="1"/>
    </xf>
    <xf borderId="9" fillId="0" fontId="32" numFmtId="164" xfId="0" applyAlignment="1" applyBorder="1" applyFont="1" applyNumberFormat="1">
      <alignment shrinkToFit="0" wrapText="1"/>
    </xf>
    <xf borderId="9" fillId="0" fontId="32" numFmtId="49" xfId="0" applyAlignment="1" applyBorder="1" applyFont="1" applyNumberFormat="1">
      <alignment shrinkToFit="0" wrapText="1"/>
    </xf>
    <xf borderId="9" fillId="0" fontId="38" numFmtId="0" xfId="0" applyAlignment="1" applyBorder="1" applyFont="1">
      <alignment shrinkToFit="0" wrapText="1"/>
    </xf>
    <xf borderId="10" fillId="8" fontId="39" numFmtId="0" xfId="0" applyAlignment="1" applyBorder="1" applyFill="1" applyFont="1">
      <alignment shrinkToFit="0" wrapText="1"/>
    </xf>
    <xf borderId="11" fillId="0" fontId="1" numFmtId="0" xfId="0" applyBorder="1" applyFont="1"/>
    <xf borderId="12" fillId="0" fontId="1" numFmtId="0" xfId="0" applyBorder="1" applyFont="1"/>
    <xf borderId="13" fillId="8" fontId="38" numFmtId="0" xfId="0" applyAlignment="1" applyBorder="1" applyFont="1">
      <alignment shrinkToFit="0" wrapText="1"/>
    </xf>
    <xf borderId="14" fillId="8" fontId="0" numFmtId="0" xfId="0" applyAlignment="1" applyBorder="1" applyFont="1">
      <alignment shrinkToFit="0" wrapText="0"/>
    </xf>
    <xf borderId="0" fillId="0" fontId="38" numFmtId="0" xfId="0" applyAlignment="1" applyFont="1">
      <alignment horizontal="left" shrinkToFit="0" vertical="center" wrapText="1"/>
    </xf>
    <xf borderId="0" fillId="0" fontId="38" numFmtId="0" xfId="0" applyAlignment="1" applyFont="1">
      <alignment shrinkToFit="0" wrapText="1"/>
    </xf>
    <xf borderId="0" fillId="0" fontId="38" numFmtId="0" xfId="0" applyAlignment="1" applyFont="1">
      <alignment horizontal="right" shrinkToFit="0" vertical="center" wrapText="1"/>
    </xf>
    <xf borderId="0" fillId="0" fontId="36" numFmtId="0" xfId="0" applyAlignment="1" applyFont="1">
      <alignment shrinkToFit="0" wrapText="0"/>
    </xf>
    <xf borderId="0" fillId="0" fontId="38" numFmtId="9" xfId="0" applyAlignment="1" applyFont="1" applyNumberFormat="1">
      <alignment shrinkToFit="0" wrapText="1"/>
    </xf>
    <xf borderId="0" fillId="0" fontId="38" numFmtId="0" xfId="0" applyAlignment="1" applyFont="1">
      <alignment horizontal="left" shrinkToFit="0" wrapText="1"/>
    </xf>
    <xf borderId="0" fillId="0" fontId="38" numFmtId="0" xfId="0" applyAlignment="1" applyFont="1">
      <alignment shrinkToFit="0" vertical="center" wrapText="0"/>
    </xf>
    <xf borderId="0" fillId="0" fontId="38" numFmtId="0" xfId="0" applyAlignment="1" applyFont="1">
      <alignment horizontal="left" shrinkToFit="0" vertical="center" wrapText="0"/>
    </xf>
    <xf borderId="0" fillId="0" fontId="30" numFmtId="0" xfId="0" applyAlignment="1" applyFont="1">
      <alignment shrinkToFit="0" vertical="center" wrapText="0"/>
    </xf>
    <xf borderId="0" fillId="0" fontId="36" numFmtId="0" xfId="0" applyAlignment="1" applyFont="1">
      <alignment shrinkToFit="0" vertical="center" wrapText="0"/>
    </xf>
    <xf borderId="15" fillId="8" fontId="39" numFmtId="0" xfId="0" applyAlignment="1" applyBorder="1" applyFont="1">
      <alignment shrinkToFit="0" wrapText="1"/>
    </xf>
    <xf borderId="16" fillId="0" fontId="1" numFmtId="0" xfId="0" applyBorder="1" applyFont="1"/>
    <xf borderId="17" fillId="0" fontId="1" numFmtId="0" xfId="0" applyBorder="1" applyFont="1"/>
    <xf borderId="14" fillId="8" fontId="38" numFmtId="0" xfId="0" applyAlignment="1" applyBorder="1" applyFont="1">
      <alignment shrinkToFit="0" wrapText="1"/>
    </xf>
    <xf borderId="0" fillId="0" fontId="40" numFmtId="0" xfId="0" applyAlignment="1" applyFont="1">
      <alignment shrinkToFit="0" wrapText="0"/>
    </xf>
    <xf borderId="14" fillId="8" fontId="39" numFmtId="0" xfId="0" applyAlignment="1" applyBorder="1" applyFont="1">
      <alignment shrinkToFit="0" wrapText="1"/>
    </xf>
    <xf borderId="14" fillId="8" fontId="39" numFmtId="164" xfId="0" applyAlignment="1" applyBorder="1" applyFont="1" applyNumberFormat="1">
      <alignment shrinkToFit="0" wrapText="1"/>
    </xf>
    <xf borderId="14" fillId="8" fontId="39" numFmtId="49" xfId="0" applyAlignment="1" applyBorder="1" applyFont="1" applyNumberFormat="1">
      <alignment shrinkToFit="0" wrapText="1"/>
    </xf>
    <xf borderId="14" fillId="9" fontId="38" numFmtId="0" xfId="0" applyAlignment="1" applyBorder="1" applyFill="1" applyFont="1">
      <alignment shrinkToFit="0" wrapText="1"/>
    </xf>
    <xf borderId="14" fillId="9" fontId="38" numFmtId="0" xfId="0" applyAlignment="1" applyBorder="1" applyFont="1">
      <alignment shrinkToFit="0" wrapText="0"/>
    </xf>
    <xf borderId="0" fillId="0" fontId="27" numFmtId="0" xfId="0" applyAlignment="1" applyFont="1">
      <alignment horizontal="center" shrinkToFit="0" vertical="center" wrapText="1"/>
    </xf>
    <xf borderId="18" fillId="8" fontId="39" numFmtId="0" xfId="0" applyAlignment="1" applyBorder="1" applyFont="1">
      <alignment shrinkToFit="0" wrapText="1"/>
    </xf>
    <xf borderId="19" fillId="0" fontId="1" numFmtId="0" xfId="0" applyBorder="1" applyFont="1"/>
    <xf borderId="20" fillId="0" fontId="1" numFmtId="0" xfId="0" applyBorder="1" applyFont="1"/>
    <xf borderId="21" fillId="8" fontId="38" numFmtId="0" xfId="0" applyAlignment="1" applyBorder="1" applyFont="1">
      <alignment shrinkToFit="0" wrapText="1"/>
    </xf>
    <xf borderId="0" fillId="0" fontId="38" numFmtId="0" xfId="0" applyAlignment="1" applyFont="1">
      <alignment horizontal="left" shrinkToFit="0" wrapText="0"/>
    </xf>
    <xf borderId="0" fillId="0" fontId="41" numFmtId="0" xfId="0" applyAlignment="1" applyFont="1">
      <alignment shrinkToFit="0" wrapText="0"/>
    </xf>
    <xf borderId="0" fillId="4" fontId="38" numFmtId="0" xfId="0" applyAlignment="1" applyFont="1">
      <alignment readingOrder="0" shrinkToFit="0" wrapText="0"/>
    </xf>
    <xf borderId="0" fillId="4" fontId="42" numFmtId="0" xfId="0" applyAlignment="1" applyFont="1">
      <alignment readingOrder="0" shrinkToFit="0" wrapText="0"/>
    </xf>
    <xf borderId="0" fillId="0" fontId="38" numFmtId="49" xfId="0" applyAlignment="1" applyFont="1" applyNumberFormat="1">
      <alignment shrinkToFit="0" wrapText="1"/>
    </xf>
    <xf borderId="0" fillId="4" fontId="38" numFmtId="164" xfId="0" applyAlignment="1" applyFont="1" applyNumberFormat="1">
      <alignment readingOrder="0" shrinkToFit="0" wrapText="1"/>
    </xf>
    <xf borderId="0" fillId="0" fontId="38" numFmtId="164" xfId="0" applyAlignment="1" applyFont="1" applyNumberFormat="1">
      <alignment shrinkToFit="0" wrapText="1"/>
    </xf>
    <xf borderId="14" fillId="8" fontId="43" numFmtId="0" xfId="0" applyAlignment="1" applyBorder="1" applyFont="1">
      <alignment shrinkToFit="0" wrapText="1"/>
    </xf>
    <xf borderId="14" fillId="8" fontId="43" numFmtId="49" xfId="0" applyAlignment="1" applyBorder="1" applyFont="1" applyNumberFormat="1">
      <alignment shrinkToFit="0" wrapText="1"/>
    </xf>
    <xf borderId="14" fillId="8" fontId="43" numFmtId="164" xfId="0" applyAlignment="1" applyBorder="1" applyFont="1" applyNumberFormat="1">
      <alignment shrinkToFit="0" wrapText="1"/>
    </xf>
    <xf borderId="14" fillId="9" fontId="38" numFmtId="49" xfId="0" applyAlignment="1" applyBorder="1" applyFont="1" applyNumberFormat="1">
      <alignment shrinkToFit="0" wrapText="1"/>
    </xf>
    <xf borderId="14" fillId="9" fontId="32" numFmtId="164" xfId="0" applyAlignment="1" applyBorder="1" applyFont="1" applyNumberFormat="1">
      <alignment shrinkToFit="0" wrapText="1"/>
    </xf>
    <xf borderId="0" fillId="0" fontId="44" numFmtId="1" xfId="0" applyAlignment="1" applyFont="1" applyNumberFormat="1">
      <alignment horizontal="center" shrinkToFit="0" vertical="center" wrapText="0"/>
    </xf>
    <xf borderId="22" fillId="0" fontId="45" numFmtId="0" xfId="0" applyAlignment="1" applyBorder="1" applyFont="1">
      <alignment shrinkToFit="0" vertical="center" wrapText="1"/>
    </xf>
    <xf borderId="22" fillId="0" fontId="45" numFmtId="1" xfId="0" applyAlignment="1" applyBorder="1" applyFont="1" applyNumberFormat="1">
      <alignment shrinkToFit="0" vertical="center" wrapText="1"/>
    </xf>
    <xf borderId="22" fillId="0" fontId="45" numFmtId="49" xfId="0" applyAlignment="1" applyBorder="1" applyFont="1" applyNumberFormat="1">
      <alignment shrinkToFit="0" vertical="center" wrapText="1"/>
    </xf>
    <xf borderId="22" fillId="0" fontId="45" numFmtId="165" xfId="0" applyAlignment="1" applyBorder="1" applyFont="1" applyNumberFormat="1">
      <alignment shrinkToFit="0" vertical="center" wrapText="1"/>
    </xf>
    <xf borderId="23" fillId="8" fontId="39" numFmtId="0" xfId="0" applyAlignment="1" applyBorder="1" applyFont="1">
      <alignment shrinkToFit="0" vertical="center" wrapText="1"/>
    </xf>
    <xf borderId="24" fillId="0" fontId="1" numFmtId="0" xfId="0" applyBorder="1" applyFont="1"/>
    <xf borderId="25" fillId="0" fontId="1" numFmtId="0" xfId="0" applyBorder="1" applyFont="1"/>
    <xf borderId="26" fillId="8" fontId="30" numFmtId="0" xfId="0" applyAlignment="1" applyBorder="1" applyFont="1">
      <alignment shrinkToFit="0" vertical="center" wrapText="1"/>
    </xf>
    <xf borderId="0" fillId="0" fontId="30" numFmtId="0" xfId="0" applyAlignment="1" applyFont="1">
      <alignment shrinkToFit="0" vertical="center" wrapText="1"/>
    </xf>
    <xf borderId="0" fillId="0" fontId="30" numFmtId="1" xfId="0" applyAlignment="1" applyFont="1" applyNumberFormat="1">
      <alignment shrinkToFit="0" vertical="center" wrapText="1"/>
    </xf>
    <xf borderId="0" fillId="0" fontId="30" numFmtId="0" xfId="0" applyAlignment="1" applyFont="1">
      <alignment horizontal="left" shrinkToFit="0" vertical="center" wrapText="1"/>
    </xf>
    <xf borderId="0" fillId="0" fontId="38" numFmtId="165" xfId="0" applyAlignment="1" applyFont="1" applyNumberFormat="1">
      <alignment shrinkToFit="0" vertical="center" wrapText="1"/>
    </xf>
    <xf borderId="0" fillId="0" fontId="30" numFmtId="165" xfId="0" applyAlignment="1" applyFont="1" applyNumberFormat="1">
      <alignment shrinkToFit="0" vertical="center" wrapText="1"/>
    </xf>
    <xf borderId="0" fillId="0" fontId="41" numFmtId="0" xfId="0" applyAlignment="1" applyFont="1">
      <alignment shrinkToFit="0" vertical="center" wrapText="1"/>
    </xf>
    <xf borderId="0" fillId="0" fontId="30" numFmtId="49" xfId="0" applyAlignment="1" applyFont="1" applyNumberFormat="1">
      <alignment shrinkToFit="0" vertical="center" wrapText="1"/>
    </xf>
    <xf borderId="0" fillId="0" fontId="30" numFmtId="49" xfId="0" applyAlignment="1" applyFont="1" applyNumberFormat="1">
      <alignment horizontal="left" shrinkToFit="0" vertical="center" wrapText="1"/>
    </xf>
    <xf borderId="0" fillId="0" fontId="38" numFmtId="0" xfId="0" applyAlignment="1" applyFont="1">
      <alignment shrinkToFit="0" vertical="center" wrapText="1"/>
    </xf>
    <xf borderId="0" fillId="0" fontId="38" numFmtId="1" xfId="0" applyAlignment="1" applyFont="1" applyNumberFormat="1">
      <alignment shrinkToFit="0" vertical="center" wrapText="1"/>
    </xf>
    <xf borderId="15" fillId="8" fontId="39" numFmtId="0" xfId="0" applyAlignment="1" applyBorder="1" applyFont="1">
      <alignment shrinkToFit="0" vertical="center" wrapText="1"/>
    </xf>
    <xf borderId="14" fillId="8" fontId="30" numFmtId="0" xfId="0" applyAlignment="1" applyBorder="1" applyFont="1">
      <alignment shrinkToFit="0" vertical="center" wrapText="1"/>
    </xf>
    <xf borderId="14" fillId="8" fontId="39" numFmtId="0" xfId="0" applyAlignment="1" applyBorder="1" applyFont="1">
      <alignment shrinkToFit="0" vertical="center" wrapText="1"/>
    </xf>
    <xf borderId="14" fillId="8" fontId="39" numFmtId="1" xfId="0" applyAlignment="1" applyBorder="1" applyFont="1" applyNumberFormat="1">
      <alignment shrinkToFit="0" vertical="center" wrapText="1"/>
    </xf>
    <xf borderId="14" fillId="8" fontId="39" numFmtId="49" xfId="0" applyAlignment="1" applyBorder="1" applyFont="1" applyNumberFormat="1">
      <alignment shrinkToFit="0" vertical="center" wrapText="1"/>
    </xf>
    <xf borderId="14" fillId="8" fontId="39" numFmtId="165" xfId="0" applyAlignment="1" applyBorder="1" applyFont="1" applyNumberFormat="1">
      <alignment shrinkToFit="0" vertical="center" wrapText="1"/>
    </xf>
    <xf borderId="14" fillId="8" fontId="30" numFmtId="1" xfId="0" applyAlignment="1" applyBorder="1" applyFont="1" applyNumberFormat="1">
      <alignment shrinkToFit="0" vertical="center" wrapText="1"/>
    </xf>
    <xf borderId="14" fillId="8" fontId="30" numFmtId="49" xfId="0" applyAlignment="1" applyBorder="1" applyFont="1" applyNumberFormat="1">
      <alignment shrinkToFit="0" vertical="center" wrapText="1"/>
    </xf>
    <xf borderId="14" fillId="9" fontId="30" numFmtId="0" xfId="0" applyAlignment="1" applyBorder="1" applyFont="1">
      <alignment shrinkToFit="0" vertical="center" wrapText="1"/>
    </xf>
    <xf borderId="14" fillId="9" fontId="30" numFmtId="1" xfId="0" applyAlignment="1" applyBorder="1" applyFont="1" applyNumberFormat="1">
      <alignment shrinkToFit="0" vertical="center" wrapText="1"/>
    </xf>
    <xf borderId="14" fillId="9" fontId="30" numFmtId="49" xfId="0" applyAlignment="1" applyBorder="1" applyFont="1" applyNumberFormat="1">
      <alignment shrinkToFit="0" vertical="center" wrapText="1"/>
    </xf>
    <xf borderId="14" fillId="9" fontId="45" numFmtId="165" xfId="0" applyAlignment="1" applyBorder="1" applyFont="1" applyNumberFormat="1">
      <alignment shrinkToFit="0" vertical="center" wrapText="1"/>
    </xf>
    <xf borderId="9" fillId="0" fontId="32" numFmtId="0" xfId="0" applyAlignment="1" applyBorder="1" applyFont="1">
      <alignment shrinkToFit="0" wrapText="1"/>
    </xf>
    <xf borderId="9" fillId="0" fontId="32" numFmtId="164" xfId="0" applyAlignment="1" applyBorder="1" applyFont="1" applyNumberFormat="1">
      <alignment shrinkToFit="0" wrapText="1"/>
    </xf>
    <xf borderId="9" fillId="0" fontId="32" numFmtId="49" xfId="0" applyAlignment="1" applyBorder="1" applyFont="1" applyNumberFormat="1">
      <alignment horizontal="left" shrinkToFit="0" wrapText="1"/>
    </xf>
    <xf borderId="9" fillId="0" fontId="32" numFmtId="49" xfId="0" applyAlignment="1" applyBorder="1" applyFont="1" applyNumberFormat="1">
      <alignment shrinkToFit="0" wrapText="1"/>
    </xf>
    <xf borderId="10" fillId="8" fontId="39" numFmtId="0" xfId="0" applyAlignment="1" applyBorder="1" applyFont="1">
      <alignment shrinkToFit="0" wrapText="1"/>
    </xf>
    <xf borderId="11" fillId="0" fontId="1" numFmtId="0" xfId="0" applyBorder="1" applyFont="1"/>
    <xf borderId="12" fillId="0" fontId="1" numFmtId="0" xfId="0" applyBorder="1" applyFont="1"/>
    <xf borderId="13" fillId="8" fontId="38" numFmtId="0" xfId="0" applyAlignment="1" applyBorder="1" applyFont="1">
      <alignment shrinkToFit="0" wrapText="1"/>
    </xf>
    <xf borderId="0" fillId="0" fontId="38" numFmtId="49" xfId="0" applyAlignment="1" applyFont="1" applyNumberFormat="1">
      <alignment shrinkToFit="0" wrapText="0"/>
    </xf>
    <xf borderId="0" fillId="3" fontId="36" numFmtId="0" xfId="0" applyAlignment="1" applyFont="1">
      <alignment readingOrder="0"/>
    </xf>
    <xf borderId="0" fillId="4" fontId="36" numFmtId="0" xfId="0" applyAlignment="1" applyFont="1">
      <alignment readingOrder="0"/>
    </xf>
    <xf borderId="0" fillId="4" fontId="46" numFmtId="0" xfId="0" applyAlignment="1" applyFont="1">
      <alignment shrinkToFit="0" wrapText="0"/>
    </xf>
    <xf borderId="14" fillId="8" fontId="39" numFmtId="49" xfId="0" applyAlignment="1" applyBorder="1" applyFont="1" applyNumberFormat="1">
      <alignment horizontal="left" shrinkToFit="0" wrapText="1"/>
    </xf>
    <xf borderId="14" fillId="9" fontId="38" numFmtId="164" xfId="0" applyAlignment="1" applyBorder="1" applyFont="1" applyNumberFormat="1">
      <alignment shrinkToFit="0" wrapText="1"/>
    </xf>
    <xf borderId="14" fillId="9" fontId="38" numFmtId="49" xfId="0" applyAlignment="1" applyBorder="1" applyFont="1" applyNumberFormat="1">
      <alignment horizontal="left" shrinkToFit="0" wrapText="1"/>
    </xf>
    <xf borderId="7" fillId="0" fontId="32" numFmtId="49" xfId="0" applyAlignment="1" applyBorder="1" applyFont="1" applyNumberFormat="1">
      <alignment horizontal="left" shrinkToFit="0" wrapText="1"/>
    </xf>
    <xf borderId="0" fillId="4" fontId="38" numFmtId="0" xfId="0" applyAlignment="1" applyFont="1">
      <alignment shrinkToFit="0" wrapText="0"/>
    </xf>
    <xf borderId="0" fillId="4" fontId="47" numFmtId="0" xfId="0" applyAlignment="1" applyFont="1">
      <alignment readingOrder="0"/>
    </xf>
    <xf borderId="0" fillId="0" fontId="48" numFmtId="0" xfId="0" applyAlignment="1" applyFont="1">
      <alignment shrinkToFit="0" wrapText="0"/>
    </xf>
    <xf borderId="14" fillId="8" fontId="38" numFmtId="164" xfId="0" applyAlignment="1" applyBorder="1" applyFont="1" applyNumberFormat="1">
      <alignment shrinkToFit="0" wrapText="1"/>
    </xf>
    <xf borderId="14" fillId="8" fontId="38" numFmtId="49" xfId="0" applyAlignment="1" applyBorder="1" applyFont="1" applyNumberFormat="1">
      <alignment horizontal="left" shrinkToFit="0" wrapText="1"/>
    </xf>
    <xf borderId="14" fillId="8" fontId="38" numFmtId="49" xfId="0" applyAlignment="1" applyBorder="1" applyFont="1" applyNumberFormat="1">
      <alignment shrinkToFit="0" wrapText="1"/>
    </xf>
    <xf borderId="0" fillId="0" fontId="37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4" fontId="49" numFmtId="0" xfId="0" applyAlignment="1" applyFont="1">
      <alignment shrinkToFit="0" wrapText="0"/>
    </xf>
    <xf borderId="0" fillId="4" fontId="50" numFmtId="0" xfId="0" applyAlignment="1" applyFont="1">
      <alignment readingOrder="0" shrinkToFit="0" wrapText="0"/>
    </xf>
    <xf borderId="7" fillId="0" fontId="32" numFmtId="49" xfId="0" applyAlignment="1" applyBorder="1" applyFont="1" applyNumberFormat="1">
      <alignment horizontal="right" shrinkToFit="0" wrapText="1"/>
    </xf>
    <xf borderId="0" fillId="0" fontId="41" numFmtId="0" xfId="0" applyAlignment="1" applyFont="1">
      <alignment shrinkToFit="0" wrapText="1"/>
    </xf>
    <xf borderId="0" fillId="0" fontId="38" numFmtId="49" xfId="0" applyAlignment="1" applyFont="1" applyNumberFormat="1">
      <alignment horizontal="left" shrinkToFit="0" wrapText="1"/>
    </xf>
    <xf borderId="0" fillId="4" fontId="38" numFmtId="0" xfId="0" applyAlignment="1" applyFont="1">
      <alignment readingOrder="0" shrinkToFit="0" wrapText="1"/>
    </xf>
    <xf borderId="0" fillId="4" fontId="51" numFmtId="0" xfId="0" applyAlignment="1" applyFont="1">
      <alignment shrinkToFit="0" wrapText="1"/>
    </xf>
    <xf borderId="0" fillId="4" fontId="38" numFmtId="166" xfId="0" applyAlignment="1" applyFont="1" applyNumberFormat="1">
      <alignment readingOrder="0" shrinkToFit="0" wrapText="0"/>
    </xf>
    <xf borderId="0" fillId="0" fontId="38" numFmtId="166" xfId="0" applyAlignment="1" applyFont="1" applyNumberFormat="1">
      <alignment shrinkToFit="0" wrapText="0"/>
    </xf>
    <xf borderId="14" fillId="3" fontId="38" numFmtId="0" xfId="0" applyAlignment="1" applyBorder="1" applyFont="1">
      <alignment shrinkToFit="0" wrapText="1"/>
    </xf>
    <xf borderId="14" fillId="8" fontId="39" numFmtId="0" xfId="0" applyAlignment="1" applyBorder="1" applyFont="1">
      <alignment readingOrder="0" shrinkToFit="0" wrapText="1"/>
    </xf>
    <xf borderId="0" fillId="0" fontId="52" numFmtId="0" xfId="0" applyAlignment="1" applyFont="1">
      <alignment horizontal="center" readingOrder="0" shrinkToFit="0" wrapText="1"/>
    </xf>
    <xf borderId="9" fillId="0" fontId="32" numFmtId="1" xfId="0" applyAlignment="1" applyBorder="1" applyFont="1" applyNumberFormat="1">
      <alignment shrinkToFit="0" wrapText="1"/>
    </xf>
    <xf borderId="0" fillId="0" fontId="38" numFmtId="1" xfId="0" applyAlignment="1" applyFont="1" applyNumberFormat="1">
      <alignment horizontal="right" shrinkToFit="0" wrapText="1"/>
    </xf>
    <xf borderId="0" fillId="0" fontId="38" numFmtId="164" xfId="0" applyAlignment="1" applyFont="1" applyNumberFormat="1">
      <alignment horizontal="left" shrinkToFit="0" wrapText="1"/>
    </xf>
    <xf borderId="0" fillId="0" fontId="41" numFmtId="0" xfId="0" applyAlignment="1" applyFont="1">
      <alignment horizontal="left" shrinkToFit="0" wrapText="1"/>
    </xf>
    <xf borderId="0" fillId="0" fontId="38" numFmtId="1" xfId="0" applyAlignment="1" applyFont="1" applyNumberFormat="1">
      <alignment horizontal="right" shrinkToFit="0" wrapText="0"/>
    </xf>
    <xf borderId="0" fillId="4" fontId="38" numFmtId="0" xfId="0" applyAlignment="1" applyFont="1">
      <alignment horizontal="left" readingOrder="0" shrinkToFit="0" wrapText="1"/>
    </xf>
    <xf borderId="0" fillId="0" fontId="38" numFmtId="1" xfId="0" applyAlignment="1" applyFont="1" applyNumberFormat="1">
      <alignment shrinkToFit="0" wrapText="1"/>
    </xf>
    <xf borderId="0" fillId="4" fontId="53" numFmtId="0" xfId="0" applyAlignment="1" applyFont="1">
      <alignment readingOrder="0"/>
    </xf>
    <xf borderId="14" fillId="8" fontId="39" numFmtId="1" xfId="0" applyAlignment="1" applyBorder="1" applyFont="1" applyNumberFormat="1">
      <alignment shrinkToFit="0" wrapText="1"/>
    </xf>
    <xf borderId="14" fillId="8" fontId="38" numFmtId="1" xfId="0" applyAlignment="1" applyBorder="1" applyFont="1" applyNumberFormat="1">
      <alignment shrinkToFit="0" wrapText="1"/>
    </xf>
    <xf borderId="14" fillId="9" fontId="38" numFmtId="1" xfId="0" applyAlignment="1" applyBorder="1" applyFont="1" applyNumberFormat="1">
      <alignment shrinkToFit="0" wrapText="1"/>
    </xf>
    <xf borderId="22" fillId="0" fontId="45" numFmtId="49" xfId="0" applyAlignment="1" applyBorder="1" applyFont="1" applyNumberFormat="1">
      <alignment horizontal="right" shrinkToFit="0" vertical="center" wrapText="1"/>
    </xf>
    <xf borderId="22" fillId="0" fontId="32" numFmtId="0" xfId="0" applyAlignment="1" applyBorder="1" applyFont="1">
      <alignment shrinkToFit="0" vertical="center" wrapText="1"/>
    </xf>
    <xf borderId="26" fillId="8" fontId="38" numFmtId="0" xfId="0" applyAlignment="1" applyBorder="1" applyFont="1">
      <alignment shrinkToFit="0" vertical="center" wrapText="1"/>
    </xf>
    <xf borderId="0" fillId="0" fontId="41" numFmtId="0" xfId="0" applyAlignment="1" applyFont="1">
      <alignment shrinkToFit="0" vertical="center" wrapText="0"/>
    </xf>
    <xf borderId="0" fillId="4" fontId="54" numFmtId="0" xfId="0" applyAlignment="1" applyFont="1">
      <alignment readingOrder="0" shrinkToFit="0" vertical="center" wrapText="0"/>
    </xf>
    <xf borderId="0" fillId="0" fontId="36" numFmtId="0" xfId="0" applyAlignment="1" applyFont="1">
      <alignment horizontal="left" shrinkToFit="0" vertical="center" wrapText="1"/>
    </xf>
    <xf borderId="0" fillId="0" fontId="30" numFmtId="0" xfId="0" applyAlignment="1" applyFont="1">
      <alignment horizontal="left" shrinkToFit="0" vertical="center" wrapText="0"/>
    </xf>
    <xf borderId="14" fillId="8" fontId="38" numFmtId="0" xfId="0" applyAlignment="1" applyBorder="1" applyFont="1">
      <alignment shrinkToFit="0" vertical="center" wrapText="1"/>
    </xf>
    <xf borderId="14" fillId="8" fontId="39" numFmtId="49" xfId="0" applyAlignment="1" applyBorder="1" applyFont="1" applyNumberFormat="1">
      <alignment horizontal="left" shrinkToFit="0" vertical="center" wrapText="1"/>
    </xf>
    <xf borderId="14" fillId="9" fontId="30" numFmtId="49" xfId="0" applyAlignment="1" applyBorder="1" applyFont="1" applyNumberFormat="1">
      <alignment horizontal="left" shrinkToFit="0" vertical="center" wrapText="1"/>
    </xf>
    <xf borderId="14" fillId="9" fontId="38" numFmtId="0" xfId="0" applyAlignment="1" applyBorder="1" applyFont="1">
      <alignment shrinkToFit="0" vertical="center" wrapText="1"/>
    </xf>
    <xf borderId="0" fillId="0" fontId="52" numFmtId="0" xfId="0" applyAlignment="1" applyFont="1">
      <alignment horizontal="center" shrinkToFit="0" wrapText="0"/>
    </xf>
    <xf borderId="9" fillId="0" fontId="32" numFmtId="49" xfId="0" applyAlignment="1" applyBorder="1" applyFont="1" applyNumberFormat="1">
      <alignment horizontal="right" shrinkToFit="0" wrapText="1"/>
    </xf>
    <xf borderId="0" fillId="0" fontId="30" numFmtId="49" xfId="0" applyAlignment="1" applyFont="1" applyNumberFormat="1">
      <alignment horizontal="left" shrinkToFit="0" wrapText="1"/>
    </xf>
    <xf borderId="0" fillId="0" fontId="30" numFmtId="49" xfId="0" applyAlignment="1" applyFont="1" applyNumberFormat="1">
      <alignment shrinkToFit="0" wrapText="1"/>
    </xf>
    <xf borderId="0" fillId="0" fontId="30" numFmtId="0" xfId="0" applyAlignment="1" applyFont="1">
      <alignment horizontal="left" shrinkToFit="0" wrapText="1"/>
    </xf>
    <xf borderId="0" fillId="4" fontId="30" numFmtId="0" xfId="0" applyAlignment="1" applyFont="1">
      <alignment readingOrder="0" shrinkToFit="0" wrapText="1"/>
    </xf>
    <xf borderId="14" fillId="8" fontId="39" numFmtId="165" xfId="0" applyAlignment="1" applyBorder="1" applyFont="1" applyNumberFormat="1">
      <alignment shrinkToFit="0" wrapText="1"/>
    </xf>
    <xf borderId="14" fillId="9" fontId="38" numFmtId="0" xfId="0" applyAlignment="1" applyBorder="1" applyFont="1">
      <alignment horizontal="left" shrinkToFit="0" wrapText="1"/>
    </xf>
    <xf borderId="22" fillId="0" fontId="30" numFmtId="0" xfId="0" applyAlignment="1" applyBorder="1" applyFont="1">
      <alignment shrinkToFit="0" vertical="center" wrapText="1"/>
    </xf>
    <xf quotePrefix="1" borderId="0" fillId="0" fontId="38" numFmtId="49" xfId="0" applyAlignment="1" applyFont="1" applyNumberFormat="1">
      <alignment readingOrder="0" shrinkToFit="0" vertical="center" wrapText="0"/>
    </xf>
    <xf borderId="0" fillId="0" fontId="38" numFmtId="49" xfId="0" applyAlignment="1" applyFont="1" applyNumberFormat="1">
      <alignment shrinkToFit="0" vertical="center" wrapText="0"/>
    </xf>
    <xf borderId="0" fillId="0" fontId="38" numFmtId="0" xfId="0" applyAlignment="1" applyFont="1">
      <alignment readingOrder="0" shrinkToFit="0" vertical="center" wrapText="0"/>
    </xf>
    <xf borderId="0" fillId="0" fontId="40" numFmtId="0" xfId="0" applyAlignment="1" applyFont="1">
      <alignment shrinkToFit="0" vertical="center" wrapText="0"/>
    </xf>
    <xf borderId="0" fillId="4" fontId="38" numFmtId="0" xfId="0" applyAlignment="1" applyFont="1">
      <alignment readingOrder="0" shrinkToFit="0" vertical="center" wrapText="0"/>
    </xf>
    <xf borderId="14" fillId="8" fontId="38" numFmtId="0" xfId="0" applyAlignment="1" applyBorder="1" applyFont="1">
      <alignment shrinkToFit="0" vertical="center" wrapText="0"/>
    </xf>
    <xf borderId="14" fillId="8" fontId="30" numFmtId="0" xfId="0" applyAlignment="1" applyBorder="1" applyFont="1">
      <alignment shrinkToFit="0" vertical="center" wrapText="0"/>
    </xf>
    <xf borderId="14" fillId="3" fontId="38" numFmtId="49" xfId="0" applyAlignment="1" applyBorder="1" applyFont="1" applyNumberFormat="1">
      <alignment shrinkToFit="0" wrapText="1"/>
    </xf>
    <xf borderId="0" fillId="0" fontId="38" numFmtId="49" xfId="0" applyAlignment="1" applyFont="1" applyNumberFormat="1">
      <alignment readingOrder="0" shrinkToFit="0" wrapText="1"/>
    </xf>
    <xf borderId="14" fillId="3" fontId="38" numFmtId="164" xfId="0" applyAlignment="1" applyBorder="1" applyFont="1" applyNumberFormat="1">
      <alignment shrinkToFit="0" wrapText="1"/>
    </xf>
    <xf borderId="0" fillId="0" fontId="55" numFmtId="0" xfId="0" applyAlignment="1" applyFont="1">
      <alignment shrinkToFit="0" wrapText="1"/>
    </xf>
    <xf borderId="0" fillId="0" fontId="38" numFmtId="49" xfId="0" applyAlignment="1" applyFont="1" applyNumberFormat="1">
      <alignment horizontal="left" shrinkToFit="0" vertical="center" wrapText="1"/>
    </xf>
    <xf borderId="0" fillId="4" fontId="30" numFmtId="0" xfId="0" applyAlignment="1" applyFont="1">
      <alignment readingOrder="0" shrinkToFit="0" vertical="center" wrapText="1"/>
    </xf>
    <xf borderId="0" fillId="0" fontId="37" numFmtId="0" xfId="0" applyAlignment="1" applyFont="1">
      <alignment horizontal="center" shrinkToFit="0" wrapText="1"/>
    </xf>
    <xf borderId="0" fillId="0" fontId="38" numFmtId="0" xfId="0" applyAlignment="1" applyFont="1">
      <alignment readingOrder="0" shrinkToFit="0" wrapText="1"/>
    </xf>
    <xf borderId="0" fillId="0" fontId="56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wrapText="0"/>
    </xf>
    <xf borderId="0" fillId="0" fontId="57" numFmtId="0" xfId="0" applyAlignment="1" applyFont="1">
      <alignment horizontal="center" shrinkToFit="0" vertical="center" wrapText="0"/>
    </xf>
    <xf borderId="14" fillId="8" fontId="38" numFmtId="0" xfId="0" applyAlignment="1" applyBorder="1" applyFont="1">
      <alignment shrinkToFit="0" wrapText="0"/>
    </xf>
    <xf borderId="0" fillId="0" fontId="38" numFmtId="10" xfId="0" applyAlignment="1" applyFont="1" applyNumberFormat="1">
      <alignment shrinkToFit="0" wrapText="1"/>
    </xf>
    <xf borderId="0" fillId="0" fontId="38" numFmtId="1" xfId="0" applyAlignment="1" applyFont="1" applyNumberFormat="1">
      <alignment shrinkToFit="0" wrapText="0"/>
    </xf>
    <xf borderId="0" fillId="0" fontId="30" numFmtId="165" xfId="0" applyAlignment="1" applyFont="1" applyNumberFormat="1">
      <alignment shrinkToFit="0" wrapText="0"/>
    </xf>
    <xf borderId="0" fillId="0" fontId="38" numFmtId="166" xfId="0" applyAlignment="1" applyFont="1" applyNumberFormat="1">
      <alignment horizontal="left" shrinkToFit="0" wrapText="0"/>
    </xf>
    <xf borderId="0" fillId="0" fontId="41" numFmtId="166" xfId="0" applyAlignment="1" applyFont="1" applyNumberFormat="1">
      <alignment shrinkToFit="0" wrapText="0"/>
    </xf>
    <xf borderId="0" fillId="0" fontId="30" numFmtId="166" xfId="0" applyAlignment="1" applyFont="1" applyNumberFormat="1">
      <alignment shrinkToFit="0" wrapText="0"/>
    </xf>
    <xf borderId="0" fillId="4" fontId="30" numFmtId="166" xfId="0" applyAlignment="1" applyFont="1" applyNumberFormat="1">
      <alignment readingOrder="0" shrinkToFit="0" wrapText="0"/>
    </xf>
    <xf borderId="0" fillId="0" fontId="38" numFmtId="165" xfId="0" applyAlignment="1" applyFont="1" applyNumberFormat="1">
      <alignment shrinkToFit="0" wrapText="0"/>
    </xf>
    <xf borderId="0" fillId="0" fontId="0" numFmtId="166" xfId="0" applyAlignment="1" applyFont="1" applyNumberFormat="1">
      <alignment shrinkToFit="0" wrapText="0"/>
    </xf>
    <xf borderId="0" fillId="0" fontId="38" numFmtId="166" xfId="0" applyAlignment="1" applyFont="1" applyNumberFormat="1">
      <alignment readingOrder="0" shrinkToFit="0" wrapText="0"/>
    </xf>
    <xf borderId="0" fillId="4" fontId="38" numFmtId="0" xfId="0" applyAlignment="1" applyFont="1">
      <alignment shrinkToFit="0" vertical="center" wrapText="0"/>
    </xf>
    <xf borderId="0" fillId="4" fontId="36" numFmtId="0" xfId="0" applyAlignment="1" applyFont="1">
      <alignment shrinkToFit="0" vertical="center" wrapText="0"/>
    </xf>
    <xf borderId="14" fillId="9" fontId="0" numFmtId="0" xfId="0" applyAlignment="1" applyBorder="1" applyFont="1">
      <alignment shrinkToFit="0" wrapText="1"/>
    </xf>
    <xf borderId="0" fillId="0" fontId="1" numFmtId="167" xfId="0" applyFont="1" applyNumberFormat="1"/>
    <xf borderId="0" fillId="0" fontId="58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9" numFmtId="164" xfId="0" applyAlignment="1" applyFont="1" applyNumberFormat="1">
      <alignment shrinkToFit="0" wrapText="1"/>
    </xf>
    <xf borderId="0" fillId="0" fontId="60" numFmtId="0" xfId="0" applyAlignment="1" applyFont="1">
      <alignment readingOrder="0" shrinkToFit="0" wrapText="0"/>
    </xf>
    <xf borderId="0" fillId="0" fontId="4" numFmtId="0" xfId="0" applyAlignment="1" applyFont="1">
      <alignment shrinkToFit="0" wrapText="1"/>
    </xf>
    <xf borderId="0" fillId="0" fontId="1" numFmtId="14" xfId="0" applyAlignment="1" applyFont="1" applyNumberFormat="1">
      <alignment readingOrder="0"/>
    </xf>
    <xf borderId="0" fillId="0" fontId="61" numFmtId="0" xfId="0" applyFont="1"/>
    <xf borderId="0" fillId="0" fontId="62" numFmtId="0" xfId="0" applyFont="1"/>
    <xf borderId="0" fillId="0" fontId="4" numFmtId="0" xfId="0" applyAlignment="1" applyFont="1">
      <alignment readingOrder="0"/>
    </xf>
    <xf borderId="0" fillId="0" fontId="6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4ms/SMR/tree/master/hardware" TargetMode="External"/><Relationship Id="rId3" Type="http://schemas.openxmlformats.org/officeDocument/2006/relationships/hyperlink" Target="http://www.mouser.co.uk/ProductDetail/TDK/C1608X5R1A106K080AC/?qs=sGAEpiMZZMs0AnBnWHyRQEWjzA2rN6H9aXdsdHtyS4k%3d" TargetMode="External"/><Relationship Id="rId4" Type="http://schemas.openxmlformats.org/officeDocument/2006/relationships/hyperlink" Target="http://www.mouser.co.uk/ProductDetail/TDK/C1608X7R1A225K080AE/?qs=sGAEpiMZZMs0AnBnWHyRQOuo8k2TOK6lK5lOVHLHJ4qNK1pAl3kdEg%3d%3d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www.mouser.co.uk/ProductDetail/STMicroelectronics/TL082CPT/?qs=sGAEpiMZZMtCHixnSjNA6EurGpp0V%2fNdkmmugWMIWe4%3d" TargetMode="External"/><Relationship Id="rId12" Type="http://schemas.openxmlformats.org/officeDocument/2006/relationships/vmlDrawing" Target="../drawings/vmlDrawing2.vml"/><Relationship Id="rId9" Type="http://schemas.openxmlformats.org/officeDocument/2006/relationships/hyperlink" Target="http://www.mouser.co.uk/ProductDetail/NXP-Semiconductors/PCA9685PW112/?qs=sGAEpiMZZMsPdFgpQMKDR8b%252bELG1hmkCPK7tBeol5Xs%3d" TargetMode="External"/><Relationship Id="rId5" Type="http://schemas.openxmlformats.org/officeDocument/2006/relationships/hyperlink" Target="http://www.mouser.co.uk/ProductDetail/Panasonic/ERJ-3EKF22R0V/?qs=sGAEpiMZZMu61qfTUdNhG6gKAQVNBKOo%2f32Bw46AHjU%3d" TargetMode="External"/><Relationship Id="rId6" Type="http://schemas.openxmlformats.org/officeDocument/2006/relationships/hyperlink" Target="http://www.mouser.co.uk/ProductDetail/Panasonic/ERJ-3EKF6802V/?qs=sGAEpiMZZMu61qfTUdNhG6gKAQVNBKOoDDyp%2fV0WZ%252b8%3d" TargetMode="External"/><Relationship Id="rId7" Type="http://schemas.openxmlformats.org/officeDocument/2006/relationships/hyperlink" Target="http://www.mouser.co.uk/ProductDetail/Kingbright/AAA3528LSEEZGKQBKS/?qs=sGAEpiMZZMseGfSY3csMkcwbVq2rhH5MSoYNlRG2taU%2fiaK1NfSkWg%3d%3d" TargetMode="External"/><Relationship Id="rId8" Type="http://schemas.openxmlformats.org/officeDocument/2006/relationships/hyperlink" Target="http://www.ebay.com/itm/100X-LED-RGB-PLCC-4-1210-3528-SMD-LED-Light-Super-Bright-Light-Common-Anode-/12187233276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9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0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1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2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3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4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5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ay.com/itm/251176235368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29"/>
    <col customWidth="1" min="2" max="2" width="19.86"/>
    <col customWidth="1" min="3" max="3" width="5.29"/>
    <col customWidth="1" min="4" max="4" width="22.71"/>
    <col customWidth="1" min="5" max="5" width="9.86"/>
    <col customWidth="1" min="6" max="6" width="22.71"/>
    <col customWidth="1" min="7" max="7" width="10.29"/>
    <col customWidth="1" min="8" max="8" width="7.14"/>
    <col customWidth="1" min="9" max="10" width="8.57"/>
    <col customWidth="1" min="11" max="12" width="8.29"/>
    <col customWidth="1" min="13" max="13" width="7.0"/>
    <col customWidth="1" min="14" max="14" width="6.29"/>
    <col customWidth="1" min="15" max="15" width="16.14"/>
    <col customWidth="1" min="16" max="16" width="11.71"/>
    <col customWidth="1" min="17" max="17" width="77.57"/>
  </cols>
  <sheetData>
    <row r="1">
      <c r="B1" s="1" t="s">
        <v>0</v>
      </c>
      <c r="C1" s="2">
        <v>42940.0</v>
      </c>
      <c r="E1" s="2"/>
      <c r="F1" s="3" t="str">
        <f>HYPERLINK("mailto:john@synchromesh.com","john@synchromesh.com")</f>
        <v>john@synchromesh.com</v>
      </c>
      <c r="H1" s="3" t="str">
        <f>HYPERLINK("https://www.muffwiggler.com/forum/profile.php?mode=viewprofile&amp;u=4385","John Pallister (""synchromesh"")")</f>
        <v>John Pallister ("synchromesh")</v>
      </c>
      <c r="L1" s="4"/>
      <c r="M1" s="4"/>
      <c r="N1" s="4"/>
      <c r="O1" s="4"/>
    </row>
    <row r="2">
      <c r="C2" s="5"/>
      <c r="M2" s="6" t="s">
        <v>1</v>
      </c>
    </row>
    <row r="3">
      <c r="A3" s="7"/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>
      <c r="A4" s="10"/>
      <c r="B4" s="3" t="str">
        <f>HYPERLINK("http://mutable-instruments.net/modules/blinds","Blinds")</f>
        <v>Blinds</v>
      </c>
      <c r="C4" s="11" t="s">
        <v>18</v>
      </c>
      <c r="D4" s="12" t="str">
        <f>HYPERLINK("http://www.mouser.com/ProjectManager/ProjectDetail.aspx?AccessID=5F8FA27293","MI Blinds v6.0b (0.1%)")</f>
        <v>MI Blinds v6.0b (0.1%)</v>
      </c>
      <c r="E4" s="3" t="str">
        <f>HYPERLINK("http://www.mouser.com/ProjectManager/ProjectDetail.aspx?AccessID=071641ECA2","link (1%)")</f>
        <v>link (1%)</v>
      </c>
      <c r="F4" s="10"/>
      <c r="G4" s="12" t="str">
        <f>HYPERLINK("http://mutable-instruments.net/modules/blinds/downloads/Blinds-v60.pdf","PDF")</f>
        <v>PDF</v>
      </c>
      <c r="H4" s="12" t="str">
        <f>HYPERLINK("https://github.com/pichenettes/eurorack/tree/master/blinds","link")</f>
        <v>link</v>
      </c>
      <c r="I4" s="10"/>
      <c r="J4" s="10"/>
      <c r="L4" s="13"/>
      <c r="M4" s="13"/>
      <c r="N4" s="13"/>
      <c r="O4" s="14"/>
      <c r="P4" s="15"/>
      <c r="Q4" s="1"/>
    </row>
    <row r="5">
      <c r="A5" s="10"/>
      <c r="B5" s="3" t="str">
        <f>HYPERLINK("http://mutable-instruments.net/modules/braids","Braids")</f>
        <v>Braids</v>
      </c>
      <c r="C5" s="11" t="s">
        <v>19</v>
      </c>
      <c r="D5" s="12" t="str">
        <f>HYPERLINK("http://www.mouser.com/ProjectManager/ProjectDetail.aspx?AccessID=ea301b0c84","MI Braids 5.1")</f>
        <v>MI Braids 5.1</v>
      </c>
      <c r="E5" s="12" t="str">
        <f>HYPERLINK("http://www.mouser.com/ProjectManager/ProjectDetail.aspx?AccessID=897B2749E3","link")</f>
        <v>link</v>
      </c>
      <c r="F5" s="12" t="str">
        <f>HYPERLINK("https://octopart.com/bom-lookup/mYcQOJEQ","MI Braids v5.1")</f>
        <v>MI Braids v5.1</v>
      </c>
      <c r="G5" s="12" t="str">
        <f>HYPERLINK("http://mutable-instruments.net/modules/braids/downloads/Braids-v50.pdf","PDF")</f>
        <v>PDF</v>
      </c>
      <c r="H5" s="12" t="str">
        <f>HYPERLINK("https://github.com/pichenettes/eurorack/tree/master/braids","link")</f>
        <v>link</v>
      </c>
      <c r="I5" s="12" t="str">
        <f>HYPERLINK("https://drive.google.com/folderview?id=0B5t7I7Q0p5bpRFNpOUFILUtseU0&amp;usp=sharing","link")</f>
        <v>link</v>
      </c>
      <c r="J5" s="12" t="str">
        <f>HYPERLINK("https://upverter.com/synchromesh/ac0aa86d76b99e44/MI-Braids-v50/","link")</f>
        <v>link</v>
      </c>
      <c r="L5" s="16" t="str">
        <f>HYPERLINK("https://drive.google.com/open?id=0B1Kyx1RB4o-OejQtYzFaNGVtZkU","v02")</f>
        <v>v02</v>
      </c>
      <c r="M5" s="16" t="str">
        <f>HYPERLINK("https://www.dropbox.com/sh/z7p2epcbigvl57c/AADu_uQfGRgt33Y1_QOOw891a/braids?dl=0","link")</f>
        <v>link</v>
      </c>
      <c r="N5" s="16" t="str">
        <f>HYPERLINK("https://www.dropbox.com/sh/z7p2epcbigvl57c/AAAaU6Vg9kikWpjJ1lqWpKQia/braids_bootloader?dl=0","link")</f>
        <v>link</v>
      </c>
      <c r="O5" s="17" t="str">
        <f>HYPERLINK("https://octopart.com/search?q=STM32F103CBT6","STM32F103CBT6")</f>
        <v>STM32F103CBT6</v>
      </c>
      <c r="P5" s="15"/>
      <c r="Q5" s="1" t="s">
        <v>20</v>
      </c>
    </row>
    <row r="6">
      <c r="B6" s="3" t="str">
        <f>HYPERLINK("http://mutable-instruments.net/modules/branches","Branches")</f>
        <v>Branches</v>
      </c>
      <c r="C6" s="11" t="s">
        <v>21</v>
      </c>
      <c r="D6" s="12" t="str">
        <f>HYPERLINK("http://www.mouser.com/ProjectManager/ProjectDetail.aspx?AccessID=42f9e15a71","MI Branches v4.0")</f>
        <v>MI Branches v4.0</v>
      </c>
      <c r="E6" s="12" t="str">
        <f>HYPERLINK("http://www.mouser.com/ProjectManager/ProjectDetail.aspx?AccessID=874737bfe7","link")</f>
        <v>link</v>
      </c>
      <c r="F6" s="12" t="str">
        <f>HYPERLINK("https://octopart.com/bom-lookup/92Eo5gZi","MI Branches v4.0")</f>
        <v>MI Branches v4.0</v>
      </c>
      <c r="G6" s="12" t="str">
        <f>HYPERLINK("http://mutable-instruments.net/modules/branches/downloads/Branches-v40.pdf","PDF")</f>
        <v>PDF</v>
      </c>
      <c r="H6" s="12" t="str">
        <f>HYPERLINK("https://github.com/pichenettes/eurorack/tree/master/branches","link")</f>
        <v>link</v>
      </c>
      <c r="I6" s="10"/>
      <c r="L6" s="18" t="str">
        <f>HYPERLINK("https://drive.google.com/open?id=0B1Kyx1RB4o-OX3JFZS11cUgxNG8","v02")</f>
        <v>v02</v>
      </c>
      <c r="M6" s="12" t="str">
        <f>HYPERLINK("https://drive.google.com/open?id=0B5t7I7Q0p5bpTWYwaEo2VUNlaGc","link")</f>
        <v>link</v>
      </c>
      <c r="O6" s="19" t="str">
        <f>HYPERLINK("https://octopart.com/search?q=ATMega88p","ATMega88p")</f>
        <v>ATMega88p</v>
      </c>
      <c r="P6" s="20"/>
    </row>
    <row r="7">
      <c r="A7" s="10"/>
      <c r="B7" s="3" t="str">
        <f>HYPERLINK("http://mutable-instruments.net/modules/clouds","Clouds")</f>
        <v>Clouds</v>
      </c>
      <c r="C7" s="11" t="s">
        <v>22</v>
      </c>
      <c r="D7" s="12" t="str">
        <f>HYPERLINK("http://www.mouser.com/ProjectManager/ProjectDetail.aspx?AccessID=cc8b77c20c","MI Clouds v3.0")</f>
        <v>MI Clouds v3.0</v>
      </c>
      <c r="E7" s="12" t="str">
        <f>HYPERLINK("http://www.mouser.com/ProjectManager/ProjectDetail.aspx?AccessID=246FB3E2BE","link")</f>
        <v>link</v>
      </c>
      <c r="F7" s="12" t="str">
        <f>HYPERLINK("https://octopart.com/bom-lookup/rDUIhXJO","MI Clouds v3.0")</f>
        <v>MI Clouds v3.0</v>
      </c>
      <c r="G7" s="12" t="str">
        <f>HYPERLINK("http://mutable-instruments.net/modules/clouds/downloads/Clouds-v30.pdf","PDF")</f>
        <v>PDF</v>
      </c>
      <c r="H7" s="12" t="str">
        <f>HYPERLINK("https://github.com/pichenettes/eurorack/tree/master/clouds","link")</f>
        <v>link</v>
      </c>
      <c r="I7" s="12" t="str">
        <f>HYPERLINK("https://drive.google.com/folderview?id=0B5t7I7Q0p5bpSFZGQUVNaHROUVU&amp;usp=sharing","link")</f>
        <v>link</v>
      </c>
      <c r="J7" s="12" t="str">
        <f>HYPERLINK("https://upverter.com/synchromesh/b7fb80788da943e5/MI-Clouds-v30/","link")</f>
        <v>link</v>
      </c>
      <c r="L7" s="16" t="str">
        <f>HYPERLINK("https://drive.google.com/open?id=0B1Kyx1RB4o-Od0RocG1BZzRmN0E","v02")</f>
        <v>v02</v>
      </c>
      <c r="M7" s="18" t="str">
        <f>HYPERLINK("https://www.dropbox.com/sh/z7p2epcbigvl57c/AAB20VF-xDsEQnGAqRztGenIa/clouds?dl=0","link")</f>
        <v>link</v>
      </c>
      <c r="N7" s="18" t="str">
        <f>HYPERLINK("https://www.dropbox.com/sh/z7p2epcbigvl57c/AAA_-Jn6v-opxCgUKLam2SlZa/clouds_bootloader?dl=0","link")</f>
        <v>link</v>
      </c>
      <c r="O7" s="21" t="str">
        <f>HYPERLINK("https://octopart.com/search?q=STM32F405RGT6","STM32F405RGT6")</f>
        <v>STM32F405RGT6</v>
      </c>
      <c r="P7" s="22" t="str">
        <f>HYPERLINK("https://octopart.com/search?q=WM8731SEDS/V","WM8731SEDS/V")</f>
        <v>WM8731SEDS/V</v>
      </c>
    </row>
    <row r="8">
      <c r="B8" s="3" t="str">
        <f>HYPERLINK("http://mutable-instruments.net/edges","Edges")</f>
        <v>Edges</v>
      </c>
      <c r="C8" s="11" t="s">
        <v>23</v>
      </c>
      <c r="D8" s="12" t="str">
        <f>HYPERLINK("http://www.mouser.com/ProjectManager/ProjectDetail.aspx?AccessID=b713c38bd5","MI Edges v2.0")</f>
        <v>MI Edges v2.0</v>
      </c>
      <c r="E8" s="10"/>
      <c r="F8" s="12" t="str">
        <f>HYPERLINK("https://octopart.com/bom-lookup/QICfKppJ","MI Edges v2.0")</f>
        <v>MI Edges v2.0</v>
      </c>
      <c r="G8" s="12" t="str">
        <f>HYPERLINK("http://mutable-instruments.net/modules/edges/downloads/Edges-v20.pdf","PDF")</f>
        <v>PDF</v>
      </c>
      <c r="H8" s="12" t="str">
        <f>HYPERLINK("https://github.com/pichenettes/eurorack/tree/master/edges","link")</f>
        <v>link</v>
      </c>
      <c r="I8" s="10"/>
      <c r="L8" s="16" t="str">
        <f>HYPERLINK("https://drive.google.com/open?id=0B1Kyx1RB4o-ONkozS0V1Nkx6aXc","v02")</f>
        <v>v02</v>
      </c>
      <c r="M8" s="12" t="str">
        <f>HYPERLINK("https://drive.google.com/open?id=0B5t7I7Q0p5bpY0VoX3JXSkVaSWM","link")</f>
        <v>link</v>
      </c>
      <c r="O8" s="22" t="str">
        <f>HYPERLINK("https://octopart.com/search?q=ATXMega32A4U-AU","ATXMega32A4U-AU")</f>
        <v>ATXMega32A4U-AU</v>
      </c>
      <c r="P8" s="20"/>
    </row>
    <row r="9">
      <c r="B9" s="3" t="str">
        <f>HYPERLINK("http://mutable-instruments.net/modules/elements","Elements")</f>
        <v>Elements</v>
      </c>
      <c r="C9" s="11" t="s">
        <v>24</v>
      </c>
      <c r="D9" s="12" t="str">
        <f>HYPERLINK("http://www.mouser.com/ProjectManager/ProjectDetail.aspx?AccessID=64a0ef3e21","MI Elements v0.21")</f>
        <v>MI Elements v0.21</v>
      </c>
      <c r="E9" s="12" t="str">
        <f>HYPERLINK("http://www.mouser.com/ProjectManager/ProjectDetail.aspx?AccessID=5D92D9B7DD","link")</f>
        <v>link</v>
      </c>
      <c r="F9" s="12" t="str">
        <f>HYPERLINK("https://octopart.com/bom-lookup/V9k6LnwY","MI Elements v0.21")</f>
        <v>MI Elements v0.21</v>
      </c>
      <c r="G9" s="12" t="str">
        <f>HYPERLINK("http://mutable-instruments.net/modules/elements/downloads/Elements-v02.pdf","PDF")</f>
        <v>PDF</v>
      </c>
      <c r="H9" s="12" t="str">
        <f>HYPERLINK("https://github.com/pichenettes/eurorack/tree/master/elements","link")</f>
        <v>link</v>
      </c>
      <c r="I9" s="10"/>
      <c r="L9" s="16" t="str">
        <f>HYPERLINK("https://drive.google.com/open?id=0B1Kyx1RB4o-OdlZNaGx3NGd5VG8","v02")</f>
        <v>v02</v>
      </c>
      <c r="M9" s="16" t="str">
        <f>HYPERLINK("https://www.dropbox.com/sh/z7p2epcbigvl57c/AADyaBx8CQ8AoAmtRVLT2KDna/elements?dl=0","link")</f>
        <v>link</v>
      </c>
      <c r="N9" s="16" t="str">
        <f>HYPERLINK("https://www.dropbox.com/sh/z7p2epcbigvl57c/AAC4uGLTC6bFHU_wr2PP81WUa/elements_bootloader?dl=0","link")</f>
        <v>link</v>
      </c>
      <c r="O9" s="21" t="str">
        <f>HYPERLINK("https://octopart.com/search?q=STM32F405RGT6","STM32F405RGT6")</f>
        <v>STM32F405RGT6</v>
      </c>
      <c r="P9" s="22" t="str">
        <f>HYPERLINK("https://octopart.com/search?q=WM8731SEDS/V","WM8731SEDS/V")</f>
        <v>WM8731SEDS/V</v>
      </c>
    </row>
    <row r="10">
      <c r="B10" s="3" t="str">
        <f>HYPERLINK("http://mutable-instruments.net/modules/frames","Frames")</f>
        <v>Frames</v>
      </c>
      <c r="C10" s="11" t="s">
        <v>25</v>
      </c>
      <c r="D10" s="12" t="str">
        <f>HYPERLINK("http://www.mouser.com/ProjectManager/ProjectDetail.aspx?AccessID=4cc714a8f0","MI Frames v0.3")</f>
        <v>MI Frames v0.3</v>
      </c>
      <c r="E10" s="12" t="str">
        <f>HYPERLINK("https://www.mouser.co.uk/ProjectManager/ProjectDetail.aspx?AccessID=5d4d23eaac","link")</f>
        <v>link</v>
      </c>
      <c r="F10" s="12" t="str">
        <f>HYPERLINK("https://octopart.com/bom-lookup/fbBvI5ko","MI Frames v0.3")</f>
        <v>MI Frames v0.3</v>
      </c>
      <c r="G10" s="12" t="str">
        <f>HYPERLINK("http://mutable-instruments.net/modules/frames/downloads/Frames-v03.pdf","PDF")</f>
        <v>PDF</v>
      </c>
      <c r="H10" s="12" t="str">
        <f>HYPERLINK("https://github.com/pichenettes/eurorack/tree/master/frames","link")</f>
        <v>link</v>
      </c>
      <c r="I10" s="10"/>
      <c r="L10" s="16" t="str">
        <f>HYPERLINK("https://drive.google.com/open?id=0B1Kyx1RB4o-OQWFjeHQ5TlhRaWc","v02")</f>
        <v>v02</v>
      </c>
      <c r="M10" s="16" t="str">
        <f>HYPERLINK("https://www.dropbox.com/sh/z7p2epcbigvl57c/AABwbJV7oJtSntt5gRYoYRGba/frames?dl=0","link")</f>
        <v>link</v>
      </c>
      <c r="N10" s="16" t="str">
        <f>HYPERLINK("https://www.dropbox.com/sh/z7p2epcbigvl57c/AAAIvHfusVUhprCbAYVBDQXLa/frames_bootloader?dl=0","link")</f>
        <v>link</v>
      </c>
      <c r="O10" s="17" t="str">
        <f>HYPERLINK("https://octopart.com/search?q=STM32F103CBT6","STM32F103CBT6")</f>
        <v>STM32F103CBT6</v>
      </c>
      <c r="P10" s="20"/>
    </row>
    <row r="11">
      <c r="B11" s="3" t="str">
        <f>HYPERLINK("http://mutable-instruments.net/modules/grids","Grids")</f>
        <v>Grids</v>
      </c>
      <c r="C11" s="11" t="s">
        <v>26</v>
      </c>
      <c r="D11" s="12" t="str">
        <f>HYPERLINK("http://www.mouser.com/ProjectManager/ProjectDetail.aspx?AccessID=e134eb803e","MI Grids v0.2")</f>
        <v>MI Grids v0.2</v>
      </c>
      <c r="E11" s="10"/>
      <c r="F11" s="12" t="str">
        <f>HYPERLINK("https://octopart.com/bom-lookup/cqdd6f45","MI Grids v0.2")</f>
        <v>MI Grids v0.2</v>
      </c>
      <c r="G11" s="12" t="str">
        <f>HYPERLINK("http://mutable-instruments.net/modules/grids/downloads/Grids-v01.pdf","PDF (v0.1)")</f>
        <v>PDF (v0.1)</v>
      </c>
      <c r="H11" s="12" t="str">
        <f>HYPERLINK("https://github.com/pichenettes/eurorack/tree/master/grids","link")</f>
        <v>link</v>
      </c>
      <c r="I11" s="10"/>
      <c r="L11" s="16" t="str">
        <f>HYPERLINK("https://drive.google.com/open?id=0B1Kyx1RB4o-OcHhZSlRGVGkySWM","v02")</f>
        <v>v02</v>
      </c>
      <c r="M11" s="16" t="str">
        <f>HYPERLINK("https://drive.google.com/open?id=0B5t7I7Q0p5bpdVEwamdscjJvdVU","link")</f>
        <v>link</v>
      </c>
      <c r="N11" s="13"/>
      <c r="O11" s="22" t="str">
        <f>HYPERLINK("https://octopart.com/search?q=ATMEGA328P-AU","ATMEGA328P-AU")</f>
        <v>ATMEGA328P-AU</v>
      </c>
      <c r="P11" s="20"/>
    </row>
    <row r="12">
      <c r="B12" s="3" t="str">
        <f>HYPERLINK("http://mutable-instruments.net/modules/kinks","Kinks")</f>
        <v>Kinks</v>
      </c>
      <c r="C12" s="23">
        <v>4.1</v>
      </c>
      <c r="D12" s="12" t="str">
        <f>HYPERLINK("http://www.mouser.com/ProjectManager/ProjectDetail.aspx?AccessID=68A44489B4","MI Kinks v4.1")</f>
        <v>MI Kinks v4.1</v>
      </c>
      <c r="E12" s="10"/>
      <c r="F12" s="12" t="str">
        <f>HYPERLINK("https://octopart.com/bom-lookup/yoapHl3N","MI Kinks v4.1")</f>
        <v>MI Kinks v4.1</v>
      </c>
      <c r="G12" s="12" t="str">
        <f>HYPERLINK("http://mutable-instruments.net/modules/kinks/downloads/Kinks-v41.pdf","PDF")</f>
        <v>PDF</v>
      </c>
      <c r="H12" s="12" t="str">
        <f>HYPERLINK("https://github.com/pichenettes/eurorack/tree/master/kinks/hardware_design","link")</f>
        <v>link</v>
      </c>
      <c r="I12" s="10"/>
      <c r="L12" s="13"/>
      <c r="M12" s="13"/>
      <c r="N12" s="13"/>
      <c r="O12" s="20"/>
      <c r="P12" s="20"/>
    </row>
    <row r="13">
      <c r="A13" s="10"/>
      <c r="B13" s="3" t="str">
        <f>HYPERLINK("http://mutable-instruments.net/modules/links","Links")</f>
        <v>Links</v>
      </c>
      <c r="C13" s="11" t="s">
        <v>21</v>
      </c>
      <c r="D13" s="12" t="str">
        <f>HYPERLINK("http://www.mouser.com/ProjectManager/ProjectDetail.aspx?AccessID=d7afa48893","MI Links v4")</f>
        <v>MI Links v4</v>
      </c>
      <c r="E13" s="12" t="str">
        <f>HYPERLINK("http://www.mouser.com/ProjectManager/ProjectDetail.aspx?AccessID=EFABAFDFD1","link")</f>
        <v>link</v>
      </c>
      <c r="F13" s="12" t="str">
        <f>HYPERLINK("https://octopart.com/bom-lookup/SuJpDtLb","MI Links v4.0")</f>
        <v>MI Links v4.0</v>
      </c>
      <c r="G13" s="12" t="str">
        <f>HYPERLINK("http://mutable-instruments.net/modules/links/downloads/Links-v40.pdf","PDF")</f>
        <v>PDF</v>
      </c>
      <c r="H13" s="12" t="str">
        <f>HYPERLINK("https://github.com/pichenettes/eurorack/tree/master/links/hardware_design","link")</f>
        <v>link</v>
      </c>
      <c r="I13" s="10"/>
      <c r="L13" s="16" t="str">
        <f>HYPERLINK("https://drive.google.com/open?id=0B1Kyx1RB4o-OdTc4V18tdlM1YXM","v02")</f>
        <v>v02</v>
      </c>
      <c r="M13" s="13"/>
      <c r="N13" s="13"/>
      <c r="O13" s="20"/>
      <c r="P13" s="20"/>
    </row>
    <row r="14">
      <c r="A14" s="10"/>
      <c r="B14" s="3" t="str">
        <f>HYPERLINK("http://mutable-instruments.net/modules/peaks","Peaks")</f>
        <v>Peaks</v>
      </c>
      <c r="C14" s="11" t="s">
        <v>27</v>
      </c>
      <c r="D14" s="12" t="str">
        <f>HYPERLINK("http://www.mouser.com/ProjectManager/ProjectDetail.aspx?AccessID=f3117dc915","MI Peaks v3.1")</f>
        <v>MI Peaks v3.1</v>
      </c>
      <c r="E14" s="12" t="str">
        <f>HYPERLINK("http://www.mouser.com/ProjectManager/ProjectDetail.aspx?AccessID=E68694E100","link")</f>
        <v>link</v>
      </c>
      <c r="F14" s="12" t="str">
        <f>HYPERLINK("https://octopart.com/bom-lookup/qw6Diddj","MI Peaks v3.1")</f>
        <v>MI Peaks v3.1</v>
      </c>
      <c r="G14" s="12" t="str">
        <f>HYPERLINK("http://mutable-instruments.net/modules/peaks/downloads/Peaks-v30.pdf","PDF (v3.0)")</f>
        <v>PDF (v3.0)</v>
      </c>
      <c r="H14" s="12" t="str">
        <f>HYPERLINK("https://github.com/pichenettes/eurorack/tree/master/peaks","link")</f>
        <v>link</v>
      </c>
      <c r="I14" s="10"/>
      <c r="L14" s="16" t="str">
        <f>HYPERLINK("https://drive.google.com/open?id=0B1Kyx1RB4o-ORHlGVUV2Qk1oOTg","v02")</f>
        <v>v02</v>
      </c>
      <c r="M14" s="16" t="str">
        <f>HYPERLINK("https://www.dropbox.com/sh/z7p2epcbigvl57c/AABZGQbkta9Ct3oRGjTCNMW1a/peaks?dl=0","link")</f>
        <v>link</v>
      </c>
      <c r="N14" s="16" t="str">
        <f>HYPERLINK("https://www.dropbox.com/sh/z7p2epcbigvl57c/AAC6caDhyRAM4Sy3scI4p2Vsa/peaks_bootloader?dl=0","link")</f>
        <v>link</v>
      </c>
      <c r="O14" s="17" t="str">
        <f>HYPERLINK("https://octopart.com/search?q=STM32F103CBT6","STM32F103CBT6")</f>
        <v>STM32F103CBT6</v>
      </c>
      <c r="P14" s="20"/>
    </row>
    <row r="15">
      <c r="B15" s="3" t="str">
        <f>HYPERLINK("http://mutable-instruments.net/modules/rings","Rings")</f>
        <v>Rings</v>
      </c>
      <c r="C15" s="11" t="s">
        <v>22</v>
      </c>
      <c r="D15" s="12" t="str">
        <f>HYPERLINK("http://www.mouser.com/ProjectManager/ProjectDetail.aspx?AccessID=1689ce02cb","MI Rings v3.0")</f>
        <v>MI Rings v3.0</v>
      </c>
      <c r="E15" s="12" t="str">
        <f>HYPERLINK("http://www.mouser.com/ProjectManager/ProjectDetail.aspx?AccessID=5CA60C235E","link")</f>
        <v>link</v>
      </c>
      <c r="F15" s="12" t="str">
        <f>HYPERLINK("https://octopart.com/bom-lookup/uANqxO3s","MI Rings v3.0")</f>
        <v>MI Rings v3.0</v>
      </c>
      <c r="G15" s="12" t="str">
        <f>HYPERLINK("http://mutable-instruments.net/modules/rings/downloads/Rings-v30.pdf","PDF")</f>
        <v>PDF</v>
      </c>
      <c r="H15" s="12" t="str">
        <f>HYPERLINK("https://github.com/pichenettes/eurorack/tree/master/rings","link")</f>
        <v>link</v>
      </c>
      <c r="I15" s="10"/>
      <c r="L15" s="16" t="str">
        <f>HYPERLINK("https://drive.google.com/open?id=0B1Kyx1RB4o-ONGtTRnA0SGtZN1U","v02")</f>
        <v>v02</v>
      </c>
      <c r="M15" s="16" t="str">
        <f>HYPERLINK("https://www.dropbox.com/sh/z7p2epcbigvl57c/AAATavNylQQxyWtz9HHp-ZVva/rings?dl=0","link")</f>
        <v>link</v>
      </c>
      <c r="N15" s="16" t="str">
        <f>HYPERLINK("https://www.dropbox.com/sh/z7p2epcbigvl57c/AABN_1oWBqkZTgpqAzfIZdJRa/rings_bootloader?dl=0","link")</f>
        <v>link</v>
      </c>
      <c r="O15" s="21" t="str">
        <f>HYPERLINK("https://octopart.com/search?q=STM32F405RGT6","STM32F405RGT6")</f>
        <v>STM32F405RGT6</v>
      </c>
      <c r="P15" s="22" t="str">
        <f>HYPERLINK("https://octopart.com/search?q=WM8731SEDS/V","WM8731SEDS/V")</f>
        <v>WM8731SEDS/V</v>
      </c>
    </row>
    <row r="16">
      <c r="B16" s="3" t="str">
        <f>HYPERLINK("http://mutable-instruments.net/modules/ripples","Ripples")</f>
        <v>Ripples</v>
      </c>
      <c r="C16" s="11" t="s">
        <v>21</v>
      </c>
      <c r="D16" s="12" t="str">
        <f>HYPERLINK("http://www.mouser.com/ProjectManager/ProjectDetail.aspx?AccessID=df4b03320a","MI Ripples v4.0")</f>
        <v>MI Ripples v4.0</v>
      </c>
      <c r="E16" s="12" t="str">
        <f>HYPERLINK("http://www.mouser.com/ProjectManager/ProjectDetail.aspx?AccessID=C67B61BAB0","link")</f>
        <v>link</v>
      </c>
      <c r="F16" s="12" t="str">
        <f>HYPERLINK("https://octopart.com/bom-lookup/Sf0py4g8","MI Ripples v4.0")</f>
        <v>MI Ripples v4.0</v>
      </c>
      <c r="G16" s="12" t="str">
        <f>HYPERLINK("http://mutable-instruments.net/modules/ripples/downloads/Ripples-v40.pdf","PDF")</f>
        <v>PDF</v>
      </c>
      <c r="H16" s="12" t="str">
        <f>HYPERLINK("https://github.com/pichenettes/eurorack/tree/master/ripples/hardware_design","link")</f>
        <v>link</v>
      </c>
      <c r="I16" s="12" t="str">
        <f>HYPERLINK("https://drive.google.com/folderview?id=0B5t7I7Q0p5bpZ2ZhTWVnUU02SXc&amp;usp=sharing","link")</f>
        <v>link</v>
      </c>
      <c r="J16" s="12" t="str">
        <f>HYPERLINK("https://upverter.com/synchromesh/94fdcd4410d0d5c9/MI-Ripples-v40/","link")</f>
        <v>link</v>
      </c>
      <c r="K16" s="12" t="str">
        <f>HYPERLINK("https://drive.google.com/file/d/0B5t7I7Q0p5bpRGZJWXRna19JTHc/view?usp=sharing","rev001")</f>
        <v>rev001</v>
      </c>
      <c r="L16" s="24" t="str">
        <f>HYPERLINK("https://drive.google.com/open?id=0B1Kyx1RB4o-OaV91VFdiVmRpU2c","v02")</f>
        <v>v02</v>
      </c>
      <c r="M16" s="25"/>
      <c r="N16" s="25"/>
      <c r="O16" s="26"/>
      <c r="P16" s="20"/>
      <c r="Q16" s="1" t="s">
        <v>28</v>
      </c>
    </row>
    <row r="17">
      <c r="B17" s="3" t="str">
        <f>HYPERLINK("http://mutable-instruments.net/modules/shades","Shades")</f>
        <v>Shades</v>
      </c>
      <c r="C17" s="11" t="s">
        <v>27</v>
      </c>
      <c r="D17" s="12" t="str">
        <f>HYPERLINK("http://www.mouser.com/ProjectManager/ProjectDetail.aspx?AccessID=8fc9b189c8","MI Shades v3.1")</f>
        <v>MI Shades v3.1</v>
      </c>
      <c r="E17" s="12" t="str">
        <f>HYPERLINK("http://www.mouser.com/ProjectManager/ProjectDetail.aspx?AccessID=1577E3356B","link")</f>
        <v>link</v>
      </c>
      <c r="F17" s="12" t="str">
        <f>HYPERLINK("https://octopart.com/bom-lookup/JXOIEUsR","MI Shades v3.1")</f>
        <v>MI Shades v3.1</v>
      </c>
      <c r="G17" s="12" t="str">
        <f>HYPERLINK("http://mutable-instruments.net/modules/shades/downloads/Shades-v30.pdf","PDF (v3.0)")</f>
        <v>PDF (v3.0)</v>
      </c>
      <c r="H17" s="12" t="str">
        <f>HYPERLINK("https://github.com/pichenettes/eurorack/tree/master/shades/hardware_design","link")</f>
        <v>link</v>
      </c>
      <c r="I17" s="10"/>
      <c r="L17" s="24" t="str">
        <f>HYPERLINK("https://drive.google.com/open?id=0B1Kyx1RB4o-OWUVYOWdBdkNuU3M","v02")</f>
        <v>v02</v>
      </c>
      <c r="M17" s="25"/>
      <c r="N17" s="25"/>
      <c r="O17" s="20"/>
      <c r="P17" s="20"/>
    </row>
    <row r="18">
      <c r="B18" s="3" t="str">
        <f>HYPERLINK("http://mutable-instruments.net/modules/shelves","Shelves")</f>
        <v>Shelves</v>
      </c>
      <c r="C18" s="11" t="s">
        <v>29</v>
      </c>
      <c r="D18" s="12" t="str">
        <f>HYPERLINK("http://www.mouser.com/ProjectManager/ProjectDetail.aspx?AccessID=cbfbecf561","MI Shelves v0.5")</f>
        <v>MI Shelves v0.5</v>
      </c>
      <c r="E18" s="10"/>
      <c r="F18" s="12" t="str">
        <f>HYPERLINK("https://octopart.com/bom-lookup/QCzNszVc","MI Shelves v0.5")</f>
        <v>MI Shelves v0.5</v>
      </c>
      <c r="G18" s="12" t="str">
        <f>HYPERLINK("http://mutable-instruments.net/modules/shelves/downloads/Shelves-v05.pdf","PDF")</f>
        <v>PDF</v>
      </c>
      <c r="H18" s="12" t="str">
        <f>HYPERLINK("https://github.com/pichenettes/eurorack/tree/master/shelves/hardware_design","link")</f>
        <v>link</v>
      </c>
      <c r="I18" s="10"/>
      <c r="L18" s="24" t="str">
        <f>HYPERLINK("https://drive.google.com/open?id=0B1Kyx1RB4o-OQkdVRzJyMk1IRW8","v02")</f>
        <v>v02</v>
      </c>
      <c r="M18" s="25"/>
      <c r="N18" s="25"/>
      <c r="O18" s="20"/>
      <c r="P18" s="20"/>
    </row>
    <row r="19">
      <c r="B19" s="3" t="str">
        <f>HYPERLINK("http://mutable-instruments.net/modules/streams","Streams")</f>
        <v>Streams</v>
      </c>
      <c r="C19" s="11" t="s">
        <v>29</v>
      </c>
      <c r="D19" s="12" t="str">
        <f>HYPERLINK("http://www.mouser.com/ProjectManager/ProjectDetail.aspx?AccessID=05c9883dc6","MI Streams v0.5")</f>
        <v>MI Streams v0.5</v>
      </c>
      <c r="E19" s="12" t="str">
        <f>HYPERLINK("http://www.mouser.com/ProjectManager/ProjectDetail.aspx?AccessID=F326D4CB41","link")</f>
        <v>link</v>
      </c>
      <c r="F19" s="12" t="str">
        <f>HYPERLINK("https://octopart.com/bom-lookup/hApSIWOb","MI Streams v0.5")</f>
        <v>MI Streams v0.5</v>
      </c>
      <c r="G19" s="12" t="str">
        <f>HYPERLINK("http://mutable-instruments.net/modules/streams/downloads/Streams-v05.pdf","PDF")</f>
        <v>PDF</v>
      </c>
      <c r="H19" s="12" t="str">
        <f>HYPERLINK("https://github.com/pichenettes/eurorack/tree/master/streams","link")</f>
        <v>link</v>
      </c>
      <c r="I19" s="10"/>
      <c r="L19" s="16" t="str">
        <f>HYPERLINK("https://drive.google.com/open?id=0B1Kyx1RB4o-ObVRkZV9zLVRLZGs","v02")</f>
        <v>v02</v>
      </c>
      <c r="M19" s="16" t="str">
        <f>HYPERLINK("https://www.dropbox.com/sh/z7p2epcbigvl57c/AABNtLuQElmOmiX6_BL4xIzoa/streams?dl=0","link")</f>
        <v>link</v>
      </c>
      <c r="N19" s="16" t="str">
        <f>HYPERLINK("https://www.dropbox.com/sh/z7p2epcbigvl57c/AACskJC5vpX7dAeZ41WQ0Te9a/streams_bootloader?dl=0","link")</f>
        <v>link</v>
      </c>
      <c r="O19" s="17" t="str">
        <f>HYPERLINK("https://octopart.com/search?q=STM32F103CBT6","STM32F103CBT6")</f>
        <v>STM32F103CBT6</v>
      </c>
      <c r="P19" s="20"/>
    </row>
    <row r="20">
      <c r="B20" s="3" t="str">
        <f>HYPERLINK("https://github.com/pichenettes/eurorack/tree/master/streams/hardware_design/pcb","Streams bar graph")</f>
        <v>Streams bar graph</v>
      </c>
      <c r="C20" s="11" t="s">
        <v>26</v>
      </c>
      <c r="D20" s="12" t="str">
        <f>HYPERLINK("http://www.mouser.com/ProjectManager/ProjectDetail.aspx?AccessID=7596df989b","MI Streams Bargraph v0.2")</f>
        <v>MI Streams Bargraph v0.2</v>
      </c>
      <c r="E20" s="12" t="str">
        <f>HYPERLINK("http://www.mouser.com/ProjectManager/ProjectDetail.aspx?AccessID=fe2845068b","link")</f>
        <v>link</v>
      </c>
      <c r="F20" s="12" t="str">
        <f>HYPERLINK("https://octopart.com/bom-lookup/RHCI3PAQ","MI Streams Bargraph v0.2")</f>
        <v>MI Streams Bargraph v0.2</v>
      </c>
      <c r="H20" s="10"/>
      <c r="I20" s="10"/>
      <c r="L20" s="27"/>
      <c r="M20" s="27"/>
      <c r="N20" s="27"/>
      <c r="O20" s="20"/>
      <c r="P20" s="20"/>
    </row>
    <row r="21">
      <c r="A21" s="10"/>
      <c r="B21" s="3" t="str">
        <f>HYPERLINK("http://mutable-instruments.net/modules/tides","Tides")</f>
        <v>Tides</v>
      </c>
      <c r="C21" s="11" t="s">
        <v>21</v>
      </c>
      <c r="D21" s="12" t="str">
        <f>HYPERLINK("http://www.mouser.com/ProjectManager/ProjectDetail.aspx?AccessID=d96e858e8f","MI Tides v4.0")</f>
        <v>MI Tides v4.0</v>
      </c>
      <c r="E21" s="12" t="str">
        <f>HYPERLINK("http://www.mouser.com/ProjectManager/ProjectDetail.aspx?AccessID=5D7D80B9E8","link")</f>
        <v>link</v>
      </c>
      <c r="F21" s="12" t="str">
        <f>HYPERLINK("https://octopart.com/bom-lookup/kllKhWW4","MI Tides v4.0")</f>
        <v>MI Tides v4.0</v>
      </c>
      <c r="G21" s="12" t="str">
        <f>HYPERLINK("http://mutable-instruments.net/modules/tides/downloads/Tides-v40.pdf","PDF")</f>
        <v>PDF</v>
      </c>
      <c r="H21" s="12" t="str">
        <f>HYPERLINK("https://github.com/pichenettes/eurorack/tree/master/tides","link")</f>
        <v>link</v>
      </c>
      <c r="I21" s="10"/>
      <c r="L21" s="16" t="str">
        <f>HYPERLINK("https://drive.google.com/open?id=0B1Kyx1RB4o-OQjBKVHJ1QXhvLWs","v02")</f>
        <v>v02</v>
      </c>
      <c r="M21" s="16" t="str">
        <f>HYPERLINK("https://www.dropbox.com/sh/z7p2epcbigvl57c/AAAOxaUhhxh2hZoT9XjB9f_qa/tides?dl=0","link")</f>
        <v>link</v>
      </c>
      <c r="N21" s="16" t="str">
        <f>HYPERLINK("https://www.dropbox.com/sh/z7p2epcbigvl57c/AAAe5LM6xMHlfB1RyPwLSCZOa/tides_bootloader?dl=0","link")</f>
        <v>link</v>
      </c>
      <c r="O21" s="17" t="str">
        <f>HYPERLINK("https://octopart.com/search?q=STM32F103CBT6","STM32F103CBT6")</f>
        <v>STM32F103CBT6</v>
      </c>
      <c r="P21" s="20"/>
    </row>
    <row r="22">
      <c r="B22" s="3" t="str">
        <f>HYPERLINK("http://mutable-instruments.net/modules/veils","Veils")</f>
        <v>Veils</v>
      </c>
      <c r="C22" s="11" t="s">
        <v>21</v>
      </c>
      <c r="D22" s="3" t="str">
        <f>HYPERLINK("http://www.mouser.com/ProjectManager/ProjectDetail.aspx?AccessID=D466FA6AE1","MI Veils 0603 1.0")</f>
        <v>MI Veils 0603 1.0</v>
      </c>
      <c r="E22" s="3" t="str">
        <f>HYPERLINK("https://www.mouser.co.uk/ProjectManager/ProjectDetail.aspx?AccessID=2e03d14390","link (0603)")</f>
        <v>link (0603)</v>
      </c>
      <c r="F22" s="12" t="str">
        <f>HYPERLINK("https://octopart.com/bom-tool/verXHTsk","MI Veils 0603 1.0")</f>
        <v>MI Veils 0603 1.0</v>
      </c>
      <c r="G22" s="12" t="str">
        <f>HYPERLINK("http://mutable-instruments.net/modules/veils/downloads/Veils-v40.pdf","PDF")</f>
        <v>PDF</v>
      </c>
      <c r="H22" s="12" t="str">
        <f>HYPERLINK("https://github.com/pichenettes/eurorack/tree/master/veils","link")</f>
        <v>link</v>
      </c>
      <c r="I22" s="10"/>
      <c r="L22" s="16" t="str">
        <f>HYPERLINK("https://drive.google.com/file/d/0B1Kyx1RB4o-OVG45dGlJUzdFbTA/view?usp=sharing","v03")</f>
        <v>v03</v>
      </c>
      <c r="M22" s="13"/>
      <c r="N22" s="13"/>
      <c r="O22" s="14"/>
      <c r="P22" s="14"/>
      <c r="Q22" s="1"/>
    </row>
    <row r="23">
      <c r="B23" s="3" t="str">
        <f>HYPERLINK("http://mutable-instruments.net/modules/warps","Warps")</f>
        <v>Warps</v>
      </c>
      <c r="C23" s="11" t="s">
        <v>22</v>
      </c>
      <c r="D23" s="12" t="str">
        <f>HYPERLINK("http://www.mouser.com/ProjectManager/ProjectDetail.aspx?AccessID=de7cc11efd","MI Warps v3.0")</f>
        <v>MI Warps v3.0</v>
      </c>
      <c r="E23" s="12" t="str">
        <f>HYPERLINK("http://www.mouser.com/ProjectManager/ProjectDetail.aspx?AccessID=598A9BE861","link")</f>
        <v>link</v>
      </c>
      <c r="F23" s="12" t="str">
        <f>HYPERLINK("https://octopart.com/bom-lookup/DdQDfbAw","MI Warps v3.0")</f>
        <v>MI Warps v3.0</v>
      </c>
      <c r="G23" s="12" t="str">
        <f>HYPERLINK("http://mutable-instruments.net/modules/warps/downloads/Warps-v30.pdf","PDF")</f>
        <v>PDF</v>
      </c>
      <c r="H23" s="12" t="str">
        <f>HYPERLINK("https://github.com/pichenettes/eurorack/tree/master/warps","link")</f>
        <v>link</v>
      </c>
      <c r="I23" s="10"/>
      <c r="L23" s="16" t="str">
        <f>HYPERLINK("https://drive.google.com/open?id=0B1Kyx1RB4o-Oa292b1NNZzZ3a1E","v02")</f>
        <v>v02</v>
      </c>
      <c r="M23" s="16" t="str">
        <f>HYPERLINK("https://www.dropbox.com/sh/z7p2epcbigvl57c/AAAs4qhYr8PD5csy7Db8bI-ua/warps?dl=0","link")</f>
        <v>link</v>
      </c>
      <c r="N23" s="16" t="str">
        <f>HYPERLINK("https://www.dropbox.com/sh/z7p2epcbigvl57c/AAB54mjAyZfdj6V4hEXOCtuRa/warps_bootloader?dl=0","link")</f>
        <v>link</v>
      </c>
      <c r="O23" s="21" t="str">
        <f>HYPERLINK("https://octopart.com/search?q=STM32F405RGT6","STM32F405RGT6")</f>
        <v>STM32F405RGT6</v>
      </c>
      <c r="P23" s="22" t="str">
        <f>HYPERLINK("https://octopart.com/search?q=WM8731SEDS/V","WM8731SEDS/V")</f>
        <v>WM8731SEDS/V</v>
      </c>
      <c r="Q23" s="1" t="s">
        <v>30</v>
      </c>
    </row>
    <row r="24">
      <c r="B24" s="3" t="str">
        <f>HYPERLINK("http://mutable-instruments.net/modules/yarns","Yarns")</f>
        <v>Yarns</v>
      </c>
      <c r="C24" s="11" t="s">
        <v>25</v>
      </c>
      <c r="D24" s="12" t="str">
        <f>HYPERLINK("http://www.mouser.com/ProjectManager/ProjectDetail.aspx?AccessID=cfd981069d","MI Yarns v0.3")</f>
        <v>MI Yarns v0.3</v>
      </c>
      <c r="F24" s="12" t="str">
        <f>HYPERLINK("https://octopart.com/bom-lookup/3wFzLLVw","MI Yarns v0.3")</f>
        <v>MI Yarns v0.3</v>
      </c>
      <c r="G24" s="12" t="str">
        <f>HYPERLINK("http://mutable-instruments.net/modules/yarns/downloads/Yarns-v03.pdf","PDF")</f>
        <v>PDF</v>
      </c>
      <c r="H24" s="12" t="str">
        <f>HYPERLINK("https://github.com/pichenettes/eurorack/tree/master/yarns","link")</f>
        <v>link</v>
      </c>
      <c r="I24" s="10"/>
      <c r="L24" s="16" t="str">
        <f>HYPERLINK("https://drive.google.com/open?id=0B1Kyx1RB4o-OSWtDeUJJUmF5Qm8","v02")</f>
        <v>v02</v>
      </c>
      <c r="M24" s="16" t="str">
        <f>HYPERLINK("https://www.dropbox.com/sh/z7p2epcbigvl57c/AAAtbcPDSLtIgjQxNtt4P0uYa/yarns?dl=0","link")</f>
        <v>link</v>
      </c>
      <c r="N24" s="16" t="str">
        <f>HYPERLINK("https://www.dropbox.com/sh/z7p2epcbigvl57c/AACmTKovOfxOGI7hW4t2QE-1a/yarns_bootloader?dl=0","link")</f>
        <v>link</v>
      </c>
      <c r="O24" s="17" t="str">
        <f>HYPERLINK("https://octopart.com/search?q=STM32F103CBT6","STM32F103CBT6")</f>
        <v>STM32F103CBT6</v>
      </c>
      <c r="P24" s="20"/>
      <c r="Q24" s="1" t="s">
        <v>31</v>
      </c>
    </row>
    <row r="25">
      <c r="C25" s="5"/>
      <c r="L25" s="27"/>
      <c r="M25" s="27"/>
      <c r="N25" s="27"/>
    </row>
    <row r="26">
      <c r="B26" s="3" t="str">
        <f>HYPERLINK("http://www.4mspedals.com/smr.php","4ms SMR")</f>
        <v>4ms SMR</v>
      </c>
      <c r="C26" s="28" t="s">
        <v>32</v>
      </c>
      <c r="D26" s="3" t="str">
        <f>HYPERLINK("http://www.mouser.com/ProjectManager/ProjectDetail.aspx?AccessID=3ba011e7b6","4ms SMR 1.0.1")</f>
        <v>4ms SMR 1.0.1</v>
      </c>
      <c r="E26" s="4"/>
      <c r="F26" s="3" t="str">
        <f>HYPERLINK("https://octopart.com/bom-lookup/U0WgaZEg","4ms SMR 1.0.1")</f>
        <v>4ms SMR 1.0.1</v>
      </c>
      <c r="G26" s="3" t="str">
        <f>HYPERLINK("https://github.com/4ms/SMR/raw/master/hardware/smr-1.0.1-schematic.pdf","PDF")</f>
        <v>PDF</v>
      </c>
      <c r="H26" s="12" t="str">
        <f>HYPERLINK("https://github.com/4ms/SMR","link")</f>
        <v>link</v>
      </c>
      <c r="L26" s="18" t="str">
        <f>HYPERLINK("https://www.dropbox.com/s/6cv906bphnj64lk/SMR.zip?dl=0","rev. 1")</f>
        <v>rev. 1</v>
      </c>
      <c r="M26" s="18" t="str">
        <f>HYPERLINK("https://drive.google.com/open?id=0B5t7I7Q0p5bpV0VmQ2M4Zjc2Tkk","link")</f>
        <v>link</v>
      </c>
      <c r="N26" s="29"/>
      <c r="O26" s="30" t="str">
        <f>HYPERLINK("https://octopart.com/search?q=STM32F427ZGT6","STM32F427ZGT6")</f>
        <v>STM32F427ZGT6</v>
      </c>
      <c r="P26" s="22" t="str">
        <f>HYPERLINK("https://octopart.com/search?q=WM8731SEDS/V","WM8731SEDS/V")</f>
        <v>WM8731SEDS/V</v>
      </c>
      <c r="Q26" s="1" t="s">
        <v>33</v>
      </c>
    </row>
    <row r="27">
      <c r="B27" s="3" t="str">
        <f>HYPERLINK("http://www.4mspedals.com/dld.php","4ms DLD")</f>
        <v>4ms DLD</v>
      </c>
      <c r="C27" s="31" t="s">
        <v>34</v>
      </c>
      <c r="D27" s="4"/>
      <c r="E27" s="4"/>
      <c r="F27" s="4"/>
      <c r="G27" s="3" t="str">
        <f>HYPERLINK("https://github.com/4ms/DLD/raw/master/hardware/DLD-v1-schematic.pdf","PDF")</f>
        <v>PDF</v>
      </c>
      <c r="H27" s="12" t="str">
        <f>HYPERLINK("https://github.com/4ms/DLD","link")</f>
        <v>link</v>
      </c>
      <c r="L27" s="29"/>
      <c r="M27" s="29"/>
      <c r="N27" s="29"/>
      <c r="O27" s="32"/>
      <c r="P27" s="14"/>
      <c r="Q27" s="1"/>
    </row>
    <row r="28">
      <c r="B28" s="4"/>
      <c r="C28" s="28"/>
      <c r="D28" s="4"/>
      <c r="E28" s="4"/>
      <c r="F28" s="4"/>
      <c r="G28" s="4"/>
      <c r="L28" s="33"/>
      <c r="M28" s="33"/>
      <c r="N28" s="33"/>
    </row>
    <row r="29">
      <c r="B29" s="3" t="str">
        <f>HYPERLINK("http://www.specialstagesystems.com/world/","MM World Core")</f>
        <v>MM World Core</v>
      </c>
      <c r="C29" s="28"/>
      <c r="D29" s="3" t="str">
        <f>HYPERLINK("https://www.mouser.co.uk/ProjectManager/ProjectDetail.aspx?AccessID=05dead886f","Ming Mecca World Core")</f>
        <v>Ming Mecca World Core</v>
      </c>
      <c r="E29" s="4"/>
      <c r="F29" s="4"/>
      <c r="G29" s="4"/>
      <c r="L29" s="33"/>
      <c r="M29" s="33"/>
      <c r="N29" s="33"/>
    </row>
    <row r="30">
      <c r="B30" s="3" t="str">
        <f>HYPERLINK("http://www.specialstagesystems.com/control/","MM Control Core")</f>
        <v>MM Control Core</v>
      </c>
      <c r="C30" s="28"/>
      <c r="D30" s="3" t="str">
        <f>HYPERLINK("https://www.mouser.co.uk/ProjectManager/ProjectDetail.aspx?AccessID=0a9e1cd539","Ming Mecca Control Core")</f>
        <v>Ming Mecca Control Core</v>
      </c>
      <c r="E30" s="4"/>
      <c r="F30" s="4"/>
      <c r="G30" s="4"/>
      <c r="L30" s="33"/>
      <c r="M30" s="33"/>
      <c r="N30" s="33"/>
    </row>
    <row r="31">
      <c r="B31" s="4"/>
      <c r="C31" s="28"/>
      <c r="D31" s="4"/>
      <c r="E31" s="4"/>
      <c r="F31" s="4"/>
      <c r="G31" s="4"/>
      <c r="L31" s="33"/>
      <c r="M31" s="33"/>
      <c r="N31" s="33"/>
    </row>
    <row r="32">
      <c r="B32" s="3" t="str">
        <f>HYPERLINK("http://www.korb-modular.com/","Korb-Modular Pusher")</f>
        <v>Korb-Modular Pusher</v>
      </c>
      <c r="C32" s="28"/>
      <c r="D32" s="3" t="str">
        <f>HYPERLINK("http://www.mouser.com/ProjectManager/ProjectDetail.aspx?AccessID=57CD89170A","Korb Pusher Panasonic")</f>
        <v>Korb Pusher Panasonic</v>
      </c>
      <c r="E32" s="3" t="str">
        <f>HYPERLINK("http://www.mouser.com/ProjectManager/ProjectDetail.aspx?AccessID=9ED2090E0F ","link")</f>
        <v>link</v>
      </c>
      <c r="F32" s="4"/>
      <c r="G32" s="4"/>
      <c r="H32" s="12" t="str">
        <f>HYPERLINK("https://github.com/Korb-Modular/01_PUSHER","link")</f>
        <v>link</v>
      </c>
      <c r="L32" s="33"/>
      <c r="M32" s="33"/>
      <c r="N32" s="33"/>
    </row>
    <row r="33">
      <c r="B33" s="4"/>
      <c r="C33" s="28"/>
      <c r="D33" s="4"/>
      <c r="E33" s="4"/>
      <c r="F33" s="4"/>
      <c r="G33" s="4"/>
      <c r="L33" s="33"/>
      <c r="M33" s="33"/>
      <c r="N33" s="33"/>
    </row>
    <row r="34">
      <c r="B34" s="3" t="str">
        <f>HYPERLINK("https://www.befaco.org/en/sinte-modular/en-produccion/vc-adsrv1/","Befaco VCADSR")</f>
        <v>Befaco VCADSR</v>
      </c>
      <c r="C34" s="28" t="s">
        <v>35</v>
      </c>
      <c r="D34" s="4"/>
      <c r="E34" s="4"/>
      <c r="F34" s="4"/>
      <c r="G34" s="4"/>
      <c r="L34" s="33"/>
      <c r="M34" s="33"/>
      <c r="N34" s="33"/>
    </row>
    <row r="35">
      <c r="B35" s="4"/>
      <c r="C35" s="28"/>
      <c r="D35" s="4"/>
      <c r="E35" s="4"/>
      <c r="F35" s="4"/>
      <c r="G35" s="4"/>
      <c r="L35" s="33"/>
      <c r="M35" s="33"/>
      <c r="N35" s="33"/>
    </row>
    <row r="36">
      <c r="B36" s="4"/>
      <c r="C36" s="28"/>
      <c r="D36" s="4"/>
      <c r="E36" s="4"/>
      <c r="F36" s="4"/>
      <c r="G36" s="4"/>
      <c r="L36" s="33"/>
      <c r="M36" s="33"/>
      <c r="N36" s="33"/>
    </row>
    <row r="37">
      <c r="B37" s="34" t="s">
        <v>36</v>
      </c>
      <c r="L37" s="33"/>
      <c r="M37" s="33"/>
      <c r="N37" s="33"/>
    </row>
    <row r="38">
      <c r="B38" s="12" t="str">
        <f>HYPERLINK("https://www.facebook.com/groups/1677419455833872/","PCB group buy Facebook group")</f>
        <v>PCB group buy Facebook group</v>
      </c>
      <c r="L38" s="33"/>
      <c r="M38" s="33"/>
      <c r="N38" s="33"/>
    </row>
    <row r="39">
      <c r="B39" s="12" t="str">
        <f>HYPERLINK("https://docs.google.com/spreadsheets/d/1jf6f4dd4qNkuhbMLlKH1jS5D3CNo8qy34iY4rjCN6Fo/edit?usp=sharing","Herman Dackenberg's AliExpress Components spreadsheet")</f>
        <v>Herman Dackenberg's AliExpress Components spreadsheet</v>
      </c>
      <c r="L39" s="33"/>
      <c r="M39" s="33"/>
      <c r="N39" s="33"/>
    </row>
    <row r="40">
      <c r="B40" s="35" t="str">
        <f>HYPERLINK("https://docs.google.com/spreadsheets/d/11xBpKOiTQE175nkBbWq2LmtXkq2TUcH5jqLoASA_bEE/edit?usp=sharing","First PCB group buy sheet (closed)")</f>
        <v>First PCB group buy sheet (closed)</v>
      </c>
      <c r="L40" s="33"/>
      <c r="M40" s="33"/>
      <c r="N40" s="33"/>
    </row>
    <row r="41">
      <c r="B41" s="35" t="str">
        <f>HYPERLINK("https://docs.google.com/spreadsheets/d/1dRi5CvIEoCRDOrkbSVbFtAAuxeG1WxzuJJMKcrVTBCA/edit?usp=sharing","Second PCB group buy sheet (closed)")</f>
        <v>Second PCB group buy sheet (closed)</v>
      </c>
      <c r="L41" s="33"/>
      <c r="M41" s="33"/>
      <c r="N41" s="33"/>
    </row>
    <row r="42">
      <c r="B42" s="36" t="str">
        <f>HYPERLINK("https://docs.google.com/spreadsheets/d/1qIZv5T3YufSnKr4xvIBcco7G1-sbxK4x_vlOfZe3oYQ/edit?usp=sharing","Third PCB group buy expression of interest sheet")</f>
        <v>Third PCB group buy expression of interest sheet</v>
      </c>
      <c r="L42" s="33"/>
      <c r="M42" s="33"/>
      <c r="N42" s="33"/>
    </row>
    <row r="43">
      <c r="B43" s="36" t="str">
        <f>HYPERLINK("https://docs.google.com/spreadsheets/d/1Rv6Do0fIKP2DzAXmbogC7SqPPkfpEIf3wofOb0mjmm4/edit?usp=sharing","Third ""April/May"" Group Buy sheet (closed)")</f>
        <v>Third "April/May" Group Buy sheet (closed)</v>
      </c>
      <c r="L43" s="33"/>
      <c r="M43" s="33"/>
      <c r="N43" s="33"/>
    </row>
    <row r="44">
      <c r="B44" s="36" t="str">
        <f>HYPERLINK("https://docs.google.com/spreadsheets/d/1F66WvP5EcJmlhVk_iTrq55nHWKVe0nmse58iLeGBa-A/edit?usp=sharing","""August/Sept MI PCB Group Buy"" sheet (closed)")</f>
        <v>"August/Sept MI PCB Group Buy" sheet (closed)</v>
      </c>
      <c r="L44" s="33"/>
      <c r="M44" s="33"/>
      <c r="N44" s="33"/>
    </row>
    <row r="45">
      <c r="B45" s="35" t="str">
        <f>HYPERLINK("https://docs.google.com/spreadsheets/d/1BZcmFiTSWZpQ3x8scxwAIkdYVDb1Ml2FMM_7zIeSCQQ/edit?usp=sharing","Fourth ""September/October PCB Group Buy"" sheet (closed)")</f>
        <v>Fourth "September/October PCB Group Buy" sheet (closed)</v>
      </c>
      <c r="L45" s="33"/>
      <c r="M45" s="33"/>
      <c r="N45" s="33"/>
    </row>
    <row r="46">
      <c r="B46" s="35" t="str">
        <f>HYPERLINK("https://docs.google.com/spreadsheets/d/1DkYIDDuwrPTrYl4Ofuq7NBWlsozjrj7RCfM6nrpsUms/edit?usp=sharing","Fifth ""November Aluminium PCB Panels Group Buy"" sheet (closed)")</f>
        <v>Fifth "November Aluminium PCB Panels Group Buy" sheet (closed)</v>
      </c>
      <c r="L46" s="33"/>
      <c r="M46" s="33"/>
      <c r="N46" s="33"/>
    </row>
    <row r="47">
      <c r="B47" s="35" t="str">
        <f>HYPERLINK("https://docs.google.com/spreadsheets/d/1Rv6Do0fIKP2DzAXmbogC7SqPPkfpEIf3wofOb0mjmm4/edit?usp=sharing","Sixth ""Feb/March PCB Panels Group Buy"" sheet (closed)")</f>
        <v>Sixth "Feb/March PCB Panels Group Buy" sheet (closed)</v>
      </c>
      <c r="L47" s="33"/>
      <c r="M47" s="33"/>
      <c r="N47" s="33"/>
    </row>
    <row r="48">
      <c r="B48" s="37" t="str">
        <f>HYPERLINK("https://docs.google.com/spreadsheets/d/1J8GNyk2Z_pGTvA2RhrsoguZqIZDGhtK8gLoQSGRTz1I/edit?usp=sharing","Seventh ""August/September PCBs &amp; panels Group Buy"" sheet (open)")</f>
        <v>Seventh "August/September PCBs &amp; panels Group Buy" sheet (open)</v>
      </c>
      <c r="L48" s="33"/>
      <c r="M48" s="33"/>
      <c r="N48" s="33"/>
    </row>
    <row r="49">
      <c r="B49" s="35" t="str">
        <f>HYPERLINK("https://docs.google.com/spreadsheets/d/1dZ0Kvd-SQbIYbN1kkYmCiORpndCnq19g5ZJfLp_acP4/edit?usp=sharing","Paul Bennett's aluminium blank panels group buy sheet (closed)")</f>
        <v>Paul Bennett's aluminium blank panels group buy sheet (closed)</v>
      </c>
      <c r="L49" s="33"/>
      <c r="M49" s="33"/>
      <c r="N49" s="33"/>
    </row>
    <row r="50">
      <c r="B50" s="35" t="str">
        <f>HYPERLINK("https://docs.google.com/spreadsheets/d/1WwkJBfkMBIZx3APfNNOE0Siza6SpFtadSDT8ondXRzg/edit#gid=0","Trei Iunie Nikolaus's first black MDF panels group buy sheet (closed)")</f>
        <v>Trei Iunie Nikolaus's first black MDF panels group buy sheet (closed)</v>
      </c>
    </row>
    <row r="51">
      <c r="B51" s="38" t="str">
        <f>HYPERLINK("https://docs.google.com/spreadsheets/d/1qtnhUBBv5ybk5Y9NsM4JhiYuNfCIKLXofkNzFXFUzZM/edit#gid=0","Trei Iunie Nikolaus's second black MDF panels group buy sheet (open, on hold)")</f>
        <v>Trei Iunie Nikolaus's second black MDF panels group buy sheet (open, on hold)</v>
      </c>
    </row>
    <row r="52">
      <c r="B52" s="36" t="str">
        <f>HYPERLINK("https://docs.google.com/spreadsheets/d/1QvZrOUTp5iuLryYhZX58DCMc0vIZ7yEJRMU08gAIuUk/edit?usp=sharing","Timo Rozendal's Befaco panel run 1 (closed)")</f>
        <v>Timo Rozendal's Befaco panel run 1 (closed)</v>
      </c>
    </row>
    <row r="53">
      <c r="B53" s="36" t="str">
        <f>HYPERLINK("https://docs.google.com/spreadsheets/d/1Nat0TvHSC4dDZC6FLdZaGXRdgiU4RuAn9BMH4B4aMSM/edit?usp=sharing","Timo Rozendal's second PCB panel run (closed)")</f>
        <v>Timo Rozendal's second PCB panel run (closed)</v>
      </c>
    </row>
    <row r="54">
      <c r="B54" s="36" t="str">
        <f>HYPERLINK("https://docs.google.com/spreadsheets/d/10Ts6NiwYld1GB0Ejuu-4uk8mEQVUtsluvDxWmKnl_Ys/edit?usp=sharing","Simon Clements-Hawes's 1st SMR lightpipe and 1k resistor group buy (closed)")</f>
        <v>Simon Clements-Hawes's 1st SMR lightpipe and 1k resistor group buy (closed)</v>
      </c>
    </row>
    <row r="55">
      <c r="B55" s="36" t="str">
        <f>HYPERLINK("https://www.facebook.com/groups/1677419455833872/permalink/1715021935406957/","Simon Clements-Hawes 2nd SMR lightpipe &amp; 1k resistor group buy (closed)")</f>
        <v>Simon Clements-Hawes 2nd SMR lightpipe &amp; 1k resistor group buy (closed)</v>
      </c>
    </row>
    <row r="56">
      <c r="B56" s="36" t="str">
        <f>HYPERLINK("https://docs.google.com/spreadsheets/d/16CtsRnt86lh26ap-crEN9lm6Lto2-USTZ7YY2hE9Ewo/edit?usp=sharing","My MD100 solder paste dispenser group buy (closed)")</f>
        <v>My MD100 solder paste dispenser group buy (closed)</v>
      </c>
    </row>
    <row r="57">
      <c r="B57" s="36" t="str">
        <f>HYPERLINK("https://www.facebook.com/groups/1677419455833872/permalink/1780878878821262/","Tom Simmert's Gie-Tec Rails group buy (closed)")</f>
        <v>Tom Simmert's Gie-Tec Rails group buy (closed)</v>
      </c>
    </row>
    <row r="58">
      <c r="B58" s="37" t="str">
        <f>HYPERLINK("https://www.facebook.com/groups/1677419455833872/permalink/1804862686422881/","Gustav Olsson's 3U Aluminium end panels interest check sheet (open)")</f>
        <v>Gustav Olsson's 3U Aluminium end panels interest check sheet (open)</v>
      </c>
    </row>
    <row r="59">
      <c r="B59" s="37" t="str">
        <f>HYPERLINK("https://www.facebook.com/groups/1677419455833872/permalink/1802145003361316/","Timo Rozendal's pre-programmed FM Ogre CPU sheet (open)")</f>
        <v>Timo Rozendal's pre-programmed FM Ogre CPU sheet (open)</v>
      </c>
    </row>
    <row r="60">
      <c r="B60" s="12" t="str">
        <f>HYPERLINK("https://drive.google.com/open?id=0B_s2U44H6AlJR1ZsY1FPRW85UnM","John Canning's Eurorack DIY Resources Google Drive folder")</f>
        <v>John Canning's Eurorack DIY Resources Google Drive folder</v>
      </c>
    </row>
    <row r="61">
      <c r="B61" s="12" t="str">
        <f>HYPERLINK("https://www.dropbox.com/sh/z7p2epcbigvl57c/AADl-A8MvFatvBTd0IGirK2ha?dl=0","Chris Anticoli's MI firmware Dropbox folder")</f>
        <v>Chris Anticoli's MI firmware Dropbox folder</v>
      </c>
    </row>
    <row r="62">
      <c r="B62" s="3" t="str">
        <f>HYPERLINK("https://github.com/pichenettes/eurorack","MI GitHub repo")</f>
        <v>MI GitHub repo</v>
      </c>
    </row>
    <row r="63">
      <c r="B63" s="12" t="str">
        <f>HYPERLINK("https://github.com/pichenettes/eurorack/commit/34a4d242b42557a194a05a0ac80ae1a8aac4e583","Olivier's list of BOMs")</f>
        <v>Olivier's list of BOMs</v>
      </c>
    </row>
    <row r="64">
      <c r="B64" s="12" t="str">
        <f>HYPERLINK("https://www.muffwiggler.com/forum/viewtopic.php?t=143366&amp;start=all&amp;postdays=0&amp;postorder=asc","MW: ""DIY Mutable Unsuccessful Builds""")</f>
        <v>MW: "DIY Mutable Unsuccessful Builds"</v>
      </c>
    </row>
    <row r="65">
      <c r="B65" s="12" t="str">
        <f>HYPERLINK("https://www.muffwiggler.com/forum/viewtopic.php?t=120940&amp;start=all&amp;postdays=0&amp;postorder=asc","MW: ""MI Braids Gerbers/Eagle Export?""")</f>
        <v>MW: "MI Braids Gerbers/Eagle Export?"</v>
      </c>
    </row>
    <row r="66">
      <c r="B66" s="12" t="str">
        <f>HYPERLINK("https://www.muffwiggler.com/forum/viewtopic.php?t=143366&amp;start=all&amp;postdays=0&amp;postorder=asc","MW: ""'Mutable' PCBs, delight in the selection""")</f>
        <v>MW: "'Mutable' PCBs, delight in the selection"</v>
      </c>
    </row>
    <row r="67">
      <c r="B67" s="12" t="str">
        <f>HYPERLINK("https://www.muffwiggler.com/forum/viewtopic.php?t=143166&amp;start=all&amp;postdays=0&amp;postorder=asc","MW: ""MI Elements build thread""")</f>
        <v>MW: "MI Elements build thread"</v>
      </c>
    </row>
    <row r="68">
      <c r="B68" s="12" t="str">
        <f>HYPERLINK("https://www.muffwiggler.com/forum/viewtopic.php?t=138926&amp;start=all&amp;postdays=0&amp;postorder=asc","MW: ""DIY Mutable successful builds hall of fame""")</f>
        <v>MW: "DIY Mutable successful builds hall of fame"</v>
      </c>
    </row>
    <row r="69">
      <c r="B69" s="12" t="str">
        <f>HYPERLINK("https://www.muffwiggler.com/forum/viewtopic.php?t=133272&amp;start=all&amp;postdays=0&amp;postorder=asc","MW: ""Mutable Clouds diy... files on the git repository.""")</f>
        <v>MW: "Mutable Clouds diy... files on the git repository."</v>
      </c>
    </row>
    <row r="70">
      <c r="B70" s="12" t="str">
        <f>HYPERLINK("https://www.muffwiggler.com/forum/viewtopic.php?t=156669&amp;start=all&amp;postdays=0&amp;postorder=asc","MW: ""MI streams JP3?""")</f>
        <v>MW: "MI streams JP3?"</v>
      </c>
    </row>
    <row r="71">
      <c r="B71" s="3" t="str">
        <f>HYPERLINK("https://www.muffwiggler.com/forum/viewtopic.php?t=149485","MW: ""D shaft Pots for Mutable Instruments""")</f>
        <v>MW: "D shaft Pots for Mutable Instruments"</v>
      </c>
    </row>
    <row r="72">
      <c r="B72" s="3" t="str">
        <f>HYPERLINK("https://www.muffwiggler.com/forum/viewtopic.php?t=152407","MW: ""4ms PEG cycle buttons""")</f>
        <v>MW: "4ms PEG cycle buttons"</v>
      </c>
    </row>
    <row r="73">
      <c r="B73" s="3" t="str">
        <f>HYPERLINK("https://www.muffwiggler.com/forum/viewtopic.php?t=157909&amp;start=all&amp;postdays=0&amp;postorder=asc","MW: ""DIY 4ms SMR""")</f>
        <v>MW: "DIY 4ms SMR"</v>
      </c>
    </row>
    <row r="74">
      <c r="B74" s="3" t="str">
        <f>HYPERLINK("https://www.muffwiggler.com/forum/viewtopic.php?t=155162&amp;start=0&amp;postdays=0&amp;postorder=asc&amp;highlight=","MW: ""SMR / STM32 prototype dev diy project status""")</f>
        <v>MW: "SMR / STM32 prototype dev diy project status"</v>
      </c>
    </row>
    <row r="75">
      <c r="B75" s="3" t="str">
        <f>HYPERLINK("https://www.muffwiggler.com/forum/viewtopic.php?t=157859&amp;start=0&amp;postdays=0&amp;postorder=asc&amp;highlight=","MW: ""4ms style illuminated push buttons polarity""")</f>
        <v>MW: "4ms style illuminated push buttons polarity"</v>
      </c>
    </row>
    <row r="76">
      <c r="B76" s="3" t="str">
        <f>HYPERLINK("http://4ms.org/?p=285","Dann Green's ""LED buttons"" page")</f>
        <v>Dann Green's "LED buttons" page</v>
      </c>
    </row>
    <row r="77">
      <c r="B77" s="3" t="str">
        <f>HYPERLINK("https://www.muffwiggler.com/forum/viewtopic.php?p=2204036#2204036","Altitude909's MW post with his SMR BOM spreadsheet link")</f>
        <v>Altitude909's MW post with his SMR BOM spreadsheet link</v>
      </c>
    </row>
    <row r="78">
      <c r="B78" s="12" t="str">
        <f>HYPERLINK("https://www.facebook.com/groups/1677419455833872/permalink/1693797300862754/?comment_id=1694040500838434&amp;comment_tracking=%7B%22tn%22%3A%22R0%22%7D","Paul Bennett's LazerTran instructions")</f>
        <v>Paul Bennett's LazerTran instructions</v>
      </c>
    </row>
    <row r="80">
      <c r="B80" s="39" t="s">
        <v>37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</row>
    <row r="81">
      <c r="B81" s="42">
        <v>42429.0</v>
      </c>
      <c r="C81" s="43" t="s">
        <v>38</v>
      </c>
      <c r="S81" s="44"/>
    </row>
    <row r="82">
      <c r="B82" s="42">
        <v>42430.0</v>
      </c>
      <c r="C82" s="43" t="s">
        <v>39</v>
      </c>
      <c r="S82" s="44"/>
    </row>
    <row r="83">
      <c r="B83" s="42">
        <v>42431.0</v>
      </c>
      <c r="C83" s="43" t="s">
        <v>40</v>
      </c>
      <c r="S83" s="44"/>
    </row>
    <row r="84">
      <c r="B84" s="42">
        <v>42433.0</v>
      </c>
      <c r="C84" s="43" t="s">
        <v>41</v>
      </c>
      <c r="S84" s="44"/>
    </row>
    <row r="85">
      <c r="B85" s="42">
        <v>42442.0</v>
      </c>
      <c r="C85" s="43" t="s">
        <v>42</v>
      </c>
      <c r="S85" s="44"/>
    </row>
    <row r="86">
      <c r="B86" s="42">
        <v>42443.0</v>
      </c>
      <c r="C86" s="43" t="s">
        <v>43</v>
      </c>
      <c r="S86" s="44"/>
    </row>
    <row r="87">
      <c r="B87" s="42">
        <v>42448.0</v>
      </c>
      <c r="C87" s="43" t="s">
        <v>44</v>
      </c>
      <c r="S87" s="44"/>
    </row>
    <row r="88">
      <c r="B88" s="42">
        <v>42450.0</v>
      </c>
      <c r="C88" s="43" t="s">
        <v>45</v>
      </c>
      <c r="S88" s="44"/>
    </row>
    <row r="89">
      <c r="B89" s="42">
        <v>42451.0</v>
      </c>
      <c r="C89" s="45" t="s">
        <v>46</v>
      </c>
      <c r="S89" s="44"/>
    </row>
    <row r="90">
      <c r="B90" s="42">
        <v>42452.0</v>
      </c>
      <c r="C90" s="45" t="s">
        <v>47</v>
      </c>
      <c r="S90" s="44"/>
    </row>
    <row r="91">
      <c r="B91" s="42">
        <v>42463.0</v>
      </c>
      <c r="C91" s="45" t="s">
        <v>48</v>
      </c>
      <c r="S91" s="44"/>
    </row>
    <row r="92">
      <c r="B92" s="42">
        <v>42465.0</v>
      </c>
      <c r="C92" s="45" t="s">
        <v>49</v>
      </c>
      <c r="S92" s="44"/>
    </row>
    <row r="93">
      <c r="B93" s="42">
        <v>42466.0</v>
      </c>
      <c r="C93" s="45" t="s">
        <v>50</v>
      </c>
      <c r="S93" s="44"/>
    </row>
    <row r="94">
      <c r="B94" s="42">
        <v>42474.0</v>
      </c>
      <c r="C94" s="45" t="s">
        <v>51</v>
      </c>
      <c r="S94" s="44"/>
    </row>
    <row r="95">
      <c r="B95" s="42">
        <v>42475.0</v>
      </c>
      <c r="C95" s="45" t="s">
        <v>52</v>
      </c>
      <c r="S95" s="44"/>
    </row>
    <row r="96">
      <c r="B96" s="42">
        <v>42481.0</v>
      </c>
      <c r="C96" s="45" t="s">
        <v>53</v>
      </c>
      <c r="S96" s="44"/>
    </row>
    <row r="97">
      <c r="B97" s="42">
        <v>42482.0</v>
      </c>
      <c r="C97" s="45" t="s">
        <v>54</v>
      </c>
      <c r="S97" s="44"/>
    </row>
    <row r="98">
      <c r="B98" s="42">
        <v>42483.0</v>
      </c>
      <c r="C98" s="45" t="s">
        <v>55</v>
      </c>
      <c r="S98" s="44"/>
    </row>
    <row r="99">
      <c r="B99" s="42">
        <v>42493.0</v>
      </c>
      <c r="C99" s="45" t="s">
        <v>56</v>
      </c>
      <c r="S99" s="44"/>
    </row>
    <row r="100">
      <c r="B100" s="42">
        <v>42494.0</v>
      </c>
      <c r="C100" s="45" t="s">
        <v>57</v>
      </c>
      <c r="S100" s="44"/>
    </row>
    <row r="101">
      <c r="B101" s="42">
        <v>42495.0</v>
      </c>
      <c r="C101" s="45" t="s">
        <v>58</v>
      </c>
      <c r="S101" s="44"/>
    </row>
    <row r="102">
      <c r="B102" s="42">
        <v>42506.0</v>
      </c>
      <c r="C102" s="45" t="s">
        <v>59</v>
      </c>
      <c r="S102" s="44"/>
    </row>
    <row r="103">
      <c r="B103" s="42">
        <v>42509.0</v>
      </c>
      <c r="C103" s="45" t="s">
        <v>60</v>
      </c>
      <c r="S103" s="44"/>
    </row>
    <row r="104">
      <c r="B104" s="42">
        <v>42510.0</v>
      </c>
      <c r="C104" s="45" t="s">
        <v>61</v>
      </c>
      <c r="S104" s="44"/>
    </row>
    <row r="105">
      <c r="B105" s="42">
        <v>42529.0</v>
      </c>
      <c r="C105" s="45" t="s">
        <v>62</v>
      </c>
      <c r="S105" s="44"/>
    </row>
    <row r="106">
      <c r="B106" s="42">
        <v>42536.0</v>
      </c>
      <c r="C106" s="45" t="s">
        <v>63</v>
      </c>
      <c r="S106" s="44"/>
    </row>
    <row r="107">
      <c r="B107" s="42">
        <v>42538.0</v>
      </c>
      <c r="C107" s="45" t="s">
        <v>64</v>
      </c>
      <c r="S107" s="44"/>
    </row>
    <row r="108">
      <c r="B108" s="42">
        <v>42562.0</v>
      </c>
      <c r="C108" s="45" t="s">
        <v>65</v>
      </c>
      <c r="S108" s="44"/>
    </row>
    <row r="109">
      <c r="B109" s="42">
        <v>42569.0</v>
      </c>
      <c r="C109" s="45" t="s">
        <v>66</v>
      </c>
      <c r="S109" s="44"/>
    </row>
    <row r="110">
      <c r="B110" s="42">
        <v>42616.0</v>
      </c>
      <c r="C110" s="45" t="s">
        <v>67</v>
      </c>
      <c r="S110" s="44"/>
    </row>
    <row r="111">
      <c r="B111" s="42">
        <v>42662.0</v>
      </c>
      <c r="C111" s="45" t="s">
        <v>68</v>
      </c>
      <c r="S111" s="44"/>
    </row>
    <row r="112">
      <c r="B112" s="42">
        <v>42671.0</v>
      </c>
      <c r="C112" s="45" t="s">
        <v>69</v>
      </c>
      <c r="S112" s="44"/>
    </row>
    <row r="113">
      <c r="B113" s="42">
        <v>42673.0</v>
      </c>
      <c r="C113" s="45" t="s">
        <v>70</v>
      </c>
      <c r="S113" s="44"/>
    </row>
    <row r="114">
      <c r="B114" s="42">
        <v>42677.0</v>
      </c>
      <c r="C114" s="45" t="s">
        <v>71</v>
      </c>
      <c r="S114" s="44"/>
    </row>
    <row r="115">
      <c r="B115" s="42">
        <v>42694.0</v>
      </c>
      <c r="C115" s="45" t="s">
        <v>72</v>
      </c>
      <c r="S115" s="44"/>
    </row>
    <row r="116">
      <c r="B116" s="42">
        <v>42697.0</v>
      </c>
      <c r="C116" s="45" t="s">
        <v>73</v>
      </c>
      <c r="S116" s="44"/>
    </row>
    <row r="117">
      <c r="B117" s="42">
        <v>42703.0</v>
      </c>
      <c r="C117" s="45" t="s">
        <v>74</v>
      </c>
      <c r="S117" s="44"/>
    </row>
    <row r="118">
      <c r="B118" s="42">
        <v>42716.0</v>
      </c>
      <c r="C118" s="45" t="s">
        <v>75</v>
      </c>
      <c r="S118" s="44"/>
    </row>
    <row r="119">
      <c r="B119" s="42">
        <v>42718.0</v>
      </c>
      <c r="C119" s="45" t="s">
        <v>76</v>
      </c>
      <c r="S119" s="44"/>
    </row>
    <row r="120">
      <c r="B120" s="42">
        <v>42725.0</v>
      </c>
      <c r="C120" s="45" t="s">
        <v>77</v>
      </c>
      <c r="S120" s="44"/>
    </row>
    <row r="121">
      <c r="B121" s="42">
        <v>42756.0</v>
      </c>
      <c r="C121" s="45" t="s">
        <v>78</v>
      </c>
      <c r="S121" s="44"/>
    </row>
    <row r="122">
      <c r="B122" s="42">
        <v>42803.0</v>
      </c>
      <c r="C122" s="45" t="s">
        <v>79</v>
      </c>
      <c r="S122" s="44"/>
    </row>
    <row r="123">
      <c r="B123" s="42">
        <v>42882.0</v>
      </c>
      <c r="C123" s="45" t="s">
        <v>80</v>
      </c>
      <c r="S123" s="44"/>
    </row>
    <row r="124">
      <c r="B124" s="42">
        <v>42902.0</v>
      </c>
      <c r="C124" s="45" t="s">
        <v>81</v>
      </c>
      <c r="S124" s="44"/>
    </row>
    <row r="125">
      <c r="B125" s="42">
        <v>42914.0</v>
      </c>
      <c r="C125" s="45" t="s">
        <v>82</v>
      </c>
      <c r="S125" s="44"/>
    </row>
    <row r="126">
      <c r="B126" s="42">
        <v>42919.0</v>
      </c>
      <c r="C126" s="45" t="s">
        <v>83</v>
      </c>
      <c r="S126" s="44"/>
    </row>
    <row r="127">
      <c r="B127" s="42">
        <v>42940.0</v>
      </c>
      <c r="C127" s="45" t="s">
        <v>84</v>
      </c>
      <c r="S127" s="44"/>
    </row>
    <row r="128">
      <c r="B128" s="42"/>
      <c r="C128" s="45"/>
      <c r="S128" s="44"/>
    </row>
    <row r="129">
      <c r="B129" s="42"/>
      <c r="C129" s="45"/>
      <c r="S129" s="44"/>
    </row>
    <row r="130">
      <c r="B130" s="42"/>
      <c r="C130" s="45"/>
      <c r="S130" s="44"/>
    </row>
    <row r="131">
      <c r="B131" s="46"/>
      <c r="C131" s="47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9"/>
    </row>
    <row r="132">
      <c r="B132" s="1" t="s">
        <v>85</v>
      </c>
    </row>
    <row r="133">
      <c r="B133" s="1" t="s">
        <v>86</v>
      </c>
    </row>
    <row r="134">
      <c r="B134" s="1" t="s">
        <v>87</v>
      </c>
    </row>
    <row r="135">
      <c r="B135" s="1" t="s">
        <v>88</v>
      </c>
    </row>
    <row r="136">
      <c r="B136" s="1" t="s">
        <v>89</v>
      </c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</sheetData>
  <mergeCells count="107">
    <mergeCell ref="C1:D1"/>
    <mergeCell ref="F1:G1"/>
    <mergeCell ref="H1:K1"/>
    <mergeCell ref="M2:N2"/>
    <mergeCell ref="D24:E24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D79"/>
    <mergeCell ref="B80:Q80"/>
    <mergeCell ref="B137:U137"/>
    <mergeCell ref="B138:U138"/>
    <mergeCell ref="C130:S130"/>
    <mergeCell ref="C131:S131"/>
    <mergeCell ref="B132:U132"/>
    <mergeCell ref="B133:U133"/>
    <mergeCell ref="B134:U134"/>
    <mergeCell ref="B135:U135"/>
    <mergeCell ref="B136:U136"/>
    <mergeCell ref="C81:S81"/>
    <mergeCell ref="C82:S82"/>
    <mergeCell ref="C83:S83"/>
    <mergeCell ref="C84:S84"/>
    <mergeCell ref="C85:S85"/>
    <mergeCell ref="C86:S86"/>
    <mergeCell ref="C87:S87"/>
    <mergeCell ref="C88:S88"/>
    <mergeCell ref="C89:S89"/>
    <mergeCell ref="C90:S90"/>
    <mergeCell ref="C91:S91"/>
    <mergeCell ref="C92:S92"/>
    <mergeCell ref="C93:S93"/>
    <mergeCell ref="C94:S94"/>
    <mergeCell ref="C95:S95"/>
    <mergeCell ref="C96:S96"/>
    <mergeCell ref="C97:S97"/>
    <mergeCell ref="C98:S98"/>
    <mergeCell ref="C99:S99"/>
    <mergeCell ref="C100:S100"/>
    <mergeCell ref="C101:S101"/>
    <mergeCell ref="C102:S102"/>
    <mergeCell ref="C103:S103"/>
    <mergeCell ref="C104:S104"/>
    <mergeCell ref="C105:S105"/>
    <mergeCell ref="C106:S106"/>
    <mergeCell ref="C107:S107"/>
    <mergeCell ref="C108:S108"/>
    <mergeCell ref="C109:S109"/>
    <mergeCell ref="C110:S110"/>
    <mergeCell ref="C111:S111"/>
    <mergeCell ref="C112:S112"/>
    <mergeCell ref="C113:S113"/>
    <mergeCell ref="C114:S114"/>
    <mergeCell ref="C115:S115"/>
    <mergeCell ref="C116:S116"/>
    <mergeCell ref="C117:S117"/>
    <mergeCell ref="C118:S118"/>
    <mergeCell ref="C119:S119"/>
    <mergeCell ref="C120:S120"/>
    <mergeCell ref="C121:S121"/>
    <mergeCell ref="C122:S122"/>
    <mergeCell ref="C123:S123"/>
    <mergeCell ref="C124:S124"/>
    <mergeCell ref="C125:S125"/>
    <mergeCell ref="C126:S126"/>
    <mergeCell ref="C127:S127"/>
    <mergeCell ref="C128:S128"/>
    <mergeCell ref="C129:S129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6.14"/>
    <col customWidth="1" min="3" max="3" width="24.0"/>
    <col customWidth="1" min="4" max="4" width="20.14"/>
    <col customWidth="1" min="5" max="5" width="3.14"/>
    <col customWidth="1" min="6" max="6" width="29.14"/>
    <col customWidth="1" min="7" max="7" width="4.86"/>
    <col customWidth="1" min="8" max="8" width="41.43"/>
    <col customWidth="1" min="9" max="9" width="19.86"/>
    <col customWidth="1" min="10" max="10" width="6.0"/>
    <col customWidth="1" min="11" max="11" width="20.57"/>
    <col customWidth="1" min="12" max="12" width="26.0"/>
    <col customWidth="1" min="13" max="13" width="55.43"/>
    <col customWidth="1" min="14" max="14" width="7.43"/>
    <col customWidth="1" min="15" max="16" width="1.86"/>
    <col customWidth="1" min="17" max="17" width="2.71"/>
    <col customWidth="1" min="18" max="18" width="5.43"/>
  </cols>
  <sheetData>
    <row r="1">
      <c r="A1" s="50" t="s">
        <v>90</v>
      </c>
      <c r="B1" s="20">
        <f>count(P5:P633)</f>
        <v>213</v>
      </c>
      <c r="C1" s="50"/>
      <c r="M1" s="51"/>
      <c r="P1" s="52"/>
      <c r="Q1" s="52"/>
      <c r="R1" s="52"/>
    </row>
    <row r="2">
      <c r="A2" s="53"/>
      <c r="B2" s="54" t="s">
        <v>91</v>
      </c>
      <c r="C2" s="54" t="s">
        <v>92</v>
      </c>
      <c r="D2" s="8" t="s">
        <v>93</v>
      </c>
      <c r="E2" s="7"/>
      <c r="F2" s="7" t="s">
        <v>94</v>
      </c>
      <c r="G2" s="7" t="s">
        <v>95</v>
      </c>
      <c r="H2" s="7" t="s">
        <v>96</v>
      </c>
      <c r="I2" s="7" t="s">
        <v>97</v>
      </c>
      <c r="J2" s="7" t="s">
        <v>98</v>
      </c>
      <c r="K2" s="7" t="s">
        <v>99</v>
      </c>
      <c r="L2" s="7" t="s">
        <v>100</v>
      </c>
      <c r="M2" s="55" t="s">
        <v>101</v>
      </c>
      <c r="N2" s="8" t="s">
        <v>2</v>
      </c>
      <c r="O2" s="53"/>
      <c r="P2" s="56"/>
      <c r="Q2" s="56"/>
      <c r="R2" s="56"/>
      <c r="S2" s="7"/>
      <c r="T2" s="7"/>
      <c r="U2" s="7"/>
      <c r="V2" s="7"/>
      <c r="W2" s="7"/>
      <c r="X2" s="7"/>
      <c r="Y2" s="7"/>
      <c r="Z2" s="7"/>
    </row>
    <row r="3">
      <c r="B3" s="20" t="str">
        <f>IFERROR(__xludf.DUMMYFUNCTION("if(exact($E3, """"), """", iferror(regexextract($F3, ""^(?:- )?([A-Z]+)""), ""?""))"),"D")</f>
        <v>D</v>
      </c>
      <c r="C3" s="57" t="str">
        <f t="shared" ref="C3:C4" si="1">if(or(EXACT($E3, ""), EXACT($G3, "DNP"), EXACT($H3, "DNP")), "", if(exact($E3, "P"), $B3&amp;" "&amp;$D3, if(isblank($L3), $M3, $L3)))</f>
        <v/>
      </c>
      <c r="D3" t="str">
        <f>Parts1!H435</f>
        <v>Ripples v4.0</v>
      </c>
      <c r="E3" t="str">
        <f>Parts1!I435</f>
        <v>S</v>
      </c>
      <c r="F3" t="str">
        <f>Parts1!J435</f>
        <v>D1, D2</v>
      </c>
      <c r="G3" t="str">
        <f>Parts1!K435</f>
        <v>DNP</v>
      </c>
      <c r="H3" t="str">
        <f>Parts1!L435</f>
        <v/>
      </c>
      <c r="I3" t="str">
        <f>Parts1!M435</f>
        <v/>
      </c>
      <c r="J3" t="str">
        <f>Parts1!N435</f>
        <v/>
      </c>
      <c r="K3" t="str">
        <f>Parts1!O435</f>
        <v/>
      </c>
      <c r="L3" t="str">
        <f>Parts1!P435</f>
        <v/>
      </c>
      <c r="M3" s="51" t="str">
        <f>Parts1!Q435</f>
        <v/>
      </c>
      <c r="N3" s="58">
        <v>11.0</v>
      </c>
      <c r="O3" s="52" t="str">
        <f t="shared" ref="O3:O661" si="2">if(exact($E3, "S"), "A", if(exact($E3, "U"), "B", if(exact($E3, "D"), "C", if(exact($E3, "P"), "D", ""))))</f>
        <v>A</v>
      </c>
      <c r="P3" s="52"/>
      <c r="Q3" s="52"/>
      <c r="R3" s="52"/>
    </row>
    <row r="4">
      <c r="B4" s="20" t="str">
        <f>IFERROR(__xludf.DUMMYFUNCTION("if(exact($E4, """"), """", iferror(regexextract($F4, ""^(?:- )?([A-Z]+)""), ""?""))"),"R")</f>
        <v>R</v>
      </c>
      <c r="C4" s="57" t="str">
        <f t="shared" si="1"/>
        <v/>
      </c>
      <c r="D4" t="str">
        <f>Parts1!H644</f>
        <v>Warps v3.0</v>
      </c>
      <c r="E4" t="str">
        <f>Parts1!I644</f>
        <v>S</v>
      </c>
      <c r="F4" t="str">
        <f>Parts1!J644</f>
        <v>R40, R41</v>
      </c>
      <c r="G4">
        <f>Parts1!K644</f>
        <v>2</v>
      </c>
      <c r="H4" t="str">
        <f>Parts1!L644</f>
        <v>DNP</v>
      </c>
      <c r="I4" t="str">
        <f>Parts1!M644</f>
        <v/>
      </c>
      <c r="J4" t="str">
        <f>Parts1!N644</f>
        <v/>
      </c>
      <c r="K4" t="str">
        <f>Parts1!O644</f>
        <v/>
      </c>
      <c r="L4" t="str">
        <f>Parts1!P644</f>
        <v/>
      </c>
      <c r="M4" s="51" t="str">
        <f>Parts1!Q644</f>
        <v/>
      </c>
      <c r="N4" s="58">
        <v>18.0</v>
      </c>
      <c r="O4" s="52" t="str">
        <f t="shared" si="2"/>
        <v>A</v>
      </c>
      <c r="P4" s="52"/>
      <c r="Q4" s="52"/>
      <c r="R4" s="52"/>
    </row>
    <row r="5">
      <c r="B5" s="20" t="str">
        <f>IFERROR(__xludf.DUMMYFUNCTION("if(exact($E5, """"), """", iferror(regexextract($F5, ""^(?:- )?([A-Z]+)""), ""?""))"),"IC")</f>
        <v>IC</v>
      </c>
      <c r="C5" s="57" t="str">
        <f t="shared" ref="C5:C661" si="3">if(or(EXACT($E5, ""), EXACT($G5, "DNP"), EXACT($H5, "DNP")), "", if(exact($E5, "P"), $B5&amp;" "&amp;$D5, if(isblank($L5), $M5, if(exact($B5, "R"), substitute($L5, "-", ""), $L5))))</f>
        <v>238-WM8731SEDS/V</v>
      </c>
      <c r="D5" t="str">
        <f>Parts1!H111</f>
        <v>Clouds v3.0</v>
      </c>
      <c r="E5" t="str">
        <f>Parts1!I111</f>
        <v>S</v>
      </c>
      <c r="F5" t="str">
        <f>Parts1!J111</f>
        <v>IC8</v>
      </c>
      <c r="G5">
        <f>Parts1!K111</f>
        <v>1</v>
      </c>
      <c r="H5" t="str">
        <f>Parts1!L111</f>
        <v>WM8731 audio codec</v>
      </c>
      <c r="I5" t="str">
        <f>Parts1!M111</f>
        <v/>
      </c>
      <c r="J5" t="str">
        <f>Parts1!N111</f>
        <v/>
      </c>
      <c r="K5" s="59" t="str">
        <f>Parts1!O111</f>
        <v>SSOP28</v>
      </c>
      <c r="L5" t="str">
        <f>Parts1!P111</f>
        <v>238-WM8731SEDS/V</v>
      </c>
      <c r="M5" s="51" t="str">
        <f>Parts1!Q111</f>
        <v>Wolfson micro WM8731SEDS/V</v>
      </c>
      <c r="N5" s="58">
        <v>3.0</v>
      </c>
      <c r="O5" s="52" t="str">
        <f t="shared" si="2"/>
        <v>A</v>
      </c>
      <c r="P5" s="60"/>
      <c r="Q5" s="52">
        <f t="shared" ref="Q5:Q661" si="4">match(1, $P6:$P1000, 0)-1</f>
        <v>3</v>
      </c>
      <c r="R5" s="52" t="b">
        <f>true()</f>
        <v>1</v>
      </c>
    </row>
    <row r="6">
      <c r="B6" s="20" t="str">
        <f>IFERROR(__xludf.DUMMYFUNCTION("if(exact($E6, """"), """", iferror(regexextract($F6, ""^(?:- )?([A-Z]+)""), ""?""))"),"IC")</f>
        <v>IC</v>
      </c>
      <c r="C6" s="57" t="str">
        <f t="shared" si="3"/>
        <v>238-WM8731SEDS/V</v>
      </c>
      <c r="D6" t="str">
        <f>Parts1!H204</f>
        <v>Elements v0.21</v>
      </c>
      <c r="E6" t="str">
        <f>Parts1!I204</f>
        <v>S</v>
      </c>
      <c r="F6" t="str">
        <f>Parts1!J204</f>
        <v>IC12</v>
      </c>
      <c r="G6">
        <f>Parts1!K204</f>
        <v>1</v>
      </c>
      <c r="H6" t="str">
        <f>Parts1!L204</f>
        <v>WM8731 audio codec</v>
      </c>
      <c r="I6" t="str">
        <f>Parts1!M204</f>
        <v/>
      </c>
      <c r="J6" t="str">
        <f>Parts1!N204</f>
        <v/>
      </c>
      <c r="K6" t="str">
        <f>Parts1!O204</f>
        <v>SSOP28</v>
      </c>
      <c r="L6" t="str">
        <f>Parts1!P204</f>
        <v>238-WM8731SEDS/V</v>
      </c>
      <c r="M6" s="51" t="str">
        <f>Parts1!Q204</f>
        <v>Wolfson micro WM8731SEDS/V</v>
      </c>
      <c r="N6" s="58">
        <v>5.0</v>
      </c>
      <c r="O6" s="52" t="str">
        <f t="shared" si="2"/>
        <v>A</v>
      </c>
      <c r="P6" s="52" t="str">
        <f t="shared" ref="P6:P662" si="5">if(exact($C6, $C5), "", 1)</f>
        <v/>
      </c>
      <c r="Q6" s="52">
        <f t="shared" si="4"/>
        <v>2</v>
      </c>
      <c r="R6" s="52" t="b">
        <f t="shared" ref="R6:R661" si="6">if(eq(Q5, 0), not(R5), R5)</f>
        <v>1</v>
      </c>
    </row>
    <row r="7">
      <c r="B7" s="20" t="str">
        <f>IFERROR(__xludf.DUMMYFUNCTION("if(exact($E7, """"), """", iferror(regexextract($F7, ""^(?:- )?([A-Z]+)""), ""?""))"),"IC")</f>
        <v>IC</v>
      </c>
      <c r="C7" s="57" t="str">
        <f t="shared" si="3"/>
        <v>238-WM8731SEDS/V</v>
      </c>
      <c r="D7" t="str">
        <f>Parts1!H394</f>
        <v>Rings v3.0</v>
      </c>
      <c r="E7" t="str">
        <f>Parts1!I394</f>
        <v>S</v>
      </c>
      <c r="F7" t="str">
        <f>Parts1!J394</f>
        <v>IC6</v>
      </c>
      <c r="G7">
        <f>Parts1!K394</f>
        <v>1</v>
      </c>
      <c r="H7" t="str">
        <f>Parts1!L394</f>
        <v>WM8731 audio codec</v>
      </c>
      <c r="I7" t="str">
        <f>Parts1!M394</f>
        <v/>
      </c>
      <c r="J7" t="str">
        <f>Parts1!N394</f>
        <v/>
      </c>
      <c r="K7" t="str">
        <f>Parts1!O394</f>
        <v>SSOP28</v>
      </c>
      <c r="L7" t="str">
        <f>Parts1!P394</f>
        <v>238-WM8731SEDS/V</v>
      </c>
      <c r="M7" s="51" t="str">
        <f>Parts1!Q394</f>
        <v>Wolfson micro WM8731SEDS/V</v>
      </c>
      <c r="N7" s="58">
        <v>10.0</v>
      </c>
      <c r="O7" s="52" t="str">
        <f t="shared" si="2"/>
        <v>A</v>
      </c>
      <c r="P7" s="52" t="str">
        <f t="shared" si="5"/>
        <v/>
      </c>
      <c r="Q7" s="52">
        <f t="shared" si="4"/>
        <v>1</v>
      </c>
      <c r="R7" s="52" t="b">
        <f t="shared" si="6"/>
        <v>1</v>
      </c>
    </row>
    <row r="8">
      <c r="B8" s="20" t="str">
        <f>IFERROR(__xludf.DUMMYFUNCTION("if(exact($E8, """"), """", iferror(regexextract($F8, ""^(?:- )?([A-Z]+)""), ""?""))"),"IC")</f>
        <v>IC</v>
      </c>
      <c r="C8" s="57" t="str">
        <f t="shared" si="3"/>
        <v>238-WM8731SEDS/V</v>
      </c>
      <c r="D8" t="str">
        <f>Parts1!H659</f>
        <v>Warps v3.0</v>
      </c>
      <c r="E8" t="str">
        <f>Parts1!I659</f>
        <v>S</v>
      </c>
      <c r="F8" t="str">
        <f>Parts1!J659</f>
        <v>IC5</v>
      </c>
      <c r="G8">
        <f>Parts1!K659</f>
        <v>1</v>
      </c>
      <c r="H8" t="str">
        <f>Parts1!L659</f>
        <v>WM8731 audio codec</v>
      </c>
      <c r="I8" t="str">
        <f>Parts1!M659</f>
        <v/>
      </c>
      <c r="J8" t="str">
        <f>Parts1!N659</f>
        <v/>
      </c>
      <c r="K8" t="str">
        <f>Parts1!O659</f>
        <v>SSOP28</v>
      </c>
      <c r="L8" t="str">
        <f>Parts1!P659</f>
        <v>238-WM8731SEDS/V</v>
      </c>
      <c r="M8" s="51" t="str">
        <f>Parts1!Q659</f>
        <v>Wolfson micro WM8731SEDS/V</v>
      </c>
      <c r="N8" s="58">
        <v>18.0</v>
      </c>
      <c r="O8" s="52" t="str">
        <f t="shared" si="2"/>
        <v>A</v>
      </c>
      <c r="P8" s="52" t="str">
        <f t="shared" si="5"/>
        <v/>
      </c>
      <c r="Q8" s="52">
        <f t="shared" si="4"/>
        <v>0</v>
      </c>
      <c r="R8" s="52" t="b">
        <f t="shared" si="6"/>
        <v>1</v>
      </c>
    </row>
    <row r="9">
      <c r="B9" s="20" t="str">
        <f>IFERROR(__xludf.DUMMYFUNCTION("if(exact($E9, """"), """", iferror(regexextract($F9, ""^(?:- )?([A-Z]+)""), ""?""))"),"UC")</f>
        <v>UC</v>
      </c>
      <c r="C9" s="57" t="str">
        <f t="shared" si="3"/>
        <v>511-STM32F103CBT6</v>
      </c>
      <c r="D9" t="str">
        <f>Parts1!H40</f>
        <v>Braids v5.1</v>
      </c>
      <c r="E9" t="str">
        <f>Parts1!I40</f>
        <v>S</v>
      </c>
      <c r="F9" t="str">
        <f>Parts1!J40</f>
        <v>UC1</v>
      </c>
      <c r="G9">
        <f>Parts1!K40</f>
        <v>1</v>
      </c>
      <c r="H9" t="str">
        <f>Parts1!L40</f>
        <v>STM32F103CBT6 MCU</v>
      </c>
      <c r="I9" t="str">
        <f>Parts1!M40</f>
        <v/>
      </c>
      <c r="J9" t="str">
        <f>Parts1!N40</f>
        <v/>
      </c>
      <c r="K9" t="str">
        <f>Parts1!O40</f>
        <v>LQFP48</v>
      </c>
      <c r="L9" t="str">
        <f>Parts1!P40</f>
        <v>511-STM32F103CBT6</v>
      </c>
      <c r="M9" s="51" t="str">
        <f>Parts1!Q40</f>
        <v>ST STM32F103CBT6</v>
      </c>
      <c r="N9" s="58">
        <v>1.0</v>
      </c>
      <c r="O9" s="52" t="str">
        <f t="shared" si="2"/>
        <v>A</v>
      </c>
      <c r="P9" s="52">
        <f t="shared" si="5"/>
        <v>1</v>
      </c>
      <c r="Q9" s="52">
        <f t="shared" si="4"/>
        <v>5</v>
      </c>
      <c r="R9" s="52" t="b">
        <f t="shared" si="6"/>
        <v>0</v>
      </c>
    </row>
    <row r="10">
      <c r="B10" s="20" t="str">
        <f>IFERROR(__xludf.DUMMYFUNCTION("if(exact($E10, """"), """", iferror(regexextract($F10, ""^(?:- )?([A-Z]+)""), ""?""))"),"UC")</f>
        <v>UC</v>
      </c>
      <c r="C10" s="61" t="str">
        <f t="shared" si="3"/>
        <v>511-STM32F103CBT6</v>
      </c>
      <c r="D10" t="str">
        <f>Parts1!H254</f>
        <v>Frames v0.3</v>
      </c>
      <c r="E10" t="str">
        <f>Parts1!I254</f>
        <v>S</v>
      </c>
      <c r="F10" t="str">
        <f>Parts1!J254</f>
        <v>UC1</v>
      </c>
      <c r="G10">
        <f>Parts1!K254</f>
        <v>1</v>
      </c>
      <c r="H10" t="str">
        <f>Parts1!L254</f>
        <v>STM32F103CBT6 MCU</v>
      </c>
      <c r="I10" t="str">
        <f>Parts1!M254</f>
        <v/>
      </c>
      <c r="J10" s="59" t="str">
        <f>Parts1!N254</f>
        <v/>
      </c>
      <c r="K10" s="59" t="str">
        <f>Parts1!O254</f>
        <v>LQFP48</v>
      </c>
      <c r="L10" s="62" t="str">
        <f>Parts1!P254</f>
        <v>511-STM32F103CBT6</v>
      </c>
      <c r="M10" s="51" t="str">
        <f>Parts1!Q254</f>
        <v>ST STM32F103CBT6</v>
      </c>
      <c r="N10" s="58">
        <v>6.0</v>
      </c>
      <c r="O10" s="52" t="str">
        <f t="shared" si="2"/>
        <v>A</v>
      </c>
      <c r="P10" s="52" t="str">
        <f t="shared" si="5"/>
        <v/>
      </c>
      <c r="Q10" s="52">
        <f t="shared" si="4"/>
        <v>4</v>
      </c>
      <c r="R10" s="52" t="b">
        <f t="shared" si="6"/>
        <v>0</v>
      </c>
    </row>
    <row r="11">
      <c r="B11" s="20" t="str">
        <f>IFERROR(__xludf.DUMMYFUNCTION("if(exact($E11, """"), """", iferror(regexextract($F11, ""^(?:- )?([A-Z]+)""), ""?""))"),"UC")</f>
        <v>UC</v>
      </c>
      <c r="C11" s="61" t="str">
        <f t="shared" si="3"/>
        <v>511-STM32F103CBT6</v>
      </c>
      <c r="D11" t="str">
        <f>Parts1!H347</f>
        <v>Peaks v3.1</v>
      </c>
      <c r="E11" t="str">
        <f>Parts1!I347</f>
        <v>S</v>
      </c>
      <c r="F11" t="str">
        <f>Parts1!J347</f>
        <v>UC1</v>
      </c>
      <c r="G11">
        <f>Parts1!K347</f>
        <v>1</v>
      </c>
      <c r="H11" t="str">
        <f>Parts1!L347</f>
        <v>STM32F103CBT6 MCU</v>
      </c>
      <c r="I11" t="str">
        <f>Parts1!M347</f>
        <v/>
      </c>
      <c r="J11" s="59" t="str">
        <f>Parts1!N347</f>
        <v/>
      </c>
      <c r="K11" t="str">
        <f>Parts1!O347</f>
        <v>LQFP48</v>
      </c>
      <c r="L11" s="62" t="str">
        <f>Parts1!P347</f>
        <v>511-STM32F103CBT6</v>
      </c>
      <c r="M11" s="51" t="str">
        <f>Parts1!Q347</f>
        <v>ST STM32F103CBT6</v>
      </c>
      <c r="N11" s="58">
        <v>9.0</v>
      </c>
      <c r="O11" s="52" t="str">
        <f t="shared" si="2"/>
        <v>A</v>
      </c>
      <c r="P11" s="52" t="str">
        <f t="shared" si="5"/>
        <v/>
      </c>
      <c r="Q11" s="52">
        <f t="shared" si="4"/>
        <v>3</v>
      </c>
      <c r="R11" s="52" t="b">
        <f t="shared" si="6"/>
        <v>0</v>
      </c>
    </row>
    <row r="12">
      <c r="B12" s="20" t="str">
        <f>IFERROR(__xludf.DUMMYFUNCTION("if(exact($E12, """"), """", iferror(regexextract($F12, ""^(?:- )?([A-Z]+)""), ""?""))"),"UC")</f>
        <v>UC</v>
      </c>
      <c r="C12" s="57" t="str">
        <f t="shared" si="3"/>
        <v>511-STM32F103CBT6</v>
      </c>
      <c r="D12" t="str">
        <f>Parts1!H556</f>
        <v>Streams v0.5</v>
      </c>
      <c r="E12" t="str">
        <f>Parts1!I556</f>
        <v>S</v>
      </c>
      <c r="F12" t="str">
        <f>Parts1!J556</f>
        <v>UC1</v>
      </c>
      <c r="G12">
        <f>Parts1!K556</f>
        <v>1</v>
      </c>
      <c r="H12" t="str">
        <f>Parts1!L556</f>
        <v>STM32F103CBT6 MCU</v>
      </c>
      <c r="I12" t="str">
        <f>Parts1!M556</f>
        <v/>
      </c>
      <c r="J12" t="str">
        <f>Parts1!N556</f>
        <v/>
      </c>
      <c r="K12" t="str">
        <f>Parts1!O556</f>
        <v>LQFP48</v>
      </c>
      <c r="L12" t="str">
        <f>Parts1!P556</f>
        <v>511-STM32F103CBT6</v>
      </c>
      <c r="M12" s="51" t="str">
        <f>Parts1!Q556</f>
        <v>ST STM32F103CBT6</v>
      </c>
      <c r="N12" s="58">
        <v>15.0</v>
      </c>
      <c r="O12" s="52" t="str">
        <f t="shared" si="2"/>
        <v>A</v>
      </c>
      <c r="P12" s="52" t="str">
        <f t="shared" si="5"/>
        <v/>
      </c>
      <c r="Q12" s="52">
        <f t="shared" si="4"/>
        <v>2</v>
      </c>
      <c r="R12" s="52" t="b">
        <f t="shared" si="6"/>
        <v>0</v>
      </c>
    </row>
    <row r="13">
      <c r="B13" s="20" t="str">
        <f>IFERROR(__xludf.DUMMYFUNCTION("if(exact($E13, """"), """", iferror(regexextract($F13, ""^(?:- )?([A-Z]+)""), ""?""))"),"UC")</f>
        <v>UC</v>
      </c>
      <c r="C13" s="61" t="str">
        <f t="shared" si="3"/>
        <v>511-STM32F103CBT6</v>
      </c>
      <c r="D13" t="str">
        <f>Parts1!H616</f>
        <v>Tides v4.0</v>
      </c>
      <c r="E13" t="str">
        <f>Parts1!I616</f>
        <v>S</v>
      </c>
      <c r="F13" t="str">
        <f>Parts1!J616</f>
        <v>UC1</v>
      </c>
      <c r="G13">
        <f>Parts1!K616</f>
        <v>1</v>
      </c>
      <c r="H13" t="str">
        <f>Parts1!L616</f>
        <v>STM32F103CBT6 MCU</v>
      </c>
      <c r="I13" t="str">
        <f>Parts1!M616</f>
        <v/>
      </c>
      <c r="J13" s="59" t="str">
        <f>Parts1!N616</f>
        <v/>
      </c>
      <c r="K13" s="59" t="str">
        <f>Parts1!O616</f>
        <v>LQFP48</v>
      </c>
      <c r="L13" s="62" t="str">
        <f>Parts1!P616</f>
        <v>511-STM32F103CBT6</v>
      </c>
      <c r="M13" s="51" t="str">
        <f>Parts1!Q616</f>
        <v>ST STM32F103CBT6</v>
      </c>
      <c r="N13" s="58">
        <v>17.0</v>
      </c>
      <c r="O13" s="52" t="str">
        <f t="shared" si="2"/>
        <v>A</v>
      </c>
      <c r="P13" s="52" t="str">
        <f t="shared" si="5"/>
        <v/>
      </c>
      <c r="Q13" s="52">
        <f t="shared" si="4"/>
        <v>1</v>
      </c>
      <c r="R13" s="52" t="b">
        <f t="shared" si="6"/>
        <v>0</v>
      </c>
    </row>
    <row r="14">
      <c r="B14" s="20" t="str">
        <f>IFERROR(__xludf.DUMMYFUNCTION("if(exact($E14, """"), """", iferror(regexextract($F14, ""^(?:- )?([A-Z]+)""), ""?""))"),"UC")</f>
        <v>UC</v>
      </c>
      <c r="C14" s="63" t="str">
        <f t="shared" si="3"/>
        <v>511-STM32F103CBT6</v>
      </c>
      <c r="D14" t="str">
        <f>Parts1!H700</f>
        <v>Yarns v0.3</v>
      </c>
      <c r="E14" t="str">
        <f>Parts1!I700</f>
        <v>S</v>
      </c>
      <c r="F14" s="64" t="str">
        <f>Parts1!J700</f>
        <v>UC1</v>
      </c>
      <c r="G14" s="65">
        <f>Parts1!K700</f>
        <v>1</v>
      </c>
      <c r="H14" s="64" t="str">
        <f>Parts1!L700</f>
        <v>STM32F103CBT6 MCU</v>
      </c>
      <c r="I14" s="64" t="str">
        <f>Parts1!M700</f>
        <v/>
      </c>
      <c r="J14" s="64" t="str">
        <f>Parts1!N700</f>
        <v/>
      </c>
      <c r="K14" s="64" t="str">
        <f>Parts1!O700</f>
        <v>LQFP48</v>
      </c>
      <c r="L14" s="66" t="str">
        <f>Parts1!P700</f>
        <v>511-STM32F103CBT6</v>
      </c>
      <c r="M14" s="67" t="str">
        <f>Parts1!Q700</f>
        <v>ST STM32F103CBT6</v>
      </c>
      <c r="N14" s="58">
        <v>19.0</v>
      </c>
      <c r="O14" s="52" t="str">
        <f t="shared" si="2"/>
        <v>A</v>
      </c>
      <c r="P14" s="52" t="str">
        <f t="shared" si="5"/>
        <v/>
      </c>
      <c r="Q14" s="52">
        <f t="shared" si="4"/>
        <v>0</v>
      </c>
      <c r="R14" s="52" t="b">
        <f t="shared" si="6"/>
        <v>0</v>
      </c>
    </row>
    <row r="15">
      <c r="B15" s="20" t="str">
        <f>IFERROR(__xludf.DUMMYFUNCTION("if(exact($E15, """"), """", iferror(regexextract($F15, ""^(?:- )?([A-Z]+)""), ""?""))"),"IC")</f>
        <v>IC</v>
      </c>
      <c r="C15" s="57" t="str">
        <f t="shared" si="3"/>
        <v>511-STM32F405RGT6</v>
      </c>
      <c r="D15" t="str">
        <f>Parts1!H108</f>
        <v>Clouds v3.0</v>
      </c>
      <c r="E15" t="str">
        <f>Parts1!I108</f>
        <v>S</v>
      </c>
      <c r="F15" t="str">
        <f>Parts1!J108</f>
        <v>IC5</v>
      </c>
      <c r="G15">
        <f>Parts1!K108</f>
        <v>1</v>
      </c>
      <c r="H15" t="str">
        <f>Parts1!L108</f>
        <v>STM32F405RGT6</v>
      </c>
      <c r="I15" t="str">
        <f>Parts1!M108</f>
        <v/>
      </c>
      <c r="J15" t="str">
        <f>Parts1!N108</f>
        <v/>
      </c>
      <c r="K15" s="59" t="str">
        <f>Parts1!O108</f>
        <v>TQFP64</v>
      </c>
      <c r="L15" t="str">
        <f>Parts1!P108</f>
        <v>511-STM32F405RGT6</v>
      </c>
      <c r="M15" s="51" t="str">
        <f>Parts1!Q108</f>
        <v>ST STM32F405RGT6</v>
      </c>
      <c r="N15" s="58">
        <v>3.0</v>
      </c>
      <c r="O15" s="52" t="str">
        <f t="shared" si="2"/>
        <v>A</v>
      </c>
      <c r="P15" s="52">
        <f t="shared" si="5"/>
        <v>1</v>
      </c>
      <c r="Q15" s="52">
        <f t="shared" si="4"/>
        <v>3</v>
      </c>
      <c r="R15" s="52" t="b">
        <f t="shared" si="6"/>
        <v>1</v>
      </c>
    </row>
    <row r="16">
      <c r="B16" s="20" t="str">
        <f>IFERROR(__xludf.DUMMYFUNCTION("if(exact($E16, """"), """", iferror(regexextract($F16, ""^(?:- )?([A-Z]+)""), ""?""))"),"IC")</f>
        <v>IC</v>
      </c>
      <c r="C16" s="57" t="str">
        <f t="shared" si="3"/>
        <v>511-STM32F405RGT6</v>
      </c>
      <c r="D16" t="str">
        <f>Parts1!H203</f>
        <v>Elements v0.21</v>
      </c>
      <c r="E16" t="str">
        <f>Parts1!I203</f>
        <v>S</v>
      </c>
      <c r="F16" t="str">
        <f>Parts1!J203</f>
        <v>IC10</v>
      </c>
      <c r="G16">
        <f>Parts1!K203</f>
        <v>1</v>
      </c>
      <c r="H16" t="str">
        <f>Parts1!L203</f>
        <v>STM32F405RGT6</v>
      </c>
      <c r="I16" t="str">
        <f>Parts1!M203</f>
        <v/>
      </c>
      <c r="J16" t="str">
        <f>Parts1!N203</f>
        <v/>
      </c>
      <c r="K16" t="str">
        <f>Parts1!O203</f>
        <v>TQFP64</v>
      </c>
      <c r="L16" t="str">
        <f>Parts1!P203</f>
        <v>511-STM32F405RGT6</v>
      </c>
      <c r="M16" s="51" t="str">
        <f>Parts1!Q203</f>
        <v>ST STM32F405RGT6</v>
      </c>
      <c r="N16" s="58">
        <v>5.0</v>
      </c>
      <c r="O16" s="52" t="str">
        <f t="shared" si="2"/>
        <v>A</v>
      </c>
      <c r="P16" s="52" t="str">
        <f t="shared" si="5"/>
        <v/>
      </c>
      <c r="Q16" s="52">
        <f t="shared" si="4"/>
        <v>2</v>
      </c>
      <c r="R16" s="52" t="b">
        <f t="shared" si="6"/>
        <v>1</v>
      </c>
    </row>
    <row r="17">
      <c r="B17" s="20" t="str">
        <f>IFERROR(__xludf.DUMMYFUNCTION("if(exact($E17, """"), """", iferror(regexextract($F17, ""^(?:- )?([A-Z]+)""), ""?""))"),"IC")</f>
        <v>IC</v>
      </c>
      <c r="C17" s="57" t="str">
        <f t="shared" si="3"/>
        <v>511-STM32F405RGT6</v>
      </c>
      <c r="D17" t="str">
        <f>Parts1!H390</f>
        <v>Rings v3.0</v>
      </c>
      <c r="E17" t="str">
        <f>Parts1!I390</f>
        <v>S</v>
      </c>
      <c r="F17" t="str">
        <f>Parts1!J390</f>
        <v>IC2</v>
      </c>
      <c r="G17">
        <f>Parts1!K390</f>
        <v>1</v>
      </c>
      <c r="H17" t="str">
        <f>Parts1!L390</f>
        <v>STM32F405RGT6</v>
      </c>
      <c r="I17" t="str">
        <f>Parts1!M390</f>
        <v/>
      </c>
      <c r="J17" t="str">
        <f>Parts1!N390</f>
        <v/>
      </c>
      <c r="K17" t="str">
        <f>Parts1!O390</f>
        <v>TQFP64</v>
      </c>
      <c r="L17" t="str">
        <f>Parts1!P390</f>
        <v>511-STM32F405RGT6</v>
      </c>
      <c r="M17" s="51" t="str">
        <f>Parts1!Q390</f>
        <v>ST STM32F405RGT6</v>
      </c>
      <c r="N17" s="58">
        <v>10.0</v>
      </c>
      <c r="O17" s="52" t="str">
        <f t="shared" si="2"/>
        <v>A</v>
      </c>
      <c r="P17" s="52" t="str">
        <f t="shared" si="5"/>
        <v/>
      </c>
      <c r="Q17" s="52">
        <f t="shared" si="4"/>
        <v>1</v>
      </c>
      <c r="R17" s="52" t="b">
        <f t="shared" si="6"/>
        <v>1</v>
      </c>
    </row>
    <row r="18">
      <c r="B18" s="20" t="str">
        <f>IFERROR(__xludf.DUMMYFUNCTION("if(exact($E18, """"), """", iferror(regexextract($F18, ""^(?:- )?([A-Z]+)""), ""?""))"),"IC")</f>
        <v>IC</v>
      </c>
      <c r="C18" s="57" t="str">
        <f t="shared" si="3"/>
        <v>511-STM32F405RGT6</v>
      </c>
      <c r="D18" t="str">
        <f>Parts1!H658</f>
        <v>Warps v3.0</v>
      </c>
      <c r="E18" t="str">
        <f>Parts1!I658</f>
        <v>S</v>
      </c>
      <c r="F18" t="str">
        <f>Parts1!J658</f>
        <v>IC4</v>
      </c>
      <c r="G18">
        <f>Parts1!K658</f>
        <v>1</v>
      </c>
      <c r="H18" t="str">
        <f>Parts1!L658</f>
        <v>STM32F405RGT6</v>
      </c>
      <c r="I18" t="str">
        <f>Parts1!M658</f>
        <v/>
      </c>
      <c r="J18" t="str">
        <f>Parts1!N658</f>
        <v/>
      </c>
      <c r="K18" t="str">
        <f>Parts1!O658</f>
        <v>TQFP64</v>
      </c>
      <c r="L18" t="str">
        <f>Parts1!P658</f>
        <v>511-STM32F405RGT6</v>
      </c>
      <c r="M18" s="51" t="str">
        <f>Parts1!Q658</f>
        <v>ST STM32F405RGT6</v>
      </c>
      <c r="N18" s="58">
        <v>18.0</v>
      </c>
      <c r="O18" s="52" t="str">
        <f t="shared" si="2"/>
        <v>A</v>
      </c>
      <c r="P18" s="52" t="str">
        <f t="shared" si="5"/>
        <v/>
      </c>
      <c r="Q18" s="52">
        <f t="shared" si="4"/>
        <v>0</v>
      </c>
      <c r="R18" s="52" t="b">
        <f t="shared" si="6"/>
        <v>1</v>
      </c>
    </row>
    <row r="19">
      <c r="B19" s="20" t="str">
        <f>IFERROR(__xludf.DUMMYFUNCTION("if(exact($E19, """"), """", iferror(regexextract($F19, ""^(?:- )?([A-Z]+)""), ""?""))"),"D")</f>
        <v>D</v>
      </c>
      <c r="C19" s="57" t="str">
        <f t="shared" si="3"/>
        <v>512-1N4148WS</v>
      </c>
      <c r="D19" t="str">
        <f>Parts1!H437</f>
        <v>Ripples v4.0</v>
      </c>
      <c r="E19" t="str">
        <f>Parts1!I437</f>
        <v>S</v>
      </c>
      <c r="F19" t="str">
        <f>Parts1!J437</f>
        <v>D5, D6</v>
      </c>
      <c r="G19">
        <f>Parts1!K437</f>
        <v>2</v>
      </c>
      <c r="H19" t="str">
        <f>Parts1!L437</f>
        <v>1N4148 diode</v>
      </c>
      <c r="I19" t="str">
        <f>Parts1!M437</f>
        <v/>
      </c>
      <c r="J19" t="str">
        <f>Parts1!N437</f>
        <v/>
      </c>
      <c r="K19" t="str">
        <f>Parts1!O437</f>
        <v>SOD323</v>
      </c>
      <c r="L19" t="str">
        <f>Parts1!P437</f>
        <v>512-1N4148WS</v>
      </c>
      <c r="M19" s="51" t="str">
        <f>Parts1!Q437</f>
        <v>Fairchild 1N4148WS</v>
      </c>
      <c r="N19" s="58">
        <v>11.0</v>
      </c>
      <c r="O19" s="52" t="str">
        <f t="shared" si="2"/>
        <v>A</v>
      </c>
      <c r="P19" s="52">
        <f t="shared" si="5"/>
        <v>1</v>
      </c>
      <c r="Q19" s="52">
        <f t="shared" si="4"/>
        <v>3</v>
      </c>
      <c r="R19" s="52" t="b">
        <f t="shared" si="6"/>
        <v>0</v>
      </c>
    </row>
    <row r="20">
      <c r="B20" s="20" t="str">
        <f>IFERROR(__xludf.DUMMYFUNCTION("if(exact($E20, """"), """", iferror(regexextract($F20, ""^(?:- )?([A-Z]+)""), ""?""))"),"D")</f>
        <v>D</v>
      </c>
      <c r="C20" s="57" t="str">
        <f t="shared" si="3"/>
        <v>512-1N4148WS</v>
      </c>
      <c r="D20" t="str">
        <f>Parts1!H492</f>
        <v>Shelves v0.5</v>
      </c>
      <c r="E20" t="str">
        <f>Parts1!I492</f>
        <v>S</v>
      </c>
      <c r="F20" t="str">
        <f>Parts1!J492</f>
        <v>D3, D4, D5, D6, D7, D8, D9, D10, D11, D12, D13, D14, D15, D16</v>
      </c>
      <c r="G20">
        <f>Parts1!K492</f>
        <v>14</v>
      </c>
      <c r="H20" t="str">
        <f>Parts1!L492</f>
        <v>1N4148 diode</v>
      </c>
      <c r="I20" t="str">
        <f>Parts1!M492</f>
        <v/>
      </c>
      <c r="J20" t="str">
        <f>Parts1!N492</f>
        <v/>
      </c>
      <c r="K20" t="str">
        <f>Parts1!O492</f>
        <v>SOD323</v>
      </c>
      <c r="L20" t="str">
        <f>Parts1!P492</f>
        <v>512-1N4148WS</v>
      </c>
      <c r="M20" s="51" t="str">
        <f>Parts1!Q492</f>
        <v>Fairchild 1N4148WS</v>
      </c>
      <c r="N20" s="58">
        <v>13.0</v>
      </c>
      <c r="O20" s="52" t="str">
        <f t="shared" si="2"/>
        <v>A</v>
      </c>
      <c r="P20" s="52" t="str">
        <f t="shared" si="5"/>
        <v/>
      </c>
      <c r="Q20" s="52">
        <f t="shared" si="4"/>
        <v>2</v>
      </c>
      <c r="R20" s="52" t="b">
        <f t="shared" si="6"/>
        <v>0</v>
      </c>
    </row>
    <row r="21">
      <c r="B21" s="20" t="str">
        <f>IFERROR(__xludf.DUMMYFUNCTION("if(exact($E21, """"), """", iferror(regexextract($F21, ""^(?:- )?([A-Z]+)""), ""?""))"),"D")</f>
        <v>D</v>
      </c>
      <c r="C21" s="57" t="str">
        <f t="shared" si="3"/>
        <v>512-1N4148WS</v>
      </c>
      <c r="D21" t="str">
        <f>Parts1!H544</f>
        <v>Streams v0.5</v>
      </c>
      <c r="E21" t="str">
        <f>Parts1!I544</f>
        <v>S</v>
      </c>
      <c r="F21" t="str">
        <f>Parts1!J544</f>
        <v>D4, D5</v>
      </c>
      <c r="G21">
        <f>Parts1!K544</f>
        <v>2</v>
      </c>
      <c r="H21" t="str">
        <f>Parts1!L544</f>
        <v>1N4148 diode</v>
      </c>
      <c r="I21" t="str">
        <f>Parts1!M544</f>
        <v/>
      </c>
      <c r="J21" t="str">
        <f>Parts1!N544</f>
        <v/>
      </c>
      <c r="K21" t="str">
        <f>Parts1!O544</f>
        <v>SOD323</v>
      </c>
      <c r="L21" t="str">
        <f>Parts1!P544</f>
        <v>512-1N4148WS</v>
      </c>
      <c r="M21" s="51" t="str">
        <f>Parts1!Q544</f>
        <v>Fairchild 1N4148WS</v>
      </c>
      <c r="N21" s="58">
        <v>15.0</v>
      </c>
      <c r="O21" s="52" t="str">
        <f t="shared" si="2"/>
        <v>A</v>
      </c>
      <c r="P21" s="52" t="str">
        <f t="shared" si="5"/>
        <v/>
      </c>
      <c r="Q21" s="52">
        <f t="shared" si="4"/>
        <v>1</v>
      </c>
      <c r="R21" s="52" t="b">
        <f t="shared" si="6"/>
        <v>0</v>
      </c>
    </row>
    <row r="22">
      <c r="B22" s="20" t="str">
        <f>IFERROR(__xludf.DUMMYFUNCTION("if(exact($E22, """"), """", iferror(regexextract($F22, ""^(?:- )?([A-Z]+)""), ""?""))"),"D")</f>
        <v>D</v>
      </c>
      <c r="C22" s="68" t="str">
        <f t="shared" si="3"/>
        <v>512-1N4148WS</v>
      </c>
      <c r="D22" t="str">
        <f>Parts1!H707</f>
        <v>Yarns v0.3</v>
      </c>
      <c r="E22" t="str">
        <f>Parts1!I707</f>
        <v>S</v>
      </c>
      <c r="F22" s="64" t="str">
        <f>Parts1!J707</f>
        <v>D3</v>
      </c>
      <c r="G22" s="65">
        <f>Parts1!K707</f>
        <v>1</v>
      </c>
      <c r="H22" s="64" t="str">
        <f>Parts1!L707</f>
        <v>1N4148 diode</v>
      </c>
      <c r="I22" s="64" t="str">
        <f>Parts1!M707</f>
        <v/>
      </c>
      <c r="J22" s="64" t="str">
        <f>Parts1!N707</f>
        <v/>
      </c>
      <c r="K22" s="64" t="str">
        <f>Parts1!O707</f>
        <v>SOD323</v>
      </c>
      <c r="L22" s="64" t="str">
        <f>Parts1!P707</f>
        <v>512-1N4148WS</v>
      </c>
      <c r="M22" s="67" t="str">
        <f>Parts1!Q707</f>
        <v/>
      </c>
      <c r="N22" s="58">
        <v>19.0</v>
      </c>
      <c r="O22" s="52" t="str">
        <f t="shared" si="2"/>
        <v>A</v>
      </c>
      <c r="P22" s="52" t="str">
        <f t="shared" si="5"/>
        <v/>
      </c>
      <c r="Q22" s="52">
        <f t="shared" si="4"/>
        <v>0</v>
      </c>
      <c r="R22" s="52" t="b">
        <f t="shared" si="6"/>
        <v>0</v>
      </c>
    </row>
    <row r="23">
      <c r="B23" s="20" t="str">
        <f>IFERROR(__xludf.DUMMYFUNCTION("if(exact($E23, """"), """", iferror(regexextract($F23, ""^(?:- )?([A-Z]+)""), ""?""))"),"OK")</f>
        <v>OK</v>
      </c>
      <c r="C23" s="68" t="str">
        <f t="shared" si="3"/>
        <v>512-6N137SDM</v>
      </c>
      <c r="D23" t="str">
        <f>Parts1!H709</f>
        <v>Yarns v0.3</v>
      </c>
      <c r="E23" t="str">
        <f>Parts1!I709</f>
        <v>S</v>
      </c>
      <c r="F23" s="64" t="str">
        <f>Parts1!J709</f>
        <v>OK1</v>
      </c>
      <c r="G23" s="65">
        <f>Parts1!K709</f>
        <v>1</v>
      </c>
      <c r="H23" s="64" t="str">
        <f>Parts1!L709</f>
        <v>6N137 Optocoupler</v>
      </c>
      <c r="I23" s="64" t="str">
        <f>Parts1!M709</f>
        <v/>
      </c>
      <c r="J23" s="64" t="str">
        <f>Parts1!N709</f>
        <v/>
      </c>
      <c r="K23" s="64" t="str">
        <f>Parts1!O709</f>
        <v>SMD-8</v>
      </c>
      <c r="L23" s="64" t="str">
        <f>Parts1!P709</f>
        <v>512-6N137SDM</v>
      </c>
      <c r="M23" s="67" t="str">
        <f>Parts1!Q709</f>
        <v>Fairchild 6N137SDM  or Everlight 6N137S(TB)</v>
      </c>
      <c r="N23" s="58">
        <v>19.0</v>
      </c>
      <c r="O23" s="52" t="str">
        <f t="shared" si="2"/>
        <v>A</v>
      </c>
      <c r="P23" s="52">
        <f t="shared" si="5"/>
        <v>1</v>
      </c>
      <c r="Q23" s="52">
        <f t="shared" si="4"/>
        <v>0</v>
      </c>
      <c r="R23" s="52" t="b">
        <f t="shared" si="6"/>
        <v>1</v>
      </c>
    </row>
    <row r="24">
      <c r="B24" s="20" t="str">
        <f>IFERROR(__xludf.DUMMYFUNCTION("if(exact($E24, """"), """", iferror(regexextract($F24, ""^(?:- )?([A-Z]+)""), ""?""))"),"D")</f>
        <v>D</v>
      </c>
      <c r="C24" s="57" t="str">
        <f t="shared" si="3"/>
        <v>512-BAT54S</v>
      </c>
      <c r="D24" t="str">
        <f>Parts1!H243</f>
        <v>Frames v0.3</v>
      </c>
      <c r="E24" t="str">
        <f>Parts1!I243</f>
        <v>S</v>
      </c>
      <c r="F24" t="str">
        <f>Parts1!J243</f>
        <v>D3</v>
      </c>
      <c r="G24">
        <f>Parts1!K243</f>
        <v>1</v>
      </c>
      <c r="H24" t="str">
        <f>Parts1!L243</f>
        <v>BAT54S diode</v>
      </c>
      <c r="I24" t="str">
        <f>Parts1!M243</f>
        <v/>
      </c>
      <c r="J24" t="str">
        <f>Parts1!N243</f>
        <v/>
      </c>
      <c r="K24" s="59" t="str">
        <f>Parts1!O243</f>
        <v>SOT23</v>
      </c>
      <c r="L24" t="str">
        <f>Parts1!P243</f>
        <v>512-BAT54S</v>
      </c>
      <c r="M24" s="51" t="str">
        <f>Parts1!Q243</f>
        <v>BAT54S</v>
      </c>
      <c r="N24" s="58">
        <v>6.0</v>
      </c>
      <c r="O24" s="52" t="str">
        <f t="shared" si="2"/>
        <v>A</v>
      </c>
      <c r="P24" s="52">
        <f t="shared" si="5"/>
        <v>1</v>
      </c>
      <c r="Q24" s="52">
        <f t="shared" si="4"/>
        <v>3</v>
      </c>
      <c r="R24" s="52" t="b">
        <f t="shared" si="6"/>
        <v>0</v>
      </c>
    </row>
    <row r="25">
      <c r="B25" s="20" t="str">
        <f>IFERROR(__xludf.DUMMYFUNCTION("if(exact($E25, """"), """", iferror(regexextract($F25, ""^(?:- )?([A-Z]+)""), ""?""))"),"D")</f>
        <v>D</v>
      </c>
      <c r="C25" s="57" t="str">
        <f t="shared" si="3"/>
        <v>512-BAT54S</v>
      </c>
      <c r="D25" t="str">
        <f>Parts1!H388</f>
        <v>Rings v3.0</v>
      </c>
      <c r="E25" t="str">
        <f>Parts1!I388</f>
        <v>S</v>
      </c>
      <c r="F25" t="str">
        <f>Parts1!J388</f>
        <v>D3</v>
      </c>
      <c r="G25">
        <f>Parts1!K388</f>
        <v>1</v>
      </c>
      <c r="H25" t="str">
        <f>Parts1!L388</f>
        <v>BAT54S diode</v>
      </c>
      <c r="I25" t="str">
        <f>Parts1!M388</f>
        <v/>
      </c>
      <c r="J25" t="str">
        <f>Parts1!N388</f>
        <v/>
      </c>
      <c r="K25" t="str">
        <f>Parts1!O388</f>
        <v>SOT23</v>
      </c>
      <c r="L25" t="str">
        <f>Parts1!P388</f>
        <v>512-BAT54S</v>
      </c>
      <c r="M25" s="51" t="str">
        <f>Parts1!Q388</f>
        <v>BAT54S</v>
      </c>
      <c r="N25" s="58">
        <v>10.0</v>
      </c>
      <c r="O25" s="52" t="str">
        <f t="shared" si="2"/>
        <v>A</v>
      </c>
      <c r="P25" s="52" t="str">
        <f t="shared" si="5"/>
        <v/>
      </c>
      <c r="Q25" s="52">
        <f t="shared" si="4"/>
        <v>2</v>
      </c>
      <c r="R25" s="52" t="b">
        <f t="shared" si="6"/>
        <v>0</v>
      </c>
    </row>
    <row r="26">
      <c r="B26" s="20" t="str">
        <f>IFERROR(__xludf.DUMMYFUNCTION("if(exact($E26, """"), """", iferror(regexextract($F26, ""^(?:- )?([A-Z]+)""), ""?""))"),"D")</f>
        <v>D</v>
      </c>
      <c r="C26" s="57" t="str">
        <f t="shared" si="3"/>
        <v>512-BAT54S</v>
      </c>
      <c r="D26" t="str">
        <f>Parts1!H542</f>
        <v>Streams v0.5</v>
      </c>
      <c r="E26" t="str">
        <f>Parts1!I542</f>
        <v>S</v>
      </c>
      <c r="F26" t="str">
        <f>Parts1!J542</f>
        <v>D1, D2</v>
      </c>
      <c r="G26">
        <f>Parts1!K542</f>
        <v>2</v>
      </c>
      <c r="H26" t="str">
        <f>Parts1!L542</f>
        <v>BAT54S diode</v>
      </c>
      <c r="I26" t="str">
        <f>Parts1!M542</f>
        <v/>
      </c>
      <c r="J26" t="str">
        <f>Parts1!N542</f>
        <v/>
      </c>
      <c r="K26" t="str">
        <f>Parts1!O542</f>
        <v>SOT23</v>
      </c>
      <c r="L26" t="str">
        <f>Parts1!P542</f>
        <v>512-BAT54S</v>
      </c>
      <c r="M26" s="51" t="str">
        <f>Parts1!Q542</f>
        <v>BAT54S</v>
      </c>
      <c r="N26" s="58">
        <v>15.0</v>
      </c>
      <c r="O26" s="52" t="str">
        <f t="shared" si="2"/>
        <v>A</v>
      </c>
      <c r="P26" s="52" t="str">
        <f t="shared" si="5"/>
        <v/>
      </c>
      <c r="Q26" s="52">
        <f t="shared" si="4"/>
        <v>1</v>
      </c>
      <c r="R26" s="52" t="b">
        <f t="shared" si="6"/>
        <v>0</v>
      </c>
    </row>
    <row r="27">
      <c r="B27" s="20" t="str">
        <f>IFERROR(__xludf.DUMMYFUNCTION("if(exact($E27, """"), """", iferror(regexextract($F27, ""^(?:- )?([A-Z]+)""), ""?""))"),"D")</f>
        <v>D</v>
      </c>
      <c r="C27" s="57" t="str">
        <f t="shared" si="3"/>
        <v>512-BAT54S</v>
      </c>
      <c r="D27" t="str">
        <f>Parts1!H654</f>
        <v>Warps v3.0</v>
      </c>
      <c r="E27" t="str">
        <f>Parts1!I654</f>
        <v>S</v>
      </c>
      <c r="F27" t="str">
        <f>Parts1!J654</f>
        <v>D3</v>
      </c>
      <c r="G27">
        <f>Parts1!K654</f>
        <v>1</v>
      </c>
      <c r="H27" t="str">
        <f>Parts1!L654</f>
        <v>BAT54S diode</v>
      </c>
      <c r="I27" t="str">
        <f>Parts1!M654</f>
        <v/>
      </c>
      <c r="J27" t="str">
        <f>Parts1!N654</f>
        <v/>
      </c>
      <c r="K27" t="str">
        <f>Parts1!O654</f>
        <v>SOT23</v>
      </c>
      <c r="L27" t="str">
        <f>Parts1!P654</f>
        <v>512-BAT54S</v>
      </c>
      <c r="M27" s="51" t="str">
        <f>Parts1!Q654</f>
        <v>BAT54S</v>
      </c>
      <c r="N27" s="58">
        <v>18.0</v>
      </c>
      <c r="O27" s="52" t="str">
        <f t="shared" si="2"/>
        <v>A</v>
      </c>
      <c r="P27" s="52" t="str">
        <f t="shared" si="5"/>
        <v/>
      </c>
      <c r="Q27" s="52">
        <f t="shared" si="4"/>
        <v>0</v>
      </c>
      <c r="R27" s="52" t="b">
        <f t="shared" si="6"/>
        <v>0</v>
      </c>
    </row>
    <row r="28">
      <c r="B28" s="20" t="str">
        <f>IFERROR(__xludf.DUMMYFUNCTION("if(exact($E28, """"), """", iferror(regexextract($F28, ""^(?:- )?([A-Z]+)""), ""?""))"),"JP")</f>
        <v>JP</v>
      </c>
      <c r="C28" s="57" t="str">
        <f t="shared" si="3"/>
        <v>517-9662062000ARPR</v>
      </c>
      <c r="D28" t="str">
        <f>Parts1!H557</f>
        <v>Streams v0.5</v>
      </c>
      <c r="E28" t="str">
        <f>Parts1!I557</f>
        <v>S</v>
      </c>
      <c r="F28" t="str">
        <f>Parts1!J557</f>
        <v>JP3</v>
      </c>
      <c r="G28">
        <f>Parts1!K557</f>
        <v>1</v>
      </c>
      <c r="H28" t="str">
        <f>Parts1!L557</f>
        <v>2x3 female header, 2.54mm pitch, bottom entry</v>
      </c>
      <c r="I28" t="str">
        <f>Parts1!M557</f>
        <v/>
      </c>
      <c r="J28" t="str">
        <f>Parts1!N557</f>
        <v/>
      </c>
      <c r="K28" t="str">
        <f>Parts1!O557</f>
        <v/>
      </c>
      <c r="L28" t="str">
        <f>Parts1!P557</f>
        <v>517-9662062000ARPR</v>
      </c>
      <c r="M28" s="51" t="str">
        <f>Parts1!Q557</f>
        <v>4UCON 13102</v>
      </c>
      <c r="N28" s="58">
        <v>15.0</v>
      </c>
      <c r="O28" s="52" t="str">
        <f t="shared" si="2"/>
        <v>A</v>
      </c>
      <c r="P28" s="52">
        <f t="shared" si="5"/>
        <v>1</v>
      </c>
      <c r="Q28" s="52">
        <f t="shared" si="4"/>
        <v>0</v>
      </c>
      <c r="R28" s="52" t="b">
        <f t="shared" si="6"/>
        <v>1</v>
      </c>
    </row>
    <row r="29">
      <c r="B29" s="20" t="str">
        <f>IFERROR(__xludf.DUMMYFUNCTION("if(exact($E29, """"), """", iferror(regexextract($F29, ""^(?:- )?([A-Z]+)""), ""?""))"),"J")</f>
        <v>J</v>
      </c>
      <c r="C29" s="57" t="str">
        <f t="shared" si="3"/>
        <v>517-9691020000DA</v>
      </c>
      <c r="D29" t="str">
        <f>Parts1!H269</f>
        <v>Frames v0.3</v>
      </c>
      <c r="E29" t="str">
        <f>Parts1!I269</f>
        <v>D</v>
      </c>
      <c r="F29" t="str">
        <f>Parts1!J269</f>
        <v>Jumper</v>
      </c>
      <c r="G29">
        <f>Parts1!K269</f>
        <v>1</v>
      </c>
      <c r="H29" t="str">
        <f>Parts1!L269</f>
        <v>2.54 Shunt jumper</v>
      </c>
      <c r="I29" t="str">
        <f>Parts1!M269</f>
        <v/>
      </c>
      <c r="J29" t="str">
        <f>Parts1!N269</f>
        <v/>
      </c>
      <c r="K29" t="str">
        <f>Parts1!O269</f>
        <v/>
      </c>
      <c r="L29" t="str">
        <f>Parts1!P269</f>
        <v>517-9691020000DA</v>
      </c>
      <c r="M29" s="51" t="str">
        <f>Parts1!Q269</f>
        <v/>
      </c>
      <c r="N29" s="58">
        <v>6.0</v>
      </c>
      <c r="O29" s="52" t="str">
        <f t="shared" si="2"/>
        <v>C</v>
      </c>
      <c r="P29" s="52">
        <f t="shared" si="5"/>
        <v>1</v>
      </c>
      <c r="Q29" s="52">
        <f t="shared" si="4"/>
        <v>2</v>
      </c>
      <c r="R29" s="52" t="b">
        <f t="shared" si="6"/>
        <v>0</v>
      </c>
    </row>
    <row r="30">
      <c r="B30" s="20" t="str">
        <f>IFERROR(__xludf.DUMMYFUNCTION("if(exact($E30, """"), """", iferror(regexextract($F30, ""^(?:- )?([A-Z]+)""), ""?""))"),"J")</f>
        <v>J</v>
      </c>
      <c r="C30" s="57" t="str">
        <f t="shared" si="3"/>
        <v>517-9691020000DA</v>
      </c>
      <c r="D30" t="str">
        <f>Parts1!H472</f>
        <v>Shades v3.1</v>
      </c>
      <c r="E30" t="str">
        <f>Parts1!I472</f>
        <v>D</v>
      </c>
      <c r="F30" t="str">
        <f>Parts1!J472</f>
        <v>Jumper</v>
      </c>
      <c r="G30">
        <f>Parts1!K472</f>
        <v>3</v>
      </c>
      <c r="H30" t="str">
        <f>Parts1!L472</f>
        <v>2.54 Shunt jumper</v>
      </c>
      <c r="I30" t="str">
        <f>Parts1!M472</f>
        <v/>
      </c>
      <c r="J30" t="str">
        <f>Parts1!N472</f>
        <v/>
      </c>
      <c r="K30" t="str">
        <f>Parts1!O472</f>
        <v/>
      </c>
      <c r="L30" t="str">
        <f>Parts1!P472</f>
        <v>517-9691020000DA</v>
      </c>
      <c r="M30" s="51" t="str">
        <f>Parts1!Q472</f>
        <v/>
      </c>
      <c r="N30" s="58">
        <v>12.0</v>
      </c>
      <c r="O30" s="52" t="str">
        <f t="shared" si="2"/>
        <v>C</v>
      </c>
      <c r="P30" s="52" t="str">
        <f t="shared" si="5"/>
        <v/>
      </c>
      <c r="Q30" s="52">
        <f t="shared" si="4"/>
        <v>1</v>
      </c>
      <c r="R30" s="52" t="b">
        <f t="shared" si="6"/>
        <v>0</v>
      </c>
    </row>
    <row r="31">
      <c r="B31" s="20" t="str">
        <f>IFERROR(__xludf.DUMMYFUNCTION("if(exact($E31, """"), """", iferror(regexextract($F31, ""^(?:- )?([A-Z]+)""), ""?""))"),"J")</f>
        <v>J</v>
      </c>
      <c r="C31" s="57" t="str">
        <f t="shared" si="3"/>
        <v>517-9691020000DA</v>
      </c>
      <c r="D31" t="str">
        <f>Parts1!H507</f>
        <v>Shelves v0.5</v>
      </c>
      <c r="E31" t="str">
        <f>Parts1!I507</f>
        <v>D</v>
      </c>
      <c r="F31" t="str">
        <f>Parts1!J507</f>
        <v>Jumper</v>
      </c>
      <c r="G31">
        <f>Parts1!K507</f>
        <v>1</v>
      </c>
      <c r="H31" t="str">
        <f>Parts1!L507</f>
        <v>2.54 Shunt jumper</v>
      </c>
      <c r="I31" t="str">
        <f>Parts1!M507</f>
        <v/>
      </c>
      <c r="J31" t="str">
        <f>Parts1!N507</f>
        <v/>
      </c>
      <c r="K31" t="str">
        <f>Parts1!O507</f>
        <v/>
      </c>
      <c r="L31" t="str">
        <f>Parts1!P507</f>
        <v>517-9691020000DA</v>
      </c>
      <c r="M31" s="51" t="str">
        <f>Parts1!Q507</f>
        <v/>
      </c>
      <c r="N31" s="58">
        <v>13.0</v>
      </c>
      <c r="O31" s="52" t="str">
        <f t="shared" si="2"/>
        <v>C</v>
      </c>
      <c r="P31" s="52" t="str">
        <f t="shared" si="5"/>
        <v/>
      </c>
      <c r="Q31" s="52">
        <f t="shared" si="4"/>
        <v>0</v>
      </c>
      <c r="R31" s="52" t="b">
        <f t="shared" si="6"/>
        <v>0</v>
      </c>
    </row>
    <row r="32">
      <c r="B32" s="20" t="str">
        <f>IFERROR(__xludf.DUMMYFUNCTION("if(exact($E32, """"), """", iferror(regexextract($F32, ""^(?:- )?([A-Z]+)""), ""?""))"),"IC")</f>
        <v>IC</v>
      </c>
      <c r="C32" s="57" t="str">
        <f t="shared" si="3"/>
        <v>556-ATMEGA328P-AU</v>
      </c>
      <c r="D32" t="str">
        <f>Parts1!H283</f>
        <v>Grids v0.2</v>
      </c>
      <c r="E32" t="str">
        <f>Parts1!I283</f>
        <v>S</v>
      </c>
      <c r="F32" t="str">
        <f>Parts1!J283</f>
        <v>IC1</v>
      </c>
      <c r="G32" s="65">
        <f>Parts1!K283</f>
        <v>1</v>
      </c>
      <c r="H32" t="str">
        <f>Parts1!L283</f>
        <v>ATMega328p</v>
      </c>
      <c r="I32" t="str">
        <f>Parts1!M283</f>
        <v/>
      </c>
      <c r="J32" t="str">
        <f>Parts1!N283</f>
        <v/>
      </c>
      <c r="K32" t="str">
        <f>Parts1!O283</f>
        <v>TQFP32</v>
      </c>
      <c r="L32" t="str">
        <f>Parts1!P283</f>
        <v>556-ATMEGA328P-AU</v>
      </c>
      <c r="M32" s="51" t="str">
        <f>Parts1!Q283</f>
        <v>ATMEGA328P-AU</v>
      </c>
      <c r="N32" s="58">
        <v>7.0</v>
      </c>
      <c r="O32" s="52" t="str">
        <f t="shared" si="2"/>
        <v>A</v>
      </c>
      <c r="P32" s="52">
        <f t="shared" si="5"/>
        <v>1</v>
      </c>
      <c r="Q32" s="52">
        <f t="shared" si="4"/>
        <v>0</v>
      </c>
      <c r="R32" s="52" t="b">
        <f t="shared" si="6"/>
        <v>1</v>
      </c>
    </row>
    <row r="33">
      <c r="B33" s="20" t="str">
        <f>IFERROR(__xludf.DUMMYFUNCTION("if(exact($E33, """"), """", iferror(regexextract($F33, ""^(?:- )?([A-Z]+)""), ""?""))"),"IC")</f>
        <v>IC</v>
      </c>
      <c r="C33" s="57" t="str">
        <f t="shared" si="3"/>
        <v>556-ATMEGA88PA-AU</v>
      </c>
      <c r="D33" t="str">
        <f>Parts1!H60</f>
        <v>Branches v4.0</v>
      </c>
      <c r="E33" t="str">
        <f>Parts1!I60</f>
        <v>S</v>
      </c>
      <c r="F33" t="str">
        <f>Parts1!J60</f>
        <v>IC4</v>
      </c>
      <c r="G33" s="65">
        <f>Parts1!K60</f>
        <v>1</v>
      </c>
      <c r="H33" t="str">
        <f>Parts1!L60</f>
        <v>ATMega88p</v>
      </c>
      <c r="I33" t="str">
        <f>Parts1!M60</f>
        <v/>
      </c>
      <c r="J33" t="str">
        <f>Parts1!N60</f>
        <v/>
      </c>
      <c r="K33" t="str">
        <f>Parts1!O60</f>
        <v>TQFP32</v>
      </c>
      <c r="L33" t="str">
        <f>Parts1!P60</f>
        <v>556-ATMEGA88PA-AU</v>
      </c>
      <c r="M33" s="51" t="str">
        <f>Parts1!Q60</f>
        <v>ATMEGA88PA-AU</v>
      </c>
      <c r="N33" s="58">
        <v>2.0</v>
      </c>
      <c r="O33" s="52" t="str">
        <f t="shared" si="2"/>
        <v>A</v>
      </c>
      <c r="P33" s="52">
        <f t="shared" si="5"/>
        <v>1</v>
      </c>
      <c r="Q33" s="52">
        <f t="shared" si="4"/>
        <v>0</v>
      </c>
      <c r="R33" s="52" t="b">
        <f t="shared" si="6"/>
        <v>0</v>
      </c>
    </row>
    <row r="34">
      <c r="B34" s="20" t="str">
        <f>IFERROR(__xludf.DUMMYFUNCTION("if(exact($E34, """"), """", iferror(regexextract($F34, ""^(?:- )?([A-Z]+)""), ""?""))"),"IC")</f>
        <v>IC</v>
      </c>
      <c r="C34" s="57" t="str">
        <f t="shared" si="3"/>
        <v>556-ATXMEGA32A4U-AU</v>
      </c>
      <c r="D34" t="str">
        <f>Parts1!H160</f>
        <v>Edges v2.0</v>
      </c>
      <c r="E34" t="str">
        <f>Parts1!I160</f>
        <v>S</v>
      </c>
      <c r="F34" t="str">
        <f>Parts1!J160</f>
        <v>IC16</v>
      </c>
      <c r="G34">
        <f>Parts1!K160</f>
        <v>1</v>
      </c>
      <c r="H34" t="str">
        <f>Parts1!L160</f>
        <v>ATXMega32A4U-AU</v>
      </c>
      <c r="I34" t="str">
        <f>Parts1!M160</f>
        <v/>
      </c>
      <c r="J34" t="str">
        <f>Parts1!N160</f>
        <v/>
      </c>
      <c r="K34" t="str">
        <f>Parts1!O160</f>
        <v>TQFP44</v>
      </c>
      <c r="L34" t="str">
        <f>Parts1!P160</f>
        <v>556-ATXMEGA32A4U-AU</v>
      </c>
      <c r="M34" s="51" t="str">
        <f>Parts1!Q160</f>
        <v>ATXMega32A4U-AU</v>
      </c>
      <c r="N34" s="58">
        <v>4.0</v>
      </c>
      <c r="O34" s="52" t="str">
        <f t="shared" si="2"/>
        <v>A</v>
      </c>
      <c r="P34" s="52">
        <f t="shared" si="5"/>
        <v>1</v>
      </c>
      <c r="Q34" s="52">
        <f t="shared" si="4"/>
        <v>0</v>
      </c>
      <c r="R34" s="52" t="b">
        <f t="shared" si="6"/>
        <v>1</v>
      </c>
    </row>
    <row r="35">
      <c r="B35" s="20" t="str">
        <f>IFERROR(__xludf.DUMMYFUNCTION("if(exact($E35, """"), """", iferror(regexextract($F35, ""^(?:- )?([A-Z]+)""), ""?""))"),"P")</f>
        <v>P</v>
      </c>
      <c r="C35" s="57" t="str">
        <f t="shared" si="3"/>
        <v>576-1206L035/16YR</v>
      </c>
      <c r="D35" t="str">
        <f>Parts1!H250</f>
        <v>Frames v0.3</v>
      </c>
      <c r="E35" t="str">
        <f>Parts1!I250</f>
        <v>S</v>
      </c>
      <c r="F35" t="str">
        <f>Parts1!J250</f>
        <v>P1, P2</v>
      </c>
      <c r="G35">
        <f>Parts1!K250</f>
        <v>2</v>
      </c>
      <c r="H35" t="str">
        <f>Parts1!L250</f>
        <v>Resettable fuse</v>
      </c>
      <c r="I35" t="str">
        <f>Parts1!M250</f>
        <v>&gt;= 15V</v>
      </c>
      <c r="J35" t="str">
        <f>Parts1!N250</f>
        <v>&gt;0.1A</v>
      </c>
      <c r="K35" s="59" t="str">
        <f>Parts1!O250</f>
        <v>1206</v>
      </c>
      <c r="L35" t="str">
        <f>Parts1!P250</f>
        <v>576-1206L035/16YR</v>
      </c>
      <c r="M35" s="51" t="str">
        <f>Parts1!Q250</f>
        <v>Littelfuse 1206L035/16YR</v>
      </c>
      <c r="N35" s="58">
        <v>6.0</v>
      </c>
      <c r="O35" s="52" t="str">
        <f t="shared" si="2"/>
        <v>A</v>
      </c>
      <c r="P35" s="52">
        <f t="shared" si="5"/>
        <v>1</v>
      </c>
      <c r="Q35" s="52">
        <f t="shared" si="4"/>
        <v>3</v>
      </c>
      <c r="R35" s="52" t="b">
        <f t="shared" si="6"/>
        <v>0</v>
      </c>
    </row>
    <row r="36">
      <c r="B36" s="20" t="str">
        <f>IFERROR(__xludf.DUMMYFUNCTION("if(exact($E36, """"), """", iferror(regexextract($F36, ""^(?:- )?([A-Z]+)""), ""?""))"),"P")</f>
        <v>P</v>
      </c>
      <c r="C36" s="57" t="str">
        <f t="shared" si="3"/>
        <v>576-1206L035/16YR</v>
      </c>
      <c r="D36" t="str">
        <f>Parts1!H434</f>
        <v>Ripples v4.0</v>
      </c>
      <c r="E36" t="str">
        <f>Parts1!I434</f>
        <v>S</v>
      </c>
      <c r="F36" t="str">
        <f>Parts1!J434</f>
        <v>P1, P2</v>
      </c>
      <c r="G36">
        <f>Parts1!K434</f>
        <v>2</v>
      </c>
      <c r="H36" t="str">
        <f>Parts1!L434</f>
        <v>Resettable fuse</v>
      </c>
      <c r="I36" t="str">
        <f>Parts1!M434</f>
        <v>&gt;= 15V</v>
      </c>
      <c r="J36" t="str">
        <f>Parts1!N434</f>
        <v>&gt;0.1A</v>
      </c>
      <c r="K36" s="59" t="str">
        <f>Parts1!O434</f>
        <v>1206</v>
      </c>
      <c r="L36" t="str">
        <f>Parts1!P434</f>
        <v>576-1206L035/16YR</v>
      </c>
      <c r="M36" s="51" t="str">
        <f>Parts1!Q434</f>
        <v>Littelfuse 1206L035/16YR</v>
      </c>
      <c r="N36" s="58">
        <v>11.0</v>
      </c>
      <c r="O36" s="52" t="str">
        <f t="shared" si="2"/>
        <v>A</v>
      </c>
      <c r="P36" s="52" t="str">
        <f t="shared" si="5"/>
        <v/>
      </c>
      <c r="Q36" s="52">
        <f t="shared" si="4"/>
        <v>2</v>
      </c>
      <c r="R36" s="52" t="b">
        <f t="shared" si="6"/>
        <v>0</v>
      </c>
    </row>
    <row r="37">
      <c r="B37" s="20" t="str">
        <f>IFERROR(__xludf.DUMMYFUNCTION("if(exact($E37, """"), """", iferror(regexextract($F37, ""^(?:- )?([A-Z]+)""), ""?""))"),"P")</f>
        <v>P</v>
      </c>
      <c r="C37" s="57" t="str">
        <f t="shared" si="3"/>
        <v>576-1206L035/16YR</v>
      </c>
      <c r="D37" t="str">
        <f>Parts1!H493</f>
        <v>Shelves v0.5</v>
      </c>
      <c r="E37" t="str">
        <f>Parts1!I493</f>
        <v>S</v>
      </c>
      <c r="F37" t="str">
        <f>Parts1!J493</f>
        <v>P1</v>
      </c>
      <c r="G37">
        <f>Parts1!K493</f>
        <v>1</v>
      </c>
      <c r="H37" t="str">
        <f>Parts1!L493</f>
        <v>Resettable fuse</v>
      </c>
      <c r="I37" t="str">
        <f>Parts1!M493</f>
        <v>&gt;= 15V</v>
      </c>
      <c r="J37" t="str">
        <f>Parts1!N493</f>
        <v>&gt;0.1A</v>
      </c>
      <c r="K37">
        <f>Parts1!O493</f>
        <v>1206</v>
      </c>
      <c r="L37" t="str">
        <f>Parts1!P493</f>
        <v>576-1206L035/16YR</v>
      </c>
      <c r="M37" s="51" t="str">
        <f>Parts1!Q493</f>
        <v>Littelfuse 1206L035/16YR</v>
      </c>
      <c r="N37" s="58">
        <v>13.0</v>
      </c>
      <c r="O37" s="52" t="str">
        <f t="shared" si="2"/>
        <v>A</v>
      </c>
      <c r="P37" s="52" t="str">
        <f t="shared" si="5"/>
        <v/>
      </c>
      <c r="Q37" s="52">
        <f t="shared" si="4"/>
        <v>1</v>
      </c>
      <c r="R37" s="52" t="b">
        <f t="shared" si="6"/>
        <v>0</v>
      </c>
    </row>
    <row r="38">
      <c r="B38" s="20" t="str">
        <f>IFERROR(__xludf.DUMMYFUNCTION("if(exact($E38, """"), """", iferror(regexextract($F38, ""^(?:- )?([A-Z]+)""), ""?""))"),"P")</f>
        <v>P</v>
      </c>
      <c r="C38" s="57" t="str">
        <f t="shared" si="3"/>
        <v>576-1206L035/16YR</v>
      </c>
      <c r="D38" t="str">
        <f>Parts1!H554</f>
        <v>Streams v0.5</v>
      </c>
      <c r="E38" t="str">
        <f>Parts1!I554</f>
        <v>S</v>
      </c>
      <c r="F38" t="str">
        <f>Parts1!J554</f>
        <v>P1</v>
      </c>
      <c r="G38">
        <f>Parts1!K554</f>
        <v>1</v>
      </c>
      <c r="H38" t="str">
        <f>Parts1!L554</f>
        <v>Resettable fuse</v>
      </c>
      <c r="I38" t="str">
        <f>Parts1!M554</f>
        <v>&gt;= 15V</v>
      </c>
      <c r="J38" t="str">
        <f>Parts1!N554</f>
        <v>&gt;0.1A</v>
      </c>
      <c r="K38" t="str">
        <f>Parts1!O554</f>
        <v>1206</v>
      </c>
      <c r="L38" t="str">
        <f>Parts1!P554</f>
        <v>576-1206L035/16YR</v>
      </c>
      <c r="M38" s="51" t="str">
        <f>Parts1!Q554</f>
        <v>Littelfuse 1206L035/16YR</v>
      </c>
      <c r="N38" s="58">
        <v>15.0</v>
      </c>
      <c r="O38" s="52" t="str">
        <f t="shared" si="2"/>
        <v>A</v>
      </c>
      <c r="P38" s="52" t="str">
        <f t="shared" si="5"/>
        <v/>
      </c>
      <c r="Q38" s="52">
        <f t="shared" si="4"/>
        <v>0</v>
      </c>
      <c r="R38" s="52" t="b">
        <f t="shared" si="6"/>
        <v>0</v>
      </c>
    </row>
    <row r="39">
      <c r="B39" s="20" t="str">
        <f>IFERROR(__xludf.DUMMYFUNCTION("if(exact($E39, """"), """", iferror(regexextract($F39, ""^(?:- )?([A-Z]+)""), ""?""))"),"IC")</f>
        <v>IC</v>
      </c>
      <c r="C39" s="63" t="str">
        <f t="shared" si="3"/>
        <v>579-MCP1703T-5002ECB</v>
      </c>
      <c r="D39" t="str">
        <f>Parts1!H698</f>
        <v>Yarns v0.3</v>
      </c>
      <c r="E39" t="str">
        <f>Parts1!I698</f>
        <v>S</v>
      </c>
      <c r="F39" s="64" t="str">
        <f>Parts1!J698</f>
        <v>IC9</v>
      </c>
      <c r="G39" s="65">
        <f>Parts1!K698</f>
        <v>1</v>
      </c>
      <c r="H39" s="64" t="str">
        <f>Parts1!L698</f>
        <v>MCP1703 LDO Vref</v>
      </c>
      <c r="I39" s="64" t="str">
        <f>Parts1!M698</f>
        <v/>
      </c>
      <c r="J39" s="64" t="str">
        <f>Parts1!N698</f>
        <v>3.3V</v>
      </c>
      <c r="K39" s="64" t="str">
        <f>Parts1!O698</f>
        <v>SOT23</v>
      </c>
      <c r="L39" s="66" t="str">
        <f>Parts1!P698</f>
        <v>579-MCP1703T-5002ECB</v>
      </c>
      <c r="M39" s="67" t="str">
        <f>Parts1!Q698</f>
        <v>Microchip MCP1703T-5002E/CB</v>
      </c>
      <c r="N39" s="58">
        <v>19.0</v>
      </c>
      <c r="O39" s="52" t="str">
        <f t="shared" si="2"/>
        <v>A</v>
      </c>
      <c r="P39" s="52">
        <f t="shared" si="5"/>
        <v>1</v>
      </c>
      <c r="Q39" s="52">
        <f t="shared" si="4"/>
        <v>0</v>
      </c>
      <c r="R39" s="52" t="b">
        <f t="shared" si="6"/>
        <v>1</v>
      </c>
    </row>
    <row r="40">
      <c r="B40" s="20" t="str">
        <f>IFERROR(__xludf.DUMMYFUNCTION("if(exact($E40, """"), """", iferror(regexextract($F40, ""^(?:- )?([A-Z]+)""), ""?""))"),"IC")</f>
        <v>IC</v>
      </c>
      <c r="C40" s="57" t="str">
        <f t="shared" si="3"/>
        <v>579-MCP23S17-E/SS</v>
      </c>
      <c r="D40" t="str">
        <f>Parts1!H571</f>
        <v>Streams Bargraph v0.2</v>
      </c>
      <c r="E40" t="str">
        <f>Parts1!I571</f>
        <v>S</v>
      </c>
      <c r="F40" t="str">
        <f>Parts1!J571</f>
        <v>IC1</v>
      </c>
      <c r="G40">
        <f>Parts1!K571</f>
        <v>1</v>
      </c>
      <c r="H40" t="str">
        <f>Parts1!L571</f>
        <v>MCP23S17E/SS I/O expander</v>
      </c>
      <c r="I40" t="str">
        <f>Parts1!M571</f>
        <v/>
      </c>
      <c r="J40" t="str">
        <f>Parts1!N571</f>
        <v/>
      </c>
      <c r="K40" t="str">
        <f>Parts1!O571</f>
        <v>SSOP28</v>
      </c>
      <c r="L40" t="str">
        <f>Parts1!P571</f>
        <v>579-MCP23S17-E/SS</v>
      </c>
      <c r="M40" s="51" t="str">
        <f>Parts1!Q571</f>
        <v/>
      </c>
      <c r="N40" s="58">
        <v>16.0</v>
      </c>
      <c r="O40" s="52" t="str">
        <f t="shared" si="2"/>
        <v>A</v>
      </c>
      <c r="P40" s="52">
        <f t="shared" si="5"/>
        <v>1</v>
      </c>
      <c r="Q40" s="52">
        <f t="shared" si="4"/>
        <v>0</v>
      </c>
      <c r="R40" s="52" t="b">
        <f t="shared" si="6"/>
        <v>0</v>
      </c>
    </row>
    <row r="41">
      <c r="B41" s="20" t="str">
        <f>IFERROR(__xludf.DUMMYFUNCTION("if(exact($E41, """"), """", iferror(regexextract($F41, ""^(?:- )?([A-Z]+)""), ""?""))"),"IC")</f>
        <v>IC</v>
      </c>
      <c r="C41" s="57" t="str">
        <f t="shared" si="3"/>
        <v>579-MCP3204-BI/SL</v>
      </c>
      <c r="D41" t="str">
        <f>Parts1!H30</f>
        <v>Braids v5.1</v>
      </c>
      <c r="E41" t="str">
        <f>Parts1!I30</f>
        <v>S</v>
      </c>
      <c r="F41" t="str">
        <f>Parts1!J30</f>
        <v>IC4</v>
      </c>
      <c r="G41">
        <f>Parts1!K30</f>
        <v>1</v>
      </c>
      <c r="H41" t="str">
        <f>Parts1!L30</f>
        <v>MCP3204 quad 12-bit DAC</v>
      </c>
      <c r="I41" t="str">
        <f>Parts1!M30</f>
        <v/>
      </c>
      <c r="J41" t="str">
        <f>Parts1!N30</f>
        <v/>
      </c>
      <c r="K41" t="str">
        <f>Parts1!O30</f>
        <v>SOIC14</v>
      </c>
      <c r="L41" t="str">
        <f>Parts1!P30</f>
        <v>579-MCP3204-BI/SL</v>
      </c>
      <c r="M41" s="51" t="str">
        <f>Parts1!Q30</f>
        <v>Microchip MCP3204-BI/SL</v>
      </c>
      <c r="N41" s="58">
        <v>1.0</v>
      </c>
      <c r="O41" s="52" t="str">
        <f t="shared" si="2"/>
        <v>A</v>
      </c>
      <c r="P41" s="52">
        <f t="shared" si="5"/>
        <v>1</v>
      </c>
      <c r="Q41" s="52">
        <f t="shared" si="4"/>
        <v>0</v>
      </c>
      <c r="R41" s="52" t="b">
        <f t="shared" si="6"/>
        <v>1</v>
      </c>
    </row>
    <row r="42">
      <c r="B42" s="20" t="str">
        <f>IFERROR(__xludf.DUMMYFUNCTION("if(exact($E42, """"), """", iferror(regexextract($F42, ""^(?:- )?([A-Z]+)""), ""?""))"),"IC")</f>
        <v>IC</v>
      </c>
      <c r="C42" s="57" t="str">
        <f t="shared" si="3"/>
        <v>579-MCP3208-BI/SL</v>
      </c>
      <c r="D42" t="str">
        <f>Parts1!H153</f>
        <v>Edges v2.0</v>
      </c>
      <c r="E42" t="str">
        <f>Parts1!I153</f>
        <v>S</v>
      </c>
      <c r="F42" t="str">
        <f>Parts1!J153</f>
        <v>IC13</v>
      </c>
      <c r="G42">
        <f>Parts1!K153</f>
        <v>1</v>
      </c>
      <c r="H42" t="str">
        <f>Parts1!L153</f>
        <v>MCP3208 octal 12-bit ADC</v>
      </c>
      <c r="I42" t="str">
        <f>Parts1!M153</f>
        <v/>
      </c>
      <c r="J42" t="str">
        <f>Parts1!N153</f>
        <v/>
      </c>
      <c r="K42" t="str">
        <f>Parts1!O153</f>
        <v>SOIC16</v>
      </c>
      <c r="L42" t="str">
        <f>Parts1!P153</f>
        <v>579-MCP3208-BI/SL</v>
      </c>
      <c r="M42" s="51" t="str">
        <f>Parts1!Q153</f>
        <v>Microchip MCP3208-BI/SL</v>
      </c>
      <c r="N42" s="58">
        <v>4.0</v>
      </c>
      <c r="O42" s="52" t="str">
        <f t="shared" si="2"/>
        <v>A</v>
      </c>
      <c r="P42" s="52">
        <f t="shared" si="5"/>
        <v>1</v>
      </c>
      <c r="Q42" s="52">
        <f t="shared" si="4"/>
        <v>0</v>
      </c>
      <c r="R42" s="52" t="b">
        <f t="shared" si="6"/>
        <v>0</v>
      </c>
    </row>
    <row r="43">
      <c r="B43" s="20" t="str">
        <f>IFERROR(__xludf.DUMMYFUNCTION("if(exact($E43, """"), """", iferror(regexextract($F43, ""^(?:- )?([A-Z]+)""), ""?""))"),"IC")</f>
        <v>IC</v>
      </c>
      <c r="C43" s="57" t="str">
        <f t="shared" si="3"/>
        <v>579-MCP4822-E/SN</v>
      </c>
      <c r="D43" t="str">
        <f>Parts1!H154</f>
        <v>Edges v2.0</v>
      </c>
      <c r="E43" t="str">
        <f>Parts1!I154</f>
        <v>S</v>
      </c>
      <c r="F43" t="str">
        <f>Parts1!J154</f>
        <v>IC15</v>
      </c>
      <c r="G43">
        <f>Parts1!K154</f>
        <v>1</v>
      </c>
      <c r="H43" t="str">
        <f>Parts1!L154</f>
        <v>MCP4822 dual 12-bit DAC</v>
      </c>
      <c r="I43" t="str">
        <f>Parts1!M154</f>
        <v/>
      </c>
      <c r="J43" t="str">
        <f>Parts1!N154</f>
        <v/>
      </c>
      <c r="K43" t="str">
        <f>Parts1!O154</f>
        <v>SOIC8</v>
      </c>
      <c r="L43" t="str">
        <f>Parts1!P154</f>
        <v>579-MCP4822-E/SN</v>
      </c>
      <c r="M43" s="51" t="str">
        <f>Parts1!Q154</f>
        <v>Microchip MCP4822-E/SN</v>
      </c>
      <c r="N43" s="58">
        <v>4.0</v>
      </c>
      <c r="O43" s="52" t="str">
        <f t="shared" si="2"/>
        <v>A</v>
      </c>
      <c r="P43" s="52">
        <f t="shared" si="5"/>
        <v>1</v>
      </c>
      <c r="Q43" s="52">
        <f t="shared" si="4"/>
        <v>0</v>
      </c>
      <c r="R43" s="52" t="b">
        <f t="shared" si="6"/>
        <v>1</v>
      </c>
    </row>
    <row r="44">
      <c r="B44" s="20" t="str">
        <f>IFERROR(__xludf.DUMMYFUNCTION("if(exact($E44, """"), """", iferror(regexextract($F44, ""^(?:- )?([A-Z]+)""), ""?""))"),"IC")</f>
        <v>IC</v>
      </c>
      <c r="C44" s="57" t="str">
        <f t="shared" si="3"/>
        <v>579-MCP6002-I/SN</v>
      </c>
      <c r="D44" t="str">
        <f>Parts1!H62</f>
        <v>Branches v4.0</v>
      </c>
      <c r="E44" t="str">
        <f>Parts1!I62</f>
        <v>S</v>
      </c>
      <c r="F44" t="str">
        <f>Parts1!J62</f>
        <v>IC3</v>
      </c>
      <c r="G44" s="65">
        <f>Parts1!K62</f>
        <v>1</v>
      </c>
      <c r="H44" t="str">
        <f>Parts1!L62</f>
        <v>MCP6002 dual op-amp R2R IO</v>
      </c>
      <c r="I44" t="str">
        <f>Parts1!M62</f>
        <v/>
      </c>
      <c r="J44" t="str">
        <f>Parts1!N62</f>
        <v/>
      </c>
      <c r="K44" t="str">
        <f>Parts1!O62</f>
        <v>SOIC8</v>
      </c>
      <c r="L44" t="str">
        <f>Parts1!P62</f>
        <v>579-MCP6002-I/SN</v>
      </c>
      <c r="M44" s="51" t="str">
        <f>Parts1!Q62</f>
        <v>MCP6002-I/SN</v>
      </c>
      <c r="N44" s="58">
        <v>2.0</v>
      </c>
      <c r="O44" s="52" t="str">
        <f t="shared" si="2"/>
        <v>A</v>
      </c>
      <c r="P44" s="52">
        <f t="shared" si="5"/>
        <v>1</v>
      </c>
      <c r="Q44" s="52">
        <f t="shared" si="4"/>
        <v>6</v>
      </c>
      <c r="R44" s="52" t="b">
        <f t="shared" si="6"/>
        <v>0</v>
      </c>
    </row>
    <row r="45">
      <c r="B45" s="20" t="str">
        <f>IFERROR(__xludf.DUMMYFUNCTION("if(exact($E45, """"), """", iferror(regexextract($F45, ""^(?:- )?([A-Z]+)""), ""?""))"),"IC")</f>
        <v>IC</v>
      </c>
      <c r="C45" s="57" t="str">
        <f t="shared" si="3"/>
        <v>579-MCP6002-I/SN</v>
      </c>
      <c r="D45" t="str">
        <f>Parts1!H106</f>
        <v>Clouds v3.0</v>
      </c>
      <c r="E45" t="str">
        <f>Parts1!I106</f>
        <v>S</v>
      </c>
      <c r="F45" t="str">
        <f>Parts1!J106</f>
        <v>IC3</v>
      </c>
      <c r="G45">
        <f>Parts1!K106</f>
        <v>1</v>
      </c>
      <c r="H45" t="str">
        <f>Parts1!L106</f>
        <v>MCP6002 dual op-amp R2R IO</v>
      </c>
      <c r="I45" t="str">
        <f>Parts1!M106</f>
        <v/>
      </c>
      <c r="J45" t="str">
        <f>Parts1!N106</f>
        <v/>
      </c>
      <c r="K45" s="59" t="str">
        <f>Parts1!O106</f>
        <v>SOIC8</v>
      </c>
      <c r="L45" t="str">
        <f>Parts1!P106</f>
        <v>579-MCP6002-I/SN</v>
      </c>
      <c r="M45" s="51" t="str">
        <f>Parts1!Q106</f>
        <v>MCP6002-I/SN</v>
      </c>
      <c r="N45" s="58">
        <v>3.0</v>
      </c>
      <c r="O45" s="52" t="str">
        <f t="shared" si="2"/>
        <v>A</v>
      </c>
      <c r="P45" s="52" t="str">
        <f t="shared" si="5"/>
        <v/>
      </c>
      <c r="Q45" s="52">
        <f t="shared" si="4"/>
        <v>5</v>
      </c>
      <c r="R45" s="52" t="b">
        <f t="shared" si="6"/>
        <v>0</v>
      </c>
    </row>
    <row r="46">
      <c r="B46" s="20" t="str">
        <f>IFERROR(__xludf.DUMMYFUNCTION("if(exact($E46, """"), """", iferror(regexextract($F46, ""^(?:- )?([A-Z]+)""), ""?""))"),"IC")</f>
        <v>IC</v>
      </c>
      <c r="C46" s="57" t="str">
        <f t="shared" si="3"/>
        <v>579-MCP6002-I/SN</v>
      </c>
      <c r="D46" t="str">
        <f>Parts1!H158</f>
        <v>Edges v2.0</v>
      </c>
      <c r="E46" t="str">
        <f>Parts1!I158</f>
        <v>S</v>
      </c>
      <c r="F46" t="str">
        <f>Parts1!J158</f>
        <v>IC3, IC4, IC10, IC12</v>
      </c>
      <c r="G46">
        <f>Parts1!K158</f>
        <v>4</v>
      </c>
      <c r="H46" t="str">
        <f>Parts1!L158</f>
        <v>MCP6002 dual op-amp R2R IO</v>
      </c>
      <c r="I46" t="str">
        <f>Parts1!M158</f>
        <v/>
      </c>
      <c r="J46" t="str">
        <f>Parts1!N158</f>
        <v/>
      </c>
      <c r="K46" t="str">
        <f>Parts1!O158</f>
        <v>SOIC8</v>
      </c>
      <c r="L46" t="str">
        <f>Parts1!P158</f>
        <v>579-MCP6002-I/SN</v>
      </c>
      <c r="M46" s="51" t="str">
        <f>Parts1!Q158</f>
        <v>MCP6002-I/SN</v>
      </c>
      <c r="N46" s="58">
        <v>4.0</v>
      </c>
      <c r="O46" s="52" t="str">
        <f t="shared" si="2"/>
        <v>A</v>
      </c>
      <c r="P46" s="52" t="str">
        <f t="shared" si="5"/>
        <v/>
      </c>
      <c r="Q46" s="52">
        <f t="shared" si="4"/>
        <v>4</v>
      </c>
      <c r="R46" s="52" t="b">
        <f t="shared" si="6"/>
        <v>0</v>
      </c>
    </row>
    <row r="47">
      <c r="B47" s="20" t="str">
        <f>IFERROR(__xludf.DUMMYFUNCTION("if(exact($E47, """"), """", iferror(regexextract($F47, ""^(?:- )?([A-Z]+)""), ""?""))"),"IC")</f>
        <v>IC</v>
      </c>
      <c r="C47" s="57" t="str">
        <f t="shared" si="3"/>
        <v>579-MCP6002-I/SN</v>
      </c>
      <c r="D47" t="str">
        <f>Parts1!H201</f>
        <v>Elements v0.21</v>
      </c>
      <c r="E47" t="str">
        <f>Parts1!I201</f>
        <v>S</v>
      </c>
      <c r="F47" t="str">
        <f>Parts1!J201</f>
        <v>IC9</v>
      </c>
      <c r="G47">
        <f>Parts1!K201</f>
        <v>1</v>
      </c>
      <c r="H47" t="str">
        <f>Parts1!L201</f>
        <v>MCP6002 dual op-amp R2R IO</v>
      </c>
      <c r="I47" t="str">
        <f>Parts1!M201</f>
        <v/>
      </c>
      <c r="J47" t="str">
        <f>Parts1!N201</f>
        <v/>
      </c>
      <c r="K47" t="str">
        <f>Parts1!O201</f>
        <v>SOIC8</v>
      </c>
      <c r="L47" t="str">
        <f>Parts1!P201</f>
        <v>579-MCP6002-I/SN</v>
      </c>
      <c r="M47" s="51" t="str">
        <f>Parts1!Q201</f>
        <v>MCP6002-I/SN</v>
      </c>
      <c r="N47" s="58">
        <v>5.0</v>
      </c>
      <c r="O47" s="52" t="str">
        <f t="shared" si="2"/>
        <v>A</v>
      </c>
      <c r="P47" s="52" t="str">
        <f t="shared" si="5"/>
        <v/>
      </c>
      <c r="Q47" s="52">
        <f t="shared" si="4"/>
        <v>3</v>
      </c>
      <c r="R47" s="52" t="b">
        <f t="shared" si="6"/>
        <v>0</v>
      </c>
    </row>
    <row r="48">
      <c r="B48" s="20" t="str">
        <f>IFERROR(__xludf.DUMMYFUNCTION("if(exact($E48, """"), """", iferror(regexextract($F48, ""^(?:- )?([A-Z]+)""), ""?""))"),"IC")</f>
        <v>IC</v>
      </c>
      <c r="C48" s="57" t="str">
        <f t="shared" si="3"/>
        <v>579-MCP6002-I/SN</v>
      </c>
      <c r="D48" t="str">
        <f>Parts1!H285</f>
        <v>Grids v0.2</v>
      </c>
      <c r="E48" t="str">
        <f>Parts1!I285</f>
        <v>S</v>
      </c>
      <c r="F48" t="str">
        <f>Parts1!J285</f>
        <v>IC3, IC4, IC5</v>
      </c>
      <c r="G48" s="65">
        <f>Parts1!K285</f>
        <v>3</v>
      </c>
      <c r="H48" t="str">
        <f>Parts1!L285</f>
        <v>MCP6002 dual op-amp R2R IO</v>
      </c>
      <c r="I48" t="str">
        <f>Parts1!M285</f>
        <v/>
      </c>
      <c r="J48" t="str">
        <f>Parts1!N285</f>
        <v/>
      </c>
      <c r="K48" t="str">
        <f>Parts1!O285</f>
        <v>SOIC8</v>
      </c>
      <c r="L48" t="str">
        <f>Parts1!P285</f>
        <v>579-MCP6002-I/SN</v>
      </c>
      <c r="M48" s="51" t="str">
        <f>Parts1!Q285</f>
        <v>MCP6002-I/SN</v>
      </c>
      <c r="N48" s="58">
        <v>7.0</v>
      </c>
      <c r="O48" s="52" t="str">
        <f t="shared" si="2"/>
        <v>A</v>
      </c>
      <c r="P48" s="52" t="str">
        <f t="shared" si="5"/>
        <v/>
      </c>
      <c r="Q48" s="52">
        <f t="shared" si="4"/>
        <v>2</v>
      </c>
      <c r="R48" s="52" t="b">
        <f t="shared" si="6"/>
        <v>0</v>
      </c>
    </row>
    <row r="49">
      <c r="B49" s="20" t="str">
        <f>IFERROR(__xludf.DUMMYFUNCTION("if(exact($E49, """"), """", iferror(regexextract($F49, ""^(?:- )?([A-Z]+)""), ""?""))"),"IC")</f>
        <v>IC</v>
      </c>
      <c r="C49" s="57" t="str">
        <f t="shared" si="3"/>
        <v>579-MCP6002-I/SN</v>
      </c>
      <c r="D49" t="str">
        <f>Parts1!H393</f>
        <v>Rings v3.0</v>
      </c>
      <c r="E49" t="str">
        <f>Parts1!I393</f>
        <v>S</v>
      </c>
      <c r="F49" t="str">
        <f>Parts1!J393</f>
        <v>IC5</v>
      </c>
      <c r="G49">
        <f>Parts1!K393</f>
        <v>1</v>
      </c>
      <c r="H49" t="str">
        <f>Parts1!L393</f>
        <v>MCP6002 dual op-amp R2R IO</v>
      </c>
      <c r="I49" t="str">
        <f>Parts1!M393</f>
        <v/>
      </c>
      <c r="J49" t="str">
        <f>Parts1!N393</f>
        <v/>
      </c>
      <c r="K49" t="str">
        <f>Parts1!O393</f>
        <v>SOIC8</v>
      </c>
      <c r="L49" t="str">
        <f>Parts1!P393</f>
        <v>579-MCP6002-I/SN</v>
      </c>
      <c r="M49" s="51" t="str">
        <f>Parts1!Q393</f>
        <v>MCP6002-I/SN</v>
      </c>
      <c r="N49" s="58">
        <v>10.0</v>
      </c>
      <c r="O49" s="52" t="str">
        <f t="shared" si="2"/>
        <v>A</v>
      </c>
      <c r="P49" s="52" t="str">
        <f t="shared" si="5"/>
        <v/>
      </c>
      <c r="Q49" s="52">
        <f t="shared" si="4"/>
        <v>1</v>
      </c>
      <c r="R49" s="52" t="b">
        <f t="shared" si="6"/>
        <v>0</v>
      </c>
    </row>
    <row r="50">
      <c r="B50" s="20" t="str">
        <f>IFERROR(__xludf.DUMMYFUNCTION("if(exact($E50, """"), """", iferror(regexextract($F50, ""^(?:- )?([A-Z]+)""), ""?""))"),"IC")</f>
        <v>IC</v>
      </c>
      <c r="C50" s="57" t="str">
        <f t="shared" si="3"/>
        <v>579-MCP6002-I/SN</v>
      </c>
      <c r="D50" t="str">
        <f>Parts1!H611</f>
        <v>Tides v4.0</v>
      </c>
      <c r="E50" t="str">
        <f>Parts1!I611</f>
        <v>S</v>
      </c>
      <c r="F50" t="str">
        <f>Parts1!J611</f>
        <v>IC8</v>
      </c>
      <c r="G50">
        <f>Parts1!K611</f>
        <v>1</v>
      </c>
      <c r="H50" t="str">
        <f>Parts1!L611</f>
        <v>MCP6002 dual op-amp R2R IO</v>
      </c>
      <c r="I50" t="str">
        <f>Parts1!M611</f>
        <v/>
      </c>
      <c r="J50" t="str">
        <f>Parts1!N611</f>
        <v/>
      </c>
      <c r="K50" t="str">
        <f>Parts1!O611</f>
        <v>SOIC8</v>
      </c>
      <c r="L50" t="str">
        <f>Parts1!P611</f>
        <v>579-MCP6002-I/SN</v>
      </c>
      <c r="M50" s="51" t="str">
        <f>Parts1!Q611</f>
        <v>MCP6002-I/SN</v>
      </c>
      <c r="N50" s="58">
        <v>17.0</v>
      </c>
      <c r="O50" s="52" t="str">
        <f t="shared" si="2"/>
        <v>A</v>
      </c>
      <c r="P50" s="52" t="str">
        <f t="shared" si="5"/>
        <v/>
      </c>
      <c r="Q50" s="52">
        <f t="shared" si="4"/>
        <v>0</v>
      </c>
      <c r="R50" s="52" t="b">
        <f t="shared" si="6"/>
        <v>0</v>
      </c>
    </row>
    <row r="51">
      <c r="B51" s="20" t="str">
        <f>IFERROR(__xludf.DUMMYFUNCTION("if(exact($E51, """"), """", iferror(regexextract($F51, ""^(?:- )?([A-Z]+)""), ""?""))"),"IC")</f>
        <v>IC</v>
      </c>
      <c r="C51" s="57" t="str">
        <f t="shared" si="3"/>
        <v>579-MCP6004-I/SL</v>
      </c>
      <c r="D51" t="str">
        <f>Parts1!H33</f>
        <v>Braids v5.1</v>
      </c>
      <c r="E51" t="str">
        <f>Parts1!I33</f>
        <v>S</v>
      </c>
      <c r="F51" t="str">
        <f>Parts1!J33</f>
        <v>IC7</v>
      </c>
      <c r="G51">
        <f>Parts1!K33</f>
        <v>1</v>
      </c>
      <c r="H51" t="str">
        <f>Parts1!L33</f>
        <v>MCP6004 quad op-amp R2R IO</v>
      </c>
      <c r="I51" t="str">
        <f>Parts1!M33</f>
        <v/>
      </c>
      <c r="J51" t="str">
        <f>Parts1!N33</f>
        <v/>
      </c>
      <c r="K51" t="str">
        <f>Parts1!O33</f>
        <v>SOIC14</v>
      </c>
      <c r="L51" t="str">
        <f>Parts1!P33</f>
        <v>579-MCP6004-I/SL</v>
      </c>
      <c r="M51" s="51" t="str">
        <f>Parts1!Q33</f>
        <v>MCP6004-I/SL</v>
      </c>
      <c r="N51" s="58">
        <v>1.0</v>
      </c>
      <c r="O51" s="52" t="str">
        <f t="shared" si="2"/>
        <v>A</v>
      </c>
      <c r="P51" s="52">
        <f t="shared" si="5"/>
        <v>1</v>
      </c>
      <c r="Q51" s="52">
        <f t="shared" si="4"/>
        <v>6</v>
      </c>
      <c r="R51" s="52" t="b">
        <f t="shared" si="6"/>
        <v>1</v>
      </c>
    </row>
    <row r="52">
      <c r="B52" s="20" t="str">
        <f>IFERROR(__xludf.DUMMYFUNCTION("if(exact($E52, """"), """", iferror(regexextract($F52, ""^(?:- )?([A-Z]+)""), ""?""))"),"IC")</f>
        <v>IC</v>
      </c>
      <c r="C52" s="57" t="str">
        <f t="shared" si="3"/>
        <v>579-MCP6004-I/SL</v>
      </c>
      <c r="D52" t="str">
        <f>Parts1!H107</f>
        <v>Clouds v3.0</v>
      </c>
      <c r="E52" t="str">
        <f>Parts1!I107</f>
        <v>S</v>
      </c>
      <c r="F52" t="str">
        <f>Parts1!J107</f>
        <v>IC4</v>
      </c>
      <c r="G52">
        <f>Parts1!K107</f>
        <v>1</v>
      </c>
      <c r="H52" t="str">
        <f>Parts1!L107</f>
        <v>MCP6004 quad op-amp R2R IO</v>
      </c>
      <c r="I52" t="str">
        <f>Parts1!M107</f>
        <v/>
      </c>
      <c r="J52" t="str">
        <f>Parts1!N107</f>
        <v/>
      </c>
      <c r="K52" s="59" t="str">
        <f>Parts1!O107</f>
        <v>SOIC14</v>
      </c>
      <c r="L52" t="str">
        <f>Parts1!P107</f>
        <v>579-MCP6004-I/SL</v>
      </c>
      <c r="M52" s="51" t="str">
        <f>Parts1!Q107</f>
        <v>MCP6004-I/SL</v>
      </c>
      <c r="N52" s="58">
        <v>3.0</v>
      </c>
      <c r="O52" s="52" t="str">
        <f t="shared" si="2"/>
        <v>A</v>
      </c>
      <c r="P52" s="52" t="str">
        <f t="shared" si="5"/>
        <v/>
      </c>
      <c r="Q52" s="52">
        <f t="shared" si="4"/>
        <v>5</v>
      </c>
      <c r="R52" s="52" t="b">
        <f t="shared" si="6"/>
        <v>1</v>
      </c>
    </row>
    <row r="53">
      <c r="B53" s="20" t="str">
        <f>IFERROR(__xludf.DUMMYFUNCTION("if(exact($E53, """"), """", iferror(regexextract($F53, ""^(?:- )?([A-Z]+)""), ""?""))"),"IC")</f>
        <v>IC</v>
      </c>
      <c r="C53" s="57" t="str">
        <f t="shared" si="3"/>
        <v>579-MCP6004-I/SL</v>
      </c>
      <c r="D53" t="str">
        <f>Parts1!H202</f>
        <v>Elements v0.21</v>
      </c>
      <c r="E53" t="str">
        <f>Parts1!I202</f>
        <v>S</v>
      </c>
      <c r="F53" t="str">
        <f>Parts1!J202</f>
        <v>IC6, IC7, IC13</v>
      </c>
      <c r="G53">
        <f>Parts1!K202</f>
        <v>3</v>
      </c>
      <c r="H53" t="str">
        <f>Parts1!L202</f>
        <v>MCP6004 quad op-amp R2R IO</v>
      </c>
      <c r="I53" t="str">
        <f>Parts1!M202</f>
        <v/>
      </c>
      <c r="J53" t="str">
        <f>Parts1!N202</f>
        <v/>
      </c>
      <c r="K53" t="str">
        <f>Parts1!O202</f>
        <v>SOIC14</v>
      </c>
      <c r="L53" t="str">
        <f>Parts1!P202</f>
        <v>579-MCP6004-I/SL</v>
      </c>
      <c r="M53" s="51" t="str">
        <f>Parts1!Q202</f>
        <v>MCP6004-I/SL</v>
      </c>
      <c r="N53" s="58">
        <v>5.0</v>
      </c>
      <c r="O53" s="52" t="str">
        <f t="shared" si="2"/>
        <v>A</v>
      </c>
      <c r="P53" s="52" t="str">
        <f t="shared" si="5"/>
        <v/>
      </c>
      <c r="Q53" s="52">
        <f t="shared" si="4"/>
        <v>4</v>
      </c>
      <c r="R53" s="52" t="b">
        <f t="shared" si="6"/>
        <v>1</v>
      </c>
    </row>
    <row r="54">
      <c r="B54" s="20" t="str">
        <f>IFERROR(__xludf.DUMMYFUNCTION("if(exact($E54, """"), """", iferror(regexextract($F54, ""^(?:- )?([A-Z]+)""), ""?""))"),"IC")</f>
        <v>IC</v>
      </c>
      <c r="C54" s="57" t="str">
        <f t="shared" si="3"/>
        <v>579-MCP6004-I/SL</v>
      </c>
      <c r="D54" t="str">
        <f>Parts1!H395</f>
        <v>Rings v3.0</v>
      </c>
      <c r="E54" t="str">
        <f>Parts1!I395</f>
        <v>S</v>
      </c>
      <c r="F54" t="str">
        <f>Parts1!J395</f>
        <v>IC7</v>
      </c>
      <c r="G54">
        <f>Parts1!K395</f>
        <v>1</v>
      </c>
      <c r="H54" t="str">
        <f>Parts1!L395</f>
        <v>MCP6004 quad op-amp R2R IO</v>
      </c>
      <c r="I54" t="str">
        <f>Parts1!M395</f>
        <v/>
      </c>
      <c r="J54" t="str">
        <f>Parts1!N395</f>
        <v/>
      </c>
      <c r="K54" t="str">
        <f>Parts1!O395</f>
        <v>SOIC14</v>
      </c>
      <c r="L54" t="str">
        <f>Parts1!P395</f>
        <v>579-MCP6004-I/SL</v>
      </c>
      <c r="M54" s="51" t="str">
        <f>Parts1!Q395</f>
        <v>MCP6004-I/SL</v>
      </c>
      <c r="N54" s="58">
        <v>10.0</v>
      </c>
      <c r="O54" s="52" t="str">
        <f t="shared" si="2"/>
        <v>A</v>
      </c>
      <c r="P54" s="52" t="str">
        <f t="shared" si="5"/>
        <v/>
      </c>
      <c r="Q54" s="52">
        <f t="shared" si="4"/>
        <v>3</v>
      </c>
      <c r="R54" s="52" t="b">
        <f t="shared" si="6"/>
        <v>1</v>
      </c>
    </row>
    <row r="55">
      <c r="B55" s="20" t="str">
        <f>IFERROR(__xludf.DUMMYFUNCTION("if(exact($E55, """"), """", iferror(regexextract($F55, ""^(?:- )?([A-Z]+)""), ""?""))"),"IC")</f>
        <v>IC</v>
      </c>
      <c r="C55" s="57" t="str">
        <f t="shared" si="3"/>
        <v>579-MCP6004-I/SL</v>
      </c>
      <c r="D55" t="str">
        <f>Parts1!H547</f>
        <v>Streams v0.5</v>
      </c>
      <c r="E55" t="str">
        <f>Parts1!I547</f>
        <v>S</v>
      </c>
      <c r="F55" t="str">
        <f>Parts1!J547</f>
        <v>IC4</v>
      </c>
      <c r="G55">
        <f>Parts1!K547</f>
        <v>1</v>
      </c>
      <c r="H55" t="str">
        <f>Parts1!L547</f>
        <v>MCP6004 quad op-amp R2R IO</v>
      </c>
      <c r="I55" t="str">
        <f>Parts1!M547</f>
        <v/>
      </c>
      <c r="J55" t="str">
        <f>Parts1!N547</f>
        <v/>
      </c>
      <c r="K55" t="str">
        <f>Parts1!O547</f>
        <v>SOIC14</v>
      </c>
      <c r="L55" t="str">
        <f>Parts1!P547</f>
        <v>579-MCP6004-I/SL</v>
      </c>
      <c r="M55" s="51" t="str">
        <f>Parts1!Q547</f>
        <v>MCP6004-I/SL</v>
      </c>
      <c r="N55" s="58">
        <v>15.0</v>
      </c>
      <c r="O55" s="52" t="str">
        <f t="shared" si="2"/>
        <v>A</v>
      </c>
      <c r="P55" s="52" t="str">
        <f t="shared" si="5"/>
        <v/>
      </c>
      <c r="Q55" s="52">
        <f t="shared" si="4"/>
        <v>2</v>
      </c>
      <c r="R55" s="52" t="b">
        <f t="shared" si="6"/>
        <v>1</v>
      </c>
    </row>
    <row r="56">
      <c r="B56" s="20" t="str">
        <f>IFERROR(__xludf.DUMMYFUNCTION("if(exact($E56, """"), """", iferror(regexextract($F56, ""^(?:- )?([A-Z]+)""), ""?""))"),"IC")</f>
        <v>IC</v>
      </c>
      <c r="C56" s="57" t="str">
        <f t="shared" si="3"/>
        <v>579-MCP6004-I/SL</v>
      </c>
      <c r="D56" t="str">
        <f>Parts1!H612</f>
        <v>Tides v4.0</v>
      </c>
      <c r="E56" t="str">
        <f>Parts1!I612</f>
        <v>S</v>
      </c>
      <c r="F56" t="str">
        <f>Parts1!J612</f>
        <v>IC9</v>
      </c>
      <c r="G56">
        <f>Parts1!K612</f>
        <v>1</v>
      </c>
      <c r="H56" t="str">
        <f>Parts1!L612</f>
        <v>MCP6004 quad op-amp R2R IO</v>
      </c>
      <c r="I56" t="str">
        <f>Parts1!M612</f>
        <v/>
      </c>
      <c r="J56" t="str">
        <f>Parts1!N612</f>
        <v/>
      </c>
      <c r="K56" t="str">
        <f>Parts1!O612</f>
        <v>SOIC14</v>
      </c>
      <c r="L56" t="str">
        <f>Parts1!P612</f>
        <v>579-MCP6004-I/SL</v>
      </c>
      <c r="M56" s="51" t="str">
        <f>Parts1!Q612</f>
        <v>MCP6004-I/SL</v>
      </c>
      <c r="N56" s="58">
        <v>17.0</v>
      </c>
      <c r="O56" s="52" t="str">
        <f t="shared" si="2"/>
        <v>A</v>
      </c>
      <c r="P56" s="52" t="str">
        <f t="shared" si="5"/>
        <v/>
      </c>
      <c r="Q56" s="52">
        <f t="shared" si="4"/>
        <v>1</v>
      </c>
      <c r="R56" s="52" t="b">
        <f t="shared" si="6"/>
        <v>1</v>
      </c>
    </row>
    <row r="57">
      <c r="B57" s="20" t="str">
        <f>IFERROR(__xludf.DUMMYFUNCTION("if(exact($E57, """"), """", iferror(regexextract($F57, ""^(?:- )?([A-Z]+)""), ""?""))"),"IC")</f>
        <v>IC</v>
      </c>
      <c r="C57" s="57" t="str">
        <f t="shared" si="3"/>
        <v>579-MCP6004-I/SL</v>
      </c>
      <c r="D57" t="str">
        <f>Parts1!H657</f>
        <v>Warps v3.0</v>
      </c>
      <c r="E57" t="str">
        <f>Parts1!I657</f>
        <v>S</v>
      </c>
      <c r="F57" t="str">
        <f>Parts1!J657</f>
        <v>IC3</v>
      </c>
      <c r="G57">
        <f>Parts1!K657</f>
        <v>1</v>
      </c>
      <c r="H57" t="str">
        <f>Parts1!L657</f>
        <v>MCP6004 quad op-amp R2R IO</v>
      </c>
      <c r="I57" t="str">
        <f>Parts1!M657</f>
        <v/>
      </c>
      <c r="J57" t="str">
        <f>Parts1!N657</f>
        <v/>
      </c>
      <c r="K57" t="str">
        <f>Parts1!O657</f>
        <v>SOIC14</v>
      </c>
      <c r="L57" t="str">
        <f>Parts1!P657</f>
        <v>579-MCP6004-I/SL</v>
      </c>
      <c r="M57" s="51" t="str">
        <f>Parts1!Q657</f>
        <v>MCP6004-I/SL</v>
      </c>
      <c r="N57" s="58">
        <v>18.0</v>
      </c>
      <c r="O57" s="52" t="str">
        <f t="shared" si="2"/>
        <v>A</v>
      </c>
      <c r="P57" s="52" t="str">
        <f t="shared" si="5"/>
        <v/>
      </c>
      <c r="Q57" s="52">
        <f t="shared" si="4"/>
        <v>0</v>
      </c>
      <c r="R57" s="52" t="b">
        <f t="shared" si="6"/>
        <v>1</v>
      </c>
    </row>
    <row r="58">
      <c r="B58" s="20" t="str">
        <f>IFERROR(__xludf.DUMMYFUNCTION("if(exact($E58, """"), """", iferror(regexextract($F58, ""^(?:- )?([A-Z]+)""), ""?""))"),"IC")</f>
        <v>IC</v>
      </c>
      <c r="C58" s="57" t="str">
        <f t="shared" si="3"/>
        <v>595-CD4051BPWR</v>
      </c>
      <c r="D58" t="str">
        <f>Parts1!H200</f>
        <v>Elements v0.21</v>
      </c>
      <c r="E58" t="str">
        <f>Parts1!I200</f>
        <v>S</v>
      </c>
      <c r="F58" t="str">
        <f>Parts1!J200</f>
        <v>IC3, IC5, IC8, IC11</v>
      </c>
      <c r="G58">
        <f>Parts1!K200</f>
        <v>4</v>
      </c>
      <c r="H58" t="str">
        <f>Parts1!L200</f>
        <v>CD4051 8-1 multiplexer</v>
      </c>
      <c r="I58" t="str">
        <f>Parts1!M200</f>
        <v/>
      </c>
      <c r="J58" t="str">
        <f>Parts1!N200</f>
        <v/>
      </c>
      <c r="K58" t="str">
        <f>Parts1!O200</f>
        <v>TSSOP16</v>
      </c>
      <c r="L58" t="str">
        <f>Parts1!P200</f>
        <v>595-CD4051BPWR</v>
      </c>
      <c r="M58" s="51" t="str">
        <f>Parts1!Q200</f>
        <v>CD4051BPWR</v>
      </c>
      <c r="N58" s="58">
        <v>5.0</v>
      </c>
      <c r="O58" s="52" t="str">
        <f t="shared" si="2"/>
        <v>A</v>
      </c>
      <c r="P58" s="52">
        <f t="shared" si="5"/>
        <v>1</v>
      </c>
      <c r="Q58" s="52">
        <f t="shared" si="4"/>
        <v>1</v>
      </c>
      <c r="R58" s="52" t="b">
        <f t="shared" si="6"/>
        <v>0</v>
      </c>
    </row>
    <row r="59">
      <c r="B59" s="20" t="str">
        <f>IFERROR(__xludf.DUMMYFUNCTION("if(exact($E59, """"), """", iferror(regexextract($F59, ""^(?:- )?([A-Z]+)""), ""?""))"),"IC")</f>
        <v>IC</v>
      </c>
      <c r="C59" s="57" t="str">
        <f t="shared" si="3"/>
        <v>595-CD4051BPWR</v>
      </c>
      <c r="D59" t="str">
        <f>Parts1!H392</f>
        <v>Rings v3.0</v>
      </c>
      <c r="E59" t="str">
        <f>Parts1!I392</f>
        <v>S</v>
      </c>
      <c r="F59" t="str">
        <f>Parts1!J392</f>
        <v>IC4</v>
      </c>
      <c r="G59">
        <f>Parts1!K392</f>
        <v>1</v>
      </c>
      <c r="H59" t="str">
        <f>Parts1!L392</f>
        <v>CD4051 8-1 multiplexer</v>
      </c>
      <c r="I59" t="str">
        <f>Parts1!M392</f>
        <v/>
      </c>
      <c r="J59" t="str">
        <f>Parts1!N392</f>
        <v/>
      </c>
      <c r="K59" t="str">
        <f>Parts1!O392</f>
        <v>TSSOP16</v>
      </c>
      <c r="L59" t="str">
        <f>Parts1!P392</f>
        <v>595-CD4051BPWR</v>
      </c>
      <c r="M59" s="51" t="str">
        <f>Parts1!Q392</f>
        <v>CD4051BPWR</v>
      </c>
      <c r="N59" s="58">
        <v>10.0</v>
      </c>
      <c r="O59" s="52" t="str">
        <f t="shared" si="2"/>
        <v>A</v>
      </c>
      <c r="P59" s="52" t="str">
        <f t="shared" si="5"/>
        <v/>
      </c>
      <c r="Q59" s="52">
        <f t="shared" si="4"/>
        <v>0</v>
      </c>
      <c r="R59" s="52" t="b">
        <f t="shared" si="6"/>
        <v>0</v>
      </c>
    </row>
    <row r="60">
      <c r="B60" s="20" t="str">
        <f>IFERROR(__xludf.DUMMYFUNCTION("if(exact($E60, """"), """", iferror(regexextract($F60, ""^(?:- )?([A-Z]+)""), ""?""))"),"IC")</f>
        <v>IC</v>
      </c>
      <c r="C60" s="57" t="str">
        <f t="shared" si="3"/>
        <v>595-CD74HC595M</v>
      </c>
      <c r="D60" t="str">
        <f>Parts1!H28</f>
        <v>Braids v5.1</v>
      </c>
      <c r="E60" t="str">
        <f>Parts1!I28</f>
        <v>S</v>
      </c>
      <c r="F60" t="str">
        <f>Parts1!J28</f>
        <v>IC1, IC2</v>
      </c>
      <c r="G60">
        <f>Parts1!K28</f>
        <v>2</v>
      </c>
      <c r="H60" t="str">
        <f>Parts1!L28</f>
        <v>74hc595 SIPO shift register</v>
      </c>
      <c r="I60" t="str">
        <f>Parts1!M28</f>
        <v/>
      </c>
      <c r="J60" t="str">
        <f>Parts1!N28</f>
        <v/>
      </c>
      <c r="K60" t="str">
        <f>Parts1!O28</f>
        <v>SOIC16</v>
      </c>
      <c r="L60" t="str">
        <f>Parts1!P28</f>
        <v>595-CD74HC595M</v>
      </c>
      <c r="M60" s="51" t="str">
        <f>Parts1!Q28</f>
        <v>Texas Instruments CD74HC595M, NXP 74HC595D,112</v>
      </c>
      <c r="N60" s="58">
        <v>1.0</v>
      </c>
      <c r="O60" s="52" t="str">
        <f t="shared" si="2"/>
        <v>A</v>
      </c>
      <c r="P60" s="52">
        <f t="shared" si="5"/>
        <v>1</v>
      </c>
      <c r="Q60" s="52">
        <f t="shared" si="4"/>
        <v>3</v>
      </c>
      <c r="R60" s="52" t="b">
        <f t="shared" si="6"/>
        <v>1</v>
      </c>
    </row>
    <row r="61">
      <c r="B61" s="20" t="str">
        <f>IFERROR(__xludf.DUMMYFUNCTION("if(exact($E61, """"), """", iferror(regexextract($F61, ""^(?:- )?([A-Z]+)""), ""?""))"),"IC")</f>
        <v>IC</v>
      </c>
      <c r="C61" s="57" t="str">
        <f t="shared" si="3"/>
        <v>595-CD74HC595M</v>
      </c>
      <c r="D61" t="str">
        <f>Parts1!H104</f>
        <v>Clouds v3.0</v>
      </c>
      <c r="E61" t="str">
        <f>Parts1!I104</f>
        <v>S</v>
      </c>
      <c r="F61" t="str">
        <f>Parts1!J104</f>
        <v>IC1</v>
      </c>
      <c r="G61">
        <f>Parts1!K104</f>
        <v>1</v>
      </c>
      <c r="H61" t="str">
        <f>Parts1!L104</f>
        <v>74hc595 SIPO shift register</v>
      </c>
      <c r="I61" t="str">
        <f>Parts1!M104</f>
        <v/>
      </c>
      <c r="J61" t="str">
        <f>Parts1!N104</f>
        <v/>
      </c>
      <c r="K61" s="59" t="str">
        <f>Parts1!O104</f>
        <v>SOIC16</v>
      </c>
      <c r="L61" t="str">
        <f>Parts1!P104</f>
        <v>595-CD74HC595M</v>
      </c>
      <c r="M61" s="51" t="str">
        <f>Parts1!Q104</f>
        <v>Texas Instruments CD74HC595M, NXP 74HC595D,112</v>
      </c>
      <c r="N61" s="58">
        <v>3.0</v>
      </c>
      <c r="O61" s="52" t="str">
        <f t="shared" si="2"/>
        <v>A</v>
      </c>
      <c r="P61" s="52" t="str">
        <f t="shared" si="5"/>
        <v/>
      </c>
      <c r="Q61" s="52">
        <f t="shared" si="4"/>
        <v>2</v>
      </c>
      <c r="R61" s="52" t="b">
        <f t="shared" si="6"/>
        <v>1</v>
      </c>
    </row>
    <row r="62">
      <c r="B62" s="20" t="str">
        <f>IFERROR(__xludf.DUMMYFUNCTION("if(exact($E62, """"), """", iferror(regexextract($F62, ""^(?:- )?([A-Z]+)""), ""?""))"),"IC")</f>
        <v>IC</v>
      </c>
      <c r="C62" s="57" t="str">
        <f t="shared" si="3"/>
        <v>595-CD74HC595M</v>
      </c>
      <c r="D62" t="str">
        <f>Parts1!H286</f>
        <v>Grids v0.2</v>
      </c>
      <c r="E62" t="str">
        <f>Parts1!I286</f>
        <v>S</v>
      </c>
      <c r="F62" t="str">
        <f>Parts1!J286</f>
        <v>IC6</v>
      </c>
      <c r="G62" s="65">
        <f>Parts1!K286</f>
        <v>1</v>
      </c>
      <c r="H62" t="str">
        <f>Parts1!L286</f>
        <v>74hc595 SIPO shift register</v>
      </c>
      <c r="I62" t="str">
        <f>Parts1!M286</f>
        <v/>
      </c>
      <c r="J62" t="str">
        <f>Parts1!N286</f>
        <v/>
      </c>
      <c r="K62" t="str">
        <f>Parts1!O286</f>
        <v>SOIC16</v>
      </c>
      <c r="L62" t="str">
        <f>Parts1!P286</f>
        <v>595-CD74HC595M</v>
      </c>
      <c r="M62" s="51" t="str">
        <f>Parts1!Q286</f>
        <v>Texas Instruments CD74HC595M, NXP 74HC595D,112</v>
      </c>
      <c r="N62" s="58">
        <v>7.0</v>
      </c>
      <c r="O62" s="52" t="str">
        <f t="shared" si="2"/>
        <v>A</v>
      </c>
      <c r="P62" s="52" t="str">
        <f t="shared" si="5"/>
        <v/>
      </c>
      <c r="Q62" s="52">
        <f t="shared" si="4"/>
        <v>1</v>
      </c>
      <c r="R62" s="52" t="b">
        <f t="shared" si="6"/>
        <v>1</v>
      </c>
    </row>
    <row r="63">
      <c r="B63" s="20" t="str">
        <f>IFERROR(__xludf.DUMMYFUNCTION("if(exact($E63, """"), """", iferror(regexextract($F63, ""^(?:- )?([A-Z]+)""), ""?""))"),"IC")</f>
        <v>IC</v>
      </c>
      <c r="C63" s="63" t="str">
        <f t="shared" si="3"/>
        <v>595-CD74HC595M</v>
      </c>
      <c r="D63" t="str">
        <f>Parts1!H693</f>
        <v>Yarns v0.3</v>
      </c>
      <c r="E63" t="str">
        <f>Parts1!I693</f>
        <v>S</v>
      </c>
      <c r="F63" s="64" t="str">
        <f>Parts1!J693</f>
        <v>IC2, IC3</v>
      </c>
      <c r="G63" s="65">
        <f>Parts1!K693</f>
        <v>2</v>
      </c>
      <c r="H63" s="64" t="str">
        <f>Parts1!L693</f>
        <v>74hc595 SIPO shift register</v>
      </c>
      <c r="I63" s="64" t="str">
        <f>Parts1!M693</f>
        <v/>
      </c>
      <c r="J63" s="64" t="str">
        <f>Parts1!N693</f>
        <v/>
      </c>
      <c r="K63" s="64" t="str">
        <f>Parts1!O693</f>
        <v>SOIC16</v>
      </c>
      <c r="L63" s="66" t="str">
        <f>Parts1!P693</f>
        <v>595-CD74HC595M</v>
      </c>
      <c r="M63" s="67" t="str">
        <f>Parts1!Q693</f>
        <v>Texas Instruments CD74HC595M, NXP 74HC595D,112</v>
      </c>
      <c r="N63" s="58">
        <v>19.0</v>
      </c>
      <c r="O63" s="52" t="str">
        <f t="shared" si="2"/>
        <v>A</v>
      </c>
      <c r="P63" s="52" t="str">
        <f t="shared" si="5"/>
        <v/>
      </c>
      <c r="Q63" s="52">
        <f t="shared" si="4"/>
        <v>0</v>
      </c>
      <c r="R63" s="52" t="b">
        <f t="shared" si="6"/>
        <v>1</v>
      </c>
    </row>
    <row r="64">
      <c r="B64" s="20" t="str">
        <f>IFERROR(__xludf.DUMMYFUNCTION("if(exact($E64, """"), """", iferror(regexextract($F64, ""^(?:- )?([A-Z]+)""), ""?""))"),"IC")</f>
        <v>IC</v>
      </c>
      <c r="C64" s="57" t="str">
        <f t="shared" si="3"/>
        <v>595-DAC8551IADGKT</v>
      </c>
      <c r="D64" t="str">
        <f>Parts1!H31</f>
        <v>Braids v5.1</v>
      </c>
      <c r="E64" t="str">
        <f>Parts1!I31</f>
        <v>S</v>
      </c>
      <c r="F64" t="str">
        <f>Parts1!J31</f>
        <v>IC5</v>
      </c>
      <c r="G64">
        <f>Parts1!K31</f>
        <v>1</v>
      </c>
      <c r="H64" t="str">
        <f>Parts1!L31</f>
        <v>DAC8551 single 16-bit DAC</v>
      </c>
      <c r="I64" t="str">
        <f>Parts1!M31</f>
        <v/>
      </c>
      <c r="J64" t="str">
        <f>Parts1!N31</f>
        <v/>
      </c>
      <c r="K64" t="str">
        <f>Parts1!O31</f>
        <v>MSOP8</v>
      </c>
      <c r="L64" t="str">
        <f>Parts1!P31</f>
        <v>595-DAC8551IADGKT</v>
      </c>
      <c r="M64" s="51" t="str">
        <f>Parts1!Q31</f>
        <v>Texas Instruments DAC8551IADGK</v>
      </c>
      <c r="N64" s="58">
        <v>1.0</v>
      </c>
      <c r="O64" s="52" t="str">
        <f t="shared" si="2"/>
        <v>A</v>
      </c>
      <c r="P64" s="52">
        <f t="shared" si="5"/>
        <v>1</v>
      </c>
      <c r="Q64" s="52">
        <f t="shared" si="4"/>
        <v>0</v>
      </c>
      <c r="R64" s="52" t="b">
        <f t="shared" si="6"/>
        <v>0</v>
      </c>
    </row>
    <row r="65">
      <c r="B65" s="20" t="str">
        <f>IFERROR(__xludf.DUMMYFUNCTION("if(exact($E65, """"), """", iferror(regexextract($F65, ""^(?:- )?([A-Z]+)""), ""?""))"),"IC")</f>
        <v>IC</v>
      </c>
      <c r="C65" s="61" t="str">
        <f t="shared" si="3"/>
        <v>595-DAC8552IDGKT</v>
      </c>
      <c r="D65" t="str">
        <f>Parts1!H342</f>
        <v>Peaks v3.1</v>
      </c>
      <c r="E65" t="str">
        <f>Parts1!I342</f>
        <v>S</v>
      </c>
      <c r="F65" t="str">
        <f>Parts1!J342</f>
        <v>IC3</v>
      </c>
      <c r="G65">
        <f>Parts1!K342</f>
        <v>1</v>
      </c>
      <c r="H65" t="str">
        <f>Parts1!L342</f>
        <v>DAC8552 dual 16-bit DAC</v>
      </c>
      <c r="I65" t="str">
        <f>Parts1!M342</f>
        <v/>
      </c>
      <c r="J65" s="59" t="str">
        <f>Parts1!N342</f>
        <v/>
      </c>
      <c r="K65" t="str">
        <f>Parts1!O342</f>
        <v>MSOP8</v>
      </c>
      <c r="L65" s="62" t="str">
        <f>Parts1!P342</f>
        <v>595-DAC8552IDGKT</v>
      </c>
      <c r="M65" s="51" t="str">
        <f>Parts1!Q342</f>
        <v>Texas Instruments DAC8552IDGKT</v>
      </c>
      <c r="N65" s="58">
        <v>9.0</v>
      </c>
      <c r="O65" s="52" t="str">
        <f t="shared" si="2"/>
        <v>A</v>
      </c>
      <c r="P65" s="52">
        <f t="shared" si="5"/>
        <v>1</v>
      </c>
      <c r="Q65" s="52">
        <f t="shared" si="4"/>
        <v>2</v>
      </c>
      <c r="R65" s="52" t="b">
        <f t="shared" si="6"/>
        <v>1</v>
      </c>
    </row>
    <row r="66">
      <c r="B66" s="20" t="str">
        <f>IFERROR(__xludf.DUMMYFUNCTION("if(exact($E66, """"), """", iferror(regexextract($F66, ""^(?:- )?([A-Z]+)""), ""?""))"),"IC")</f>
        <v>IC</v>
      </c>
      <c r="C66" s="57" t="str">
        <f t="shared" si="3"/>
        <v>595-DAC8552IDGKT</v>
      </c>
      <c r="D66" t="str">
        <f>Parts1!H545</f>
        <v>Streams v0.5</v>
      </c>
      <c r="E66" t="str">
        <f>Parts1!I545</f>
        <v>S</v>
      </c>
      <c r="F66" t="str">
        <f>Parts1!J545</f>
        <v>IC1</v>
      </c>
      <c r="G66">
        <f>Parts1!K545</f>
        <v>1</v>
      </c>
      <c r="H66" t="str">
        <f>Parts1!L545</f>
        <v>DAC8552 dual 16-bit DAC</v>
      </c>
      <c r="I66" t="str">
        <f>Parts1!M545</f>
        <v/>
      </c>
      <c r="J66" t="str">
        <f>Parts1!N545</f>
        <v/>
      </c>
      <c r="K66" t="str">
        <f>Parts1!O545</f>
        <v>MSOP8</v>
      </c>
      <c r="L66" t="str">
        <f>Parts1!P545</f>
        <v>595-DAC8552IDGKT</v>
      </c>
      <c r="M66" s="51" t="str">
        <f>Parts1!Q545</f>
        <v>Texas Instruments DAC8552IDGKT</v>
      </c>
      <c r="N66" s="58">
        <v>15.0</v>
      </c>
      <c r="O66" s="52" t="str">
        <f t="shared" si="2"/>
        <v>A</v>
      </c>
      <c r="P66" s="52" t="str">
        <f t="shared" si="5"/>
        <v/>
      </c>
      <c r="Q66" s="52">
        <f t="shared" si="4"/>
        <v>1</v>
      </c>
      <c r="R66" s="52" t="b">
        <f t="shared" si="6"/>
        <v>1</v>
      </c>
    </row>
    <row r="67">
      <c r="B67" s="20" t="str">
        <f>IFERROR(__xludf.DUMMYFUNCTION("if(exact($E67, """"), """", iferror(regexextract($F67, ""^(?:- )?([A-Z]+)""), ""?""))"),"IC")</f>
        <v>IC</v>
      </c>
      <c r="C67" s="61" t="str">
        <f t="shared" si="3"/>
        <v>595-DAC8552IDGKT</v>
      </c>
      <c r="D67" t="str">
        <f>Parts1!H609</f>
        <v>Tides v4.0</v>
      </c>
      <c r="E67" t="str">
        <f>Parts1!I609</f>
        <v>S</v>
      </c>
      <c r="F67" t="str">
        <f>Parts1!J609</f>
        <v>IC4</v>
      </c>
      <c r="G67">
        <f>Parts1!K609</f>
        <v>1</v>
      </c>
      <c r="H67" t="str">
        <f>Parts1!L609</f>
        <v>DAC8552 dual 16-bit DAC</v>
      </c>
      <c r="I67" t="str">
        <f>Parts1!M609</f>
        <v/>
      </c>
      <c r="J67" s="59" t="str">
        <f>Parts1!N609</f>
        <v/>
      </c>
      <c r="K67" s="59" t="str">
        <f>Parts1!O609</f>
        <v>MSOP8</v>
      </c>
      <c r="L67" s="62" t="str">
        <f>Parts1!P609</f>
        <v>595-DAC8552IDGKT</v>
      </c>
      <c r="M67" s="51" t="str">
        <f>Parts1!Q609</f>
        <v>Texas Instruments DAC8552IDGKT</v>
      </c>
      <c r="N67" s="58">
        <v>17.0</v>
      </c>
      <c r="O67" s="52" t="str">
        <f t="shared" si="2"/>
        <v>A</v>
      </c>
      <c r="P67" s="52" t="str">
        <f t="shared" si="5"/>
        <v/>
      </c>
      <c r="Q67" s="52">
        <f t="shared" si="4"/>
        <v>0</v>
      </c>
      <c r="R67" s="52" t="b">
        <f t="shared" si="6"/>
        <v>1</v>
      </c>
    </row>
    <row r="68">
      <c r="B68" s="20" t="str">
        <f>IFERROR(__xludf.DUMMYFUNCTION("if(exact($E68, """"), """", iferror(regexextract($F68, ""^(?:- )?([A-Z]+)""), ""?""))"),"IC")</f>
        <v>IC</v>
      </c>
      <c r="C68" s="68" t="str">
        <f t="shared" si="3"/>
        <v>595-DAC8564IDPW</v>
      </c>
      <c r="D68" t="str">
        <f>Parts1!H694</f>
        <v>Yarns v0.3</v>
      </c>
      <c r="E68" t="str">
        <f>Parts1!I694</f>
        <v>S</v>
      </c>
      <c r="F68" s="64" t="str">
        <f>Parts1!J694</f>
        <v>IC4</v>
      </c>
      <c r="G68" s="65">
        <f>Parts1!K694</f>
        <v>1</v>
      </c>
      <c r="H68" s="64" t="str">
        <f>Parts1!L694</f>
        <v>DAC8564 quad 16-bit DAC</v>
      </c>
      <c r="I68" s="64" t="str">
        <f>Parts1!M694</f>
        <v/>
      </c>
      <c r="J68" s="64" t="str">
        <f>Parts1!N694</f>
        <v/>
      </c>
      <c r="K68" s="64" t="str">
        <f>Parts1!O694</f>
        <v>TSSOP16</v>
      </c>
      <c r="L68" s="64" t="str">
        <f>Parts1!P694</f>
        <v>595-DAC8564IDPW</v>
      </c>
      <c r="M68" s="67" t="str">
        <f>Parts1!Q694</f>
        <v>TI DAC8564IDPW</v>
      </c>
      <c r="N68" s="58">
        <v>19.0</v>
      </c>
      <c r="O68" s="52" t="str">
        <f t="shared" si="2"/>
        <v>A</v>
      </c>
      <c r="P68" s="52">
        <f t="shared" si="5"/>
        <v>1</v>
      </c>
      <c r="Q68" s="52">
        <f t="shared" si="4"/>
        <v>0</v>
      </c>
      <c r="R68" s="52" t="b">
        <f t="shared" si="6"/>
        <v>0</v>
      </c>
    </row>
    <row r="69">
      <c r="B69" s="20" t="str">
        <f>IFERROR(__xludf.DUMMYFUNCTION("if(exact($E69, """"), """", iferror(regexextract($F69, ""^(?:- )?([A-Z]+)""), ""?""))"),"IC")</f>
        <v>IC</v>
      </c>
      <c r="C69" s="57" t="str">
        <f t="shared" si="3"/>
        <v>595-LM4040C10IDBZR</v>
      </c>
      <c r="D69" t="str">
        <f>Parts1!H34</f>
        <v>Braids v5.1</v>
      </c>
      <c r="E69" t="str">
        <f>Parts1!I34</f>
        <v>S</v>
      </c>
      <c r="F69" t="str">
        <f>Parts1!J34</f>
        <v>IC8</v>
      </c>
      <c r="G69">
        <f>Parts1!K34</f>
        <v>1</v>
      </c>
      <c r="H69" t="str">
        <f>Parts1!L34</f>
        <v>LM4040 Shunt Vref</v>
      </c>
      <c r="I69" t="str">
        <f>Parts1!M34</f>
        <v>A, B or C grade</v>
      </c>
      <c r="J69" t="str">
        <f>Parts1!N34</f>
        <v>10V</v>
      </c>
      <c r="K69" t="str">
        <f>Parts1!O34</f>
        <v>SOT23</v>
      </c>
      <c r="L69" t="str">
        <f>Parts1!P34</f>
        <v>595-LM4040C10IDBZR</v>
      </c>
      <c r="M69" s="51" t="str">
        <f>Parts1!Q34</f>
        <v>Texas Instruments LM4040C10IDBZ</v>
      </c>
      <c r="N69" s="58">
        <v>1.0</v>
      </c>
      <c r="O69" s="52" t="str">
        <f t="shared" si="2"/>
        <v>A</v>
      </c>
      <c r="P69" s="52">
        <f t="shared" si="5"/>
        <v>1</v>
      </c>
      <c r="Q69" s="52">
        <f t="shared" si="4"/>
        <v>11</v>
      </c>
      <c r="R69" s="52" t="b">
        <f t="shared" si="6"/>
        <v>1</v>
      </c>
    </row>
    <row r="70">
      <c r="B70" s="20" t="str">
        <f>IFERROR(__xludf.DUMMYFUNCTION("if(exact($E70, """"), """", iferror(regexextract($F70, ""^(?:- )?([A-Z]+)""), ""?""))"),"IC")</f>
        <v>IC</v>
      </c>
      <c r="C70" s="57" t="str">
        <f t="shared" si="3"/>
        <v>595-LM4040C10IDBZR</v>
      </c>
      <c r="D70" t="str">
        <f>Parts1!H109</f>
        <v>Clouds v3.0</v>
      </c>
      <c r="E70" t="str">
        <f>Parts1!I109</f>
        <v>S</v>
      </c>
      <c r="F70" t="str">
        <f>Parts1!J109</f>
        <v>IC6</v>
      </c>
      <c r="G70">
        <f>Parts1!K109</f>
        <v>1</v>
      </c>
      <c r="H70" t="str">
        <f>Parts1!L109</f>
        <v>LM4040 Shunt Vref</v>
      </c>
      <c r="I70" t="str">
        <f>Parts1!M109</f>
        <v>A, B or C grade</v>
      </c>
      <c r="J70" t="str">
        <f>Parts1!N109</f>
        <v>10V</v>
      </c>
      <c r="K70" s="59" t="str">
        <f>Parts1!O109</f>
        <v>SOT23</v>
      </c>
      <c r="L70" t="str">
        <f>Parts1!P109</f>
        <v>595-LM4040C10IDBZR</v>
      </c>
      <c r="M70" s="51" t="str">
        <f>Parts1!Q109</f>
        <v>Texas Instruments LM4040C10IDBZ</v>
      </c>
      <c r="N70" s="58">
        <v>3.0</v>
      </c>
      <c r="O70" s="52" t="str">
        <f t="shared" si="2"/>
        <v>A</v>
      </c>
      <c r="P70" s="52" t="str">
        <f t="shared" si="5"/>
        <v/>
      </c>
      <c r="Q70" s="52">
        <f t="shared" si="4"/>
        <v>10</v>
      </c>
      <c r="R70" s="52" t="b">
        <f t="shared" si="6"/>
        <v>1</v>
      </c>
    </row>
    <row r="71">
      <c r="B71" s="20" t="str">
        <f>IFERROR(__xludf.DUMMYFUNCTION("if(exact($E71, """"), """", iferror(regexextract($F71, ""^(?:- )?([A-Z]+)""), ""?""))"),"IC")</f>
        <v>IC</v>
      </c>
      <c r="C71" s="57" t="str">
        <f t="shared" si="3"/>
        <v>595-LM4040C10IDBZR</v>
      </c>
      <c r="D71" t="str">
        <f>Parts1!H152</f>
        <v>Edges v2.0</v>
      </c>
      <c r="E71" t="str">
        <f>Parts1!I152</f>
        <v>S</v>
      </c>
      <c r="F71" t="str">
        <f>Parts1!J152</f>
        <v>IC1</v>
      </c>
      <c r="G71">
        <f>Parts1!K152</f>
        <v>1</v>
      </c>
      <c r="H71" t="str">
        <f>Parts1!L152</f>
        <v>LM4040 Shunt Vref</v>
      </c>
      <c r="I71" t="str">
        <f>Parts1!M152</f>
        <v>A, B or C grade</v>
      </c>
      <c r="J71" t="str">
        <f>Parts1!N152</f>
        <v>10V</v>
      </c>
      <c r="K71" t="str">
        <f>Parts1!O152</f>
        <v>SOT23</v>
      </c>
      <c r="L71" t="str">
        <f>Parts1!P152</f>
        <v>595-LM4040C10IDBZR</v>
      </c>
      <c r="M71" s="51" t="str">
        <f>Parts1!Q152</f>
        <v>Texas Instruments LM4040C10IDBZ</v>
      </c>
      <c r="N71" s="58">
        <v>4.0</v>
      </c>
      <c r="O71" s="52" t="str">
        <f t="shared" si="2"/>
        <v>A</v>
      </c>
      <c r="P71" s="52" t="str">
        <f t="shared" si="5"/>
        <v/>
      </c>
      <c r="Q71" s="52">
        <f t="shared" si="4"/>
        <v>9</v>
      </c>
      <c r="R71" s="52" t="b">
        <f t="shared" si="6"/>
        <v>1</v>
      </c>
    </row>
    <row r="72">
      <c r="B72" s="20" t="str">
        <f>IFERROR(__xludf.DUMMYFUNCTION("if(exact($E72, """"), """", iferror(regexextract($F72, ""^(?:- )?([A-Z]+)""), ""?""))"),"IC")</f>
        <v>IC</v>
      </c>
      <c r="C72" s="57" t="str">
        <f t="shared" si="3"/>
        <v>595-LM4040C10IDBZR</v>
      </c>
      <c r="D72" t="str">
        <f>Parts1!H205</f>
        <v>Elements v0.21</v>
      </c>
      <c r="E72" t="str">
        <f>Parts1!I205</f>
        <v>S</v>
      </c>
      <c r="F72" t="str">
        <f>Parts1!J205</f>
        <v>IC1</v>
      </c>
      <c r="G72">
        <f>Parts1!K205</f>
        <v>1</v>
      </c>
      <c r="H72" t="str">
        <f>Parts1!L205</f>
        <v>LM4040 Shunt Vref</v>
      </c>
      <c r="I72" t="str">
        <f>Parts1!M205</f>
        <v>A, B or C grade</v>
      </c>
      <c r="J72" t="str">
        <f>Parts1!N205</f>
        <v>10V</v>
      </c>
      <c r="K72" t="str">
        <f>Parts1!O205</f>
        <v>SOT23</v>
      </c>
      <c r="L72" t="str">
        <f>Parts1!P205</f>
        <v>595-LM4040C10IDBZR</v>
      </c>
      <c r="M72" s="51" t="str">
        <f>Parts1!Q205</f>
        <v>Texas Instruments LM4040C10IDBZ</v>
      </c>
      <c r="N72" s="58">
        <v>5.0</v>
      </c>
      <c r="O72" s="52" t="str">
        <f t="shared" si="2"/>
        <v>A</v>
      </c>
      <c r="P72" s="52" t="str">
        <f t="shared" si="5"/>
        <v/>
      </c>
      <c r="Q72" s="52">
        <f t="shared" si="4"/>
        <v>8</v>
      </c>
      <c r="R72" s="52" t="b">
        <f t="shared" si="6"/>
        <v>1</v>
      </c>
    </row>
    <row r="73">
      <c r="B73" s="20" t="str">
        <f>IFERROR(__xludf.DUMMYFUNCTION("if(exact($E73, """"), """", iferror(regexextract($F73, ""^(?:- )?([A-Z]+)""), ""?""))"),"IC")</f>
        <v>IC</v>
      </c>
      <c r="C73" s="61" t="str">
        <f t="shared" si="3"/>
        <v>595-LM4040C10IDBZR</v>
      </c>
      <c r="D73" t="str">
        <f>Parts1!H247</f>
        <v>Frames v0.3</v>
      </c>
      <c r="E73" t="str">
        <f>Parts1!I247</f>
        <v>S</v>
      </c>
      <c r="F73" t="str">
        <f>Parts1!J247</f>
        <v>IC5</v>
      </c>
      <c r="G73">
        <f>Parts1!K247</f>
        <v>1</v>
      </c>
      <c r="H73" t="str">
        <f>Parts1!L247</f>
        <v>LM4040 Shunt Vref</v>
      </c>
      <c r="I73" t="str">
        <f>Parts1!M247</f>
        <v>A, B or C grade</v>
      </c>
      <c r="J73" s="59" t="str">
        <f>Parts1!N247</f>
        <v>10V</v>
      </c>
      <c r="K73" s="59" t="str">
        <f>Parts1!O247</f>
        <v>SOT23</v>
      </c>
      <c r="L73" s="62" t="str">
        <f>Parts1!P247</f>
        <v>595-LM4040C10IDBZR</v>
      </c>
      <c r="M73" s="51" t="str">
        <f>Parts1!Q247</f>
        <v>Texas Instruments LM4040C10IDBZ</v>
      </c>
      <c r="N73" s="58">
        <v>6.0</v>
      </c>
      <c r="O73" s="52" t="str">
        <f t="shared" si="2"/>
        <v>A</v>
      </c>
      <c r="P73" s="52" t="str">
        <f t="shared" si="5"/>
        <v/>
      </c>
      <c r="Q73" s="52">
        <f t="shared" si="4"/>
        <v>7</v>
      </c>
      <c r="R73" s="52" t="b">
        <f t="shared" si="6"/>
        <v>1</v>
      </c>
    </row>
    <row r="74">
      <c r="B74" s="20" t="str">
        <f>IFERROR(__xludf.DUMMYFUNCTION("if(exact($E74, """"), """", iferror(regexextract($F74, ""^(?:- )?([A-Z]+)""), ""?""))"),"IC")</f>
        <v>IC</v>
      </c>
      <c r="C74" s="61" t="str">
        <f t="shared" si="3"/>
        <v>595-LM4040C10IDBZR</v>
      </c>
      <c r="D74" t="str">
        <f>Parts1!H341</f>
        <v>Peaks v3.1</v>
      </c>
      <c r="E74" t="str">
        <f>Parts1!I341</f>
        <v>S</v>
      </c>
      <c r="F74" t="str">
        <f>Parts1!J341</f>
        <v>IC6</v>
      </c>
      <c r="G74">
        <f>Parts1!K341</f>
        <v>1</v>
      </c>
      <c r="H74" t="str">
        <f>Parts1!L341</f>
        <v>LM4040 Shunt Vref</v>
      </c>
      <c r="I74" t="str">
        <f>Parts1!M341</f>
        <v>A, B or C grade</v>
      </c>
      <c r="J74" s="59" t="str">
        <f>Parts1!N341</f>
        <v>10V</v>
      </c>
      <c r="K74" t="str">
        <f>Parts1!O341</f>
        <v>SOT23</v>
      </c>
      <c r="L74" s="62" t="str">
        <f>Parts1!P341</f>
        <v>595-LM4040C10IDBZR</v>
      </c>
      <c r="M74" s="51" t="str">
        <f>Parts1!Q341</f>
        <v>Texas Instruments LM4040C10IDBZ</v>
      </c>
      <c r="N74" s="58">
        <v>9.0</v>
      </c>
      <c r="O74" s="52" t="str">
        <f t="shared" si="2"/>
        <v>A</v>
      </c>
      <c r="P74" s="52" t="str">
        <f t="shared" si="5"/>
        <v/>
      </c>
      <c r="Q74" s="52">
        <f t="shared" si="4"/>
        <v>6</v>
      </c>
      <c r="R74" s="52" t="b">
        <f t="shared" si="6"/>
        <v>1</v>
      </c>
    </row>
    <row r="75">
      <c r="B75" s="20" t="str">
        <f>IFERROR(__xludf.DUMMYFUNCTION("if(exact($E75, """"), """", iferror(regexextract($F75, ""^(?:- )?([A-Z]+)""), ""?""))"),"IC")</f>
        <v>IC</v>
      </c>
      <c r="C75" s="57" t="str">
        <f t="shared" si="3"/>
        <v>595-LM4040C10IDBZR</v>
      </c>
      <c r="D75" t="str">
        <f>Parts1!H391</f>
        <v>Rings v3.0</v>
      </c>
      <c r="E75" t="str">
        <f>Parts1!I391</f>
        <v>S</v>
      </c>
      <c r="F75" t="str">
        <f>Parts1!J391</f>
        <v>IC3</v>
      </c>
      <c r="G75">
        <f>Parts1!K391</f>
        <v>1</v>
      </c>
      <c r="H75" t="str">
        <f>Parts1!L391</f>
        <v>LM4040 Shunt Vref</v>
      </c>
      <c r="I75" t="str">
        <f>Parts1!M391</f>
        <v>A, B or C grade</v>
      </c>
      <c r="J75" t="str">
        <f>Parts1!N391</f>
        <v>10V</v>
      </c>
      <c r="K75" t="str">
        <f>Parts1!O391</f>
        <v>SOT23</v>
      </c>
      <c r="L75" t="str">
        <f>Parts1!P391</f>
        <v>595-LM4040C10IDBZR</v>
      </c>
      <c r="M75" s="51" t="str">
        <f>Parts1!Q391</f>
        <v>Texas Instruments LM4040C10IDBZ</v>
      </c>
      <c r="N75" s="58">
        <v>10.0</v>
      </c>
      <c r="O75" s="52" t="str">
        <f t="shared" si="2"/>
        <v>A</v>
      </c>
      <c r="P75" s="52" t="str">
        <f t="shared" si="5"/>
        <v/>
      </c>
      <c r="Q75" s="52">
        <f t="shared" si="4"/>
        <v>5</v>
      </c>
      <c r="R75" s="52" t="b">
        <f t="shared" si="6"/>
        <v>1</v>
      </c>
    </row>
    <row r="76">
      <c r="B76" s="20" t="str">
        <f>IFERROR(__xludf.DUMMYFUNCTION("if(exact($E76, """"), """", iferror(regexextract($F76, ""^(?:- )?([A-Z]+)""), ""?""))"),"IC")</f>
        <v>IC</v>
      </c>
      <c r="C76" s="63" t="str">
        <f t="shared" si="3"/>
        <v>595-LM4040C10IDBZR</v>
      </c>
      <c r="D76" t="str">
        <f>Parts1!H459</f>
        <v>Shades v3.1</v>
      </c>
      <c r="E76" t="str">
        <f>Parts1!I459</f>
        <v>S</v>
      </c>
      <c r="F76" t="str">
        <f>Parts1!J459</f>
        <v>IC6</v>
      </c>
      <c r="G76">
        <f>Parts1!K459</f>
        <v>1</v>
      </c>
      <c r="H76" t="str">
        <f>Parts1!L459</f>
        <v>LM4040 Shunt Vref</v>
      </c>
      <c r="I76" t="str">
        <f>Parts1!M459</f>
        <v>A, B or C grade</v>
      </c>
      <c r="J76" s="59" t="str">
        <f>Parts1!N459</f>
        <v>10V</v>
      </c>
      <c r="K76" t="str">
        <f>Parts1!O459</f>
        <v>SOT23</v>
      </c>
      <c r="L76" s="66" t="str">
        <f>Parts1!P459</f>
        <v>595-LM4040C10IDBZR</v>
      </c>
      <c r="M76" s="51" t="str">
        <f>Parts1!Q459</f>
        <v>Texas Instruments LM4040C10IDBZ</v>
      </c>
      <c r="N76" s="58">
        <v>12.0</v>
      </c>
      <c r="O76" s="52" t="str">
        <f t="shared" si="2"/>
        <v>A</v>
      </c>
      <c r="P76" s="52" t="str">
        <f t="shared" si="5"/>
        <v/>
      </c>
      <c r="Q76" s="52">
        <f t="shared" si="4"/>
        <v>4</v>
      </c>
      <c r="R76" s="52" t="b">
        <f t="shared" si="6"/>
        <v>1</v>
      </c>
    </row>
    <row r="77">
      <c r="B77" s="20" t="str">
        <f>IFERROR(__xludf.DUMMYFUNCTION("if(exact($E77, """"), """", iferror(regexextract($F77, ""^(?:- )?([A-Z]+)""), ""?""))"),"IC")</f>
        <v>IC</v>
      </c>
      <c r="C77" s="57" t="str">
        <f t="shared" si="3"/>
        <v>595-LM4040C10IDBZR</v>
      </c>
      <c r="D77" t="str">
        <f>Parts1!H498</f>
        <v>Shelves v0.5</v>
      </c>
      <c r="E77" t="str">
        <f>Parts1!I498</f>
        <v>S</v>
      </c>
      <c r="F77" t="str">
        <f>Parts1!J498</f>
        <v>IC1, IC2</v>
      </c>
      <c r="G77">
        <f>Parts1!K498</f>
        <v>2</v>
      </c>
      <c r="H77" t="str">
        <f>Parts1!L498</f>
        <v>LM4040 Shunt Vref</v>
      </c>
      <c r="I77" t="str">
        <f>Parts1!M498</f>
        <v>A, B or C grade</v>
      </c>
      <c r="J77" t="str">
        <f>Parts1!N498</f>
        <v>10V</v>
      </c>
      <c r="K77" t="str">
        <f>Parts1!O498</f>
        <v>SOT23</v>
      </c>
      <c r="L77" t="str">
        <f>Parts1!P498</f>
        <v>595-LM4040C10IDBZR</v>
      </c>
      <c r="M77" s="51" t="str">
        <f>Parts1!Q498</f>
        <v>Texas Instruments LM4040C10IDBZ</v>
      </c>
      <c r="N77" s="58">
        <v>13.0</v>
      </c>
      <c r="O77" s="52" t="str">
        <f t="shared" si="2"/>
        <v>A</v>
      </c>
      <c r="P77" s="52" t="str">
        <f t="shared" si="5"/>
        <v/>
      </c>
      <c r="Q77" s="52">
        <f t="shared" si="4"/>
        <v>3</v>
      </c>
      <c r="R77" s="52" t="b">
        <f t="shared" si="6"/>
        <v>1</v>
      </c>
    </row>
    <row r="78">
      <c r="B78" s="20" t="str">
        <f>IFERROR(__xludf.DUMMYFUNCTION("if(exact($E78, """"), """", iferror(regexextract($F78, ""^(?:- )?([A-Z]+)""), ""?""))"),"IC")</f>
        <v>IC</v>
      </c>
      <c r="C78" s="57" t="str">
        <f t="shared" si="3"/>
        <v>595-LM4040C10IDBZR</v>
      </c>
      <c r="D78" t="str">
        <f>Parts1!H552</f>
        <v>Streams v0.5</v>
      </c>
      <c r="E78" t="str">
        <f>Parts1!I552</f>
        <v>S</v>
      </c>
      <c r="F78" t="str">
        <f>Parts1!J552</f>
        <v>IC11, IC12</v>
      </c>
      <c r="G78">
        <f>Parts1!K552</f>
        <v>2</v>
      </c>
      <c r="H78" t="str">
        <f>Parts1!L552</f>
        <v>LM4040 Shunt Vref</v>
      </c>
      <c r="I78" t="str">
        <f>Parts1!M552</f>
        <v>A, B or C grade</v>
      </c>
      <c r="J78" t="str">
        <f>Parts1!N552</f>
        <v>10V</v>
      </c>
      <c r="K78" t="str">
        <f>Parts1!O552</f>
        <v>SOT23</v>
      </c>
      <c r="L78" t="str">
        <f>Parts1!P552</f>
        <v>595-LM4040C10IDBZR</v>
      </c>
      <c r="M78" s="51" t="str">
        <f>Parts1!Q552</f>
        <v>Texas Instruments LM4040C10IDBZ</v>
      </c>
      <c r="N78" s="58">
        <v>15.0</v>
      </c>
      <c r="O78" s="52" t="str">
        <f t="shared" si="2"/>
        <v>A</v>
      </c>
      <c r="P78" s="52" t="str">
        <f t="shared" si="5"/>
        <v/>
      </c>
      <c r="Q78" s="52">
        <f t="shared" si="4"/>
        <v>2</v>
      </c>
      <c r="R78" s="52" t="b">
        <f t="shared" si="6"/>
        <v>1</v>
      </c>
    </row>
    <row r="79">
      <c r="B79" s="20" t="str">
        <f>IFERROR(__xludf.DUMMYFUNCTION("if(exact($E79, """"), """", iferror(regexextract($F79, ""^(?:- )?([A-Z]+)""), ""?""))"),"IC")</f>
        <v>IC</v>
      </c>
      <c r="C79" s="61" t="str">
        <f t="shared" si="3"/>
        <v>595-LM4040C10IDBZR</v>
      </c>
      <c r="D79" t="str">
        <f>Parts1!H608</f>
        <v>Tides v4.0</v>
      </c>
      <c r="E79" t="str">
        <f>Parts1!I608</f>
        <v>S</v>
      </c>
      <c r="F79" t="str">
        <f>Parts1!J608</f>
        <v>IC7</v>
      </c>
      <c r="G79">
        <f>Parts1!K608</f>
        <v>1</v>
      </c>
      <c r="H79" t="str">
        <f>Parts1!L608</f>
        <v>LM4040 Shunt Vref</v>
      </c>
      <c r="I79" t="str">
        <f>Parts1!M608</f>
        <v>A, B or C grade</v>
      </c>
      <c r="J79" s="59" t="str">
        <f>Parts1!N608</f>
        <v>10V</v>
      </c>
      <c r="K79" s="59" t="str">
        <f>Parts1!O608</f>
        <v>SOT23</v>
      </c>
      <c r="L79" s="62" t="str">
        <f>Parts1!P608</f>
        <v>595-LM4040C10IDBZR</v>
      </c>
      <c r="M79" s="51" t="str">
        <f>Parts1!Q608</f>
        <v>Texas Instruments LM4040C10IDBZ</v>
      </c>
      <c r="N79" s="58">
        <v>17.0</v>
      </c>
      <c r="O79" s="52" t="str">
        <f t="shared" si="2"/>
        <v>A</v>
      </c>
      <c r="P79" s="52" t="str">
        <f t="shared" si="5"/>
        <v/>
      </c>
      <c r="Q79" s="52">
        <f t="shared" si="4"/>
        <v>1</v>
      </c>
      <c r="R79" s="52" t="b">
        <f t="shared" si="6"/>
        <v>1</v>
      </c>
    </row>
    <row r="80">
      <c r="B80" s="20" t="str">
        <f>IFERROR(__xludf.DUMMYFUNCTION("if(exact($E80, """"), """", iferror(regexextract($F80, ""^(?:- )?([A-Z]+)""), ""?""))"),"IC")</f>
        <v>IC</v>
      </c>
      <c r="C80" s="57" t="str">
        <f t="shared" si="3"/>
        <v>595-LM4040C10IDBZR</v>
      </c>
      <c r="D80" t="str">
        <f>Parts1!H656</f>
        <v>Warps v3.0</v>
      </c>
      <c r="E80" t="str">
        <f>Parts1!I656</f>
        <v>S</v>
      </c>
      <c r="F80" t="str">
        <f>Parts1!J656</f>
        <v>IC2</v>
      </c>
      <c r="G80">
        <f>Parts1!K656</f>
        <v>1</v>
      </c>
      <c r="H80" t="str">
        <f>Parts1!L656</f>
        <v>LM4040 Shunt Vref</v>
      </c>
      <c r="I80" t="str">
        <f>Parts1!M656</f>
        <v>A, B or C grade</v>
      </c>
      <c r="J80" t="str">
        <f>Parts1!N656</f>
        <v>10V</v>
      </c>
      <c r="K80" t="str">
        <f>Parts1!O656</f>
        <v>SOT23</v>
      </c>
      <c r="L80" t="str">
        <f>Parts1!P656</f>
        <v>595-LM4040C10IDBZR</v>
      </c>
      <c r="M80" s="51" t="str">
        <f>Parts1!Q656</f>
        <v>Texas Instruments LM4040C10IDBZ</v>
      </c>
      <c r="N80" s="58">
        <v>18.0</v>
      </c>
      <c r="O80" s="52" t="str">
        <f t="shared" si="2"/>
        <v>A</v>
      </c>
      <c r="P80" s="52" t="str">
        <f t="shared" si="5"/>
        <v/>
      </c>
      <c r="Q80" s="52">
        <f t="shared" si="4"/>
        <v>0</v>
      </c>
      <c r="R80" s="52" t="b">
        <f t="shared" si="6"/>
        <v>1</v>
      </c>
    </row>
    <row r="81">
      <c r="B81" s="20" t="str">
        <f>IFERROR(__xludf.DUMMYFUNCTION("if(exact($E81, """"), """", iferror(regexextract($F81, ""^(?:- )?([A-Z]+)""), ""?""))"),"IC")</f>
        <v>IC</v>
      </c>
      <c r="C81" s="57" t="str">
        <f t="shared" si="3"/>
        <v>595-LM4040C25IDBZR</v>
      </c>
      <c r="D81" t="str">
        <f>Parts1!H29</f>
        <v>Braids v5.1</v>
      </c>
      <c r="E81" t="str">
        <f>Parts1!I29</f>
        <v>S</v>
      </c>
      <c r="F81" t="str">
        <f>Parts1!J29</f>
        <v>IC3</v>
      </c>
      <c r="G81">
        <f>Parts1!K29</f>
        <v>1</v>
      </c>
      <c r="H81" t="str">
        <f>Parts1!L29</f>
        <v>LM4040 Shunt Vref</v>
      </c>
      <c r="I81" t="str">
        <f>Parts1!M29</f>
        <v>A, B or C grade</v>
      </c>
      <c r="J81" t="str">
        <f>Parts1!N29</f>
        <v>2.5V</v>
      </c>
      <c r="K81" t="str">
        <f>Parts1!O29</f>
        <v>SOT23</v>
      </c>
      <c r="L81" t="str">
        <f>Parts1!P29</f>
        <v>595-LM4040C25IDBZR</v>
      </c>
      <c r="M81" s="51" t="str">
        <f>Parts1!Q29</f>
        <v>Texas Instruments LM4040C25IDBZ</v>
      </c>
      <c r="N81" s="58">
        <v>1.0</v>
      </c>
      <c r="O81" s="52" t="str">
        <f t="shared" si="2"/>
        <v>A</v>
      </c>
      <c r="P81" s="52">
        <f t="shared" si="5"/>
        <v>1</v>
      </c>
      <c r="Q81" s="52">
        <f t="shared" si="4"/>
        <v>5</v>
      </c>
      <c r="R81" s="52" t="b">
        <f t="shared" si="6"/>
        <v>0</v>
      </c>
    </row>
    <row r="82">
      <c r="B82" s="20" t="str">
        <f>IFERROR(__xludf.DUMMYFUNCTION("if(exact($E82, """"), """", iferror(regexextract($F82, ""^(?:- )?([A-Z]+)""), ""?""))"),"IC")</f>
        <v>IC</v>
      </c>
      <c r="C82" s="57" t="str">
        <f t="shared" si="3"/>
        <v>595-LM4040C25IDBZR</v>
      </c>
      <c r="D82" t="str">
        <f>Parts1!H151</f>
        <v>Edges v2.0</v>
      </c>
      <c r="E82" t="str">
        <f>Parts1!I151</f>
        <v>S</v>
      </c>
      <c r="F82" t="str">
        <f>Parts1!J151</f>
        <v>IC11</v>
      </c>
      <c r="G82">
        <f>Parts1!K151</f>
        <v>1</v>
      </c>
      <c r="H82" t="str">
        <f>Parts1!L151</f>
        <v>LM4040 Shunt Vref</v>
      </c>
      <c r="I82" t="str">
        <f>Parts1!M151</f>
        <v>A, B or C grade</v>
      </c>
      <c r="J82" t="str">
        <f>Parts1!N151</f>
        <v>2.5V</v>
      </c>
      <c r="K82" t="str">
        <f>Parts1!O151</f>
        <v>SOT23</v>
      </c>
      <c r="L82" t="str">
        <f>Parts1!P151</f>
        <v>595-LM4040C25IDBZR</v>
      </c>
      <c r="M82" s="51" t="str">
        <f>Parts1!Q151</f>
        <v>Texas Instruments LM4040C25IDBZ</v>
      </c>
      <c r="N82" s="58">
        <v>4.0</v>
      </c>
      <c r="O82" s="52" t="str">
        <f t="shared" si="2"/>
        <v>A</v>
      </c>
      <c r="P82" s="52" t="str">
        <f t="shared" si="5"/>
        <v/>
      </c>
      <c r="Q82" s="52">
        <f t="shared" si="4"/>
        <v>4</v>
      </c>
      <c r="R82" s="52" t="b">
        <f t="shared" si="6"/>
        <v>0</v>
      </c>
    </row>
    <row r="83">
      <c r="B83" s="20" t="str">
        <f>IFERROR(__xludf.DUMMYFUNCTION("if(exact($E83, """"), """", iferror(regexextract($F83, ""^(?:- )?([A-Z]+)""), ""?""))"),"IC")</f>
        <v>IC</v>
      </c>
      <c r="C83" s="61" t="str">
        <f t="shared" si="3"/>
        <v>595-LM4040C25IDBZR</v>
      </c>
      <c r="D83" t="str">
        <f>Parts1!H245</f>
        <v>Frames v0.3</v>
      </c>
      <c r="E83" t="str">
        <f>Parts1!I245</f>
        <v>S</v>
      </c>
      <c r="F83" t="str">
        <f>Parts1!J245</f>
        <v>IC2</v>
      </c>
      <c r="G83">
        <f>Parts1!K245</f>
        <v>1</v>
      </c>
      <c r="H83" t="str">
        <f>Parts1!L245</f>
        <v>LM4040 Shunt Vref</v>
      </c>
      <c r="I83" t="str">
        <f>Parts1!M245</f>
        <v>A, B or C grade</v>
      </c>
      <c r="J83" s="59" t="str">
        <f>Parts1!N245</f>
        <v>2.5V</v>
      </c>
      <c r="K83" s="59" t="str">
        <f>Parts1!O245</f>
        <v>SOT23</v>
      </c>
      <c r="L83" s="62" t="str">
        <f>Parts1!P245</f>
        <v>595-LM4040C25IDBZR</v>
      </c>
      <c r="M83" s="51" t="str">
        <f>Parts1!Q245</f>
        <v>Texas Instruments LM4040C25IDBZ</v>
      </c>
      <c r="N83" s="58">
        <v>6.0</v>
      </c>
      <c r="O83" s="52" t="str">
        <f t="shared" si="2"/>
        <v>A</v>
      </c>
      <c r="P83" s="52" t="str">
        <f t="shared" si="5"/>
        <v/>
      </c>
      <c r="Q83" s="52">
        <f t="shared" si="4"/>
        <v>3</v>
      </c>
      <c r="R83" s="52" t="b">
        <f t="shared" si="6"/>
        <v>0</v>
      </c>
    </row>
    <row r="84">
      <c r="B84" s="20" t="str">
        <f>IFERROR(__xludf.DUMMYFUNCTION("if(exact($E84, """"), """", iferror(regexextract($F84, ""^(?:- )?([A-Z]+)""), ""?""))"),"IC")</f>
        <v>IC</v>
      </c>
      <c r="C84" s="61" t="str">
        <f t="shared" si="3"/>
        <v>595-LM4040C25IDBZR</v>
      </c>
      <c r="D84" t="str">
        <f>Parts1!H340</f>
        <v>Peaks v3.1</v>
      </c>
      <c r="E84" t="str">
        <f>Parts1!I340</f>
        <v>S</v>
      </c>
      <c r="F84" t="str">
        <f>Parts1!J340</f>
        <v>IC2</v>
      </c>
      <c r="G84">
        <f>Parts1!K340</f>
        <v>1</v>
      </c>
      <c r="H84" t="str">
        <f>Parts1!L340</f>
        <v>LM4040 Shunt Vref</v>
      </c>
      <c r="I84" t="str">
        <f>Parts1!M340</f>
        <v>A, B or C grade</v>
      </c>
      <c r="J84" s="59" t="str">
        <f>Parts1!N340</f>
        <v>2.5V</v>
      </c>
      <c r="K84" t="str">
        <f>Parts1!O340</f>
        <v>SOT23</v>
      </c>
      <c r="L84" s="62" t="str">
        <f>Parts1!P340</f>
        <v>595-LM4040C25IDBZR</v>
      </c>
      <c r="M84" s="51" t="str">
        <f>Parts1!Q340</f>
        <v>Texas Instruments LM4040C25IDBZ</v>
      </c>
      <c r="N84" s="58">
        <v>9.0</v>
      </c>
      <c r="O84" s="52" t="str">
        <f t="shared" si="2"/>
        <v>A</v>
      </c>
      <c r="P84" s="52" t="str">
        <f t="shared" si="5"/>
        <v/>
      </c>
      <c r="Q84" s="52">
        <f t="shared" si="4"/>
        <v>2</v>
      </c>
      <c r="R84" s="52" t="b">
        <f t="shared" si="6"/>
        <v>0</v>
      </c>
    </row>
    <row r="85">
      <c r="B85" s="20" t="str">
        <f>IFERROR(__xludf.DUMMYFUNCTION("if(exact($E85, """"), """", iferror(regexextract($F85, ""^(?:- )?([A-Z]+)""), ""?""))"),"IC")</f>
        <v>IC</v>
      </c>
      <c r="C85" s="57" t="str">
        <f t="shared" si="3"/>
        <v>595-LM4040C25IDBZR</v>
      </c>
      <c r="D85" t="str">
        <f>Parts1!H548</f>
        <v>Streams v0.5</v>
      </c>
      <c r="E85" t="str">
        <f>Parts1!I548</f>
        <v>S</v>
      </c>
      <c r="F85" t="str">
        <f>Parts1!J548</f>
        <v>IC3</v>
      </c>
      <c r="G85">
        <f>Parts1!K548</f>
        <v>1</v>
      </c>
      <c r="H85" t="str">
        <f>Parts1!L548</f>
        <v>LM4040 Shunt Vref</v>
      </c>
      <c r="I85" t="str">
        <f>Parts1!M548</f>
        <v>A, B or C grade</v>
      </c>
      <c r="J85" t="str">
        <f>Parts1!N548</f>
        <v>2.5V</v>
      </c>
      <c r="K85" t="str">
        <f>Parts1!O548</f>
        <v>SOT23</v>
      </c>
      <c r="L85" t="str">
        <f>Parts1!P548</f>
        <v>595-LM4040C25IDBZR</v>
      </c>
      <c r="M85" s="51" t="str">
        <f>Parts1!Q548</f>
        <v>Texas Instruments LM4040C25IDBZ</v>
      </c>
      <c r="N85" s="58">
        <v>15.0</v>
      </c>
      <c r="O85" s="52" t="str">
        <f t="shared" si="2"/>
        <v>A</v>
      </c>
      <c r="P85" s="52" t="str">
        <f t="shared" si="5"/>
        <v/>
      </c>
      <c r="Q85" s="52">
        <f t="shared" si="4"/>
        <v>1</v>
      </c>
      <c r="R85" s="52" t="b">
        <f t="shared" si="6"/>
        <v>0</v>
      </c>
    </row>
    <row r="86">
      <c r="B86" s="20" t="str">
        <f>IFERROR(__xludf.DUMMYFUNCTION("if(exact($E86, """"), """", iferror(regexextract($F86, ""^(?:- )?([A-Z]+)""), ""?""))"),"IC")</f>
        <v>IC</v>
      </c>
      <c r="C86" s="61" t="str">
        <f t="shared" si="3"/>
        <v>595-LM4040C25IDBZR</v>
      </c>
      <c r="D86" t="str">
        <f>Parts1!H607</f>
        <v>Tides v4.0</v>
      </c>
      <c r="E86" t="str">
        <f>Parts1!I607</f>
        <v>S</v>
      </c>
      <c r="F86" t="str">
        <f>Parts1!J607</f>
        <v>IC2</v>
      </c>
      <c r="G86">
        <f>Parts1!K607</f>
        <v>1</v>
      </c>
      <c r="H86" t="str">
        <f>Parts1!L607</f>
        <v>LM4040 Shunt Vref</v>
      </c>
      <c r="I86" t="str">
        <f>Parts1!M607</f>
        <v>A, B or C grade</v>
      </c>
      <c r="J86" s="59" t="str">
        <f>Parts1!N607</f>
        <v>2.5V</v>
      </c>
      <c r="K86" s="59" t="str">
        <f>Parts1!O607</f>
        <v>SOT23</v>
      </c>
      <c r="L86" s="62" t="str">
        <f>Parts1!P607</f>
        <v>595-LM4040C25IDBZR</v>
      </c>
      <c r="M86" s="51" t="str">
        <f>Parts1!Q607</f>
        <v>Texas Instruments LM4040C25IDBZ</v>
      </c>
      <c r="N86" s="58">
        <v>17.0</v>
      </c>
      <c r="O86" s="52" t="str">
        <f t="shared" si="2"/>
        <v>A</v>
      </c>
      <c r="P86" s="52" t="str">
        <f t="shared" si="5"/>
        <v/>
      </c>
      <c r="Q86" s="52">
        <f t="shared" si="4"/>
        <v>0</v>
      </c>
      <c r="R86" s="52" t="b">
        <f t="shared" si="6"/>
        <v>0</v>
      </c>
    </row>
    <row r="87">
      <c r="B87" s="20" t="str">
        <f>IFERROR(__xludf.DUMMYFUNCTION("if(exact($E87, """"), """", iferror(regexextract($F87, ""^(?:- )?([A-Z]+)""), ""?""))"),"IC")</f>
        <v>IC</v>
      </c>
      <c r="C87" s="57" t="str">
        <f t="shared" si="3"/>
        <v>595-LM4040C50IDBZR</v>
      </c>
      <c r="D87" t="str">
        <f>Parts1!H61</f>
        <v>Branches v4.0</v>
      </c>
      <c r="E87" t="str">
        <f>Parts1!I61</f>
        <v>S</v>
      </c>
      <c r="F87" t="str">
        <f>Parts1!J61</f>
        <v>IC1</v>
      </c>
      <c r="G87" s="65">
        <f>Parts1!K61</f>
        <v>1</v>
      </c>
      <c r="H87" t="str">
        <f>Parts1!L61</f>
        <v>LM4040 Shunt Vref</v>
      </c>
      <c r="I87" t="str">
        <f>Parts1!M61</f>
        <v>A, B or C grade</v>
      </c>
      <c r="J87" t="str">
        <f>Parts1!N61</f>
        <v>5.0V</v>
      </c>
      <c r="K87" t="str">
        <f>Parts1!O61</f>
        <v>SOT23</v>
      </c>
      <c r="L87" t="str">
        <f>Parts1!P61</f>
        <v>595-LM4040C50IDBZR</v>
      </c>
      <c r="M87" s="51" t="str">
        <f>Parts1!Q61</f>
        <v>Texas Instruments LM4040C50IDBZ</v>
      </c>
      <c r="N87" s="58">
        <v>2.0</v>
      </c>
      <c r="O87" s="52" t="str">
        <f t="shared" si="2"/>
        <v>A</v>
      </c>
      <c r="P87" s="52">
        <f t="shared" si="5"/>
        <v>1</v>
      </c>
      <c r="Q87" s="52">
        <f t="shared" si="4"/>
        <v>2</v>
      </c>
      <c r="R87" s="52" t="b">
        <f t="shared" si="6"/>
        <v>1</v>
      </c>
    </row>
    <row r="88">
      <c r="B88" s="20" t="str">
        <f>IFERROR(__xludf.DUMMYFUNCTION("if(exact($E88, """"), """", iferror(regexextract($F88, ""^(?:- )?([A-Z]+)""), ""?""))"),"IC")</f>
        <v>IC</v>
      </c>
      <c r="C88" s="57" t="str">
        <f t="shared" si="3"/>
        <v>595-LM4040C50IDBZR</v>
      </c>
      <c r="D88" t="str">
        <f>Parts1!H284</f>
        <v>Grids v0.2</v>
      </c>
      <c r="E88" t="str">
        <f>Parts1!I284</f>
        <v>S</v>
      </c>
      <c r="F88" t="str">
        <f>Parts1!J284</f>
        <v>IC2</v>
      </c>
      <c r="G88" s="65">
        <f>Parts1!K284</f>
        <v>1</v>
      </c>
      <c r="H88" t="str">
        <f>Parts1!L284</f>
        <v>LM4040 Shunt Vref</v>
      </c>
      <c r="I88" t="str">
        <f>Parts1!M284</f>
        <v>A, B or C grade</v>
      </c>
      <c r="J88" t="str">
        <f>Parts1!N284</f>
        <v>5.0V</v>
      </c>
      <c r="K88" t="str">
        <f>Parts1!O284</f>
        <v>SOT23</v>
      </c>
      <c r="L88" t="str">
        <f>Parts1!P284</f>
        <v>595-LM4040C50IDBZR</v>
      </c>
      <c r="M88" s="51" t="str">
        <f>Parts1!Q284</f>
        <v>Texas Instruments LM4040C50IDBZ</v>
      </c>
      <c r="N88" s="58">
        <v>7.0</v>
      </c>
      <c r="O88" s="52" t="str">
        <f t="shared" si="2"/>
        <v>A</v>
      </c>
      <c r="P88" s="52" t="str">
        <f t="shared" si="5"/>
        <v/>
      </c>
      <c r="Q88" s="52">
        <f t="shared" si="4"/>
        <v>1</v>
      </c>
      <c r="R88" s="52" t="b">
        <f t="shared" si="6"/>
        <v>1</v>
      </c>
    </row>
    <row r="89">
      <c r="B89" s="20" t="str">
        <f>IFERROR(__xludf.DUMMYFUNCTION("if(exact($E89, """"), """", iferror(regexextract($F89, ""^(?:- )?([A-Z]+)""), ""?""))"),"IC")</f>
        <v>IC</v>
      </c>
      <c r="C89" s="57" t="str">
        <f t="shared" si="3"/>
        <v>595-LM4040C50IDBZR</v>
      </c>
      <c r="D89" t="str">
        <f>Parts1!H442</f>
        <v>Ripples v4.0</v>
      </c>
      <c r="E89" t="str">
        <f>Parts1!I442</f>
        <v>S</v>
      </c>
      <c r="F89" t="str">
        <f>Parts1!J442</f>
        <v>IC7</v>
      </c>
      <c r="G89">
        <f>Parts1!K442</f>
        <v>1</v>
      </c>
      <c r="H89" t="str">
        <f>Parts1!L442</f>
        <v>LM4040 Shunt Vref</v>
      </c>
      <c r="I89" t="str">
        <f>Parts1!M442</f>
        <v>A, B or C grade</v>
      </c>
      <c r="J89" t="str">
        <f>Parts1!N442</f>
        <v>5.0V</v>
      </c>
      <c r="K89" t="str">
        <f>Parts1!O442</f>
        <v>SOT23</v>
      </c>
      <c r="L89" t="str">
        <f>Parts1!P442</f>
        <v>595-LM4040C50IDBZR</v>
      </c>
      <c r="M89" s="51" t="str">
        <f>Parts1!Q442</f>
        <v>Texas Instruments LM4040C50IDBZ</v>
      </c>
      <c r="N89" s="58">
        <v>11.0</v>
      </c>
      <c r="O89" s="52" t="str">
        <f t="shared" si="2"/>
        <v>A</v>
      </c>
      <c r="P89" s="52" t="str">
        <f t="shared" si="5"/>
        <v/>
      </c>
      <c r="Q89" s="52">
        <f t="shared" si="4"/>
        <v>0</v>
      </c>
      <c r="R89" s="52" t="b">
        <f t="shared" si="6"/>
        <v>1</v>
      </c>
    </row>
    <row r="90">
      <c r="B90" s="20" t="str">
        <f>IFERROR(__xludf.DUMMYFUNCTION("if(exact($E90, """"), """", iferror(regexextract($F90, ""^(?:- )?([A-Z]+)""), ""?""))"),"IC")</f>
        <v>IC</v>
      </c>
      <c r="C90" s="57" t="str">
        <f t="shared" si="3"/>
        <v>595-OPA2171AID</v>
      </c>
      <c r="D90" t="str">
        <f>Parts1!H343</f>
        <v>Peaks v3.1</v>
      </c>
      <c r="E90" t="str">
        <f>Parts1!I343</f>
        <v>S</v>
      </c>
      <c r="F90" t="str">
        <f>Parts1!J343</f>
        <v>IC4, IC5</v>
      </c>
      <c r="G90">
        <f>Parts1!K343</f>
        <v>2</v>
      </c>
      <c r="H90" t="str">
        <f>Parts1!L343</f>
        <v>OPA2171 dual op-amp</v>
      </c>
      <c r="I90" t="str">
        <f>Parts1!M343</f>
        <v/>
      </c>
      <c r="J90" t="str">
        <f>Parts1!N343</f>
        <v/>
      </c>
      <c r="K90" t="str">
        <f>Parts1!O343</f>
        <v>SOIC8</v>
      </c>
      <c r="L90" t="str">
        <f>Parts1!P343</f>
        <v>595-OPA2171AID</v>
      </c>
      <c r="M90" s="51" t="str">
        <f>Parts1!Q343</f>
        <v>TI OPA2171AID</v>
      </c>
      <c r="N90" s="58">
        <v>9.0</v>
      </c>
      <c r="O90" s="52" t="str">
        <f t="shared" si="2"/>
        <v>A</v>
      </c>
      <c r="P90" s="52">
        <f t="shared" si="5"/>
        <v>1</v>
      </c>
      <c r="Q90" s="52">
        <f t="shared" si="4"/>
        <v>0</v>
      </c>
      <c r="R90" s="52" t="b">
        <f t="shared" si="6"/>
        <v>0</v>
      </c>
    </row>
    <row r="91">
      <c r="B91" s="20" t="str">
        <f>IFERROR(__xludf.DUMMYFUNCTION("if(exact($E91, """"), """", iferror(regexextract($F91, ""^(?:- )?([A-Z]+)""), ""?""))"),"IC")</f>
        <v>IC</v>
      </c>
      <c r="C91" s="68" t="str">
        <f t="shared" si="3"/>
        <v>595-OPA4171AIDR</v>
      </c>
      <c r="D91" t="str">
        <f>Parts1!H696</f>
        <v>Yarns v0.3</v>
      </c>
      <c r="E91" t="str">
        <f>Parts1!I696</f>
        <v>S</v>
      </c>
      <c r="F91" s="64" t="str">
        <f>Parts1!J696</f>
        <v>IC6</v>
      </c>
      <c r="G91" s="65">
        <f>Parts1!K696</f>
        <v>1</v>
      </c>
      <c r="H91" s="64" t="str">
        <f>Parts1!L696</f>
        <v>OPA4171 quad op-amp, low offset</v>
      </c>
      <c r="I91" s="64" t="str">
        <f>Parts1!M696</f>
        <v/>
      </c>
      <c r="J91" s="64" t="str">
        <f>Parts1!N696</f>
        <v/>
      </c>
      <c r="K91" s="64" t="str">
        <f>Parts1!O696</f>
        <v>SOIC14</v>
      </c>
      <c r="L91" s="64" t="str">
        <f>Parts1!P696</f>
        <v>595-OPA4171AIDR</v>
      </c>
      <c r="M91" s="67" t="str">
        <f>Parts1!Q696</f>
        <v>TI OPA4171AIDR</v>
      </c>
      <c r="N91" s="58">
        <v>19.0</v>
      </c>
      <c r="O91" s="52" t="str">
        <f t="shared" si="2"/>
        <v>A</v>
      </c>
      <c r="P91" s="52">
        <f t="shared" si="5"/>
        <v>1</v>
      </c>
      <c r="Q91" s="52">
        <f t="shared" si="4"/>
        <v>0</v>
      </c>
      <c r="R91" s="52" t="b">
        <f t="shared" si="6"/>
        <v>1</v>
      </c>
    </row>
    <row r="92">
      <c r="B92" s="20" t="str">
        <f>IFERROR(__xludf.DUMMYFUNCTION("if(exact($E92, """"), """", iferror(regexextract($F92, ""^(?:- )?([A-Z]+)""), ""?""))"),"IC")</f>
        <v>IC</v>
      </c>
      <c r="C92" s="57" t="str">
        <f t="shared" si="3"/>
        <v>595-OPA4171AIPW</v>
      </c>
      <c r="D92" t="str">
        <f>Parts1!H312</f>
        <v>Links v4</v>
      </c>
      <c r="E92" t="str">
        <f>Parts1!I312</f>
        <v>S</v>
      </c>
      <c r="F92" t="str">
        <f>Parts1!J312</f>
        <v>IC1</v>
      </c>
      <c r="G92">
        <f>Parts1!K312</f>
        <v>1</v>
      </c>
      <c r="H92" t="str">
        <f>Parts1!L312</f>
        <v>OPA4171 quad op-amp</v>
      </c>
      <c r="I92" t="str">
        <f>Parts1!M312</f>
        <v/>
      </c>
      <c r="J92" t="str">
        <f>Parts1!N312</f>
        <v/>
      </c>
      <c r="K92" t="str">
        <f>Parts1!O312</f>
        <v>TSSOP14</v>
      </c>
      <c r="L92" t="str">
        <f>Parts1!P312</f>
        <v>595-OPA4171AIPW</v>
      </c>
      <c r="M92" s="51" t="str">
        <f>Parts1!Q312</f>
        <v>Texas Instruments OPA4171AIPW</v>
      </c>
      <c r="N92" s="58">
        <v>8.0</v>
      </c>
      <c r="O92" s="52" t="str">
        <f t="shared" si="2"/>
        <v>A</v>
      </c>
      <c r="P92" s="52">
        <f t="shared" si="5"/>
        <v>1</v>
      </c>
      <c r="Q92" s="52">
        <f t="shared" si="4"/>
        <v>0</v>
      </c>
      <c r="R92" s="52" t="b">
        <f t="shared" si="6"/>
        <v>0</v>
      </c>
    </row>
    <row r="93">
      <c r="B93" s="20" t="str">
        <f>IFERROR(__xludf.DUMMYFUNCTION("if(exact($E93, """"), """", iferror(regexextract($F93, ""^(?:- )?([A-Z]+)""), ""?""))"),"IC")</f>
        <v>IC</v>
      </c>
      <c r="C93" s="68" t="str">
        <f t="shared" si="3"/>
        <v>595-REF02AU</v>
      </c>
      <c r="D93" t="str">
        <f>Parts1!H695</f>
        <v>Yarns v0.3</v>
      </c>
      <c r="E93" t="str">
        <f>Parts1!I695</f>
        <v>S</v>
      </c>
      <c r="F93" s="64" t="str">
        <f>Parts1!J695</f>
        <v>IC5</v>
      </c>
      <c r="G93" s="65">
        <f>Parts1!K695</f>
        <v>1</v>
      </c>
      <c r="H93" s="64" t="str">
        <f>Parts1!L695</f>
        <v>REF02 5V reference</v>
      </c>
      <c r="I93" s="64" t="str">
        <f>Parts1!M695</f>
        <v/>
      </c>
      <c r="J93" s="64" t="str">
        <f>Parts1!N695</f>
        <v>5V</v>
      </c>
      <c r="K93" s="64" t="str">
        <f>Parts1!O695</f>
        <v>SOIC8</v>
      </c>
      <c r="L93" s="64" t="str">
        <f>Parts1!P695</f>
        <v>595-REF02AU</v>
      </c>
      <c r="M93" s="67" t="str">
        <f>Parts1!Q695</f>
        <v>TI REF02AU</v>
      </c>
      <c r="N93" s="58">
        <v>19.0</v>
      </c>
      <c r="O93" s="52" t="str">
        <f t="shared" si="2"/>
        <v>A</v>
      </c>
      <c r="P93" s="52">
        <f t="shared" si="5"/>
        <v>1</v>
      </c>
      <c r="Q93" s="52">
        <f t="shared" si="4"/>
        <v>0</v>
      </c>
      <c r="R93" s="52" t="b">
        <f t="shared" si="6"/>
        <v>1</v>
      </c>
    </row>
    <row r="94">
      <c r="B94" s="20" t="str">
        <f>IFERROR(__xludf.DUMMYFUNCTION("if(exact($E94, """"), """", iferror(regexextract($F94, ""^(?:- )?([A-Z]+)""), ""?""))"),"IC")</f>
        <v>IC</v>
      </c>
      <c r="C94" s="57" t="str">
        <f t="shared" si="3"/>
        <v>595-SN74AHC1G125DBVR</v>
      </c>
      <c r="D94" t="str">
        <f>Parts1!H156</f>
        <v>Edges v2.0</v>
      </c>
      <c r="E94" t="str">
        <f>Parts1!I156</f>
        <v>S</v>
      </c>
      <c r="F94" t="str">
        <f>Parts1!J156</f>
        <v>IC5</v>
      </c>
      <c r="G94">
        <f>Parts1!K156</f>
        <v>1</v>
      </c>
      <c r="H94" t="str">
        <f>Parts1!L156</f>
        <v>74AHC1G125 buffer, single gate</v>
      </c>
      <c r="I94" t="str">
        <f>Parts1!M156</f>
        <v/>
      </c>
      <c r="J94" t="str">
        <f>Parts1!N156</f>
        <v/>
      </c>
      <c r="K94" t="str">
        <f>Parts1!O156</f>
        <v>SOT23-5</v>
      </c>
      <c r="L94" t="str">
        <f>Parts1!P156</f>
        <v>595-SN74AHC1G125DBVR</v>
      </c>
      <c r="M94" s="51" t="str">
        <f>Parts1!Q156</f>
        <v>TI SN74AHC1G125DBV</v>
      </c>
      <c r="N94" s="58">
        <v>4.0</v>
      </c>
      <c r="O94" s="52" t="str">
        <f t="shared" si="2"/>
        <v>A</v>
      </c>
      <c r="P94" s="52">
        <f t="shared" si="5"/>
        <v>1</v>
      </c>
      <c r="Q94" s="52">
        <f t="shared" si="4"/>
        <v>0</v>
      </c>
      <c r="R94" s="52" t="b">
        <f t="shared" si="6"/>
        <v>0</v>
      </c>
    </row>
    <row r="95">
      <c r="B95" s="20" t="str">
        <f>IFERROR(__xludf.DUMMYFUNCTION("if(exact($E95, """"), """", iferror(regexextract($F95, ""^(?:- )?([A-Z]+)""), ""?""))"),"IC")</f>
        <v>IC</v>
      </c>
      <c r="C95" s="57" t="str">
        <f t="shared" si="3"/>
        <v>595-SN74AHC1G86DBVR</v>
      </c>
      <c r="D95" t="str">
        <f>Parts1!H157</f>
        <v>Edges v2.0</v>
      </c>
      <c r="E95" t="str">
        <f>Parts1!I157</f>
        <v>S</v>
      </c>
      <c r="F95" t="str">
        <f>Parts1!J157</f>
        <v>IC6, IC8</v>
      </c>
      <c r="G95">
        <f>Parts1!K157</f>
        <v>2</v>
      </c>
      <c r="H95" t="str">
        <f>Parts1!L157</f>
        <v>74AHC1G86 XOR, single gate</v>
      </c>
      <c r="I95" t="str">
        <f>Parts1!M157</f>
        <v/>
      </c>
      <c r="J95" t="str">
        <f>Parts1!N157</f>
        <v/>
      </c>
      <c r="K95" t="str">
        <f>Parts1!O157</f>
        <v>SOT23-5</v>
      </c>
      <c r="L95" t="str">
        <f>Parts1!P157</f>
        <v>595-SN74AHC1G86DBVR</v>
      </c>
      <c r="M95" s="51" t="str">
        <f>Parts1!Q157</f>
        <v>TI SN74AHC1G86DBV</v>
      </c>
      <c r="N95" s="58">
        <v>4.0</v>
      </c>
      <c r="O95" s="52" t="str">
        <f t="shared" si="2"/>
        <v>A</v>
      </c>
      <c r="P95" s="52">
        <f t="shared" si="5"/>
        <v>1</v>
      </c>
      <c r="Q95" s="52">
        <f t="shared" si="4"/>
        <v>0</v>
      </c>
      <c r="R95" s="52" t="b">
        <f t="shared" si="6"/>
        <v>1</v>
      </c>
    </row>
    <row r="96">
      <c r="B96" s="20" t="str">
        <f>IFERROR(__xludf.DUMMYFUNCTION("if(exact($E96, """"), """", iferror(regexextract($F96, ""^(?:- )?([A-Z]+)""), ""?""))"),"IC")</f>
        <v>IC</v>
      </c>
      <c r="C96" s="68" t="str">
        <f t="shared" si="3"/>
        <v>595-SNAHCT1G125DBVR</v>
      </c>
      <c r="D96" t="str">
        <f>Parts1!H697</f>
        <v>Yarns v0.3</v>
      </c>
      <c r="E96" t="str">
        <f>Parts1!I697</f>
        <v>S</v>
      </c>
      <c r="F96" s="64" t="str">
        <f>Parts1!J697</f>
        <v>IC7, IC8, IC10, IC11</v>
      </c>
      <c r="G96" s="65">
        <f>Parts1!K697</f>
        <v>4</v>
      </c>
      <c r="H96" s="64" t="str">
        <f>Parts1!L697</f>
        <v>74AHCT1G125 buffer, single gate AHCT family</v>
      </c>
      <c r="I96" s="64" t="str">
        <f>Parts1!M697</f>
        <v/>
      </c>
      <c r="J96" s="64" t="str">
        <f>Parts1!N697</f>
        <v/>
      </c>
      <c r="K96" s="64" t="str">
        <f>Parts1!O697</f>
        <v>SOT23-5</v>
      </c>
      <c r="L96" s="64" t="str">
        <f>Parts1!P697</f>
        <v>595-SNAHCT1G125DBVR</v>
      </c>
      <c r="M96" s="67" t="str">
        <f>Parts1!Q697</f>
        <v>TI SN74AHCT1G125DBVR</v>
      </c>
      <c r="N96" s="58">
        <v>19.0</v>
      </c>
      <c r="O96" s="52" t="str">
        <f t="shared" si="2"/>
        <v>A</v>
      </c>
      <c r="P96" s="52">
        <f t="shared" si="5"/>
        <v>1</v>
      </c>
      <c r="Q96" s="52">
        <f t="shared" si="4"/>
        <v>0</v>
      </c>
      <c r="R96" s="52" t="b">
        <f t="shared" si="6"/>
        <v>0</v>
      </c>
    </row>
    <row r="97">
      <c r="B97" s="20" t="str">
        <f>IFERROR(__xludf.DUMMYFUNCTION("if(exact($E97, """"), """", iferror(regexextract($F97, ""^(?:- )?([A-Z]+)""), ""?""))"),"IC")</f>
        <v>IC</v>
      </c>
      <c r="C97" s="57" t="str">
        <f t="shared" si="3"/>
        <v>595-TL072CD</v>
      </c>
      <c r="D97" t="str">
        <f>Parts1!H36</f>
        <v>Braids v5.1</v>
      </c>
      <c r="E97" t="str">
        <f>Parts1!I36</f>
        <v>S</v>
      </c>
      <c r="F97" t="str">
        <f>Parts1!J36</f>
        <v>IC10</v>
      </c>
      <c r="G97">
        <f>Parts1!K36</f>
        <v>1</v>
      </c>
      <c r="H97" t="str">
        <f>Parts1!L36</f>
        <v>TL072 dual op-amp</v>
      </c>
      <c r="I97" t="str">
        <f>Parts1!M36</f>
        <v/>
      </c>
      <c r="J97" t="str">
        <f>Parts1!N36</f>
        <v/>
      </c>
      <c r="K97" t="str">
        <f>Parts1!O36</f>
        <v>SOIC8</v>
      </c>
      <c r="L97" t="str">
        <f>Parts1!P36</f>
        <v>595-TL072CD</v>
      </c>
      <c r="M97" s="51" t="str">
        <f>Parts1!Q36</f>
        <v>Texas Instruments TL072CD</v>
      </c>
      <c r="N97" s="58">
        <v>1.0</v>
      </c>
      <c r="O97" s="52" t="str">
        <f t="shared" si="2"/>
        <v>A</v>
      </c>
      <c r="P97" s="52">
        <f t="shared" si="5"/>
        <v>1</v>
      </c>
      <c r="Q97" s="52">
        <f t="shared" si="4"/>
        <v>11</v>
      </c>
      <c r="R97" s="52" t="b">
        <f t="shared" si="6"/>
        <v>1</v>
      </c>
    </row>
    <row r="98">
      <c r="B98" s="20" t="str">
        <f>IFERROR(__xludf.DUMMYFUNCTION("if(exact($E98, """"), """", iferror(regexextract($F98, ""^(?:- )?([A-Z]+)""), ""?""))"),"IC")</f>
        <v>IC</v>
      </c>
      <c r="C98" s="57" t="str">
        <f t="shared" si="3"/>
        <v>595-TL072CD</v>
      </c>
      <c r="D98" t="str">
        <f>Parts1!H112</f>
        <v>Clouds v3.0</v>
      </c>
      <c r="E98" t="str">
        <f>Parts1!I112</f>
        <v>S</v>
      </c>
      <c r="F98" t="str">
        <f>Parts1!J112</f>
        <v>IC9, IC10</v>
      </c>
      <c r="G98">
        <f>Parts1!K112</f>
        <v>2</v>
      </c>
      <c r="H98" t="str">
        <f>Parts1!L112</f>
        <v>TL072 dual op-amp</v>
      </c>
      <c r="I98" t="str">
        <f>Parts1!M112</f>
        <v/>
      </c>
      <c r="J98" t="str">
        <f>Parts1!N112</f>
        <v/>
      </c>
      <c r="K98" t="str">
        <f>Parts1!O112</f>
        <v>SOIC8</v>
      </c>
      <c r="L98" t="str">
        <f>Parts1!P112</f>
        <v>595-TL072CD</v>
      </c>
      <c r="M98" s="51" t="str">
        <f>Parts1!Q112</f>
        <v>Texas Instruments or ST parts OK</v>
      </c>
      <c r="N98" s="58">
        <v>3.0</v>
      </c>
      <c r="O98" s="52" t="str">
        <f t="shared" si="2"/>
        <v>A</v>
      </c>
      <c r="P98" s="52" t="str">
        <f t="shared" si="5"/>
        <v/>
      </c>
      <c r="Q98" s="52">
        <f t="shared" si="4"/>
        <v>10</v>
      </c>
      <c r="R98" s="52" t="b">
        <f t="shared" si="6"/>
        <v>1</v>
      </c>
    </row>
    <row r="99">
      <c r="B99" s="20" t="str">
        <f>IFERROR(__xludf.DUMMYFUNCTION("if(exact($E99, """"), """", iferror(regexextract($F99, ""^(?:- )?([A-Z]+)""), ""?""))"),"IC")</f>
        <v>IC</v>
      </c>
      <c r="C99" s="57" t="str">
        <f t="shared" si="3"/>
        <v>595-TL072CD</v>
      </c>
      <c r="D99" t="str">
        <f>Parts1!H159</f>
        <v>Edges v2.0</v>
      </c>
      <c r="E99" t="str">
        <f>Parts1!I159</f>
        <v>S</v>
      </c>
      <c r="F99" t="str">
        <f>Parts1!J159</f>
        <v>IC2, IC7, IC9</v>
      </c>
      <c r="G99">
        <f>Parts1!K159</f>
        <v>3</v>
      </c>
      <c r="H99" t="str">
        <f>Parts1!L159</f>
        <v>TL072 dual op-amp</v>
      </c>
      <c r="I99" t="str">
        <f>Parts1!M159</f>
        <v/>
      </c>
      <c r="J99" t="str">
        <f>Parts1!N159</f>
        <v/>
      </c>
      <c r="K99" t="str">
        <f>Parts1!O159</f>
        <v>SOIC8</v>
      </c>
      <c r="L99" t="str">
        <f>Parts1!P159</f>
        <v>595-TL072CD</v>
      </c>
      <c r="M99" s="51" t="str">
        <f>Parts1!Q159</f>
        <v>Texas Instruments TL072CD</v>
      </c>
      <c r="N99" s="58">
        <v>4.0</v>
      </c>
      <c r="O99" s="52" t="str">
        <f t="shared" si="2"/>
        <v>A</v>
      </c>
      <c r="P99" s="52" t="str">
        <f t="shared" si="5"/>
        <v/>
      </c>
      <c r="Q99" s="52">
        <f t="shared" si="4"/>
        <v>9</v>
      </c>
      <c r="R99" s="52" t="b">
        <f t="shared" si="6"/>
        <v>1</v>
      </c>
    </row>
    <row r="100">
      <c r="B100" s="20" t="str">
        <f>IFERROR(__xludf.DUMMYFUNCTION("if(exact($E100, """"), """", iferror(regexextract($F100, ""^(?:- )?([A-Z]+)""), ""?""))"),"IC")</f>
        <v>IC</v>
      </c>
      <c r="C100" s="57" t="str">
        <f t="shared" si="3"/>
        <v>595-TL072CD</v>
      </c>
      <c r="D100" t="str">
        <f>Parts1!H248</f>
        <v>Frames v0.3</v>
      </c>
      <c r="E100" t="str">
        <f>Parts1!I248</f>
        <v>S</v>
      </c>
      <c r="F100" t="str">
        <f>Parts1!J248</f>
        <v>IC6, IC7, IC8, IC9, IC11, IC12, IC13</v>
      </c>
      <c r="G100">
        <f>Parts1!K248</f>
        <v>7</v>
      </c>
      <c r="H100" t="str">
        <f>Parts1!L248</f>
        <v>TL072 dual op-amp</v>
      </c>
      <c r="I100" t="str">
        <f>Parts1!M248</f>
        <v/>
      </c>
      <c r="J100" t="str">
        <f>Parts1!N248</f>
        <v/>
      </c>
      <c r="K100" t="str">
        <f>Parts1!O248</f>
        <v>SOIC8</v>
      </c>
      <c r="L100" t="str">
        <f>Parts1!P248</f>
        <v>595-TL072CD</v>
      </c>
      <c r="M100" s="51" t="str">
        <f>Parts1!Q248</f>
        <v>TI TL072CD</v>
      </c>
      <c r="N100" s="58">
        <v>6.0</v>
      </c>
      <c r="O100" s="52" t="str">
        <f t="shared" si="2"/>
        <v>A</v>
      </c>
      <c r="P100" s="52" t="str">
        <f t="shared" si="5"/>
        <v/>
      </c>
      <c r="Q100" s="52">
        <f t="shared" si="4"/>
        <v>8</v>
      </c>
      <c r="R100" s="52" t="b">
        <f t="shared" si="6"/>
        <v>1</v>
      </c>
    </row>
    <row r="101">
      <c r="B101" s="20" t="str">
        <f>IFERROR(__xludf.DUMMYFUNCTION("if(exact($E101, """"), """", iferror(regexextract($F101, ""^(?:- )?([A-Z]+)""), ""?""))"),"IC")</f>
        <v>IC</v>
      </c>
      <c r="C101" s="57" t="str">
        <f t="shared" si="3"/>
        <v>595-TL072CD</v>
      </c>
      <c r="D101" t="str">
        <f>Parts1!H396</f>
        <v>Rings v3.0</v>
      </c>
      <c r="E101" t="str">
        <f>Parts1!I396</f>
        <v>S</v>
      </c>
      <c r="F101" t="str">
        <f>Parts1!J396</f>
        <v>IC8</v>
      </c>
      <c r="G101">
        <f>Parts1!K396</f>
        <v>1</v>
      </c>
      <c r="H101" t="str">
        <f>Parts1!L396</f>
        <v>TL072 dual op-amp</v>
      </c>
      <c r="I101" t="str">
        <f>Parts1!M396</f>
        <v/>
      </c>
      <c r="J101" t="str">
        <f>Parts1!N396</f>
        <v/>
      </c>
      <c r="K101" t="str">
        <f>Parts1!O396</f>
        <v>SOIC8</v>
      </c>
      <c r="L101" t="str">
        <f>Parts1!P396</f>
        <v>595-TL072CD</v>
      </c>
      <c r="M101" s="51" t="str">
        <f>Parts1!Q396</f>
        <v/>
      </c>
      <c r="N101" s="58">
        <v>10.0</v>
      </c>
      <c r="O101" s="52" t="str">
        <f t="shared" si="2"/>
        <v>A</v>
      </c>
      <c r="P101" s="52" t="str">
        <f t="shared" si="5"/>
        <v/>
      </c>
      <c r="Q101" s="52">
        <f t="shared" si="4"/>
        <v>7</v>
      </c>
      <c r="R101" s="52" t="b">
        <f t="shared" si="6"/>
        <v>1</v>
      </c>
    </row>
    <row r="102">
      <c r="B102" s="20" t="str">
        <f>IFERROR(__xludf.DUMMYFUNCTION("if(exact($E102, """"), """", iferror(regexextract($F102, ""^(?:- )?([A-Z]+)""), ""?""))"),"IC")</f>
        <v>IC</v>
      </c>
      <c r="C102" s="57" t="str">
        <f t="shared" si="3"/>
        <v>595-TL072CD</v>
      </c>
      <c r="D102" t="str">
        <f>Parts1!H438</f>
        <v>Ripples v4.0</v>
      </c>
      <c r="E102" t="str">
        <f>Parts1!I438</f>
        <v>S</v>
      </c>
      <c r="F102" t="str">
        <f>Parts1!J438</f>
        <v>IC1, IC3</v>
      </c>
      <c r="G102">
        <f>Parts1!K438</f>
        <v>2</v>
      </c>
      <c r="H102" t="str">
        <f>Parts1!L438</f>
        <v>TL072 dual op-amp</v>
      </c>
      <c r="I102" t="str">
        <f>Parts1!M438</f>
        <v/>
      </c>
      <c r="J102" t="str">
        <f>Parts1!N438</f>
        <v/>
      </c>
      <c r="K102" t="str">
        <f>Parts1!O438</f>
        <v>SOIC8</v>
      </c>
      <c r="L102" t="str">
        <f>Parts1!P438</f>
        <v>595-TL072CD</v>
      </c>
      <c r="M102" s="51" t="str">
        <f>Parts1!Q438</f>
        <v>TI TL072CD</v>
      </c>
      <c r="N102" s="58">
        <v>11.0</v>
      </c>
      <c r="O102" s="52" t="str">
        <f t="shared" si="2"/>
        <v>A</v>
      </c>
      <c r="P102" s="52" t="str">
        <f t="shared" si="5"/>
        <v/>
      </c>
      <c r="Q102" s="52">
        <f t="shared" si="4"/>
        <v>6</v>
      </c>
      <c r="R102" s="52" t="b">
        <f t="shared" si="6"/>
        <v>1</v>
      </c>
    </row>
    <row r="103">
      <c r="B103" s="20" t="str">
        <f>IFERROR(__xludf.DUMMYFUNCTION("if(exact($E103, """"), """", iferror(regexextract($F103, ""^(?:- )?([A-Z]+)""), ""?""))"),"IC")</f>
        <v>IC</v>
      </c>
      <c r="C103" s="57" t="str">
        <f t="shared" si="3"/>
        <v>595-TL072CD</v>
      </c>
      <c r="D103" t="str">
        <f>Parts1!H461</f>
        <v>Shades v3.1</v>
      </c>
      <c r="E103" t="str">
        <f>Parts1!I461</f>
        <v>S</v>
      </c>
      <c r="F103" t="str">
        <f>Parts1!J461</f>
        <v>IC5</v>
      </c>
      <c r="G103">
        <f>Parts1!K461</f>
        <v>1</v>
      </c>
      <c r="H103" t="str">
        <f>Parts1!L461</f>
        <v>TL072 dual op-amp</v>
      </c>
      <c r="I103" t="str">
        <f>Parts1!M461</f>
        <v/>
      </c>
      <c r="J103" t="str">
        <f>Parts1!N461</f>
        <v/>
      </c>
      <c r="K103" t="str">
        <f>Parts1!O461</f>
        <v>SOIC8</v>
      </c>
      <c r="L103" t="str">
        <f>Parts1!P461</f>
        <v>595-TL072CD</v>
      </c>
      <c r="M103" s="51" t="str">
        <f>Parts1!Q461</f>
        <v>TI TL072CD</v>
      </c>
      <c r="N103" s="58">
        <v>12.0</v>
      </c>
      <c r="O103" s="52" t="str">
        <f t="shared" si="2"/>
        <v>A</v>
      </c>
      <c r="P103" s="52" t="str">
        <f t="shared" si="5"/>
        <v/>
      </c>
      <c r="Q103" s="52">
        <f t="shared" si="4"/>
        <v>5</v>
      </c>
      <c r="R103" s="52" t="b">
        <f t="shared" si="6"/>
        <v>1</v>
      </c>
    </row>
    <row r="104">
      <c r="B104" s="20" t="str">
        <f>IFERROR(__xludf.DUMMYFUNCTION("if(exact($E104, """"), """", iferror(regexextract($F104, ""^(?:- )?([A-Z]+)""), ""?""))"),"IC")</f>
        <v>IC</v>
      </c>
      <c r="C104" s="57" t="str">
        <f t="shared" si="3"/>
        <v>595-TL072CD</v>
      </c>
      <c r="D104" t="str">
        <f>Parts1!H496</f>
        <v>Shelves v0.5</v>
      </c>
      <c r="E104" t="str">
        <f>Parts1!I496</f>
        <v>S</v>
      </c>
      <c r="F104" t="str">
        <f>Parts1!J496</f>
        <v>IC3, IC12, IC13, IC14</v>
      </c>
      <c r="G104">
        <f>Parts1!K496</f>
        <v>4</v>
      </c>
      <c r="H104" t="str">
        <f>Parts1!L496</f>
        <v>TL072 dual op-amp</v>
      </c>
      <c r="I104" t="str">
        <f>Parts1!M496</f>
        <v/>
      </c>
      <c r="J104" t="str">
        <f>Parts1!N496</f>
        <v/>
      </c>
      <c r="K104" t="str">
        <f>Parts1!O496</f>
        <v>SOIC8</v>
      </c>
      <c r="L104" t="str">
        <f>Parts1!P496</f>
        <v>595-TL072CD</v>
      </c>
      <c r="M104" s="51" t="str">
        <f>Parts1!Q496</f>
        <v>TI TL072CD</v>
      </c>
      <c r="N104" s="58">
        <v>13.0</v>
      </c>
      <c r="O104" s="52" t="str">
        <f t="shared" si="2"/>
        <v>A</v>
      </c>
      <c r="P104" s="52" t="str">
        <f t="shared" si="5"/>
        <v/>
      </c>
      <c r="Q104" s="52">
        <f t="shared" si="4"/>
        <v>4</v>
      </c>
      <c r="R104" s="52" t="b">
        <f t="shared" si="6"/>
        <v>1</v>
      </c>
    </row>
    <row r="105">
      <c r="B105" s="20" t="str">
        <f>IFERROR(__xludf.DUMMYFUNCTION("if(exact($E105, """"), """", iferror(regexextract($F105, ""^(?:- )?([A-Z]+)""), ""?""))"),"IC")</f>
        <v>IC</v>
      </c>
      <c r="C105" s="57" t="str">
        <f t="shared" si="3"/>
        <v>595-TL072CD</v>
      </c>
      <c r="D105" t="str">
        <f>Parts1!H549</f>
        <v>Streams v0.5</v>
      </c>
      <c r="E105" t="str">
        <f>Parts1!I549</f>
        <v>S</v>
      </c>
      <c r="F105" t="str">
        <f>Parts1!J549</f>
        <v>IC5, IC6</v>
      </c>
      <c r="G105">
        <f>Parts1!K549</f>
        <v>2</v>
      </c>
      <c r="H105" t="str">
        <f>Parts1!L549</f>
        <v>TL072 dual op-amp</v>
      </c>
      <c r="I105" t="str">
        <f>Parts1!M549</f>
        <v/>
      </c>
      <c r="J105" t="str">
        <f>Parts1!N549</f>
        <v/>
      </c>
      <c r="K105" t="str">
        <f>Parts1!O549</f>
        <v>SOIC8</v>
      </c>
      <c r="L105" t="str">
        <f>Parts1!P549</f>
        <v>595-TL072CD</v>
      </c>
      <c r="M105" s="51" t="str">
        <f>Parts1!Q549</f>
        <v>TI TL072CD</v>
      </c>
      <c r="N105" s="58">
        <v>15.0</v>
      </c>
      <c r="O105" s="52" t="str">
        <f t="shared" si="2"/>
        <v>A</v>
      </c>
      <c r="P105" s="52" t="str">
        <f t="shared" si="5"/>
        <v/>
      </c>
      <c r="Q105" s="52">
        <f t="shared" si="4"/>
        <v>3</v>
      </c>
      <c r="R105" s="52" t="b">
        <f t="shared" si="6"/>
        <v>1</v>
      </c>
    </row>
    <row r="106">
      <c r="B106" s="20" t="str">
        <f>IFERROR(__xludf.DUMMYFUNCTION("if(exact($E106, """"), """", iferror(regexextract($F106, ""^(?:- )?([A-Z]+)""), ""?""))"),"IC")</f>
        <v>IC</v>
      </c>
      <c r="C106" s="57" t="str">
        <f t="shared" si="3"/>
        <v>595-TL072CD</v>
      </c>
      <c r="D106" t="str">
        <f>Parts1!H550</f>
        <v>Streams v0.5</v>
      </c>
      <c r="E106" t="str">
        <f>Parts1!I550</f>
        <v>S</v>
      </c>
      <c r="F106" t="str">
        <f>Parts1!J550</f>
        <v>IC7, IC10</v>
      </c>
      <c r="G106">
        <f>Parts1!K550</f>
        <v>2</v>
      </c>
      <c r="H106" t="str">
        <f>Parts1!L550</f>
        <v>TL072 dual op-amp</v>
      </c>
      <c r="I106" t="str">
        <f>Parts1!M550</f>
        <v/>
      </c>
      <c r="J106" t="str">
        <f>Parts1!N550</f>
        <v/>
      </c>
      <c r="K106" t="str">
        <f>Parts1!O550</f>
        <v>SOIC8</v>
      </c>
      <c r="L106" t="str">
        <f>Parts1!P550</f>
        <v>595-TL072CD</v>
      </c>
      <c r="M106" s="51" t="str">
        <f>Parts1!Q550</f>
        <v>TI TL072CD</v>
      </c>
      <c r="N106" s="58">
        <v>15.0</v>
      </c>
      <c r="O106" s="52" t="str">
        <f t="shared" si="2"/>
        <v>A</v>
      </c>
      <c r="P106" s="52" t="str">
        <f t="shared" si="5"/>
        <v/>
      </c>
      <c r="Q106" s="52">
        <f t="shared" si="4"/>
        <v>2</v>
      </c>
      <c r="R106" s="52" t="b">
        <f t="shared" si="6"/>
        <v>1</v>
      </c>
    </row>
    <row r="107">
      <c r="B107" s="20" t="str">
        <f>IFERROR(__xludf.DUMMYFUNCTION("if(exact($E107, """"), """", iferror(regexextract($F107, ""^(?:- )?([A-Z]+)""), ""?""))"),"IC")</f>
        <v>IC</v>
      </c>
      <c r="C107" s="57" t="str">
        <f t="shared" si="3"/>
        <v>595-TL072CD</v>
      </c>
      <c r="D107" t="str">
        <f>Parts1!H610</f>
        <v>Tides v4.0</v>
      </c>
      <c r="E107" t="str">
        <f>Parts1!I610</f>
        <v>S</v>
      </c>
      <c r="F107" t="str">
        <f>Parts1!J610</f>
        <v>IC5, IC6</v>
      </c>
      <c r="G107">
        <f>Parts1!K610</f>
        <v>2</v>
      </c>
      <c r="H107" t="str">
        <f>Parts1!L610</f>
        <v>TL072 dual op-amp</v>
      </c>
      <c r="I107" t="str">
        <f>Parts1!M610</f>
        <v/>
      </c>
      <c r="J107" t="str">
        <f>Parts1!N610</f>
        <v/>
      </c>
      <c r="K107" t="str">
        <f>Parts1!O610</f>
        <v>SOIC8</v>
      </c>
      <c r="L107" t="str">
        <f>Parts1!P610</f>
        <v>595-TL072CD</v>
      </c>
      <c r="M107" s="51" t="str">
        <f>Parts1!Q610</f>
        <v>TI TL072CD</v>
      </c>
      <c r="N107" s="58">
        <v>17.0</v>
      </c>
      <c r="O107" s="52" t="str">
        <f t="shared" si="2"/>
        <v>A</v>
      </c>
      <c r="P107" s="52" t="str">
        <f t="shared" si="5"/>
        <v/>
      </c>
      <c r="Q107" s="52">
        <f t="shared" si="4"/>
        <v>1</v>
      </c>
      <c r="R107" s="52" t="b">
        <f t="shared" si="6"/>
        <v>1</v>
      </c>
    </row>
    <row r="108">
      <c r="B108" s="20" t="str">
        <f>IFERROR(__xludf.DUMMYFUNCTION("if(exact($E108, """"), """", iferror(regexextract($F108, ""^(?:- )?([A-Z]+)""), ""?""))"),"IC")</f>
        <v>IC</v>
      </c>
      <c r="C108" s="57" t="str">
        <f t="shared" si="3"/>
        <v>595-TL072CD</v>
      </c>
      <c r="D108" t="str">
        <f>Parts1!H660</f>
        <v>Warps v3.0</v>
      </c>
      <c r="E108" t="str">
        <f>Parts1!I660</f>
        <v>S</v>
      </c>
      <c r="F108" t="str">
        <f>Parts1!J660</f>
        <v>IC6</v>
      </c>
      <c r="G108">
        <f>Parts1!K660</f>
        <v>1</v>
      </c>
      <c r="H108" t="str">
        <f>Parts1!L660</f>
        <v>TL072 dual op-amp</v>
      </c>
      <c r="I108" t="str">
        <f>Parts1!M660</f>
        <v/>
      </c>
      <c r="J108" t="str">
        <f>Parts1!N660</f>
        <v/>
      </c>
      <c r="K108" t="str">
        <f>Parts1!O660</f>
        <v>SOIC8</v>
      </c>
      <c r="L108" t="str">
        <f>Parts1!P660</f>
        <v>595-TL072CD</v>
      </c>
      <c r="M108" s="51" t="str">
        <f>Parts1!Q660</f>
        <v/>
      </c>
      <c r="N108" s="58">
        <v>18.0</v>
      </c>
      <c r="O108" s="52" t="str">
        <f t="shared" si="2"/>
        <v>A</v>
      </c>
      <c r="P108" s="52" t="str">
        <f t="shared" si="5"/>
        <v/>
      </c>
      <c r="Q108" s="52">
        <f t="shared" si="4"/>
        <v>0</v>
      </c>
      <c r="R108" s="52" t="b">
        <f t="shared" si="6"/>
        <v>1</v>
      </c>
    </row>
    <row r="109">
      <c r="B109" s="20" t="str">
        <f>IFERROR(__xludf.DUMMYFUNCTION("if(exact($E109, """"), """", iferror(regexextract($F109, ""^(?:- )?([A-Z]+)""), ""?""))"),"IC")</f>
        <v>IC</v>
      </c>
      <c r="C109" s="57" t="str">
        <f t="shared" si="3"/>
        <v>595-TL072CPWR</v>
      </c>
      <c r="D109" t="str">
        <f>Parts1!H311</f>
        <v>Links v4</v>
      </c>
      <c r="E109" t="str">
        <f>Parts1!I311</f>
        <v>S</v>
      </c>
      <c r="F109" t="str">
        <f>Parts1!J311</f>
        <v>IC2, IC4</v>
      </c>
      <c r="G109">
        <f>Parts1!K311</f>
        <v>2</v>
      </c>
      <c r="H109" t="str">
        <f>Parts1!L311</f>
        <v>TL072 dual op-amp</v>
      </c>
      <c r="I109" t="str">
        <f>Parts1!M311</f>
        <v/>
      </c>
      <c r="J109" t="str">
        <f>Parts1!N311</f>
        <v/>
      </c>
      <c r="K109" t="str">
        <f>Parts1!O311</f>
        <v>TSSOP8</v>
      </c>
      <c r="L109" t="str">
        <f>Parts1!P311</f>
        <v>595-TL072CPWR</v>
      </c>
      <c r="M109" s="51" t="str">
        <f>Parts1!Q311</f>
        <v>Texas Instruments TL072CPW</v>
      </c>
      <c r="N109" s="58">
        <v>8.0</v>
      </c>
      <c r="O109" s="52" t="str">
        <f t="shared" si="2"/>
        <v>A</v>
      </c>
      <c r="P109" s="52">
        <f t="shared" si="5"/>
        <v>1</v>
      </c>
      <c r="Q109" s="52">
        <f t="shared" si="4"/>
        <v>0</v>
      </c>
      <c r="R109" s="52" t="b">
        <f t="shared" si="6"/>
        <v>0</v>
      </c>
    </row>
    <row r="110">
      <c r="B110" s="20" t="str">
        <f>IFERROR(__xludf.DUMMYFUNCTION("if(exact($E110, """"), """", iferror(regexextract($F110, ""^(?:- )?([A-Z]+)""), ""?""))"),"IC")</f>
        <v>IC</v>
      </c>
      <c r="C110" s="57" t="str">
        <f t="shared" si="3"/>
        <v>595-TL074CD</v>
      </c>
      <c r="D110" t="str">
        <f>Parts1!H35</f>
        <v>Braids v5.1</v>
      </c>
      <c r="E110" t="str">
        <f>Parts1!I35</f>
        <v>S</v>
      </c>
      <c r="F110" t="str">
        <f>Parts1!J35</f>
        <v>IC9</v>
      </c>
      <c r="G110">
        <f>Parts1!K35</f>
        <v>1</v>
      </c>
      <c r="H110" t="str">
        <f>Parts1!L35</f>
        <v>TL074 quad op-amp</v>
      </c>
      <c r="I110" t="str">
        <f>Parts1!M35</f>
        <v/>
      </c>
      <c r="J110" t="str">
        <f>Parts1!N35</f>
        <v/>
      </c>
      <c r="K110" t="str">
        <f>Parts1!O35</f>
        <v>SOIC14</v>
      </c>
      <c r="L110" t="str">
        <f>Parts1!P35</f>
        <v>595-TL074CD</v>
      </c>
      <c r="M110" s="51" t="str">
        <f>Parts1!Q35</f>
        <v>Texas Instruments TL074CD</v>
      </c>
      <c r="N110" s="58">
        <v>1.0</v>
      </c>
      <c r="O110" s="52" t="str">
        <f t="shared" si="2"/>
        <v>A</v>
      </c>
      <c r="P110" s="52">
        <f t="shared" si="5"/>
        <v>1</v>
      </c>
      <c r="Q110" s="52">
        <f t="shared" si="4"/>
        <v>2</v>
      </c>
      <c r="R110" s="52" t="b">
        <f t="shared" si="6"/>
        <v>1</v>
      </c>
    </row>
    <row r="111">
      <c r="B111" s="20" t="str">
        <f>IFERROR(__xludf.DUMMYFUNCTION("if(exact($E111, """"), """", iferror(regexextract($F111, ""^(?:- )?([A-Z]+)""), ""?""))"),"IC")</f>
        <v>IC</v>
      </c>
      <c r="C111" s="61" t="str">
        <f t="shared" si="3"/>
        <v>595-TL074CD</v>
      </c>
      <c r="D111" t="str">
        <f>Parts1!H441</f>
        <v>Ripples v4.0</v>
      </c>
      <c r="E111" t="str">
        <f>Parts1!I441</f>
        <v>S</v>
      </c>
      <c r="F111" t="str">
        <f>Parts1!J441</f>
        <v>IC5, IC6</v>
      </c>
      <c r="G111">
        <f>Parts1!K441</f>
        <v>2</v>
      </c>
      <c r="H111" t="str">
        <f>Parts1!L441</f>
        <v>TL074 quad op-amp</v>
      </c>
      <c r="I111" t="str">
        <f>Parts1!M441</f>
        <v/>
      </c>
      <c r="J111" s="59" t="str">
        <f>Parts1!N441</f>
        <v/>
      </c>
      <c r="K111" s="59" t="str">
        <f>Parts1!O441</f>
        <v>SOIC14</v>
      </c>
      <c r="L111" s="62" t="str">
        <f>Parts1!P441</f>
        <v>595-TL074CD</v>
      </c>
      <c r="M111" s="51" t="str">
        <f>Parts1!Q441</f>
        <v>Texas Instruments TL074CD</v>
      </c>
      <c r="N111" s="58">
        <v>11.0</v>
      </c>
      <c r="O111" s="52" t="str">
        <f t="shared" si="2"/>
        <v>A</v>
      </c>
      <c r="P111" s="52" t="str">
        <f t="shared" si="5"/>
        <v/>
      </c>
      <c r="Q111" s="52">
        <f t="shared" si="4"/>
        <v>1</v>
      </c>
      <c r="R111" s="52" t="b">
        <f t="shared" si="6"/>
        <v>1</v>
      </c>
    </row>
    <row r="112">
      <c r="B112" s="20" t="str">
        <f>IFERROR(__xludf.DUMMYFUNCTION("if(exact($E112, """"), """", iferror(regexextract($F112, ""^(?:- )?([A-Z]+)""), ""?""))"),"IC")</f>
        <v>IC</v>
      </c>
      <c r="C112" s="57" t="str">
        <f t="shared" si="3"/>
        <v>595-TL074CD</v>
      </c>
      <c r="D112" t="str">
        <f>Parts1!H497</f>
        <v>Shelves v0.5</v>
      </c>
      <c r="E112" t="str">
        <f>Parts1!I497</f>
        <v>S</v>
      </c>
      <c r="F112" t="str">
        <f>Parts1!J497</f>
        <v>IC4, IC6, IC7, IC9, IC10</v>
      </c>
      <c r="G112">
        <f>Parts1!K497</f>
        <v>5</v>
      </c>
      <c r="H112" t="str">
        <f>Parts1!L497</f>
        <v>TL074 quad op-amp</v>
      </c>
      <c r="I112" t="str">
        <f>Parts1!M497</f>
        <v/>
      </c>
      <c r="J112" t="str">
        <f>Parts1!N497</f>
        <v/>
      </c>
      <c r="K112" t="str">
        <f>Parts1!O497</f>
        <v>SOIC14</v>
      </c>
      <c r="L112" t="str">
        <f>Parts1!P497</f>
        <v>595-TL074CD</v>
      </c>
      <c r="M112" s="51" t="str">
        <f>Parts1!Q497</f>
        <v>Texas Instruments TL074CD</v>
      </c>
      <c r="N112" s="58">
        <v>13.0</v>
      </c>
      <c r="O112" s="52" t="str">
        <f t="shared" si="2"/>
        <v>A</v>
      </c>
      <c r="P112" s="52" t="str">
        <f t="shared" si="5"/>
        <v/>
      </c>
      <c r="Q112" s="52">
        <f t="shared" si="4"/>
        <v>0</v>
      </c>
      <c r="R112" s="52" t="b">
        <f t="shared" si="6"/>
        <v>1</v>
      </c>
    </row>
    <row r="113">
      <c r="B113" s="20" t="str">
        <f>IFERROR(__xludf.DUMMYFUNCTION("if(exact($E113, """"), """", iferror(regexextract($F113, ""^(?:- )?([A-Z]+)""), ""?""))"),"C")</f>
        <v>C</v>
      </c>
      <c r="C113" s="57" t="str">
        <f t="shared" si="3"/>
        <v>598-AVE106M16B12T-F</v>
      </c>
      <c r="D113" t="str">
        <f>Parts1!H100</f>
        <v>Clouds v3.0</v>
      </c>
      <c r="E113" t="str">
        <f>Parts1!I100</f>
        <v>S</v>
      </c>
      <c r="F113" t="str">
        <f>Parts1!J100</f>
        <v>C31, C33, C35, C36, C37, C41</v>
      </c>
      <c r="G113">
        <f>Parts1!K100</f>
        <v>6</v>
      </c>
      <c r="H113" t="str">
        <f>Parts1!L100</f>
        <v>Capacitor, electrolytic</v>
      </c>
      <c r="I113" t="str">
        <f>Parts1!M100</f>
        <v>&gt;= 16V</v>
      </c>
      <c r="J113" t="str">
        <f>Parts1!N100</f>
        <v>10u</v>
      </c>
      <c r="K113" s="59" t="str">
        <f>Parts1!O100</f>
        <v>Panasonic B</v>
      </c>
      <c r="L113" t="str">
        <f>Parts1!P100</f>
        <v>598-AVE106M16B12T-F</v>
      </c>
      <c r="M113" s="51" t="str">
        <f>Parts1!Q100</f>
        <v>Cornell Dubilier AVE106M16B12T-F</v>
      </c>
      <c r="N113" s="58">
        <v>3.0</v>
      </c>
      <c r="O113" s="52" t="str">
        <f t="shared" si="2"/>
        <v>A</v>
      </c>
      <c r="P113" s="52">
        <f t="shared" si="5"/>
        <v>1</v>
      </c>
      <c r="Q113" s="52">
        <f t="shared" si="4"/>
        <v>1</v>
      </c>
      <c r="R113" s="52" t="b">
        <f t="shared" si="6"/>
        <v>0</v>
      </c>
    </row>
    <row r="114">
      <c r="B114" s="20" t="str">
        <f>IFERROR(__xludf.DUMMYFUNCTION("if(exact($E114, """"), """", iferror(regexextract($F114, ""^(?:- )?([A-Z]+)""), ""?""))"),"C")</f>
        <v>C</v>
      </c>
      <c r="C114" s="57" t="str">
        <f t="shared" si="3"/>
        <v>598-AVE106M16B12T-F</v>
      </c>
      <c r="D114" t="str">
        <f>Parts1!H196</f>
        <v>Elements v0.21</v>
      </c>
      <c r="E114" t="str">
        <f>Parts1!I196</f>
        <v>S</v>
      </c>
      <c r="F114" t="str">
        <f>Parts1!J196</f>
        <v>C40, C52, C53, C55, C56</v>
      </c>
      <c r="G114">
        <f>Parts1!K196</f>
        <v>5</v>
      </c>
      <c r="H114" t="str">
        <f>Parts1!L196</f>
        <v>Capacitor, electrolytic</v>
      </c>
      <c r="I114" t="str">
        <f>Parts1!M196</f>
        <v>&gt;= 16V</v>
      </c>
      <c r="J114" t="str">
        <f>Parts1!N196</f>
        <v>10u</v>
      </c>
      <c r="K114" t="str">
        <f>Parts1!O196</f>
        <v>Panasonic B</v>
      </c>
      <c r="L114" t="str">
        <f>Parts1!P196</f>
        <v>598-AVE106M16B12T-F</v>
      </c>
      <c r="M114" s="51" t="str">
        <f>Parts1!Q196</f>
        <v>Cornell Dubilier AVE106M16B12T-F</v>
      </c>
      <c r="N114" s="58">
        <v>5.0</v>
      </c>
      <c r="O114" s="52" t="str">
        <f t="shared" si="2"/>
        <v>A</v>
      </c>
      <c r="P114" s="52" t="str">
        <f t="shared" si="5"/>
        <v/>
      </c>
      <c r="Q114" s="52">
        <f t="shared" si="4"/>
        <v>0</v>
      </c>
      <c r="R114" s="52" t="b">
        <f t="shared" si="6"/>
        <v>0</v>
      </c>
    </row>
    <row r="115">
      <c r="B115" s="20" t="str">
        <f>IFERROR(__xludf.DUMMYFUNCTION("if(exact($E115, """"), """", iferror(regexextract($F115, ""^(?:- )?([A-Z]+)""), ""?""))"),"R")</f>
        <v>R</v>
      </c>
      <c r="C115" s="57" t="str">
        <f t="shared" si="3"/>
        <v>603RC0603FR0710ML</v>
      </c>
      <c r="D115" t="str">
        <f>Parts1!H306</f>
        <v>Links v4</v>
      </c>
      <c r="E115" t="str">
        <f>Parts1!I306</f>
        <v>S</v>
      </c>
      <c r="F115" t="str">
        <f>Parts1!J306</f>
        <v>R1</v>
      </c>
      <c r="G115">
        <f>Parts1!K306</f>
        <v>1</v>
      </c>
      <c r="H115" t="str">
        <f>Parts1!L306</f>
        <v>Resistor, 1%</v>
      </c>
      <c r="I115" t="str">
        <f>Parts1!M306</f>
        <v/>
      </c>
      <c r="J115" t="str">
        <f>Parts1!N306</f>
        <v>10M</v>
      </c>
      <c r="K115" t="str">
        <f>Parts1!O306</f>
        <v>0603</v>
      </c>
      <c r="L115" t="str">
        <f>Parts1!P306</f>
        <v>603-RC0603FR-0710ML</v>
      </c>
      <c r="M115" s="51" t="str">
        <f>Parts1!Q306</f>
        <v/>
      </c>
      <c r="N115" s="58">
        <v>8.0</v>
      </c>
      <c r="O115" s="52" t="str">
        <f t="shared" si="2"/>
        <v>A</v>
      </c>
      <c r="P115" s="52">
        <f t="shared" si="5"/>
        <v>1</v>
      </c>
      <c r="Q115" s="52">
        <f t="shared" si="4"/>
        <v>0</v>
      </c>
      <c r="R115" s="52" t="b">
        <f t="shared" si="6"/>
        <v>1</v>
      </c>
    </row>
    <row r="116">
      <c r="B116" s="20" t="str">
        <f>IFERROR(__xludf.DUMMYFUNCTION("if(exact($E116, """"), """", iferror(regexextract($F116, ""^(?:- )?([A-Z]+)""), ""?""))"),"DISP")</f>
        <v>DISP</v>
      </c>
      <c r="C116" s="57" t="str">
        <f t="shared" si="3"/>
        <v>604-PDC54-11GWA</v>
      </c>
      <c r="D116" t="str">
        <f>Parts1!H42</f>
        <v>Braids v5.1</v>
      </c>
      <c r="E116" t="str">
        <f>Parts1!I42</f>
        <v>U</v>
      </c>
      <c r="F116" t="str">
        <f>Parts1!J42</f>
        <v>DISP1, DISP2</v>
      </c>
      <c r="G116">
        <f>Parts1!K42</f>
        <v>2</v>
      </c>
      <c r="H116" t="str">
        <f>Parts1!L42</f>
        <v>14 segments 2 characters LED module</v>
      </c>
      <c r="I116" t="str">
        <f>Parts1!M42</f>
        <v>Green, comm. cathode</v>
      </c>
      <c r="J116" t="str">
        <f>Parts1!N42</f>
        <v/>
      </c>
      <c r="K116" t="str">
        <f>Parts1!O42</f>
        <v/>
      </c>
      <c r="L116" t="str">
        <f>Parts1!P42</f>
        <v>604-PDC54-11GWA</v>
      </c>
      <c r="M116" s="51" t="str">
        <f>Parts1!Q42</f>
        <v>KINGBRIGHT PDC54-11GWA</v>
      </c>
      <c r="N116" s="58">
        <v>1.0</v>
      </c>
      <c r="O116" s="52" t="str">
        <f t="shared" si="2"/>
        <v>B</v>
      </c>
      <c r="P116" s="52">
        <f t="shared" si="5"/>
        <v>1</v>
      </c>
      <c r="Q116" s="52">
        <f t="shared" si="4"/>
        <v>1</v>
      </c>
      <c r="R116" s="52" t="b">
        <f t="shared" si="6"/>
        <v>0</v>
      </c>
    </row>
    <row r="117">
      <c r="B117" s="20" t="str">
        <f>IFERROR(__xludf.DUMMYFUNCTION("if(exact($E117, """"), """", iferror(regexextract($F117, ""^(?:- )?([A-Z]+)""), ""?""))"),"DISP")</f>
        <v>DISP</v>
      </c>
      <c r="C117" s="63" t="str">
        <f t="shared" si="3"/>
        <v>604-PDC54-11GWA</v>
      </c>
      <c r="D117" t="str">
        <f>Parts1!H714</f>
        <v>Yarns v0.3</v>
      </c>
      <c r="E117" t="str">
        <f>Parts1!I714</f>
        <v>D</v>
      </c>
      <c r="F117" s="64" t="str">
        <f>Parts1!J714</f>
        <v>DISP1</v>
      </c>
      <c r="G117" s="65">
        <f>Parts1!K714</f>
        <v>1</v>
      </c>
      <c r="H117" s="64" t="str">
        <f>Parts1!L714</f>
        <v>14 segments 2 characters LED module</v>
      </c>
      <c r="I117" s="64" t="str">
        <f>Parts1!M714</f>
        <v>Green, comm. cathode</v>
      </c>
      <c r="J117" s="64" t="str">
        <f>Parts1!N714</f>
        <v/>
      </c>
      <c r="K117" s="64" t="str">
        <f>Parts1!O714</f>
        <v/>
      </c>
      <c r="L117" s="66" t="str">
        <f>Parts1!P714</f>
        <v>604-PDC54-11GWA</v>
      </c>
      <c r="M117" s="67" t="str">
        <f>Parts1!Q714</f>
        <v>KINGBRIGHT PDC54-11GWA</v>
      </c>
      <c r="N117" s="58">
        <v>19.0</v>
      </c>
      <c r="O117" s="52" t="str">
        <f t="shared" si="2"/>
        <v>C</v>
      </c>
      <c r="P117" s="52" t="str">
        <f t="shared" si="5"/>
        <v/>
      </c>
      <c r="Q117" s="52">
        <f t="shared" si="4"/>
        <v>0</v>
      </c>
      <c r="R117" s="52" t="b">
        <f t="shared" si="6"/>
        <v>0</v>
      </c>
    </row>
    <row r="118">
      <c r="B118" s="20" t="str">
        <f>IFERROR(__xludf.DUMMYFUNCTION("if(exact($E118, """"), """", iferror(regexextract($F118, ""^(?:- )?([A-Z]+)""), ""?""))"),"LED")</f>
        <v>LED</v>
      </c>
      <c r="C118" s="57" t="str">
        <f t="shared" si="3"/>
        <v>604-WP115VEGW</v>
      </c>
      <c r="D118" t="str">
        <f>Parts1!H406</f>
        <v>Rings v3.0</v>
      </c>
      <c r="E118" t="str">
        <f>Parts1!I406</f>
        <v>U</v>
      </c>
      <c r="F118" t="str">
        <f>Parts1!J406</f>
        <v>LED1, LED2</v>
      </c>
      <c r="G118">
        <f>Parts1!K406</f>
        <v>2</v>
      </c>
      <c r="H118" t="str">
        <f>Parts1!L406</f>
        <v>LED, Red/Green, 3 terminals, common K</v>
      </c>
      <c r="I118" t="str">
        <f>Parts1!M406</f>
        <v/>
      </c>
      <c r="J118" t="str">
        <f>Parts1!N406</f>
        <v/>
      </c>
      <c r="K118" t="str">
        <f>Parts1!O406</f>
        <v>3 terminals</v>
      </c>
      <c r="L118" t="str">
        <f>Parts1!P406</f>
        <v>604-WP115VEGW</v>
      </c>
      <c r="M118" s="51" t="str">
        <f>Parts1!Q406</f>
        <v>Kingbright WP115VEGW</v>
      </c>
      <c r="N118" s="58">
        <v>10.0</v>
      </c>
      <c r="O118" s="52" t="str">
        <f t="shared" si="2"/>
        <v>B</v>
      </c>
      <c r="P118" s="52">
        <f t="shared" si="5"/>
        <v>1</v>
      </c>
      <c r="Q118" s="52">
        <f t="shared" si="4"/>
        <v>3</v>
      </c>
      <c r="R118" s="52" t="b">
        <f t="shared" si="6"/>
        <v>1</v>
      </c>
    </row>
    <row r="119">
      <c r="B119" s="20" t="str">
        <f>IFERROR(__xludf.DUMMYFUNCTION("if(exact($E119, """"), """", iferror(regexextract($F119, ""^(?:- )?([A-Z]+)""), ""?""))"),"LED")</f>
        <v>LED</v>
      </c>
      <c r="C119" s="57" t="str">
        <f t="shared" si="3"/>
        <v>604-WP115VEGW</v>
      </c>
      <c r="D119" t="str">
        <f>Parts1!H575</f>
        <v>Streams Bargraph v0.2</v>
      </c>
      <c r="E119" t="str">
        <f>Parts1!I575</f>
        <v>U</v>
      </c>
      <c r="F119" t="str">
        <f>Parts1!J575</f>
        <v>LED1, LED2, LED3, LED4, LED5, LED6, LED7, LED8</v>
      </c>
      <c r="G119">
        <f>Parts1!K575</f>
        <v>8</v>
      </c>
      <c r="H119" t="str">
        <f>Parts1!L575</f>
        <v>LED, Red/Green, 3 terminals, common K</v>
      </c>
      <c r="I119" t="str">
        <f>Parts1!M575</f>
        <v/>
      </c>
      <c r="J119" t="str">
        <f>Parts1!N575</f>
        <v/>
      </c>
      <c r="K119" t="str">
        <f>Parts1!O575</f>
        <v>3 terminals</v>
      </c>
      <c r="L119" t="str">
        <f>Parts1!P575</f>
        <v>604-WP115VEGW</v>
      </c>
      <c r="M119" s="51" t="str">
        <f>Parts1!Q575</f>
        <v>Kingbright WP115VEGW</v>
      </c>
      <c r="N119" s="58">
        <v>16.0</v>
      </c>
      <c r="O119" s="52" t="str">
        <f t="shared" si="2"/>
        <v>B</v>
      </c>
      <c r="P119" s="52" t="str">
        <f t="shared" si="5"/>
        <v/>
      </c>
      <c r="Q119" s="52">
        <f t="shared" si="4"/>
        <v>2</v>
      </c>
      <c r="R119" s="52" t="b">
        <f t="shared" si="6"/>
        <v>1</v>
      </c>
    </row>
    <row r="120">
      <c r="B120" s="20" t="str">
        <f>IFERROR(__xludf.DUMMYFUNCTION("if(exact($E120, """"), """", iferror(regexextract($F120, ""^(?:- )?([A-Z]+)""), ""?""))"),"LED")</f>
        <v>LED</v>
      </c>
      <c r="C120" s="57" t="str">
        <f t="shared" si="3"/>
        <v>604-WP115VEGW</v>
      </c>
      <c r="D120" t="str">
        <f>Parts1!H619</f>
        <v>Tides v4.0</v>
      </c>
      <c r="E120" t="str">
        <f>Parts1!I619</f>
        <v>U</v>
      </c>
      <c r="F120" t="str">
        <f>Parts1!J619</f>
        <v>LED1, LED2, LED3</v>
      </c>
      <c r="G120">
        <f>Parts1!K619</f>
        <v>3</v>
      </c>
      <c r="H120" t="str">
        <f>Parts1!L619</f>
        <v>LED, Red/Green, 3 terminals, common K</v>
      </c>
      <c r="I120" t="str">
        <f>Parts1!M619</f>
        <v/>
      </c>
      <c r="J120" t="str">
        <f>Parts1!N619</f>
        <v/>
      </c>
      <c r="K120" t="str">
        <f>Parts1!O619</f>
        <v>3 terminals</v>
      </c>
      <c r="L120" t="str">
        <f>Parts1!P619</f>
        <v>604-WP115VEGW</v>
      </c>
      <c r="M120" s="51" t="str">
        <f>Parts1!Q619</f>
        <v>Kingbright WP115VEGW</v>
      </c>
      <c r="N120" s="58">
        <v>17.0</v>
      </c>
      <c r="O120" s="52" t="str">
        <f t="shared" si="2"/>
        <v>B</v>
      </c>
      <c r="P120" s="52" t="str">
        <f t="shared" si="5"/>
        <v/>
      </c>
      <c r="Q120" s="52">
        <f t="shared" si="4"/>
        <v>1</v>
      </c>
      <c r="R120" s="52" t="b">
        <f t="shared" si="6"/>
        <v>1</v>
      </c>
    </row>
    <row r="121">
      <c r="B121" s="20" t="str">
        <f>IFERROR(__xludf.DUMMYFUNCTION("if(exact($E121, """"), """", iferror(regexextract($F121, ""^(?:- )?([A-Z]+)""), ""?""))"),"LED")</f>
        <v>LED</v>
      </c>
      <c r="C121" s="57" t="str">
        <f t="shared" si="3"/>
        <v>604-WP115VEGW</v>
      </c>
      <c r="D121" t="str">
        <f>Parts1!H670</f>
        <v>Warps v3.0</v>
      </c>
      <c r="E121" t="str">
        <f>Parts1!I670</f>
        <v>U</v>
      </c>
      <c r="F121" t="str">
        <f>Parts1!J670</f>
        <v>LED2</v>
      </c>
      <c r="G121">
        <f>Parts1!K670</f>
        <v>1</v>
      </c>
      <c r="H121" t="str">
        <f>Parts1!L670</f>
        <v>LED, Red/Green, 3 terminals, common K</v>
      </c>
      <c r="I121" t="str">
        <f>Parts1!M670</f>
        <v/>
      </c>
      <c r="J121" t="str">
        <f>Parts1!N670</f>
        <v/>
      </c>
      <c r="K121" t="str">
        <f>Parts1!O670</f>
        <v>3 terminals</v>
      </c>
      <c r="L121" t="str">
        <f>Parts1!P670</f>
        <v>604-WP115VEGW</v>
      </c>
      <c r="M121" s="51" t="str">
        <f>Parts1!Q670</f>
        <v>Kingbright WP115VEGW</v>
      </c>
      <c r="N121" s="58">
        <v>18.0</v>
      </c>
      <c r="O121" s="52" t="str">
        <f t="shared" si="2"/>
        <v>B</v>
      </c>
      <c r="P121" s="52" t="str">
        <f t="shared" si="5"/>
        <v/>
      </c>
      <c r="Q121" s="52">
        <f t="shared" si="4"/>
        <v>0</v>
      </c>
      <c r="R121" s="52" t="b">
        <f t="shared" si="6"/>
        <v>1</v>
      </c>
    </row>
    <row r="122">
      <c r="B122" s="20" t="str">
        <f>IFERROR(__xludf.DUMMYFUNCTION("if(exact($E122, """"), """", iferror(regexextract($F122, ""^(?:- )?([A-Z]+)""), ""?""))"),"LED")</f>
        <v>LED</v>
      </c>
      <c r="C122" s="57" t="str">
        <f t="shared" si="3"/>
        <v>604-WP154A4SUREQBFZG</v>
      </c>
      <c r="D122" t="str">
        <f>Parts1!H669</f>
        <v>Warps v3.0</v>
      </c>
      <c r="E122" t="str">
        <f>Parts1!I669</f>
        <v>U</v>
      </c>
      <c r="F122" t="str">
        <f>Parts1!J669</f>
        <v>LED1</v>
      </c>
      <c r="G122">
        <f>Parts1!K669</f>
        <v>1</v>
      </c>
      <c r="H122" t="str">
        <f>Parts1!L669</f>
        <v>LED 5mm RGB</v>
      </c>
      <c r="I122" t="str">
        <f>Parts1!M669</f>
        <v/>
      </c>
      <c r="J122" t="str">
        <f>Parts1!N669</f>
        <v/>
      </c>
      <c r="K122" t="str">
        <f>Parts1!O669</f>
        <v/>
      </c>
      <c r="L122" t="str">
        <f>Parts1!P669</f>
        <v>604-WP154A4SUREQBFZG</v>
      </c>
      <c r="M122" s="51" t="str">
        <f>Parts1!Q669</f>
        <v>Kingbright WP154A4SUREQBFZG</v>
      </c>
      <c r="N122" s="58">
        <v>18.0</v>
      </c>
      <c r="O122" s="52" t="str">
        <f t="shared" si="2"/>
        <v>B</v>
      </c>
      <c r="P122" s="52">
        <f t="shared" si="5"/>
        <v>1</v>
      </c>
      <c r="Q122" s="52">
        <f t="shared" si="4"/>
        <v>1</v>
      </c>
      <c r="R122" s="52" t="b">
        <f t="shared" si="6"/>
        <v>0</v>
      </c>
    </row>
    <row r="123">
      <c r="B123" s="20" t="str">
        <f>IFERROR(__xludf.DUMMYFUNCTION("if(exact($E123, """"), """", iferror(regexextract($F123, ""^(?:- )?([A-Z]+)""), ""?""))"),"LED")</f>
        <v>LED</v>
      </c>
      <c r="C123" s="68" t="str">
        <f t="shared" si="3"/>
        <v>604-WP154A4SUREQBFZG</v>
      </c>
      <c r="D123" t="str">
        <f>Parts1!H260</f>
        <v>Frames v0.3</v>
      </c>
      <c r="E123" t="str">
        <f>Parts1!I260</f>
        <v>U</v>
      </c>
      <c r="F123" t="str">
        <f>Parts1!J260</f>
        <v>LED5</v>
      </c>
      <c r="G123">
        <f>Parts1!K260</f>
        <v>1</v>
      </c>
      <c r="H123" t="str">
        <f>Parts1!L260</f>
        <v>LED 5mm RGB</v>
      </c>
      <c r="I123" t="str">
        <f>Parts1!M260</f>
        <v/>
      </c>
      <c r="J123" t="str">
        <f>Parts1!N260</f>
        <v/>
      </c>
      <c r="K123" t="str">
        <f>Parts1!O260</f>
        <v/>
      </c>
      <c r="L123" s="64" t="str">
        <f>Parts1!P260</f>
        <v>604-WP154A4SUREQBFZG</v>
      </c>
      <c r="M123" s="67" t="str">
        <f>Parts1!Q260</f>
        <v>Kingbright WP154A4SUREQBFZGWC “water clear”</v>
      </c>
      <c r="N123" s="58">
        <v>6.0</v>
      </c>
      <c r="O123" s="52" t="str">
        <f t="shared" si="2"/>
        <v>B</v>
      </c>
      <c r="P123" s="52" t="str">
        <f t="shared" si="5"/>
        <v/>
      </c>
      <c r="Q123" s="52">
        <f t="shared" si="4"/>
        <v>0</v>
      </c>
      <c r="R123" s="52" t="b">
        <f t="shared" si="6"/>
        <v>0</v>
      </c>
    </row>
    <row r="124">
      <c r="B124" s="20" t="str">
        <f>IFERROR(__xludf.DUMMYFUNCTION("if(exact($E124, """"), """", iferror(regexextract($F124, ""^(?:- )?([A-Z]+)""), ""?""))"),"LED")</f>
        <v>LED</v>
      </c>
      <c r="C124" s="57" t="str">
        <f t="shared" si="3"/>
        <v>604-WP424GDT</v>
      </c>
      <c r="D124" t="str">
        <f>Parts1!H292</f>
        <v>Grids v0.2</v>
      </c>
      <c r="E124" t="str">
        <f>Parts1!I292</f>
        <v>U</v>
      </c>
      <c r="F124" t="str">
        <f>Parts1!J292</f>
        <v>LED2, LED3, LED4</v>
      </c>
      <c r="G124" s="65">
        <f>Parts1!K292</f>
        <v>3</v>
      </c>
      <c r="H124" t="str">
        <f>Parts1!L292</f>
        <v>LED 3mm, green, flat top</v>
      </c>
      <c r="I124" t="str">
        <f>Parts1!M292</f>
        <v/>
      </c>
      <c r="J124" s="59" t="str">
        <f>Parts1!N292</f>
        <v/>
      </c>
      <c r="K124" s="59" t="str">
        <f>Parts1!O292</f>
        <v/>
      </c>
      <c r="L124" t="str">
        <f>Parts1!P292</f>
        <v>604-WP424GDT</v>
      </c>
      <c r="M124" s="51" t="str">
        <f>Parts1!Q292</f>
        <v>Kingbright WP424GDT / L-424GDT</v>
      </c>
      <c r="N124" s="58">
        <v>7.0</v>
      </c>
      <c r="O124" s="52" t="str">
        <f t="shared" si="2"/>
        <v>B</v>
      </c>
      <c r="P124" s="52">
        <f t="shared" si="5"/>
        <v>1</v>
      </c>
      <c r="Q124" s="52">
        <f t="shared" si="4"/>
        <v>1</v>
      </c>
      <c r="R124" s="52" t="b">
        <f t="shared" si="6"/>
        <v>1</v>
      </c>
    </row>
    <row r="125">
      <c r="B125" s="20" t="str">
        <f>IFERROR(__xludf.DUMMYFUNCTION("if(exact($E125, """"), """", iferror(regexextract($F125, ""^(?:- )?([A-Z]+)""), ""?""))"),"LED")</f>
        <v>LED</v>
      </c>
      <c r="C125" s="68" t="str">
        <f t="shared" si="3"/>
        <v>604-WP424GDT</v>
      </c>
      <c r="D125" t="str">
        <f>Parts1!H719</f>
        <v>Yarns v0.3</v>
      </c>
      <c r="E125" t="str">
        <f>Parts1!I719</f>
        <v>D</v>
      </c>
      <c r="F125" s="64" t="str">
        <f>Parts1!J719</f>
        <v>LED1, LED2, LED3, LED4</v>
      </c>
      <c r="G125" s="65">
        <f>Parts1!K719</f>
        <v>4</v>
      </c>
      <c r="H125" s="64" t="str">
        <f>Parts1!L719</f>
        <v>LED 3mm, green, flat top</v>
      </c>
      <c r="I125" s="64" t="str">
        <f>Parts1!M719</f>
        <v/>
      </c>
      <c r="J125" s="64" t="str">
        <f>Parts1!N719</f>
        <v/>
      </c>
      <c r="K125" s="64" t="str">
        <f>Parts1!O719</f>
        <v/>
      </c>
      <c r="L125" s="64" t="str">
        <f>Parts1!P719</f>
        <v>604-WP424GDT</v>
      </c>
      <c r="M125" s="67" t="str">
        <f>Parts1!Q719</f>
        <v>Kingbright WP424GDT / L-424GDT</v>
      </c>
      <c r="N125" s="58">
        <v>19.0</v>
      </c>
      <c r="O125" s="52" t="str">
        <f t="shared" si="2"/>
        <v>C</v>
      </c>
      <c r="P125" s="52" t="str">
        <f t="shared" si="5"/>
        <v/>
      </c>
      <c r="Q125" s="52">
        <f t="shared" si="4"/>
        <v>0</v>
      </c>
      <c r="R125" s="52" t="b">
        <f t="shared" si="6"/>
        <v>1</v>
      </c>
    </row>
    <row r="126">
      <c r="B126" s="20" t="str">
        <f>IFERROR(__xludf.DUMMYFUNCTION("if(exact($E126, """"), """", iferror(regexextract($F126, ""^(?:- )?([A-Z]+)""), ""?""))"),"LED")</f>
        <v>LED</v>
      </c>
      <c r="C126" s="57" t="str">
        <f t="shared" si="3"/>
        <v>604-WP59EGW</v>
      </c>
      <c r="D126" t="str">
        <f>Parts1!H121</f>
        <v>Clouds v3.0</v>
      </c>
      <c r="E126" t="str">
        <f>Parts1!I121</f>
        <v>U</v>
      </c>
      <c r="F126" t="str">
        <f>Parts1!J121</f>
        <v>LED1, LED2, LED3, LED4</v>
      </c>
      <c r="G126">
        <f>Parts1!K121</f>
        <v>4</v>
      </c>
      <c r="H126" t="str">
        <f>Parts1!L121</f>
        <v>LED 5mm, red &amp; green, diffused, common anode</v>
      </c>
      <c r="I126" t="str">
        <f>Parts1!M121</f>
        <v/>
      </c>
      <c r="J126" t="str">
        <f>Parts1!N121</f>
        <v/>
      </c>
      <c r="K126" t="str">
        <f>Parts1!O121</f>
        <v/>
      </c>
      <c r="L126" t="str">
        <f>Parts1!P121</f>
        <v>604-WP59EGW</v>
      </c>
      <c r="M126" s="51" t="str">
        <f>Parts1!Q121</f>
        <v>Kingbright WP59EGW</v>
      </c>
      <c r="N126" s="58">
        <v>3.0</v>
      </c>
      <c r="O126" s="52" t="str">
        <f t="shared" si="2"/>
        <v>B</v>
      </c>
      <c r="P126" s="52">
        <f t="shared" si="5"/>
        <v>1</v>
      </c>
      <c r="Q126" s="52">
        <f t="shared" si="4"/>
        <v>0</v>
      </c>
      <c r="R126" s="52" t="b">
        <f t="shared" si="6"/>
        <v>0</v>
      </c>
    </row>
    <row r="127">
      <c r="B127" s="20" t="str">
        <f>IFERROR(__xludf.DUMMYFUNCTION("if(exact($E127, """"), """", iferror(regexextract($F127, ""^(?:- )?([A-Z]+)""), ""?""))"),"LED")</f>
        <v>LED</v>
      </c>
      <c r="C127" s="57" t="str">
        <f t="shared" si="3"/>
        <v>604-WP710A10GD</v>
      </c>
      <c r="D127" t="str">
        <f>Parts1!H163</f>
        <v>Edges v2.0</v>
      </c>
      <c r="E127" t="str">
        <f>Parts1!I163</f>
        <v>U</v>
      </c>
      <c r="F127" t="str">
        <f>Parts1!J163</f>
        <v>LED1, LED2, LED3, LED4</v>
      </c>
      <c r="G127">
        <f>Parts1!K163</f>
        <v>4</v>
      </c>
      <c r="H127" t="str">
        <f>Parts1!L163</f>
        <v>LED 3mm, green, round</v>
      </c>
      <c r="I127" t="str">
        <f>Parts1!M163</f>
        <v/>
      </c>
      <c r="J127" t="str">
        <f>Parts1!N163</f>
        <v/>
      </c>
      <c r="K127" t="str">
        <f>Parts1!O163</f>
        <v/>
      </c>
      <c r="L127" t="str">
        <f>Parts1!P163</f>
        <v>604-WP710A10GD</v>
      </c>
      <c r="M127" s="51" t="str">
        <f>Parts1!Q163</f>
        <v>Kingbright WP710A10GD ou L-710A10GD</v>
      </c>
      <c r="N127" s="58">
        <v>4.0</v>
      </c>
      <c r="O127" s="52" t="str">
        <f t="shared" si="2"/>
        <v>B</v>
      </c>
      <c r="P127" s="52">
        <f t="shared" si="5"/>
        <v>1</v>
      </c>
      <c r="Q127" s="52">
        <f t="shared" si="4"/>
        <v>2</v>
      </c>
      <c r="R127" s="52" t="b">
        <f t="shared" si="6"/>
        <v>1</v>
      </c>
    </row>
    <row r="128">
      <c r="B128" s="20" t="str">
        <f>IFERROR(__xludf.DUMMYFUNCTION("if(exact($E128, """"), """", iferror(regexextract($F128, ""^(?:- )?([A-Z]+)""), ""?""))"),"LED")</f>
        <v>LED</v>
      </c>
      <c r="C128" s="57" t="str">
        <f t="shared" si="3"/>
        <v>604-WP710A10GD</v>
      </c>
      <c r="D128" t="str">
        <f>Parts1!H259</f>
        <v>Frames v0.3</v>
      </c>
      <c r="E128" t="str">
        <f>Parts1!I259</f>
        <v>U</v>
      </c>
      <c r="F128" t="str">
        <f>Parts1!J259</f>
        <v>LED1, LED2, LED3, LED4</v>
      </c>
      <c r="G128">
        <f>Parts1!K259</f>
        <v>4</v>
      </c>
      <c r="H128" t="str">
        <f>Parts1!L259</f>
        <v>LED 3mm, green, round</v>
      </c>
      <c r="I128" t="str">
        <f>Parts1!M259</f>
        <v/>
      </c>
      <c r="J128" s="59" t="str">
        <f>Parts1!N259</f>
        <v/>
      </c>
      <c r="K128" s="59" t="str">
        <f>Parts1!O259</f>
        <v/>
      </c>
      <c r="L128" t="str">
        <f>Parts1!P259</f>
        <v>604-WP710A10GD</v>
      </c>
      <c r="M128" s="51" t="str">
        <f>Parts1!Q259</f>
        <v>Kingbright WP710A10GD ou L-710A10GD</v>
      </c>
      <c r="N128" s="58">
        <v>6.0</v>
      </c>
      <c r="O128" s="52" t="str">
        <f t="shared" si="2"/>
        <v>B</v>
      </c>
      <c r="P128" s="52" t="str">
        <f t="shared" si="5"/>
        <v/>
      </c>
      <c r="Q128" s="52">
        <f t="shared" si="4"/>
        <v>1</v>
      </c>
      <c r="R128" s="52" t="b">
        <f t="shared" si="6"/>
        <v>1</v>
      </c>
    </row>
    <row r="129">
      <c r="A129" s="1"/>
      <c r="B129" s="20" t="str">
        <f>IFERROR(__xludf.DUMMYFUNCTION("if(exact($E129, """"), """", iferror(regexextract($F129, ""^(?:- )?([A-Z]+)""), ""?""))"),"LED")</f>
        <v>LED</v>
      </c>
      <c r="C129" s="57" t="str">
        <f t="shared" si="3"/>
        <v>604-WP710A10GD</v>
      </c>
      <c r="D129" t="str">
        <f>Parts1!H350</f>
        <v>Peaks v3.1</v>
      </c>
      <c r="E129" t="str">
        <f>Parts1!I350</f>
        <v>U</v>
      </c>
      <c r="F129" t="str">
        <f>Parts1!J350</f>
        <v>LED1, LED2, LED3, LED4, LED5</v>
      </c>
      <c r="G129">
        <f>Parts1!K350</f>
        <v>5</v>
      </c>
      <c r="H129" t="str">
        <f>Parts1!L350</f>
        <v>LED 3mm, green, round</v>
      </c>
      <c r="I129" t="str">
        <f>Parts1!M350</f>
        <v/>
      </c>
      <c r="J129" s="59" t="str">
        <f>Parts1!N350</f>
        <v/>
      </c>
      <c r="K129" t="str">
        <f>Parts1!O350</f>
        <v/>
      </c>
      <c r="L129" t="str">
        <f>Parts1!P350</f>
        <v>604-WP710A10GD</v>
      </c>
      <c r="M129" s="51" t="str">
        <f>Parts1!Q350</f>
        <v>Kingbright WP710A10GD ou L-710A10GD</v>
      </c>
      <c r="N129" s="58">
        <v>9.0</v>
      </c>
      <c r="O129" s="52" t="str">
        <f t="shared" si="2"/>
        <v>B</v>
      </c>
      <c r="P129" s="52" t="str">
        <f t="shared" si="5"/>
        <v/>
      </c>
      <c r="Q129" s="52">
        <f t="shared" si="4"/>
        <v>0</v>
      </c>
      <c r="R129" s="52" t="b">
        <f t="shared" si="6"/>
        <v>1</v>
      </c>
    </row>
    <row r="130">
      <c r="B130" s="20" t="str">
        <f>IFERROR(__xludf.DUMMYFUNCTION("if(exact($E130, """"), """", iferror(regexextract($F130, ""^(?:- )?([A-Z]+)""), ""?""))"),"LED")</f>
        <v>LED</v>
      </c>
      <c r="C130" s="57" t="str">
        <f t="shared" si="3"/>
        <v>604-WP710A10ID</v>
      </c>
      <c r="D130" t="str">
        <f>Parts1!H501</f>
        <v>Shelves v0.5</v>
      </c>
      <c r="E130" t="str">
        <f>Parts1!I501</f>
        <v>U</v>
      </c>
      <c r="F130" t="str">
        <f>Parts1!J501</f>
        <v>LED1</v>
      </c>
      <c r="G130">
        <f>Parts1!K501</f>
        <v>1</v>
      </c>
      <c r="H130" t="str">
        <f>Parts1!L501</f>
        <v>LED 3mm, red</v>
      </c>
      <c r="I130" t="str">
        <f>Parts1!M501</f>
        <v/>
      </c>
      <c r="J130" t="str">
        <f>Parts1!N501</f>
        <v/>
      </c>
      <c r="K130" t="str">
        <f>Parts1!O501</f>
        <v/>
      </c>
      <c r="L130" t="str">
        <f>Parts1!P501</f>
        <v>604-WP710A10ID</v>
      </c>
      <c r="M130" s="51" t="str">
        <f>Parts1!Q501</f>
        <v/>
      </c>
      <c r="N130" s="58">
        <v>13.0</v>
      </c>
      <c r="O130" s="52" t="str">
        <f t="shared" si="2"/>
        <v>B</v>
      </c>
      <c r="P130" s="52">
        <f t="shared" si="5"/>
        <v>1</v>
      </c>
      <c r="Q130" s="52">
        <f t="shared" si="4"/>
        <v>0</v>
      </c>
      <c r="R130" s="52" t="b">
        <f t="shared" si="6"/>
        <v>0</v>
      </c>
    </row>
    <row r="131">
      <c r="B131" s="20" t="str">
        <f>IFERROR(__xludf.DUMMYFUNCTION("if(exact($E131, """"), """", iferror(regexextract($F131, ""^(?:- )?([A-Z]+)""), ""?""))"),"LED")</f>
        <v>LED</v>
      </c>
      <c r="C131" s="57" t="str">
        <f t="shared" si="3"/>
        <v>604-WP7113SGD</v>
      </c>
      <c r="D131" t="str">
        <f>Parts1!H261</f>
        <v>Frames v0.3</v>
      </c>
      <c r="E131" t="str">
        <f>Parts1!I261</f>
        <v>U</v>
      </c>
      <c r="F131" t="str">
        <f>Parts1!J261</f>
        <v>LED6</v>
      </c>
      <c r="G131">
        <f>Parts1!K261</f>
        <v>1</v>
      </c>
      <c r="H131" t="str">
        <f>Parts1!L261</f>
        <v>LED 5mm, green</v>
      </c>
      <c r="I131" t="str">
        <f>Parts1!M261</f>
        <v/>
      </c>
      <c r="J131" t="str">
        <f>Parts1!N261</f>
        <v/>
      </c>
      <c r="K131" t="str">
        <f>Parts1!O261</f>
        <v/>
      </c>
      <c r="L131" t="str">
        <f>Parts1!P261</f>
        <v>604-WP7113SGD</v>
      </c>
      <c r="M131" s="51" t="str">
        <f>Parts1!Q261</f>
        <v>Kingbright WP7113SGD</v>
      </c>
      <c r="N131" s="58">
        <v>6.0</v>
      </c>
      <c r="O131" s="52" t="str">
        <f t="shared" si="2"/>
        <v>B</v>
      </c>
      <c r="P131" s="52">
        <f t="shared" si="5"/>
        <v>1</v>
      </c>
      <c r="Q131" s="52">
        <f t="shared" si="4"/>
        <v>0</v>
      </c>
      <c r="R131" s="52" t="b">
        <f t="shared" si="6"/>
        <v>1</v>
      </c>
    </row>
    <row r="132">
      <c r="B132" s="20" t="str">
        <f>IFERROR(__xludf.DUMMYFUNCTION("if(exact($E132, """"), """", iferror(regexextract($F132, ""^(?:- )?([A-Z]+)""), ""?""))"),"LED")</f>
        <v>LED</v>
      </c>
      <c r="C132" s="57" t="str">
        <f t="shared" si="3"/>
        <v>604-WP937EGW</v>
      </c>
      <c r="D132" t="str">
        <f>Parts1!H67</f>
        <v>Branches v4.0</v>
      </c>
      <c r="E132" t="str">
        <f>Parts1!I67</f>
        <v>U</v>
      </c>
      <c r="F132" t="str">
        <f>Parts1!J67</f>
        <v>LED1, LED2</v>
      </c>
      <c r="G132" s="65">
        <f>Parts1!K67</f>
        <v>2</v>
      </c>
      <c r="H132" t="str">
        <f>Parts1!L67</f>
        <v>LED, Red/Green, 2 terminals</v>
      </c>
      <c r="I132" t="str">
        <f>Parts1!M67</f>
        <v/>
      </c>
      <c r="J132" t="str">
        <f>Parts1!N67</f>
        <v/>
      </c>
      <c r="K132" t="str">
        <f>Parts1!O67</f>
        <v>2 terminals</v>
      </c>
      <c r="L132" t="str">
        <f>Parts1!P67</f>
        <v>604-WP937EGW</v>
      </c>
      <c r="M132" s="51" t="str">
        <f>Parts1!Q67</f>
        <v>Kingbright WP937EGW</v>
      </c>
      <c r="N132" s="58">
        <v>2.0</v>
      </c>
      <c r="O132" s="52" t="str">
        <f t="shared" si="2"/>
        <v>B</v>
      </c>
      <c r="P132" s="52">
        <f t="shared" si="5"/>
        <v>1</v>
      </c>
      <c r="Q132" s="52">
        <f t="shared" si="4"/>
        <v>2</v>
      </c>
      <c r="R132" s="52" t="b">
        <f t="shared" si="6"/>
        <v>0</v>
      </c>
    </row>
    <row r="133">
      <c r="B133" s="20" t="str">
        <f>IFERROR(__xludf.DUMMYFUNCTION("if(exact($E133, """"), """", iferror(regexextract($F133, ""^(?:- )?([A-Z]+)""), ""?""))"),"LED")</f>
        <v>LED</v>
      </c>
      <c r="C133" s="57" t="str">
        <f t="shared" si="3"/>
        <v>604-WP937EGW</v>
      </c>
      <c r="D133" t="str">
        <f>Parts1!H316</f>
        <v>Links v4</v>
      </c>
      <c r="E133" t="str">
        <f>Parts1!I316</f>
        <v>U</v>
      </c>
      <c r="F133" t="str">
        <f>Parts1!J316</f>
        <v>LED1, LED2, LED3</v>
      </c>
      <c r="G133">
        <f>Parts1!K316</f>
        <v>3</v>
      </c>
      <c r="H133" t="str">
        <f>Parts1!L316</f>
        <v>LED, Red/Green, 2 terminals</v>
      </c>
      <c r="I133" t="str">
        <f>Parts1!M316</f>
        <v/>
      </c>
      <c r="J133" t="str">
        <f>Parts1!N316</f>
        <v/>
      </c>
      <c r="K133" t="str">
        <f>Parts1!O316</f>
        <v>2 terminals</v>
      </c>
      <c r="L133" t="str">
        <f>Parts1!P316</f>
        <v>604-WP937EGW</v>
      </c>
      <c r="M133" s="51" t="str">
        <f>Parts1!Q316</f>
        <v>Kingbright WP937EGW</v>
      </c>
      <c r="N133" s="58">
        <v>8.0</v>
      </c>
      <c r="O133" s="52" t="str">
        <f t="shared" si="2"/>
        <v>B</v>
      </c>
      <c r="P133" s="52" t="str">
        <f t="shared" si="5"/>
        <v/>
      </c>
      <c r="Q133" s="52">
        <f t="shared" si="4"/>
        <v>1</v>
      </c>
      <c r="R133" s="52" t="b">
        <f t="shared" si="6"/>
        <v>0</v>
      </c>
    </row>
    <row r="134">
      <c r="B134" s="20" t="str">
        <f>IFERROR(__xludf.DUMMYFUNCTION("if(exact($E134, """"), """", iferror(regexextract($F134, ""^(?:- )?([A-Z]+)""), ""?""))"),"LED")</f>
        <v>LED</v>
      </c>
      <c r="C134" s="57" t="str">
        <f t="shared" si="3"/>
        <v>604-WP937EGW</v>
      </c>
      <c r="D134" t="str">
        <f>Parts1!H465</f>
        <v>Shades v3.1</v>
      </c>
      <c r="E134" t="str">
        <f>Parts1!I465</f>
        <v>U</v>
      </c>
      <c r="F134" t="str">
        <f>Parts1!J465</f>
        <v>LED1, LED2, LED3</v>
      </c>
      <c r="G134">
        <f>Parts1!K465</f>
        <v>3</v>
      </c>
      <c r="H134" t="str">
        <f>Parts1!L465</f>
        <v>LED, Red/Green, 2 terminals</v>
      </c>
      <c r="I134" t="str">
        <f>Parts1!M465</f>
        <v/>
      </c>
      <c r="J134" t="str">
        <f>Parts1!N465</f>
        <v/>
      </c>
      <c r="K134" t="str">
        <f>Parts1!O465</f>
        <v>2 terminals</v>
      </c>
      <c r="L134" t="str">
        <f>Parts1!P465</f>
        <v>604-WP937EGW</v>
      </c>
      <c r="M134" s="51" t="str">
        <f>Parts1!Q465</f>
        <v>Kingbright WP937EGW</v>
      </c>
      <c r="N134" s="58">
        <v>12.0</v>
      </c>
      <c r="O134" s="52" t="str">
        <f t="shared" si="2"/>
        <v>B</v>
      </c>
      <c r="P134" s="52" t="str">
        <f t="shared" si="5"/>
        <v/>
      </c>
      <c r="Q134" s="52">
        <f t="shared" si="4"/>
        <v>0</v>
      </c>
      <c r="R134" s="52" t="b">
        <f t="shared" si="6"/>
        <v>0</v>
      </c>
    </row>
    <row r="135">
      <c r="B135" s="20" t="str">
        <f>IFERROR(__xludf.DUMMYFUNCTION("if(exact($E135, """"), """", iferror(regexextract($F135, ""^(?:- )?([A-Z]+)""), ""?""))"),"SW")</f>
        <v>SW</v>
      </c>
      <c r="C135" s="63" t="str">
        <f t="shared" si="3"/>
        <v>611-D6R00F1LFS</v>
      </c>
      <c r="D135" t="str">
        <f>Parts1!H716</f>
        <v>Yarns v0.3</v>
      </c>
      <c r="E135" t="str">
        <f>Parts1!I716</f>
        <v>D</v>
      </c>
      <c r="F135" s="64" t="str">
        <f>Parts1!J716</f>
        <v>SW2</v>
      </c>
      <c r="G135" s="65">
        <f>Parts1!K716</f>
        <v>1</v>
      </c>
      <c r="H135" s="64" t="str">
        <f>Parts1!L716</f>
        <v>Push-button, round cap, white</v>
      </c>
      <c r="I135" s="64" t="str">
        <f>Parts1!M716</f>
        <v/>
      </c>
      <c r="J135" s="64" t="str">
        <f>Parts1!N716</f>
        <v/>
      </c>
      <c r="K135" s="64" t="str">
        <f>Parts1!O716</f>
        <v/>
      </c>
      <c r="L135" s="66" t="str">
        <f>Parts1!P716</f>
        <v>611-D6R00F1LFS</v>
      </c>
      <c r="M135" s="67" t="str">
        <f>Parts1!Q716</f>
        <v>C&amp;K D6R00 F1 LFS</v>
      </c>
      <c r="N135" s="58">
        <v>19.0</v>
      </c>
      <c r="O135" s="52" t="str">
        <f t="shared" si="2"/>
        <v>C</v>
      </c>
      <c r="P135" s="52">
        <f t="shared" si="5"/>
        <v>1</v>
      </c>
      <c r="Q135" s="52">
        <f t="shared" si="4"/>
        <v>0</v>
      </c>
      <c r="R135" s="52" t="b">
        <f t="shared" si="6"/>
        <v>1</v>
      </c>
    </row>
    <row r="136">
      <c r="B136" s="20" t="str">
        <f>IFERROR(__xludf.DUMMYFUNCTION("if(exact($E136, """"), """", iferror(regexextract($F136, ""^(?:- )?([A-Z]+)""), ""?""))"),"SW")</f>
        <v>SW</v>
      </c>
      <c r="C136" s="61" t="str">
        <f t="shared" si="3"/>
        <v>611-D6R90LFS</v>
      </c>
      <c r="D136" t="str">
        <f>Parts1!H262</f>
        <v>Frames v0.3</v>
      </c>
      <c r="E136" t="str">
        <f>Parts1!I262</f>
        <v>U</v>
      </c>
      <c r="F136" t="str">
        <f>Parts1!J262</f>
        <v>SW3, SW4</v>
      </c>
      <c r="G136">
        <f>Parts1!K262</f>
        <v>2</v>
      </c>
      <c r="H136" t="str">
        <f>Parts1!L262</f>
        <v>Push-button, round cap, black</v>
      </c>
      <c r="I136" t="str">
        <f>Parts1!M262</f>
        <v/>
      </c>
      <c r="J136" s="59" t="str">
        <f>Parts1!N262</f>
        <v/>
      </c>
      <c r="K136" s="59" t="str">
        <f>Parts1!O262</f>
        <v/>
      </c>
      <c r="L136" s="62" t="str">
        <f>Parts1!P262</f>
        <v>611-D6R90LFS</v>
      </c>
      <c r="M136" s="51" t="str">
        <f>Parts1!Q262</f>
        <v>C&amp;K D6R90 F1 LFS</v>
      </c>
      <c r="N136" s="58">
        <v>6.0</v>
      </c>
      <c r="O136" s="52" t="str">
        <f t="shared" si="2"/>
        <v>B</v>
      </c>
      <c r="P136" s="52">
        <f t="shared" si="5"/>
        <v>1</v>
      </c>
      <c r="Q136" s="52">
        <f t="shared" si="4"/>
        <v>2</v>
      </c>
      <c r="R136" s="52" t="b">
        <f t="shared" si="6"/>
        <v>0</v>
      </c>
    </row>
    <row r="137">
      <c r="B137" s="20" t="str">
        <f>IFERROR(__xludf.DUMMYFUNCTION("if(exact($E137, """"), """", iferror(regexextract($F137, ""^(?:- )?([A-Z]+)""), ""?""))"),"SW")</f>
        <v>SW</v>
      </c>
      <c r="C137" s="61" t="str">
        <f t="shared" si="3"/>
        <v>611-D6R90LFS</v>
      </c>
      <c r="D137" t="str">
        <f>Parts1!H620</f>
        <v>Tides v4.0</v>
      </c>
      <c r="E137" t="str">
        <f>Parts1!I620</f>
        <v>U</v>
      </c>
      <c r="F137" t="str">
        <f>Parts1!J620</f>
        <v>SW3, SW4</v>
      </c>
      <c r="G137">
        <f>Parts1!K620</f>
        <v>2</v>
      </c>
      <c r="H137" t="str">
        <f>Parts1!L620</f>
        <v>Push-button, round cap, black</v>
      </c>
      <c r="I137" t="str">
        <f>Parts1!M620</f>
        <v/>
      </c>
      <c r="J137" s="59" t="str">
        <f>Parts1!N620</f>
        <v/>
      </c>
      <c r="K137" s="59" t="str">
        <f>Parts1!O620</f>
        <v/>
      </c>
      <c r="L137" s="62" t="str">
        <f>Parts1!P620</f>
        <v>611-D6R90LFS</v>
      </c>
      <c r="M137" s="51" t="str">
        <f>Parts1!Q620</f>
        <v>C&amp;K D6R90 F1 LFS</v>
      </c>
      <c r="N137" s="58">
        <v>17.0</v>
      </c>
      <c r="O137" s="52" t="str">
        <f t="shared" si="2"/>
        <v>B</v>
      </c>
      <c r="P137" s="52" t="str">
        <f t="shared" si="5"/>
        <v/>
      </c>
      <c r="Q137" s="52">
        <f t="shared" si="4"/>
        <v>1</v>
      </c>
      <c r="R137" s="52" t="b">
        <f t="shared" si="6"/>
        <v>0</v>
      </c>
    </row>
    <row r="138">
      <c r="B138" s="20" t="str">
        <f>IFERROR(__xludf.DUMMYFUNCTION("if(exact($E138, """"), """", iferror(regexextract($F138, ""^(?:- )?([A-Z]+)""), ""?""))"),"SW")</f>
        <v>SW</v>
      </c>
      <c r="C138" s="63" t="str">
        <f t="shared" si="3"/>
        <v>611-D6R90LFS</v>
      </c>
      <c r="D138" t="str">
        <f>Parts1!H717</f>
        <v>Yarns v0.3</v>
      </c>
      <c r="E138" t="str">
        <f>Parts1!I717</f>
        <v>D</v>
      </c>
      <c r="F138" s="64" t="str">
        <f>Parts1!J717</f>
        <v>SW3, SW4</v>
      </c>
      <c r="G138" s="65">
        <f>Parts1!K717</f>
        <v>2</v>
      </c>
      <c r="H138" s="64" t="str">
        <f>Parts1!L717</f>
        <v>Push-button, round cap, black</v>
      </c>
      <c r="I138" s="64" t="str">
        <f>Parts1!M717</f>
        <v/>
      </c>
      <c r="J138" s="64" t="str">
        <f>Parts1!N717</f>
        <v/>
      </c>
      <c r="K138" s="64" t="str">
        <f>Parts1!O717</f>
        <v/>
      </c>
      <c r="L138" s="66" t="str">
        <f>Parts1!P717</f>
        <v>611-D6R90LFS</v>
      </c>
      <c r="M138" s="67" t="str">
        <f>Parts1!Q717</f>
        <v>C&amp;K D6R90 F1 LFS</v>
      </c>
      <c r="N138" s="58">
        <v>19.0</v>
      </c>
      <c r="O138" s="52" t="str">
        <f t="shared" si="2"/>
        <v>C</v>
      </c>
      <c r="P138" s="52" t="str">
        <f t="shared" si="5"/>
        <v/>
      </c>
      <c r="Q138" s="52">
        <f t="shared" si="4"/>
        <v>0</v>
      </c>
      <c r="R138" s="52" t="b">
        <f t="shared" si="6"/>
        <v>0</v>
      </c>
    </row>
    <row r="139">
      <c r="B139" s="20" t="str">
        <f>IFERROR(__xludf.DUMMYFUNCTION("if(exact($E139, """"), """", iferror(regexextract($F139, ""^(?:- )?([A-Z]+)""), ""?""))"),"SW")</f>
        <v>SW</v>
      </c>
      <c r="C139" s="57" t="str">
        <f t="shared" si="3"/>
        <v>612-1R-BK</v>
      </c>
      <c r="D139" t="str">
        <f>Parts1!H70</f>
        <v>Branches v4.0</v>
      </c>
      <c r="E139" t="str">
        <f>Parts1!I70</f>
        <v>U</v>
      </c>
      <c r="F139" t="str">
        <f>Parts1!J70</f>
        <v>- SW1, SW2</v>
      </c>
      <c r="G139" s="65">
        <f>Parts1!K70</f>
        <v>2</v>
      </c>
      <c r="H139" t="str">
        <f>Parts1!L70</f>
        <v>Cap for switch, black</v>
      </c>
      <c r="I139" t="str">
        <f>Parts1!M70</f>
        <v/>
      </c>
      <c r="J139" t="str">
        <f>Parts1!N70</f>
        <v/>
      </c>
      <c r="K139" t="str">
        <f>Parts1!O70</f>
        <v/>
      </c>
      <c r="L139" t="str">
        <f>Parts1!P70</f>
        <v>612-1R-BK</v>
      </c>
      <c r="M139" s="51" t="str">
        <f>Parts1!Q70</f>
        <v>E-switch 1RBLK</v>
      </c>
      <c r="N139" s="58">
        <v>2.0</v>
      </c>
      <c r="O139" s="52" t="str">
        <f t="shared" si="2"/>
        <v>B</v>
      </c>
      <c r="P139" s="52">
        <f t="shared" si="5"/>
        <v>1</v>
      </c>
      <c r="Q139" s="52">
        <f t="shared" si="4"/>
        <v>6</v>
      </c>
      <c r="R139" s="52" t="b">
        <f t="shared" si="6"/>
        <v>1</v>
      </c>
    </row>
    <row r="140">
      <c r="B140" s="20" t="str">
        <f>IFERROR(__xludf.DUMMYFUNCTION("if(exact($E140, """"), """", iferror(regexextract($F140, ""^(?:- )?([A-Z]+)""), ""?""))"),"SW")</f>
        <v>SW</v>
      </c>
      <c r="C140" s="57" t="str">
        <f t="shared" si="3"/>
        <v>612-1R-BK</v>
      </c>
      <c r="D140" t="str">
        <f>Parts1!H124</f>
        <v>Clouds v3.0</v>
      </c>
      <c r="E140" t="str">
        <f>Parts1!I124</f>
        <v>U</v>
      </c>
      <c r="F140" t="str">
        <f>Parts1!J124</f>
        <v>- SW2, SW3</v>
      </c>
      <c r="G140">
        <f>Parts1!K124</f>
        <v>2</v>
      </c>
      <c r="H140" t="str">
        <f>Parts1!L124</f>
        <v>Cap for switch, black</v>
      </c>
      <c r="I140" t="str">
        <f>Parts1!M124</f>
        <v/>
      </c>
      <c r="J140" t="str">
        <f>Parts1!N124</f>
        <v/>
      </c>
      <c r="K140" t="str">
        <f>Parts1!O124</f>
        <v/>
      </c>
      <c r="L140" t="str">
        <f>Parts1!P124</f>
        <v>612-1R-BK</v>
      </c>
      <c r="M140" s="51" t="str">
        <f>Parts1!Q124</f>
        <v>E-switch 1RBLK</v>
      </c>
      <c r="N140" s="58">
        <v>3.0</v>
      </c>
      <c r="O140" s="52" t="str">
        <f t="shared" si="2"/>
        <v>B</v>
      </c>
      <c r="P140" s="52" t="str">
        <f t="shared" si="5"/>
        <v/>
      </c>
      <c r="Q140" s="52">
        <f t="shared" si="4"/>
        <v>5</v>
      </c>
      <c r="R140" s="52" t="b">
        <f t="shared" si="6"/>
        <v>1</v>
      </c>
    </row>
    <row r="141">
      <c r="B141" s="20" t="str">
        <f>IFERROR(__xludf.DUMMYFUNCTION("if(exact($E141, """"), """", iferror(regexextract($F141, ""^(?:- )?([A-Z]+)""), ""?""))"),"SW")</f>
        <v>SW</v>
      </c>
      <c r="C141" s="57" t="str">
        <f t="shared" si="3"/>
        <v>612-1R-BK</v>
      </c>
      <c r="D141" t="str">
        <f>Parts1!H170</f>
        <v>Edges v2.0</v>
      </c>
      <c r="E141" t="str">
        <f>Parts1!I170</f>
        <v>U</v>
      </c>
      <c r="F141" t="str">
        <f>Parts1!J170</f>
        <v>- SW4, SW5, SW6, SW7</v>
      </c>
      <c r="G141">
        <f>Parts1!K170</f>
        <v>4</v>
      </c>
      <c r="H141" t="str">
        <f>Parts1!L170</f>
        <v>Cap for switch, black</v>
      </c>
      <c r="I141" t="str">
        <f>Parts1!M170</f>
        <v/>
      </c>
      <c r="J141" t="str">
        <f>Parts1!N170</f>
        <v/>
      </c>
      <c r="K141" t="str">
        <f>Parts1!O170</f>
        <v/>
      </c>
      <c r="L141" t="str">
        <f>Parts1!P170</f>
        <v>612-1R-BK</v>
      </c>
      <c r="M141" s="51" t="str">
        <f>Parts1!Q170</f>
        <v>E-switch 1RBLK</v>
      </c>
      <c r="N141" s="58">
        <v>4.0</v>
      </c>
      <c r="O141" s="52" t="str">
        <f t="shared" si="2"/>
        <v>B</v>
      </c>
      <c r="P141" s="52" t="str">
        <f t="shared" si="5"/>
        <v/>
      </c>
      <c r="Q141" s="52">
        <f t="shared" si="4"/>
        <v>4</v>
      </c>
      <c r="R141" s="52" t="b">
        <f t="shared" si="6"/>
        <v>1</v>
      </c>
    </row>
    <row r="142">
      <c r="B142" s="20" t="str">
        <f>IFERROR(__xludf.DUMMYFUNCTION("if(exact($E142, """"), """", iferror(regexextract($F142, ""^(?:- )?([A-Z]+)""), ""?""))"),"SW")</f>
        <v>SW</v>
      </c>
      <c r="C142" s="57" t="str">
        <f t="shared" si="3"/>
        <v>612-1R-BK</v>
      </c>
      <c r="D142" t="str">
        <f>Parts1!H355</f>
        <v>Peaks v3.1</v>
      </c>
      <c r="E142" t="str">
        <f>Parts1!I355</f>
        <v>U</v>
      </c>
      <c r="F142" t="str">
        <f>Parts1!J355</f>
        <v>- SW1, SW2</v>
      </c>
      <c r="G142">
        <f>Parts1!K355</f>
        <v>2</v>
      </c>
      <c r="H142" t="str">
        <f>Parts1!L355</f>
        <v>Cap for switch, black</v>
      </c>
      <c r="I142" t="str">
        <f>Parts1!M355</f>
        <v/>
      </c>
      <c r="J142" t="str">
        <f>Parts1!N355</f>
        <v/>
      </c>
      <c r="K142" t="str">
        <f>Parts1!O355</f>
        <v/>
      </c>
      <c r="L142" t="str">
        <f>Parts1!P355</f>
        <v>612-1R-BK</v>
      </c>
      <c r="M142" s="51" t="str">
        <f>Parts1!Q355</f>
        <v>E-switch 1RBLK</v>
      </c>
      <c r="N142" s="58">
        <v>9.0</v>
      </c>
      <c r="O142" s="52" t="str">
        <f t="shared" si="2"/>
        <v>B</v>
      </c>
      <c r="P142" s="52" t="str">
        <f t="shared" si="5"/>
        <v/>
      </c>
      <c r="Q142" s="52">
        <f t="shared" si="4"/>
        <v>3</v>
      </c>
      <c r="R142" s="52" t="b">
        <f t="shared" si="6"/>
        <v>1</v>
      </c>
    </row>
    <row r="143">
      <c r="B143" s="20" t="str">
        <f>IFERROR(__xludf.DUMMYFUNCTION("if(exact($E143, """"), """", iferror(regexextract($F143, ""^(?:- )?([A-Z]+)""), ""?""))"),"SW")</f>
        <v>SW</v>
      </c>
      <c r="C143" s="57" t="str">
        <f t="shared" si="3"/>
        <v>612-1R-BK</v>
      </c>
      <c r="D143" t="str">
        <f>Parts1!H408</f>
        <v>Rings v3.0</v>
      </c>
      <c r="E143" t="str">
        <f>Parts1!I408</f>
        <v>U</v>
      </c>
      <c r="F143" t="str">
        <f>Parts1!J408</f>
        <v>- SW1, SW2</v>
      </c>
      <c r="G143">
        <f>Parts1!K408</f>
        <v>2</v>
      </c>
      <c r="H143" t="str">
        <f>Parts1!L408</f>
        <v>Cap for switch, black</v>
      </c>
      <c r="I143" t="str">
        <f>Parts1!M408</f>
        <v/>
      </c>
      <c r="J143" t="str">
        <f>Parts1!N408</f>
        <v/>
      </c>
      <c r="K143" t="str">
        <f>Parts1!O408</f>
        <v/>
      </c>
      <c r="L143" t="str">
        <f>Parts1!P408</f>
        <v>612-1R-BK</v>
      </c>
      <c r="M143" s="51" t="str">
        <f>Parts1!Q408</f>
        <v>E-switch 1RBLK</v>
      </c>
      <c r="N143" s="58">
        <v>10.0</v>
      </c>
      <c r="O143" s="52" t="str">
        <f t="shared" si="2"/>
        <v>B</v>
      </c>
      <c r="P143" s="52" t="str">
        <f t="shared" si="5"/>
        <v/>
      </c>
      <c r="Q143" s="52">
        <f t="shared" si="4"/>
        <v>2</v>
      </c>
      <c r="R143" s="52" t="b">
        <f t="shared" si="6"/>
        <v>1</v>
      </c>
    </row>
    <row r="144">
      <c r="B144" s="20" t="str">
        <f>IFERROR(__xludf.DUMMYFUNCTION("if(exact($E144, """"), """", iferror(regexextract($F144, ""^(?:- )?([A-Z]+)""), ""?""))"),"SW")</f>
        <v>SW</v>
      </c>
      <c r="C144" s="57" t="str">
        <f t="shared" si="3"/>
        <v>612-1R-BK</v>
      </c>
      <c r="D144" t="str">
        <f>Parts1!H564</f>
        <v>Streams v0.5</v>
      </c>
      <c r="E144" t="str">
        <f>Parts1!I564</f>
        <v>U</v>
      </c>
      <c r="F144" t="str">
        <f>Parts1!J564</f>
        <v>- SW1, SW2, SW3</v>
      </c>
      <c r="G144">
        <f>Parts1!K564</f>
        <v>3</v>
      </c>
      <c r="H144" t="str">
        <f>Parts1!L564</f>
        <v>Cap for switch, black</v>
      </c>
      <c r="I144" t="str">
        <f>Parts1!M564</f>
        <v/>
      </c>
      <c r="J144" t="str">
        <f>Parts1!N564</f>
        <v/>
      </c>
      <c r="K144" t="str">
        <f>Parts1!O564</f>
        <v/>
      </c>
      <c r="L144" t="str">
        <f>Parts1!P564</f>
        <v>612-1R-BK</v>
      </c>
      <c r="M144" s="51" t="str">
        <f>Parts1!Q564</f>
        <v>E-switch 1RBLK</v>
      </c>
      <c r="N144" s="58">
        <v>15.0</v>
      </c>
      <c r="O144" s="52" t="str">
        <f t="shared" si="2"/>
        <v>B</v>
      </c>
      <c r="P144" s="52" t="str">
        <f t="shared" si="5"/>
        <v/>
      </c>
      <c r="Q144" s="52">
        <f t="shared" si="4"/>
        <v>1</v>
      </c>
      <c r="R144" s="52" t="b">
        <f t="shared" si="6"/>
        <v>1</v>
      </c>
    </row>
    <row r="145">
      <c r="B145" s="20" t="str">
        <f>IFERROR(__xludf.DUMMYFUNCTION("if(exact($E145, """"), """", iferror(regexextract($F145, ""^(?:- )?([A-Z]+)""), ""?""))"),"SW")</f>
        <v>SW</v>
      </c>
      <c r="C145" s="57" t="str">
        <f t="shared" si="3"/>
        <v>612-1R-BK</v>
      </c>
      <c r="D145" t="str">
        <f>Parts1!H672</f>
        <v>Warps v3.0</v>
      </c>
      <c r="E145" t="str">
        <f>Parts1!I672</f>
        <v>U</v>
      </c>
      <c r="F145" t="str">
        <f>Parts1!J672</f>
        <v>- SW3</v>
      </c>
      <c r="G145">
        <f>Parts1!K672</f>
        <v>1</v>
      </c>
      <c r="H145" t="str">
        <f>Parts1!L672</f>
        <v>Cap for switch, black</v>
      </c>
      <c r="I145" t="str">
        <f>Parts1!M672</f>
        <v/>
      </c>
      <c r="J145" t="str">
        <f>Parts1!N672</f>
        <v/>
      </c>
      <c r="K145" t="str">
        <f>Parts1!O672</f>
        <v/>
      </c>
      <c r="L145" t="str">
        <f>Parts1!P672</f>
        <v>612-1R-BK</v>
      </c>
      <c r="M145" s="51" t="str">
        <f>Parts1!Q672</f>
        <v>E-switch 1RBLK</v>
      </c>
      <c r="N145" s="58">
        <v>18.0</v>
      </c>
      <c r="O145" s="52" t="str">
        <f t="shared" si="2"/>
        <v>B</v>
      </c>
      <c r="P145" s="52" t="str">
        <f t="shared" si="5"/>
        <v/>
      </c>
      <c r="Q145" s="52">
        <f t="shared" si="4"/>
        <v>0</v>
      </c>
      <c r="R145" s="52" t="b">
        <f t="shared" si="6"/>
        <v>1</v>
      </c>
    </row>
    <row r="146">
      <c r="B146" s="20" t="str">
        <f>IFERROR(__xludf.DUMMYFUNCTION("if(exact($E146, """"), """", iferror(regexextract($F146, ""^(?:- )?([A-Z]+)""), ""?""))"),"SW")</f>
        <v>SW</v>
      </c>
      <c r="C146" s="57" t="str">
        <f t="shared" si="3"/>
        <v>612-TL1105SP-250</v>
      </c>
      <c r="D146" t="str">
        <f>Parts1!H69</f>
        <v>Branches v4.0</v>
      </c>
      <c r="E146" t="str">
        <f>Parts1!I69</f>
        <v>U</v>
      </c>
      <c r="F146" t="str">
        <f>Parts1!J69</f>
        <v>SW1, SW2</v>
      </c>
      <c r="G146" s="65">
        <f>Parts1!K69</f>
        <v>2</v>
      </c>
      <c r="H146" t="str">
        <f>Parts1!L69</f>
        <v>Switch, 6mm</v>
      </c>
      <c r="I146" t="str">
        <f>Parts1!M69</f>
        <v/>
      </c>
      <c r="J146" t="str">
        <f>Parts1!N69</f>
        <v/>
      </c>
      <c r="K146" t="str">
        <f>Parts1!O69</f>
        <v/>
      </c>
      <c r="L146" t="str">
        <f>Parts1!P69</f>
        <v>612-TL1105SP-250</v>
      </c>
      <c r="M146" s="51" t="str">
        <f>Parts1!Q69</f>
        <v>E-switch TL1105SPF250Q</v>
      </c>
      <c r="N146" s="58">
        <v>2.0</v>
      </c>
      <c r="O146" s="52" t="str">
        <f t="shared" si="2"/>
        <v>B</v>
      </c>
      <c r="P146" s="52">
        <f t="shared" si="5"/>
        <v>1</v>
      </c>
      <c r="Q146" s="52">
        <f t="shared" si="4"/>
        <v>6</v>
      </c>
      <c r="R146" s="52" t="b">
        <f t="shared" si="6"/>
        <v>0</v>
      </c>
    </row>
    <row r="147">
      <c r="B147" s="20" t="str">
        <f>IFERROR(__xludf.DUMMYFUNCTION("if(exact($E147, """"), """", iferror(regexextract($F147, ""^(?:- )?([A-Z]+)""), ""?""))"),"SW")</f>
        <v>SW</v>
      </c>
      <c r="C147" s="57" t="str">
        <f t="shared" si="3"/>
        <v>612-TL1105SP-250</v>
      </c>
      <c r="D147" t="str">
        <f>Parts1!H123</f>
        <v>Clouds v3.0</v>
      </c>
      <c r="E147" t="str">
        <f>Parts1!I123</f>
        <v>U</v>
      </c>
      <c r="F147" t="str">
        <f>Parts1!J123</f>
        <v>SW2, SW3</v>
      </c>
      <c r="G147">
        <f>Parts1!K123</f>
        <v>2</v>
      </c>
      <c r="H147" t="str">
        <f>Parts1!L123</f>
        <v>Switch, 6mm</v>
      </c>
      <c r="I147" t="str">
        <f>Parts1!M123</f>
        <v/>
      </c>
      <c r="J147" t="str">
        <f>Parts1!N123</f>
        <v/>
      </c>
      <c r="K147" t="str">
        <f>Parts1!O123</f>
        <v/>
      </c>
      <c r="L147" t="str">
        <f>Parts1!P123</f>
        <v>612-TL1105SP-250</v>
      </c>
      <c r="M147" s="51" t="str">
        <f>Parts1!Q123</f>
        <v>E-switch TL1105SPF250Q</v>
      </c>
      <c r="N147" s="58">
        <v>3.0</v>
      </c>
      <c r="O147" s="52" t="str">
        <f t="shared" si="2"/>
        <v>B</v>
      </c>
      <c r="P147" s="52" t="str">
        <f t="shared" si="5"/>
        <v/>
      </c>
      <c r="Q147" s="52">
        <f t="shared" si="4"/>
        <v>5</v>
      </c>
      <c r="R147" s="52" t="b">
        <f t="shared" si="6"/>
        <v>0</v>
      </c>
    </row>
    <row r="148">
      <c r="B148" s="20" t="str">
        <f>IFERROR(__xludf.DUMMYFUNCTION("if(exact($E148, """"), """", iferror(regexextract($F148, ""^(?:- )?([A-Z]+)""), ""?""))"),"SW")</f>
        <v>SW</v>
      </c>
      <c r="C148" s="57" t="str">
        <f t="shared" si="3"/>
        <v>612-TL1105SP-250</v>
      </c>
      <c r="D148" t="str">
        <f>Parts1!H169</f>
        <v>Edges v2.0</v>
      </c>
      <c r="E148" t="str">
        <f>Parts1!I169</f>
        <v>U</v>
      </c>
      <c r="F148" t="str">
        <f>Parts1!J169</f>
        <v>SW4, SW5, SW6, SW7</v>
      </c>
      <c r="G148">
        <f>Parts1!K169</f>
        <v>4</v>
      </c>
      <c r="H148" t="str">
        <f>Parts1!L169</f>
        <v>Switch, 6mm</v>
      </c>
      <c r="I148" t="str">
        <f>Parts1!M169</f>
        <v/>
      </c>
      <c r="J148" t="str">
        <f>Parts1!N169</f>
        <v/>
      </c>
      <c r="K148" t="str">
        <f>Parts1!O169</f>
        <v/>
      </c>
      <c r="L148" t="str">
        <f>Parts1!P169</f>
        <v>612-TL1105SP-250</v>
      </c>
      <c r="M148" s="51" t="str">
        <f>Parts1!Q169</f>
        <v>E-switch TL1105SPF250Q</v>
      </c>
      <c r="N148" s="58">
        <v>4.0</v>
      </c>
      <c r="O148" s="52" t="str">
        <f t="shared" si="2"/>
        <v>B</v>
      </c>
      <c r="P148" s="52" t="str">
        <f t="shared" si="5"/>
        <v/>
      </c>
      <c r="Q148" s="52">
        <f t="shared" si="4"/>
        <v>4</v>
      </c>
      <c r="R148" s="52" t="b">
        <f t="shared" si="6"/>
        <v>0</v>
      </c>
    </row>
    <row r="149">
      <c r="B149" s="20" t="str">
        <f>IFERROR(__xludf.DUMMYFUNCTION("if(exact($E149, """"), """", iferror(regexextract($F149, ""^(?:- )?([A-Z]+)""), ""?""))"),"SW")</f>
        <v>SW</v>
      </c>
      <c r="C149" s="57" t="str">
        <f t="shared" si="3"/>
        <v>612-TL1105SP-250</v>
      </c>
      <c r="D149" t="str">
        <f>Parts1!H354</f>
        <v>Peaks v3.1</v>
      </c>
      <c r="E149" t="str">
        <f>Parts1!I354</f>
        <v>U</v>
      </c>
      <c r="F149" t="str">
        <f>Parts1!J354</f>
        <v>SW1, SW2</v>
      </c>
      <c r="G149">
        <f>Parts1!K354</f>
        <v>2</v>
      </c>
      <c r="H149" t="str">
        <f>Parts1!L354</f>
        <v>Switch, 6mm</v>
      </c>
      <c r="I149" t="str">
        <f>Parts1!M354</f>
        <v/>
      </c>
      <c r="J149" t="str">
        <f>Parts1!N354</f>
        <v/>
      </c>
      <c r="K149" t="str">
        <f>Parts1!O354</f>
        <v/>
      </c>
      <c r="L149" t="str">
        <f>Parts1!P354</f>
        <v>612-TL1105SP-250</v>
      </c>
      <c r="M149" s="51" t="str">
        <f>Parts1!Q354</f>
        <v>E-switch TL1105SPF250Q</v>
      </c>
      <c r="N149" s="58">
        <v>9.0</v>
      </c>
      <c r="O149" s="52" t="str">
        <f t="shared" si="2"/>
        <v>B</v>
      </c>
      <c r="P149" s="52" t="str">
        <f t="shared" si="5"/>
        <v/>
      </c>
      <c r="Q149" s="52">
        <f t="shared" si="4"/>
        <v>3</v>
      </c>
      <c r="R149" s="52" t="b">
        <f t="shared" si="6"/>
        <v>0</v>
      </c>
    </row>
    <row r="150">
      <c r="B150" s="20" t="str">
        <f>IFERROR(__xludf.DUMMYFUNCTION("if(exact($E150, """"), """", iferror(regexextract($F150, ""^(?:- )?([A-Z]+)""), ""?""))"),"SW")</f>
        <v>SW</v>
      </c>
      <c r="C150" s="57" t="str">
        <f t="shared" si="3"/>
        <v>612-TL1105SP-250</v>
      </c>
      <c r="D150" t="str">
        <f>Parts1!H407</f>
        <v>Rings v3.0</v>
      </c>
      <c r="E150" t="str">
        <f>Parts1!I407</f>
        <v>U</v>
      </c>
      <c r="F150" t="str">
        <f>Parts1!J407</f>
        <v>SW1, SW2</v>
      </c>
      <c r="G150">
        <f>Parts1!K407</f>
        <v>2</v>
      </c>
      <c r="H150" t="str">
        <f>Parts1!L407</f>
        <v>Switch, 6mm</v>
      </c>
      <c r="I150" t="str">
        <f>Parts1!M407</f>
        <v/>
      </c>
      <c r="J150" t="str">
        <f>Parts1!N407</f>
        <v/>
      </c>
      <c r="K150" t="str">
        <f>Parts1!O407</f>
        <v/>
      </c>
      <c r="L150" t="str">
        <f>Parts1!P407</f>
        <v>612-TL1105SP-250</v>
      </c>
      <c r="M150" s="51" t="str">
        <f>Parts1!Q407</f>
        <v>E-switch TL1105SPF250Q</v>
      </c>
      <c r="N150" s="58">
        <v>10.0</v>
      </c>
      <c r="O150" s="52" t="str">
        <f t="shared" si="2"/>
        <v>B</v>
      </c>
      <c r="P150" s="52" t="str">
        <f t="shared" si="5"/>
        <v/>
      </c>
      <c r="Q150" s="52">
        <f t="shared" si="4"/>
        <v>2</v>
      </c>
      <c r="R150" s="52" t="b">
        <f t="shared" si="6"/>
        <v>0</v>
      </c>
    </row>
    <row r="151">
      <c r="B151" s="20" t="str">
        <f>IFERROR(__xludf.DUMMYFUNCTION("if(exact($E151, """"), """", iferror(regexextract($F151, ""^(?:- )?([A-Z]+)""), ""?""))"),"SW")</f>
        <v>SW</v>
      </c>
      <c r="C151" s="57" t="str">
        <f t="shared" si="3"/>
        <v>612-TL1105SP-250</v>
      </c>
      <c r="D151" t="str">
        <f>Parts1!H563</f>
        <v>Streams v0.5</v>
      </c>
      <c r="E151" t="str">
        <f>Parts1!I563</f>
        <v>U</v>
      </c>
      <c r="F151" t="str">
        <f>Parts1!J563</f>
        <v>SW1, SW2, SW3</v>
      </c>
      <c r="G151">
        <f>Parts1!K563</f>
        <v>3</v>
      </c>
      <c r="H151" t="str">
        <f>Parts1!L563</f>
        <v>Switch, 6mm</v>
      </c>
      <c r="I151" t="str">
        <f>Parts1!M563</f>
        <v/>
      </c>
      <c r="J151" t="str">
        <f>Parts1!N563</f>
        <v/>
      </c>
      <c r="K151" t="str">
        <f>Parts1!O563</f>
        <v/>
      </c>
      <c r="L151" t="str">
        <f>Parts1!P563</f>
        <v>612-TL1105SP-250</v>
      </c>
      <c r="M151" s="51" t="str">
        <f>Parts1!Q563</f>
        <v>E-switch TL1105SPF250Q</v>
      </c>
      <c r="N151" s="58">
        <v>15.0</v>
      </c>
      <c r="O151" s="52" t="str">
        <f t="shared" si="2"/>
        <v>B</v>
      </c>
      <c r="P151" s="52" t="str">
        <f t="shared" si="5"/>
        <v/>
      </c>
      <c r="Q151" s="52">
        <f t="shared" si="4"/>
        <v>1</v>
      </c>
      <c r="R151" s="52" t="b">
        <f t="shared" si="6"/>
        <v>0</v>
      </c>
    </row>
    <row r="152">
      <c r="B152" s="20" t="str">
        <f>IFERROR(__xludf.DUMMYFUNCTION("if(exact($E152, """"), """", iferror(regexextract($F152, ""^(?:- )?([A-Z]+)""), ""?""))"),"SW")</f>
        <v>SW</v>
      </c>
      <c r="C152" s="57" t="str">
        <f t="shared" si="3"/>
        <v>612-TL1105SP-250</v>
      </c>
      <c r="D152" t="str">
        <f>Parts1!H671</f>
        <v>Warps v3.0</v>
      </c>
      <c r="E152" t="str">
        <f>Parts1!I671</f>
        <v>U</v>
      </c>
      <c r="F152" t="str">
        <f>Parts1!J671</f>
        <v>SW3</v>
      </c>
      <c r="G152">
        <f>Parts1!K671</f>
        <v>1</v>
      </c>
      <c r="H152" t="str">
        <f>Parts1!L671</f>
        <v>Switch, 6mm</v>
      </c>
      <c r="I152" t="str">
        <f>Parts1!M671</f>
        <v/>
      </c>
      <c r="J152" t="str">
        <f>Parts1!N671</f>
        <v/>
      </c>
      <c r="K152" t="str">
        <f>Parts1!O671</f>
        <v/>
      </c>
      <c r="L152" t="str">
        <f>Parts1!P671</f>
        <v>612-TL1105SP-250</v>
      </c>
      <c r="M152" s="51" t="str">
        <f>Parts1!Q671</f>
        <v>E-switch TL1105SPF250Q</v>
      </c>
      <c r="N152" s="58">
        <v>18.0</v>
      </c>
      <c r="O152" s="52" t="str">
        <f t="shared" si="2"/>
        <v>B</v>
      </c>
      <c r="P152" s="52" t="str">
        <f t="shared" si="5"/>
        <v/>
      </c>
      <c r="Q152" s="52">
        <f t="shared" si="4"/>
        <v>0</v>
      </c>
      <c r="R152" s="52" t="b">
        <f t="shared" si="6"/>
        <v>0</v>
      </c>
    </row>
    <row r="153">
      <c r="B153" s="20" t="str">
        <f>IFERROR(__xludf.DUMMYFUNCTION("if(exact($E153, """"), """", iferror(regexextract($F153, ""^(?:- )?([A-Z]+)""), ""?""))"),"D")</f>
        <v>D</v>
      </c>
      <c r="C153" s="57" t="str">
        <f t="shared" si="3"/>
        <v>621-1N5819HW-F</v>
      </c>
      <c r="D153" t="str">
        <f>Parts1!H27</f>
        <v>Braids v5.1</v>
      </c>
      <c r="E153" t="str">
        <f>Parts1!I27</f>
        <v>S</v>
      </c>
      <c r="F153" t="str">
        <f>Parts1!J27</f>
        <v>D1, D2</v>
      </c>
      <c r="G153">
        <f>Parts1!K27</f>
        <v>2</v>
      </c>
      <c r="H153" t="str">
        <f>Parts1!L27</f>
        <v>1N5819HW diode</v>
      </c>
      <c r="I153" t="str">
        <f>Parts1!M27</f>
        <v/>
      </c>
      <c r="J153" t="str">
        <f>Parts1!N27</f>
        <v/>
      </c>
      <c r="K153" t="str">
        <f>Parts1!O27</f>
        <v>SOD123</v>
      </c>
      <c r="L153" t="str">
        <f>Parts1!P27</f>
        <v>621-1N5819HW-F</v>
      </c>
      <c r="M153" s="51" t="str">
        <f>Parts1!Q27</f>
        <v>Diodes Inc 1N5819HW-7-F</v>
      </c>
      <c r="N153" s="58">
        <v>1.0</v>
      </c>
      <c r="O153" s="52" t="str">
        <f t="shared" si="2"/>
        <v>A</v>
      </c>
      <c r="P153" s="52">
        <f t="shared" si="5"/>
        <v>1</v>
      </c>
      <c r="Q153" s="52">
        <f t="shared" si="4"/>
        <v>16</v>
      </c>
      <c r="R153" s="52" t="b">
        <f t="shared" si="6"/>
        <v>1</v>
      </c>
    </row>
    <row r="154">
      <c r="B154" s="20" t="str">
        <f>IFERROR(__xludf.DUMMYFUNCTION("if(exact($E154, """"), """", iferror(regexextract($F154, ""^(?:- )?([A-Z]+)""), ""?""))"),"D")</f>
        <v>D</v>
      </c>
      <c r="C154" s="57" t="str">
        <f t="shared" si="3"/>
        <v>621-1N5819HW-F</v>
      </c>
      <c r="D154" t="str">
        <f>Parts1!H64</f>
        <v>Branches v4.0</v>
      </c>
      <c r="E154" t="str">
        <f>Parts1!I64</f>
        <v>S</v>
      </c>
      <c r="F154" t="str">
        <f>Parts1!J64</f>
        <v>D1</v>
      </c>
      <c r="G154" s="65">
        <f>Parts1!K64</f>
        <v>1</v>
      </c>
      <c r="H154" t="str">
        <f>Parts1!L64</f>
        <v>1N5819HW diode</v>
      </c>
      <c r="I154" t="str">
        <f>Parts1!M64</f>
        <v/>
      </c>
      <c r="J154" t="str">
        <f>Parts1!N64</f>
        <v/>
      </c>
      <c r="K154" t="str">
        <f>Parts1!O64</f>
        <v>SOD123</v>
      </c>
      <c r="L154" t="str">
        <f>Parts1!P64</f>
        <v>621-1N5819HW-F</v>
      </c>
      <c r="M154" s="51" t="str">
        <f>Parts1!Q64</f>
        <v>Diodes Inc 1N5819HW-7-F</v>
      </c>
      <c r="N154" s="58">
        <v>2.0</v>
      </c>
      <c r="O154" s="52" t="str">
        <f t="shared" si="2"/>
        <v>A</v>
      </c>
      <c r="P154" s="52" t="str">
        <f t="shared" si="5"/>
        <v/>
      </c>
      <c r="Q154" s="52">
        <f t="shared" si="4"/>
        <v>15</v>
      </c>
      <c r="R154" s="52" t="b">
        <f t="shared" si="6"/>
        <v>1</v>
      </c>
    </row>
    <row r="155">
      <c r="B155" s="20" t="str">
        <f>IFERROR(__xludf.DUMMYFUNCTION("if(exact($E155, """"), """", iferror(regexextract($F155, ""^(?:- )?([A-Z]+)""), ""?""))"),"D")</f>
        <v>D</v>
      </c>
      <c r="C155" s="57" t="str">
        <f t="shared" si="3"/>
        <v>621-1N5819HW-F</v>
      </c>
      <c r="D155" t="str">
        <f>Parts1!H103</f>
        <v>Clouds v3.0</v>
      </c>
      <c r="E155" t="str">
        <f>Parts1!I103</f>
        <v>S</v>
      </c>
      <c r="F155" t="str">
        <f>Parts1!J103</f>
        <v>D1, D2</v>
      </c>
      <c r="G155">
        <f>Parts1!K103</f>
        <v>2</v>
      </c>
      <c r="H155" t="str">
        <f>Parts1!L103</f>
        <v>1N5819HW diode</v>
      </c>
      <c r="I155" t="str">
        <f>Parts1!M103</f>
        <v/>
      </c>
      <c r="J155" t="str">
        <f>Parts1!N103</f>
        <v/>
      </c>
      <c r="K155" s="59" t="str">
        <f>Parts1!O103</f>
        <v>SOD123</v>
      </c>
      <c r="L155" t="str">
        <f>Parts1!P103</f>
        <v>621-1N5819HW-F</v>
      </c>
      <c r="M155" s="51" t="str">
        <f>Parts1!Q103</f>
        <v>Diodes Inc 1N5819HW-7-F</v>
      </c>
      <c r="N155" s="58">
        <v>3.0</v>
      </c>
      <c r="O155" s="52" t="str">
        <f t="shared" si="2"/>
        <v>A</v>
      </c>
      <c r="P155" s="52" t="str">
        <f t="shared" si="5"/>
        <v/>
      </c>
      <c r="Q155" s="52">
        <f t="shared" si="4"/>
        <v>14</v>
      </c>
      <c r="R155" s="52" t="b">
        <f t="shared" si="6"/>
        <v>1</v>
      </c>
    </row>
    <row r="156">
      <c r="B156" s="20" t="str">
        <f>IFERROR(__xludf.DUMMYFUNCTION("if(exact($E156, """"), """", iferror(regexextract($F156, ""^(?:- )?([A-Z]+)""), ""?""))"),"D")</f>
        <v>D</v>
      </c>
      <c r="C156" s="57" t="str">
        <f t="shared" si="3"/>
        <v>621-1N5819HW-F</v>
      </c>
      <c r="D156" t="str">
        <f>Parts1!H149</f>
        <v>Edges v2.0</v>
      </c>
      <c r="E156" t="str">
        <f>Parts1!I149</f>
        <v>S</v>
      </c>
      <c r="F156" t="str">
        <f>Parts1!J149</f>
        <v>D1, D2, D3</v>
      </c>
      <c r="G156">
        <f>Parts1!K149</f>
        <v>3</v>
      </c>
      <c r="H156" t="str">
        <f>Parts1!L149</f>
        <v>1N5819HW diode</v>
      </c>
      <c r="I156" t="str">
        <f>Parts1!M149</f>
        <v/>
      </c>
      <c r="J156" t="str">
        <f>Parts1!N149</f>
        <v/>
      </c>
      <c r="K156" t="str">
        <f>Parts1!O149</f>
        <v>SOD123</v>
      </c>
      <c r="L156" t="str">
        <f>Parts1!P149</f>
        <v>621-1N5819HW-F</v>
      </c>
      <c r="M156" s="51" t="str">
        <f>Parts1!Q149</f>
        <v>Diodes Inc 1N5819HW-7-F</v>
      </c>
      <c r="N156" s="58">
        <v>4.0</v>
      </c>
      <c r="O156" s="52" t="str">
        <f t="shared" si="2"/>
        <v>A</v>
      </c>
      <c r="P156" s="52" t="str">
        <f t="shared" si="5"/>
        <v/>
      </c>
      <c r="Q156" s="52">
        <f t="shared" si="4"/>
        <v>13</v>
      </c>
      <c r="R156" s="52" t="b">
        <f t="shared" si="6"/>
        <v>1</v>
      </c>
    </row>
    <row r="157">
      <c r="B157" s="20" t="str">
        <f>IFERROR(__xludf.DUMMYFUNCTION("if(exact($E157, """"), """", iferror(regexextract($F157, ""^(?:- )?([A-Z]+)""), ""?""))"),"D")</f>
        <v>D</v>
      </c>
      <c r="C157" s="57" t="str">
        <f t="shared" si="3"/>
        <v>621-1N5819HW-F</v>
      </c>
      <c r="D157" t="str">
        <f>Parts1!H198</f>
        <v>Elements v0.21</v>
      </c>
      <c r="E157" t="str">
        <f>Parts1!I198</f>
        <v>S</v>
      </c>
      <c r="F157" t="str">
        <f>Parts1!J198</f>
        <v>D1, D2</v>
      </c>
      <c r="G157">
        <f>Parts1!K198</f>
        <v>2</v>
      </c>
      <c r="H157" t="str">
        <f>Parts1!L198</f>
        <v>1N5819HW diode</v>
      </c>
      <c r="I157" t="str">
        <f>Parts1!M198</f>
        <v/>
      </c>
      <c r="J157" t="str">
        <f>Parts1!N198</f>
        <v/>
      </c>
      <c r="K157" t="str">
        <f>Parts1!O198</f>
        <v>SOD123</v>
      </c>
      <c r="L157" t="str">
        <f>Parts1!P198</f>
        <v>621-1N5819HW-F</v>
      </c>
      <c r="M157" s="51" t="str">
        <f>Parts1!Q198</f>
        <v>Diodes Inc 1N5819HW-7-F</v>
      </c>
      <c r="N157" s="58">
        <v>5.0</v>
      </c>
      <c r="O157" s="52" t="str">
        <f t="shared" si="2"/>
        <v>A</v>
      </c>
      <c r="P157" s="52" t="str">
        <f t="shared" si="5"/>
        <v/>
      </c>
      <c r="Q157" s="52">
        <f t="shared" si="4"/>
        <v>12</v>
      </c>
      <c r="R157" s="52" t="b">
        <f t="shared" si="6"/>
        <v>1</v>
      </c>
    </row>
    <row r="158">
      <c r="B158" s="20" t="str">
        <f>IFERROR(__xludf.DUMMYFUNCTION("if(exact($E158, """"), """", iferror(regexextract($F158, ""^(?:- )?([A-Z]+)""), ""?""))"),"D")</f>
        <v>D</v>
      </c>
      <c r="C158" s="57" t="str">
        <f t="shared" si="3"/>
        <v>621-1N5819HW-F</v>
      </c>
      <c r="D158" t="str">
        <f>Parts1!H242</f>
        <v>Frames v0.3</v>
      </c>
      <c r="E158" t="str">
        <f>Parts1!I242</f>
        <v>S</v>
      </c>
      <c r="F158" t="str">
        <f>Parts1!J242</f>
        <v>D1, D2</v>
      </c>
      <c r="G158">
        <f>Parts1!K242</f>
        <v>2</v>
      </c>
      <c r="H158" t="str">
        <f>Parts1!L242</f>
        <v>1N5819HW diode</v>
      </c>
      <c r="I158" t="str">
        <f>Parts1!M242</f>
        <v/>
      </c>
      <c r="J158" s="59" t="str">
        <f>Parts1!N242</f>
        <v/>
      </c>
      <c r="K158" t="str">
        <f>Parts1!O242</f>
        <v>SOD123</v>
      </c>
      <c r="L158" t="str">
        <f>Parts1!P242</f>
        <v>621-1N5819HW-F</v>
      </c>
      <c r="M158" s="51" t="str">
        <f>Parts1!Q242</f>
        <v>Diodes Inc 1N5819HW-7-F</v>
      </c>
      <c r="N158" s="58">
        <v>6.0</v>
      </c>
      <c r="O158" s="52" t="str">
        <f t="shared" si="2"/>
        <v>A</v>
      </c>
      <c r="P158" s="52" t="str">
        <f t="shared" si="5"/>
        <v/>
      </c>
      <c r="Q158" s="52">
        <f t="shared" si="4"/>
        <v>11</v>
      </c>
      <c r="R158" s="52" t="b">
        <f t="shared" si="6"/>
        <v>1</v>
      </c>
    </row>
    <row r="159">
      <c r="B159" s="20" t="str">
        <f>IFERROR(__xludf.DUMMYFUNCTION("if(exact($E159, """"), """", iferror(regexextract($F159, ""^(?:- )?([A-Z]+)""), ""?""))"),"D")</f>
        <v>D</v>
      </c>
      <c r="C159" s="57" t="str">
        <f t="shared" si="3"/>
        <v>621-1N5819HW-F</v>
      </c>
      <c r="D159" t="str">
        <f>Parts1!H288</f>
        <v>Grids v0.2</v>
      </c>
      <c r="E159" t="str">
        <f>Parts1!I288</f>
        <v>S</v>
      </c>
      <c r="F159" t="str">
        <f>Parts1!J288</f>
        <v>D1</v>
      </c>
      <c r="G159" s="65">
        <f>Parts1!K288</f>
        <v>1</v>
      </c>
      <c r="H159" t="str">
        <f>Parts1!L288</f>
        <v>1N5819HW diode</v>
      </c>
      <c r="I159" t="str">
        <f>Parts1!M288</f>
        <v/>
      </c>
      <c r="J159" t="str">
        <f>Parts1!N288</f>
        <v/>
      </c>
      <c r="K159" t="str">
        <f>Parts1!O288</f>
        <v>SOD123</v>
      </c>
      <c r="L159" t="str">
        <f>Parts1!P288</f>
        <v>621-1N5819HW-F</v>
      </c>
      <c r="M159" s="51" t="str">
        <f>Parts1!Q288</f>
        <v>Diodes Inc 1N5819HW-7-F</v>
      </c>
      <c r="N159" s="58">
        <v>7.0</v>
      </c>
      <c r="O159" s="52" t="str">
        <f t="shared" si="2"/>
        <v>A</v>
      </c>
      <c r="P159" s="52" t="str">
        <f t="shared" si="5"/>
        <v/>
      </c>
      <c r="Q159" s="52">
        <f t="shared" si="4"/>
        <v>10</v>
      </c>
      <c r="R159" s="52" t="b">
        <f t="shared" si="6"/>
        <v>1</v>
      </c>
    </row>
    <row r="160">
      <c r="B160" s="20" t="str">
        <f>IFERROR(__xludf.DUMMYFUNCTION("if(exact($E160, """"), """", iferror(regexextract($F160, ""^(?:- )?([A-Z]+)""), ""?""))"),"D")</f>
        <v>D</v>
      </c>
      <c r="C160" s="57" t="str">
        <f t="shared" si="3"/>
        <v>621-1N5819HW-F</v>
      </c>
      <c r="D160" t="str">
        <f>Parts1!H310</f>
        <v>Links v4</v>
      </c>
      <c r="E160" t="str">
        <f>Parts1!I310</f>
        <v>S</v>
      </c>
      <c r="F160" t="str">
        <f>Parts1!J310</f>
        <v>D1, D2</v>
      </c>
      <c r="G160">
        <f>Parts1!K310</f>
        <v>2</v>
      </c>
      <c r="H160" t="str">
        <f>Parts1!L310</f>
        <v>1N5819HW diode</v>
      </c>
      <c r="I160" t="str">
        <f>Parts1!M310</f>
        <v/>
      </c>
      <c r="J160" t="str">
        <f>Parts1!N310</f>
        <v/>
      </c>
      <c r="K160" t="str">
        <f>Parts1!O310</f>
        <v>SOD123</v>
      </c>
      <c r="L160" t="str">
        <f>Parts1!P310</f>
        <v>621-1N5819HW-F</v>
      </c>
      <c r="M160" s="51" t="str">
        <f>Parts1!Q310</f>
        <v>Diodes Inc 1N5819HW-7-F</v>
      </c>
      <c r="N160" s="58">
        <v>8.0</v>
      </c>
      <c r="O160" s="52" t="str">
        <f t="shared" si="2"/>
        <v>A</v>
      </c>
      <c r="P160" s="52" t="str">
        <f t="shared" si="5"/>
        <v/>
      </c>
      <c r="Q160" s="52">
        <f t="shared" si="4"/>
        <v>9</v>
      </c>
      <c r="R160" s="52" t="b">
        <f t="shared" si="6"/>
        <v>1</v>
      </c>
    </row>
    <row r="161">
      <c r="B161" s="20" t="str">
        <f>IFERROR(__xludf.DUMMYFUNCTION("if(exact($E161, """"), """", iferror(regexextract($F161, ""^(?:- )?([A-Z]+)""), ""?""))"),"D")</f>
        <v>D</v>
      </c>
      <c r="C161" s="57" t="str">
        <f t="shared" si="3"/>
        <v>621-1N5819HW-F</v>
      </c>
      <c r="D161" t="str">
        <f>Parts1!H338</f>
        <v>Peaks v3.1</v>
      </c>
      <c r="E161" t="str">
        <f>Parts1!I338</f>
        <v>S</v>
      </c>
      <c r="F161" t="str">
        <f>Parts1!J338</f>
        <v>D1, D2</v>
      </c>
      <c r="G161">
        <f>Parts1!K338</f>
        <v>2</v>
      </c>
      <c r="H161" t="str">
        <f>Parts1!L338</f>
        <v>1N5819HW diode</v>
      </c>
      <c r="I161" t="str">
        <f>Parts1!M338</f>
        <v/>
      </c>
      <c r="J161" s="59" t="str">
        <f>Parts1!N338</f>
        <v/>
      </c>
      <c r="K161" t="str">
        <f>Parts1!O338</f>
        <v>SOD123</v>
      </c>
      <c r="L161" t="str">
        <f>Parts1!P338</f>
        <v>621-1N5819HW-F</v>
      </c>
      <c r="M161" s="51" t="str">
        <f>Parts1!Q338</f>
        <v>Diodes Inc 1N5819HW-7-F</v>
      </c>
      <c r="N161" s="58">
        <v>9.0</v>
      </c>
      <c r="O161" s="52" t="str">
        <f t="shared" si="2"/>
        <v>A</v>
      </c>
      <c r="P161" s="52" t="str">
        <f t="shared" si="5"/>
        <v/>
      </c>
      <c r="Q161" s="52">
        <f t="shared" si="4"/>
        <v>8</v>
      </c>
      <c r="R161" s="52" t="b">
        <f t="shared" si="6"/>
        <v>1</v>
      </c>
    </row>
    <row r="162">
      <c r="B162" s="20" t="str">
        <f>IFERROR(__xludf.DUMMYFUNCTION("if(exact($E162, """"), """", iferror(regexextract($F162, ""^(?:- )?([A-Z]+)""), ""?""))"),"D")</f>
        <v>D</v>
      </c>
      <c r="C162" s="57" t="str">
        <f t="shared" si="3"/>
        <v>621-1N5819HW-F</v>
      </c>
      <c r="D162" t="str">
        <f>Parts1!H387</f>
        <v>Rings v3.0</v>
      </c>
      <c r="E162" t="str">
        <f>Parts1!I387</f>
        <v>S</v>
      </c>
      <c r="F162" t="str">
        <f>Parts1!J387</f>
        <v>D1, D2</v>
      </c>
      <c r="G162">
        <f>Parts1!K387</f>
        <v>2</v>
      </c>
      <c r="H162" t="str">
        <f>Parts1!L387</f>
        <v>1N5819HW diode</v>
      </c>
      <c r="I162" t="str">
        <f>Parts1!M387</f>
        <v/>
      </c>
      <c r="J162" t="str">
        <f>Parts1!N387</f>
        <v/>
      </c>
      <c r="K162" t="str">
        <f>Parts1!O387</f>
        <v>SOD123</v>
      </c>
      <c r="L162" t="str">
        <f>Parts1!P387</f>
        <v>621-1N5819HW-F</v>
      </c>
      <c r="M162" s="51" t="str">
        <f>Parts1!Q387</f>
        <v>Diodes Inc 1N5819HW-7-F</v>
      </c>
      <c r="N162" s="58">
        <v>10.0</v>
      </c>
      <c r="O162" s="52" t="str">
        <f t="shared" si="2"/>
        <v>A</v>
      </c>
      <c r="P162" s="52" t="str">
        <f t="shared" si="5"/>
        <v/>
      </c>
      <c r="Q162" s="52">
        <f t="shared" si="4"/>
        <v>7</v>
      </c>
      <c r="R162" s="52" t="b">
        <f t="shared" si="6"/>
        <v>1</v>
      </c>
    </row>
    <row r="163">
      <c r="B163" s="20" t="str">
        <f>IFERROR(__xludf.DUMMYFUNCTION("if(exact($E163, """"), """", iferror(regexextract($F163, ""^(?:- )?([A-Z]+)""), ""?""))"),"D")</f>
        <v>D</v>
      </c>
      <c r="C163" s="57" t="str">
        <f t="shared" si="3"/>
        <v>621-1N5819HW-F</v>
      </c>
      <c r="D163" t="str">
        <f>Parts1!H436</f>
        <v>Ripples v4.0</v>
      </c>
      <c r="E163" t="str">
        <f>Parts1!I436</f>
        <v>S</v>
      </c>
      <c r="F163" t="str">
        <f>Parts1!J436</f>
        <v>D3, D4</v>
      </c>
      <c r="G163">
        <f>Parts1!K436</f>
        <v>2</v>
      </c>
      <c r="H163" t="str">
        <f>Parts1!L436</f>
        <v>1N5819HW diode</v>
      </c>
      <c r="I163" t="str">
        <f>Parts1!M436</f>
        <v/>
      </c>
      <c r="J163" t="str">
        <f>Parts1!N436</f>
        <v/>
      </c>
      <c r="K163" t="str">
        <f>Parts1!O436</f>
        <v>SOD123</v>
      </c>
      <c r="L163" t="str">
        <f>Parts1!P436</f>
        <v>621-1N5819HW-F</v>
      </c>
      <c r="M163" s="51" t="str">
        <f>Parts1!Q436</f>
        <v>Diodes Inc 1N5819HW-7-F</v>
      </c>
      <c r="N163" s="58">
        <v>11.0</v>
      </c>
      <c r="O163" s="52" t="str">
        <f t="shared" si="2"/>
        <v>A</v>
      </c>
      <c r="P163" s="52" t="str">
        <f t="shared" si="5"/>
        <v/>
      </c>
      <c r="Q163" s="52">
        <f t="shared" si="4"/>
        <v>6</v>
      </c>
      <c r="R163" s="52" t="b">
        <f t="shared" si="6"/>
        <v>1</v>
      </c>
    </row>
    <row r="164">
      <c r="B164" s="20" t="str">
        <f>IFERROR(__xludf.DUMMYFUNCTION("if(exact($E164, """"), """", iferror(regexextract($F164, ""^(?:- )?([A-Z]+)""), ""?""))"),"D")</f>
        <v>D</v>
      </c>
      <c r="C164" s="57" t="str">
        <f t="shared" si="3"/>
        <v>621-1N5819HW-F</v>
      </c>
      <c r="D164" t="str">
        <f>Parts1!H458</f>
        <v>Shades v3.1</v>
      </c>
      <c r="E164" t="str">
        <f>Parts1!I458</f>
        <v>S</v>
      </c>
      <c r="F164" t="str">
        <f>Parts1!J458</f>
        <v>D1, D2</v>
      </c>
      <c r="G164">
        <f>Parts1!K458</f>
        <v>2</v>
      </c>
      <c r="H164" t="str">
        <f>Parts1!L458</f>
        <v>1N5819HW diode</v>
      </c>
      <c r="I164" t="str">
        <f>Parts1!M458</f>
        <v/>
      </c>
      <c r="J164" s="59" t="str">
        <f>Parts1!N458</f>
        <v/>
      </c>
      <c r="K164" t="str">
        <f>Parts1!O458</f>
        <v>SOD123</v>
      </c>
      <c r="L164" t="str">
        <f>Parts1!P458</f>
        <v>621-1N5819HW-F</v>
      </c>
      <c r="M164" s="51" t="str">
        <f>Parts1!Q458</f>
        <v>Diodes Inc 1N5819HW-7-F</v>
      </c>
      <c r="N164" s="58">
        <v>12.0</v>
      </c>
      <c r="O164" s="52" t="str">
        <f t="shared" si="2"/>
        <v>A</v>
      </c>
      <c r="P164" s="52" t="str">
        <f t="shared" si="5"/>
        <v/>
      </c>
      <c r="Q164" s="52">
        <f t="shared" si="4"/>
        <v>5</v>
      </c>
      <c r="R164" s="52" t="b">
        <f t="shared" si="6"/>
        <v>1</v>
      </c>
    </row>
    <row r="165">
      <c r="B165" s="20" t="str">
        <f>IFERROR(__xludf.DUMMYFUNCTION("if(exact($E165, """"), """", iferror(regexextract($F165, ""^(?:- )?([A-Z]+)""), ""?""))"),"D")</f>
        <v>D</v>
      </c>
      <c r="C165" s="57" t="str">
        <f t="shared" si="3"/>
        <v>621-1N5819HW-F</v>
      </c>
      <c r="D165" t="str">
        <f>Parts1!H491</f>
        <v>Shelves v0.5</v>
      </c>
      <c r="E165" t="str">
        <f>Parts1!I491</f>
        <v>S</v>
      </c>
      <c r="F165" t="str">
        <f>Parts1!J491</f>
        <v>D1, D2</v>
      </c>
      <c r="G165">
        <f>Parts1!K491</f>
        <v>2</v>
      </c>
      <c r="H165" t="str">
        <f>Parts1!L491</f>
        <v>1N5819HW diode</v>
      </c>
      <c r="I165" t="str">
        <f>Parts1!M491</f>
        <v/>
      </c>
      <c r="J165" t="str">
        <f>Parts1!N491</f>
        <v/>
      </c>
      <c r="K165" t="str">
        <f>Parts1!O491</f>
        <v>SOD123</v>
      </c>
      <c r="L165" t="str">
        <f>Parts1!P491</f>
        <v>621-1N5819HW-F</v>
      </c>
      <c r="M165" s="51" t="str">
        <f>Parts1!Q491</f>
        <v>Diodes Inc 1N5819HW-7-F</v>
      </c>
      <c r="N165" s="58">
        <v>13.0</v>
      </c>
      <c r="O165" s="52" t="str">
        <f t="shared" si="2"/>
        <v>A</v>
      </c>
      <c r="P165" s="52" t="str">
        <f t="shared" si="5"/>
        <v/>
      </c>
      <c r="Q165" s="52">
        <f t="shared" si="4"/>
        <v>4</v>
      </c>
      <c r="R165" s="52" t="b">
        <f t="shared" si="6"/>
        <v>1</v>
      </c>
    </row>
    <row r="166">
      <c r="B166" s="20" t="str">
        <f>IFERROR(__xludf.DUMMYFUNCTION("if(exact($E166, """"), """", iferror(regexextract($F166, ""^(?:- )?([A-Z]+)""), ""?""))"),"D")</f>
        <v>D</v>
      </c>
      <c r="C166" s="57" t="str">
        <f t="shared" si="3"/>
        <v>621-1N5819HW-F</v>
      </c>
      <c r="D166" t="str">
        <f>Parts1!H543</f>
        <v>Streams v0.5</v>
      </c>
      <c r="E166" t="str">
        <f>Parts1!I543</f>
        <v>S</v>
      </c>
      <c r="F166" t="str">
        <f>Parts1!J543</f>
        <v>D3, D6</v>
      </c>
      <c r="G166">
        <f>Parts1!K543</f>
        <v>2</v>
      </c>
      <c r="H166" t="str">
        <f>Parts1!L543</f>
        <v>1N5819HW diode</v>
      </c>
      <c r="I166" t="str">
        <f>Parts1!M543</f>
        <v/>
      </c>
      <c r="J166" t="str">
        <f>Parts1!N543</f>
        <v/>
      </c>
      <c r="K166" t="str">
        <f>Parts1!O543</f>
        <v>SOD123</v>
      </c>
      <c r="L166" t="str">
        <f>Parts1!P543</f>
        <v>621-1N5819HW-F</v>
      </c>
      <c r="M166" s="51" t="str">
        <f>Parts1!Q543</f>
        <v>Diodes Inc 1N5819HW-7-F</v>
      </c>
      <c r="N166" s="58">
        <v>15.0</v>
      </c>
      <c r="O166" s="52" t="str">
        <f t="shared" si="2"/>
        <v>A</v>
      </c>
      <c r="P166" s="52" t="str">
        <f t="shared" si="5"/>
        <v/>
      </c>
      <c r="Q166" s="52">
        <f t="shared" si="4"/>
        <v>3</v>
      </c>
      <c r="R166" s="52" t="b">
        <f t="shared" si="6"/>
        <v>1</v>
      </c>
    </row>
    <row r="167">
      <c r="B167" s="20" t="str">
        <f>IFERROR(__xludf.DUMMYFUNCTION("if(exact($E167, """"), """", iferror(regexextract($F167, ""^(?:- )?([A-Z]+)""), ""?""))"),"D")</f>
        <v>D</v>
      </c>
      <c r="C167" s="57" t="str">
        <f t="shared" si="3"/>
        <v>621-1N5819HW-F</v>
      </c>
      <c r="D167" t="str">
        <f>Parts1!H605</f>
        <v>Tides v4.0</v>
      </c>
      <c r="E167" t="str">
        <f>Parts1!I605</f>
        <v>S</v>
      </c>
      <c r="F167" t="str">
        <f>Parts1!J605</f>
        <v>D1, D2</v>
      </c>
      <c r="G167">
        <f>Parts1!K605</f>
        <v>2</v>
      </c>
      <c r="H167" t="str">
        <f>Parts1!L605</f>
        <v>1N5819HW diode</v>
      </c>
      <c r="I167" t="str">
        <f>Parts1!M605</f>
        <v/>
      </c>
      <c r="J167" s="59" t="str">
        <f>Parts1!N605</f>
        <v/>
      </c>
      <c r="K167" t="str">
        <f>Parts1!O605</f>
        <v>SOD123</v>
      </c>
      <c r="L167" t="str">
        <f>Parts1!P605</f>
        <v>621-1N5819HW-F</v>
      </c>
      <c r="M167" s="51" t="str">
        <f>Parts1!Q605</f>
        <v>Diodes Inc 1N5819HW-7-F</v>
      </c>
      <c r="N167" s="58">
        <v>17.0</v>
      </c>
      <c r="O167" s="52" t="str">
        <f t="shared" si="2"/>
        <v>A</v>
      </c>
      <c r="P167" s="52" t="str">
        <f t="shared" si="5"/>
        <v/>
      </c>
      <c r="Q167" s="52">
        <f t="shared" si="4"/>
        <v>2</v>
      </c>
      <c r="R167" s="52" t="b">
        <f t="shared" si="6"/>
        <v>1</v>
      </c>
    </row>
    <row r="168">
      <c r="B168" s="20" t="str">
        <f>IFERROR(__xludf.DUMMYFUNCTION("if(exact($E168, """"), """", iferror(regexextract($F168, ""^(?:- )?([A-Z]+)""), ""?""))"),"D")</f>
        <v>D</v>
      </c>
      <c r="C168" s="57" t="str">
        <f t="shared" si="3"/>
        <v>621-1N5819HW-F</v>
      </c>
      <c r="D168" t="str">
        <f>Parts1!H653</f>
        <v>Warps v3.0</v>
      </c>
      <c r="E168" t="str">
        <f>Parts1!I653</f>
        <v>S</v>
      </c>
      <c r="F168" t="str">
        <f>Parts1!J653</f>
        <v>D1, D2</v>
      </c>
      <c r="G168">
        <f>Parts1!K653</f>
        <v>2</v>
      </c>
      <c r="H168" t="str">
        <f>Parts1!L653</f>
        <v>1N5819HW diode</v>
      </c>
      <c r="I168" t="str">
        <f>Parts1!M653</f>
        <v/>
      </c>
      <c r="J168" t="str">
        <f>Parts1!N653</f>
        <v/>
      </c>
      <c r="K168" t="str">
        <f>Parts1!O653</f>
        <v>SOD123</v>
      </c>
      <c r="L168" t="str">
        <f>Parts1!P653</f>
        <v>621-1N5819HW-F</v>
      </c>
      <c r="M168" s="51" t="str">
        <f>Parts1!Q653</f>
        <v>Diodes Inc 1N5819HW-7-F</v>
      </c>
      <c r="N168" s="58">
        <v>18.0</v>
      </c>
      <c r="O168" s="52" t="str">
        <f t="shared" si="2"/>
        <v>A</v>
      </c>
      <c r="P168" s="52" t="str">
        <f t="shared" si="5"/>
        <v/>
      </c>
      <c r="Q168" s="52">
        <f t="shared" si="4"/>
        <v>1</v>
      </c>
      <c r="R168" s="52" t="b">
        <f t="shared" si="6"/>
        <v>1</v>
      </c>
    </row>
    <row r="169">
      <c r="B169" s="20" t="str">
        <f>IFERROR(__xludf.DUMMYFUNCTION("if(exact($E169, """"), """", iferror(regexextract($F169, ""^(?:- )?([A-Z]+)""), ""?""))"),"D")</f>
        <v>D</v>
      </c>
      <c r="C169" s="68" t="str">
        <f t="shared" si="3"/>
        <v>621-1N5819HW-F</v>
      </c>
      <c r="D169" t="str">
        <f>Parts1!H691</f>
        <v>Yarns v0.3</v>
      </c>
      <c r="E169" t="str">
        <f>Parts1!I691</f>
        <v>S</v>
      </c>
      <c r="F169" s="64" t="str">
        <f>Parts1!J691</f>
        <v>D1, D2</v>
      </c>
      <c r="G169" s="65">
        <f>Parts1!K691</f>
        <v>2</v>
      </c>
      <c r="H169" s="64" t="str">
        <f>Parts1!L691</f>
        <v>1N5819HW diode</v>
      </c>
      <c r="I169" s="64" t="str">
        <f>Parts1!M691</f>
        <v/>
      </c>
      <c r="J169" s="64" t="str">
        <f>Parts1!N691</f>
        <v/>
      </c>
      <c r="K169" s="64" t="str">
        <f>Parts1!O691</f>
        <v>SOD123</v>
      </c>
      <c r="L169" s="64" t="str">
        <f>Parts1!P691</f>
        <v>621-1N5819HW-F</v>
      </c>
      <c r="M169" s="67" t="str">
        <f>Parts1!Q691</f>
        <v>Diodes Inc 1N5819HW-7-F</v>
      </c>
      <c r="N169" s="58">
        <v>19.0</v>
      </c>
      <c r="O169" s="52" t="str">
        <f t="shared" si="2"/>
        <v>A</v>
      </c>
      <c r="P169" s="52" t="str">
        <f t="shared" si="5"/>
        <v/>
      </c>
      <c r="Q169" s="52">
        <f t="shared" si="4"/>
        <v>0</v>
      </c>
      <c r="R169" s="52" t="b">
        <f t="shared" si="6"/>
        <v>1</v>
      </c>
    </row>
    <row r="170">
      <c r="B170" s="20" t="str">
        <f>IFERROR(__xludf.DUMMYFUNCTION("if(exact($E170, """"), """", iferror(regexextract($F170, ""^(?:- )?([A-Z]+)""), ""?""))"),"SW")</f>
        <v>SW</v>
      </c>
      <c r="C170" s="57" t="str">
        <f t="shared" si="3"/>
        <v>633-CS12ANW03</v>
      </c>
      <c r="D170" t="str">
        <f>Parts1!H168</f>
        <v>Edges v2.0</v>
      </c>
      <c r="E170" t="str">
        <f>Parts1!I168</f>
        <v>U</v>
      </c>
      <c r="F170" t="str">
        <f>Parts1!J168</f>
        <v>SW1, SW2, SW3</v>
      </c>
      <c r="G170">
        <f>Parts1!K168</f>
        <v>3</v>
      </c>
      <c r="H170" t="str">
        <f>Parts1!L168</f>
        <v>Toggle switch, SPDT</v>
      </c>
      <c r="I170" t="str">
        <f>Parts1!M168</f>
        <v/>
      </c>
      <c r="J170" t="str">
        <f>Parts1!N168</f>
        <v/>
      </c>
      <c r="K170" t="str">
        <f>Parts1!O168</f>
        <v/>
      </c>
      <c r="L170" t="str">
        <f>Parts1!P168</f>
        <v>633-CS12ANW03</v>
      </c>
      <c r="M170" s="51" t="str">
        <f>Parts1!Q168</f>
        <v/>
      </c>
      <c r="N170" s="58">
        <v>4.0</v>
      </c>
      <c r="O170" s="52" t="str">
        <f t="shared" si="2"/>
        <v>B</v>
      </c>
      <c r="P170" s="52">
        <f t="shared" si="5"/>
        <v>1</v>
      </c>
      <c r="Q170" s="52">
        <f t="shared" si="4"/>
        <v>2</v>
      </c>
      <c r="R170" s="52" t="b">
        <f t="shared" si="6"/>
        <v>0</v>
      </c>
    </row>
    <row r="171">
      <c r="B171" s="20" t="str">
        <f>IFERROR(__xludf.DUMMYFUNCTION("if(exact($E171, """"), """", iferror(regexextract($F171, ""^(?:- )?([A-Z]+)""), ""?""))"),"SW")</f>
        <v>SW</v>
      </c>
      <c r="C171" s="57" t="str">
        <f t="shared" si="3"/>
        <v>633-CS12ANW03</v>
      </c>
      <c r="D171" t="str">
        <f>Parts1!H263</f>
        <v>Frames v0.3</v>
      </c>
      <c r="E171" t="str">
        <f>Parts1!I263</f>
        <v>U</v>
      </c>
      <c r="F171" t="str">
        <f>Parts1!J263</f>
        <v>SW5</v>
      </c>
      <c r="G171">
        <f>Parts1!K263</f>
        <v>1</v>
      </c>
      <c r="H171" t="str">
        <f>Parts1!L263</f>
        <v>Toggle switch, SPDT</v>
      </c>
      <c r="I171" t="str">
        <f>Parts1!M263</f>
        <v/>
      </c>
      <c r="J171" t="str">
        <f>Parts1!N263</f>
        <v/>
      </c>
      <c r="K171" t="str">
        <f>Parts1!O263</f>
        <v/>
      </c>
      <c r="L171" t="str">
        <f>Parts1!P263</f>
        <v>633-CS12ANW03</v>
      </c>
      <c r="M171" s="51" t="str">
        <f>Parts1!Q263</f>
        <v/>
      </c>
      <c r="N171" s="58">
        <v>6.0</v>
      </c>
      <c r="O171" s="52" t="str">
        <f t="shared" si="2"/>
        <v>B</v>
      </c>
      <c r="P171" s="52" t="str">
        <f t="shared" si="5"/>
        <v/>
      </c>
      <c r="Q171" s="52">
        <f t="shared" si="4"/>
        <v>1</v>
      </c>
      <c r="R171" s="52" t="b">
        <f t="shared" si="6"/>
        <v>0</v>
      </c>
    </row>
    <row r="172">
      <c r="B172" s="20" t="str">
        <f>IFERROR(__xludf.DUMMYFUNCTION("if(exact($E172, """"), """", iferror(regexextract($F172, ""^(?:- )?([A-Z]+)""), ""?""))"),"SW")</f>
        <v>SW</v>
      </c>
      <c r="C172" s="57" t="str">
        <f t="shared" si="3"/>
        <v>633-CS12ANW03</v>
      </c>
      <c r="D172" t="str">
        <f>Parts1!H468</f>
        <v>Shades v3.1</v>
      </c>
      <c r="E172" t="str">
        <f>Parts1!I468</f>
        <v>U</v>
      </c>
      <c r="F172" t="str">
        <f>Parts1!J468</f>
        <v>SW1, SW2, SW3</v>
      </c>
      <c r="G172">
        <f>Parts1!K468</f>
        <v>3</v>
      </c>
      <c r="H172" t="str">
        <f>Parts1!L468</f>
        <v>Toggle switch, SPDT</v>
      </c>
      <c r="I172" t="str">
        <f>Parts1!M468</f>
        <v/>
      </c>
      <c r="J172" t="str">
        <f>Parts1!N468</f>
        <v/>
      </c>
      <c r="K172" t="str">
        <f>Parts1!O468</f>
        <v/>
      </c>
      <c r="L172" t="str">
        <f>Parts1!P468</f>
        <v>633-CS12ANW03</v>
      </c>
      <c r="M172" s="51" t="str">
        <f>Parts1!Q468</f>
        <v/>
      </c>
      <c r="N172" s="58">
        <v>12.0</v>
      </c>
      <c r="O172" s="52" t="str">
        <f t="shared" si="2"/>
        <v>B</v>
      </c>
      <c r="P172" s="52" t="str">
        <f t="shared" si="5"/>
        <v/>
      </c>
      <c r="Q172" s="52">
        <f t="shared" si="4"/>
        <v>0</v>
      </c>
      <c r="R172" s="52" t="b">
        <f t="shared" si="6"/>
        <v>0</v>
      </c>
    </row>
    <row r="173">
      <c r="B173" s="20" t="str">
        <f>IFERROR(__xludf.DUMMYFUNCTION("if(exact($E173, """"), """", iferror(regexextract($F173, ""^(?:- )?([A-Z]+)""), ""?""))"),"C")</f>
        <v>C</v>
      </c>
      <c r="C173" s="57" t="str">
        <f t="shared" si="3"/>
        <v>647-UWP1A100MCL</v>
      </c>
      <c r="D173" t="str">
        <f>Parts1!H24</f>
        <v>Braids v5.1</v>
      </c>
      <c r="E173" t="str">
        <f>Parts1!I24</f>
        <v>S</v>
      </c>
      <c r="F173" t="str">
        <f>Parts1!J24</f>
        <v>C24</v>
      </c>
      <c r="G173">
        <f>Parts1!K24</f>
        <v>1</v>
      </c>
      <c r="H173" t="str">
        <f>Parts1!L24</f>
        <v>Capacitor, electrolytic NP</v>
      </c>
      <c r="I173" t="str">
        <f>Parts1!M24</f>
        <v>&gt;= 6.3V</v>
      </c>
      <c r="J173" t="str">
        <f>Parts1!N24</f>
        <v>10u</v>
      </c>
      <c r="K173" t="str">
        <f>Parts1!O24</f>
        <v>Panasonic B</v>
      </c>
      <c r="L173" t="str">
        <f>Parts1!P24</f>
        <v>647-UWP1A100MCL</v>
      </c>
      <c r="M173" s="51" t="str">
        <f>Parts1!Q24</f>
        <v>Nichicon UWP1A100MCL1GB</v>
      </c>
      <c r="N173" s="58">
        <v>1.0</v>
      </c>
      <c r="O173" s="52" t="str">
        <f t="shared" si="2"/>
        <v>A</v>
      </c>
      <c r="P173" s="52">
        <f t="shared" si="5"/>
        <v>1</v>
      </c>
      <c r="Q173" s="52">
        <f t="shared" si="4"/>
        <v>1</v>
      </c>
      <c r="R173" s="52" t="b">
        <f t="shared" si="6"/>
        <v>1</v>
      </c>
    </row>
    <row r="174">
      <c r="B174" s="20" t="str">
        <f>IFERROR(__xludf.DUMMYFUNCTION("if(exact($E174, """"), """", iferror(regexextract($F174, ""^(?:- )?([A-Z]+)""), ""?""))"),"C")</f>
        <v>C</v>
      </c>
      <c r="C174" s="57" t="str">
        <f t="shared" si="3"/>
        <v>647-UWP1A100MCL</v>
      </c>
      <c r="D174" t="str">
        <f>Parts1!H147</f>
        <v>Edges v2.0</v>
      </c>
      <c r="E174" t="str">
        <f>Parts1!I147</f>
        <v>S</v>
      </c>
      <c r="F174" t="str">
        <f>Parts1!J147</f>
        <v>C8, C9, C25, C28</v>
      </c>
      <c r="G174">
        <f>Parts1!K147</f>
        <v>4</v>
      </c>
      <c r="H174" t="str">
        <f>Parts1!L147</f>
        <v>Capacitor, electrolytic NP</v>
      </c>
      <c r="I174" t="str">
        <f>Parts1!M147</f>
        <v>&gt;= 6.3V</v>
      </c>
      <c r="J174" t="str">
        <f>Parts1!N147</f>
        <v>10u</v>
      </c>
      <c r="K174" t="str">
        <f>Parts1!O147</f>
        <v>Panasonic B</v>
      </c>
      <c r="L174" t="str">
        <f>Parts1!P147</f>
        <v>647-UWP1A100MCL</v>
      </c>
      <c r="M174" s="51" t="str">
        <f>Parts1!Q147</f>
        <v>Nichicon UWP1A100MCL1GB</v>
      </c>
      <c r="N174" s="58">
        <v>4.0</v>
      </c>
      <c r="O174" s="52" t="str">
        <f t="shared" si="2"/>
        <v>A</v>
      </c>
      <c r="P174" s="52" t="str">
        <f t="shared" si="5"/>
        <v/>
      </c>
      <c r="Q174" s="52">
        <f t="shared" si="4"/>
        <v>0</v>
      </c>
      <c r="R174" s="52" t="b">
        <f t="shared" si="6"/>
        <v>1</v>
      </c>
    </row>
    <row r="175">
      <c r="B175" s="20" t="str">
        <f>IFERROR(__xludf.DUMMYFUNCTION("if(exact($E175, """"), """", iferror(regexextract($F175, ""^(?:- )?([A-Z]+)""), ""?""))"),"C")</f>
        <v>C</v>
      </c>
      <c r="C175" s="57" t="str">
        <f t="shared" si="3"/>
        <v>647-UWP1C4R7MCL</v>
      </c>
      <c r="D175" t="str">
        <f>Parts1!H432</f>
        <v>Ripples v4.0</v>
      </c>
      <c r="E175" t="str">
        <f>Parts1!I432</f>
        <v>S</v>
      </c>
      <c r="F175" t="str">
        <f>Parts1!J432</f>
        <v>C16</v>
      </c>
      <c r="G175">
        <f>Parts1!K432</f>
        <v>1</v>
      </c>
      <c r="H175" t="str">
        <f>Parts1!L432</f>
        <v>Capacitor, electrolytic NP</v>
      </c>
      <c r="I175" t="str">
        <f>Parts1!M432</f>
        <v>&gt;= 16V</v>
      </c>
      <c r="J175" t="str">
        <f>Parts1!N432</f>
        <v>4.7u</v>
      </c>
      <c r="K175" t="str">
        <f>Parts1!O432</f>
        <v>Panasonic B</v>
      </c>
      <c r="L175" t="str">
        <f>Parts1!P432</f>
        <v>647-UWP1C4R7MCL</v>
      </c>
      <c r="M175" s="51" t="str">
        <f>Parts1!Q432</f>
        <v>Nichicon UWP1C4R7MCL1GB</v>
      </c>
      <c r="N175" s="58">
        <v>11.0</v>
      </c>
      <c r="O175" s="52" t="str">
        <f t="shared" si="2"/>
        <v>A</v>
      </c>
      <c r="P175" s="52">
        <f t="shared" si="5"/>
        <v>1</v>
      </c>
      <c r="Q175" s="52">
        <f t="shared" si="4"/>
        <v>0</v>
      </c>
      <c r="R175" s="52" t="b">
        <f t="shared" si="6"/>
        <v>0</v>
      </c>
    </row>
    <row r="176">
      <c r="B176" s="20" t="str">
        <f>IFERROR(__xludf.DUMMYFUNCTION("if(exact($E176, """"), """", iferror(regexextract($F176, ""^(?:- )?([A-Z]+)""), ""?""))"),"C")</f>
        <v>C</v>
      </c>
      <c r="C176" s="57" t="str">
        <f t="shared" si="3"/>
        <v>647-UWX1C100MCL2</v>
      </c>
      <c r="D176" t="str">
        <f>Parts1!H101</f>
        <v>Clouds v3.0</v>
      </c>
      <c r="E176" t="str">
        <f>Parts1!I101</f>
        <v>S</v>
      </c>
      <c r="F176" t="str">
        <f>Parts1!J101</f>
        <v>C28, C49</v>
      </c>
      <c r="G176">
        <f>Parts1!K101</f>
        <v>2</v>
      </c>
      <c r="H176" t="str">
        <f>Parts1!L101</f>
        <v>Capacitor, electrolytic</v>
      </c>
      <c r="I176" t="str">
        <f>Parts1!M101</f>
        <v>&gt;= 16V</v>
      </c>
      <c r="J176" t="str">
        <f>Parts1!N101</f>
        <v>10u</v>
      </c>
      <c r="K176" s="59" t="str">
        <f>Parts1!O101</f>
        <v>Panasonic A</v>
      </c>
      <c r="L176" t="str">
        <f>Parts1!P101</f>
        <v>647-UWX1C100MCL2</v>
      </c>
      <c r="M176" s="51" t="str">
        <f>Parts1!Q101</f>
        <v>Nichicon UWX1C100MCL2GB</v>
      </c>
      <c r="N176" s="58">
        <v>3.0</v>
      </c>
      <c r="O176" s="52" t="str">
        <f t="shared" si="2"/>
        <v>A</v>
      </c>
      <c r="P176" s="52">
        <f t="shared" si="5"/>
        <v>1</v>
      </c>
      <c r="Q176" s="52">
        <f t="shared" si="4"/>
        <v>2</v>
      </c>
      <c r="R176" s="52" t="b">
        <f t="shared" si="6"/>
        <v>1</v>
      </c>
    </row>
    <row r="177">
      <c r="B177" s="20" t="str">
        <f>IFERROR(__xludf.DUMMYFUNCTION("if(exact($E177, """"), """", iferror(regexextract($F177, ""^(?:- )?([A-Z]+)""), ""?""))"),"C")</f>
        <v>C</v>
      </c>
      <c r="C177" s="57" t="str">
        <f t="shared" si="3"/>
        <v>647-UWX1C100MCL2</v>
      </c>
      <c r="D177" t="str">
        <f>Parts1!H384</f>
        <v>Rings v3.0</v>
      </c>
      <c r="E177" t="str">
        <f>Parts1!I384</f>
        <v>S</v>
      </c>
      <c r="F177" t="str">
        <f>Parts1!J384</f>
        <v>C12, C21, C32, C33, C34, C40, C41, C46</v>
      </c>
      <c r="G177">
        <f>Parts1!K384</f>
        <v>8</v>
      </c>
      <c r="H177" t="str">
        <f>Parts1!L384</f>
        <v>Capacitor, electrolytic</v>
      </c>
      <c r="I177" t="str">
        <f>Parts1!M384</f>
        <v>&gt;= 16V</v>
      </c>
      <c r="J177" t="str">
        <f>Parts1!N384</f>
        <v>10u</v>
      </c>
      <c r="K177" t="str">
        <f>Parts1!O384</f>
        <v>Panasonic A</v>
      </c>
      <c r="L177" t="str">
        <f>Parts1!P384</f>
        <v>647-UWX1C100MCL2</v>
      </c>
      <c r="M177" s="51" t="str">
        <f>Parts1!Q384</f>
        <v>Nichicon UWX1C100MCL2GB</v>
      </c>
      <c r="N177" s="58">
        <v>10.0</v>
      </c>
      <c r="O177" s="52" t="str">
        <f t="shared" si="2"/>
        <v>A</v>
      </c>
      <c r="P177" s="52" t="str">
        <f t="shared" si="5"/>
        <v/>
      </c>
      <c r="Q177" s="52">
        <f t="shared" si="4"/>
        <v>1</v>
      </c>
      <c r="R177" s="52" t="b">
        <f t="shared" si="6"/>
        <v>1</v>
      </c>
    </row>
    <row r="178">
      <c r="B178" s="20" t="str">
        <f>IFERROR(__xludf.DUMMYFUNCTION("if(exact($E178, """"), """", iferror(regexextract($F178, ""^(?:- )?([A-Z]+)""), ""?""))"),"C")</f>
        <v>C</v>
      </c>
      <c r="C178" s="57" t="str">
        <f t="shared" si="3"/>
        <v>647-UWX1C100MCL2</v>
      </c>
      <c r="D178" t="str">
        <f>Parts1!H651</f>
        <v>Warps v3.0</v>
      </c>
      <c r="E178" t="str">
        <f>Parts1!I651</f>
        <v>S</v>
      </c>
      <c r="F178" t="str">
        <f>Parts1!J651</f>
        <v>C23, C29, C32, C36, C37, C39, C43</v>
      </c>
      <c r="G178">
        <f>Parts1!K651</f>
        <v>7</v>
      </c>
      <c r="H178" t="str">
        <f>Parts1!L651</f>
        <v>Capacitor, ceramic</v>
      </c>
      <c r="I178" t="str">
        <f>Parts1!M651</f>
        <v>&gt;= 10V</v>
      </c>
      <c r="J178" t="str">
        <f>Parts1!N651</f>
        <v>10u</v>
      </c>
      <c r="K178" t="str">
        <f>Parts1!O651</f>
        <v>Panasonic A</v>
      </c>
      <c r="L178" t="str">
        <f>Parts1!P651</f>
        <v>647-UWX1C100MCL2</v>
      </c>
      <c r="M178" s="51" t="str">
        <f>Parts1!Q651</f>
        <v>Nichicon UWX1C100MCL2GB</v>
      </c>
      <c r="N178" s="58">
        <v>18.0</v>
      </c>
      <c r="O178" s="52" t="str">
        <f t="shared" si="2"/>
        <v>A</v>
      </c>
      <c r="P178" s="52" t="str">
        <f t="shared" si="5"/>
        <v/>
      </c>
      <c r="Q178" s="52">
        <f t="shared" si="4"/>
        <v>0</v>
      </c>
      <c r="R178" s="52" t="b">
        <f t="shared" si="6"/>
        <v>1</v>
      </c>
    </row>
    <row r="179">
      <c r="B179" s="20" t="str">
        <f>IFERROR(__xludf.DUMMYFUNCTION("if(exact($E179, """"), """", iferror(regexextract($F179, ""^(?:- )?([A-Z]+)""), ""?""))"),"C")</f>
        <v>C</v>
      </c>
      <c r="C179" s="57" t="str">
        <f t="shared" si="3"/>
        <v>647-UWX1E4R7MCL2</v>
      </c>
      <c r="D179" t="str">
        <f>Parts1!H309</f>
        <v>Links v4</v>
      </c>
      <c r="E179" t="str">
        <f>Parts1!I309</f>
        <v>S</v>
      </c>
      <c r="F179" t="str">
        <f>Parts1!J309</f>
        <v>C1, C2</v>
      </c>
      <c r="G179">
        <f>Parts1!K309</f>
        <v>2</v>
      </c>
      <c r="H179" t="str">
        <f>Parts1!L309</f>
        <v>Capacitor, electrolytic</v>
      </c>
      <c r="I179" t="str">
        <f>Parts1!M309</f>
        <v>&gt;= 25V</v>
      </c>
      <c r="J179" t="str">
        <f>Parts1!N309</f>
        <v>4.7u</v>
      </c>
      <c r="K179" t="str">
        <f>Parts1!O309</f>
        <v>Panasonic A (3mm dia)</v>
      </c>
      <c r="L179" t="str">
        <f>Parts1!P309</f>
        <v>647-UWX1E4R7MCL2</v>
      </c>
      <c r="M179" s="51" t="str">
        <f>Parts1!Q309</f>
        <v>Nichicon UWX1E4R7MCL2GB</v>
      </c>
      <c r="N179" s="58">
        <v>8.0</v>
      </c>
      <c r="O179" s="52" t="str">
        <f t="shared" si="2"/>
        <v>A</v>
      </c>
      <c r="P179" s="52">
        <f t="shared" si="5"/>
        <v>1</v>
      </c>
      <c r="Q179" s="52">
        <f t="shared" si="4"/>
        <v>1</v>
      </c>
      <c r="R179" s="52" t="b">
        <f t="shared" si="6"/>
        <v>0</v>
      </c>
    </row>
    <row r="180">
      <c r="B180" s="20" t="str">
        <f>IFERROR(__xludf.DUMMYFUNCTION("if(exact($E180, """"), """", iferror(regexextract($F180, ""^(?:- )?([A-Z]+)""), ""?""))"),"C")</f>
        <v>C</v>
      </c>
      <c r="C180" s="57" t="str">
        <f t="shared" si="3"/>
        <v>647-UWX1E4R7MCL2</v>
      </c>
      <c r="D180" t="str">
        <f>Parts1!H705</f>
        <v>Yarns v0.3</v>
      </c>
      <c r="E180" t="str">
        <f>Parts1!I705</f>
        <v>S</v>
      </c>
      <c r="F180" s="64" t="str">
        <f>Parts1!J705</f>
        <v>C3, C12</v>
      </c>
      <c r="G180" s="65">
        <f>Parts1!K705</f>
        <v>2</v>
      </c>
      <c r="H180" s="64" t="str">
        <f>Parts1!L705</f>
        <v>Capacitor, electrolytic</v>
      </c>
      <c r="I180" s="64" t="str">
        <f>Parts1!M705</f>
        <v>&gt;= 25V</v>
      </c>
      <c r="J180" s="64" t="str">
        <f>Parts1!N705</f>
        <v>4.7u</v>
      </c>
      <c r="K180" t="str">
        <f>Parts1!O705</f>
        <v>Panasonic A (3mm dia)</v>
      </c>
      <c r="L180" t="str">
        <f>Parts1!P705</f>
        <v>647-UWX1E4R7MCL2</v>
      </c>
      <c r="M180" s="51" t="str">
        <f>Parts1!Q705</f>
        <v>Nichicon UWX1E4R7MCL2GB (Note: these are 10u in the Eagle file. Olivier says "If you find 10u that fit, use 10u.")</v>
      </c>
      <c r="N180" s="58">
        <v>19.0</v>
      </c>
      <c r="O180" s="52" t="str">
        <f t="shared" si="2"/>
        <v>A</v>
      </c>
      <c r="P180" s="52" t="str">
        <f t="shared" si="5"/>
        <v/>
      </c>
      <c r="Q180" s="52">
        <f t="shared" si="4"/>
        <v>0</v>
      </c>
      <c r="R180" s="52" t="b">
        <f t="shared" si="6"/>
        <v>0</v>
      </c>
    </row>
    <row r="181">
      <c r="B181" s="20" t="str">
        <f>IFERROR(__xludf.DUMMYFUNCTION("if(exact($E181, """"), """", iferror(regexextract($F181, ""^(?:- )?([A-Z]+)""), ""?""))"),"JP")</f>
        <v>JP</v>
      </c>
      <c r="C181" s="61" t="str">
        <f t="shared" si="3"/>
        <v>649-221111-00010T4LF</v>
      </c>
      <c r="D181" t="str">
        <f>Parts1!H48</f>
        <v>Braids v5.1</v>
      </c>
      <c r="E181" t="str">
        <f>Parts1!I48</f>
        <v>D</v>
      </c>
      <c r="F181" t="str">
        <f>Parts1!J48</f>
        <v>JP2</v>
      </c>
      <c r="G181">
        <f>Parts1!K48</f>
        <v>1</v>
      </c>
      <c r="H181" t="str">
        <f>Parts1!L48</f>
        <v>2x5, 1.27mm pitch male header</v>
      </c>
      <c r="I181" t="str">
        <f>Parts1!M48</f>
        <v/>
      </c>
      <c r="J181" s="59" t="str">
        <f>Parts1!N48</f>
        <v/>
      </c>
      <c r="K181" s="59" t="str">
        <f>Parts1!O48</f>
        <v/>
      </c>
      <c r="L181" s="62" t="str">
        <f>Parts1!P48</f>
        <v>649-221111-00010T4LF</v>
      </c>
      <c r="M181" s="51" t="str">
        <f>Parts1!Q48</f>
        <v/>
      </c>
      <c r="N181" s="58">
        <v>1.0</v>
      </c>
      <c r="O181" s="52" t="str">
        <f t="shared" si="2"/>
        <v>C</v>
      </c>
      <c r="P181" s="52">
        <f t="shared" si="5"/>
        <v>1</v>
      </c>
      <c r="Q181" s="52">
        <f t="shared" si="4"/>
        <v>9</v>
      </c>
      <c r="R181" s="52" t="b">
        <f t="shared" si="6"/>
        <v>1</v>
      </c>
    </row>
    <row r="182">
      <c r="B182" s="20" t="str">
        <f>IFERROR(__xludf.DUMMYFUNCTION("if(exact($E182, """"), """", iferror(regexextract($F182, ""^(?:- )?([A-Z]+)""), ""?""))"),"JP")</f>
        <v>JP</v>
      </c>
      <c r="C182" s="57" t="str">
        <f t="shared" si="3"/>
        <v>649-221111-00010T4LF</v>
      </c>
      <c r="D182" t="str">
        <f>Parts1!H128</f>
        <v>Clouds v3.0</v>
      </c>
      <c r="E182" t="str">
        <f>Parts1!I128</f>
        <v>D</v>
      </c>
      <c r="F182" t="str">
        <f>Parts1!J128</f>
        <v>JP3 (Power, "Red stripe")</v>
      </c>
      <c r="G182">
        <f>Parts1!K128</f>
        <v>1</v>
      </c>
      <c r="H182" t="str">
        <f>Parts1!L128</f>
        <v>2x5 male header, 1.27mm pitch</v>
      </c>
      <c r="I182" t="str">
        <f>Parts1!M128</f>
        <v/>
      </c>
      <c r="J182" t="str">
        <f>Parts1!N128</f>
        <v/>
      </c>
      <c r="K182" t="str">
        <f>Parts1!O128</f>
        <v/>
      </c>
      <c r="L182" t="str">
        <f>Parts1!P128</f>
        <v>649-221111-00010T4LF</v>
      </c>
      <c r="M182" s="51" t="str">
        <f>Parts1!Q128</f>
        <v/>
      </c>
      <c r="N182" s="58">
        <v>3.0</v>
      </c>
      <c r="O182" s="52" t="str">
        <f t="shared" si="2"/>
        <v>C</v>
      </c>
      <c r="P182" s="52" t="str">
        <f t="shared" si="5"/>
        <v/>
      </c>
      <c r="Q182" s="52">
        <f t="shared" si="4"/>
        <v>8</v>
      </c>
      <c r="R182" s="52" t="b">
        <f t="shared" si="6"/>
        <v>1</v>
      </c>
    </row>
    <row r="183">
      <c r="B183" s="20" t="str">
        <f>IFERROR(__xludf.DUMMYFUNCTION("if(exact($E183, """"), """", iferror(regexextract($F183, ""^(?:- )?([A-Z]+)""), ""?""))"),"JP")</f>
        <v>JP</v>
      </c>
      <c r="C183" s="57" t="str">
        <f t="shared" si="3"/>
        <v>649-221111-00010T4LF</v>
      </c>
      <c r="D183" t="str">
        <f>Parts1!H219</f>
        <v>Elements v0.21</v>
      </c>
      <c r="E183" t="str">
        <f>Parts1!I219</f>
        <v>D</v>
      </c>
      <c r="F183" t="str">
        <f>Parts1!J219</f>
        <v>JP1 (“JTAG”)</v>
      </c>
      <c r="G183">
        <f>Parts1!K219</f>
        <v>1</v>
      </c>
      <c r="H183" t="str">
        <f>Parts1!L219</f>
        <v>2x5 male header, 1.27mm pitch</v>
      </c>
      <c r="I183" t="str">
        <f>Parts1!M219</f>
        <v/>
      </c>
      <c r="J183" t="str">
        <f>Parts1!N219</f>
        <v/>
      </c>
      <c r="K183" t="str">
        <f>Parts1!O219</f>
        <v/>
      </c>
      <c r="L183" t="str">
        <f>Parts1!P219</f>
        <v>649-221111-00010T4LF</v>
      </c>
      <c r="M183" s="51" t="str">
        <f>Parts1!Q219</f>
        <v/>
      </c>
      <c r="N183" s="58">
        <v>5.0</v>
      </c>
      <c r="O183" s="52" t="str">
        <f t="shared" si="2"/>
        <v>C</v>
      </c>
      <c r="P183" s="52" t="str">
        <f t="shared" si="5"/>
        <v/>
      </c>
      <c r="Q183" s="52">
        <f t="shared" si="4"/>
        <v>7</v>
      </c>
      <c r="R183" s="52" t="b">
        <f t="shared" si="6"/>
        <v>1</v>
      </c>
    </row>
    <row r="184">
      <c r="B184" s="20" t="str">
        <f>IFERROR(__xludf.DUMMYFUNCTION("if(exact($E184, """"), """", iferror(regexextract($F184, ""^(?:- )?([A-Z]+)""), ""?""))"),"JP")</f>
        <v>JP</v>
      </c>
      <c r="C184" s="61" t="str">
        <f t="shared" si="3"/>
        <v>649-221111-00010T4LF</v>
      </c>
      <c r="D184" t="str">
        <f>Parts1!H268</f>
        <v>Frames v0.3</v>
      </c>
      <c r="E184" t="str">
        <f>Parts1!I268</f>
        <v>D</v>
      </c>
      <c r="F184" t="str">
        <f>Parts1!J268</f>
        <v>JP4</v>
      </c>
      <c r="G184">
        <f>Parts1!K268</f>
        <v>1</v>
      </c>
      <c r="H184" t="str">
        <f>Parts1!L268</f>
        <v>2x5, 1.27mm pitch male header</v>
      </c>
      <c r="I184" t="str">
        <f>Parts1!M268</f>
        <v/>
      </c>
      <c r="J184" s="59" t="str">
        <f>Parts1!N268</f>
        <v/>
      </c>
      <c r="K184" s="59" t="str">
        <f>Parts1!O268</f>
        <v/>
      </c>
      <c r="L184" s="62" t="str">
        <f>Parts1!P268</f>
        <v>649-221111-00010T4LF</v>
      </c>
      <c r="M184" s="51" t="str">
        <f>Parts1!Q268</f>
        <v/>
      </c>
      <c r="N184" s="58">
        <v>6.0</v>
      </c>
      <c r="O184" s="52" t="str">
        <f t="shared" si="2"/>
        <v>C</v>
      </c>
      <c r="P184" s="52" t="str">
        <f t="shared" si="5"/>
        <v/>
      </c>
      <c r="Q184" s="52">
        <f t="shared" si="4"/>
        <v>6</v>
      </c>
      <c r="R184" s="52" t="b">
        <f t="shared" si="6"/>
        <v>1</v>
      </c>
    </row>
    <row r="185">
      <c r="B185" s="20" t="str">
        <f>IFERROR(__xludf.DUMMYFUNCTION("if(exact($E185, """"), """", iferror(regexextract($F185, ""^(?:- )?([A-Z]+)""), ""?""))"),"JP")</f>
        <v>JP</v>
      </c>
      <c r="C185" s="61" t="str">
        <f t="shared" si="3"/>
        <v>649-221111-00010T4LF</v>
      </c>
      <c r="D185" t="str">
        <f>Parts1!H358</f>
        <v>Peaks v3.1</v>
      </c>
      <c r="E185" t="str">
        <f>Parts1!I358</f>
        <v>D</v>
      </c>
      <c r="F185" t="str">
        <f>Parts1!J358</f>
        <v>JP2</v>
      </c>
      <c r="G185">
        <f>Parts1!K358</f>
        <v>1</v>
      </c>
      <c r="H185" t="str">
        <f>Parts1!L358</f>
        <v>2x5, 1.27mm pitch male header</v>
      </c>
      <c r="I185" t="str">
        <f>Parts1!M358</f>
        <v/>
      </c>
      <c r="J185" s="59" t="str">
        <f>Parts1!N358</f>
        <v/>
      </c>
      <c r="K185" t="str">
        <f>Parts1!O358</f>
        <v/>
      </c>
      <c r="L185" s="62" t="str">
        <f>Parts1!P358</f>
        <v>649-221111-00010T4LF</v>
      </c>
      <c r="M185" s="51" t="str">
        <f>Parts1!Q358</f>
        <v/>
      </c>
      <c r="N185" s="58">
        <v>9.0</v>
      </c>
      <c r="O185" s="52" t="str">
        <f t="shared" si="2"/>
        <v>C</v>
      </c>
      <c r="P185" s="52" t="str">
        <f t="shared" si="5"/>
        <v/>
      </c>
      <c r="Q185" s="52">
        <f t="shared" si="4"/>
        <v>5</v>
      </c>
      <c r="R185" s="52" t="b">
        <f t="shared" si="6"/>
        <v>1</v>
      </c>
    </row>
    <row r="186">
      <c r="B186" s="20" t="str">
        <f>IFERROR(__xludf.DUMMYFUNCTION("if(exact($E186, """"), """", iferror(regexextract($F186, ""^(?:- )?([A-Z]+)""), ""?""))"),"JP")</f>
        <v>JP</v>
      </c>
      <c r="C186" s="57" t="str">
        <f t="shared" si="3"/>
        <v>649-221111-00010T4LF</v>
      </c>
      <c r="D186" t="str">
        <f>Parts1!H410</f>
        <v>Rings v3.0</v>
      </c>
      <c r="E186" t="str">
        <f>Parts1!I410</f>
        <v>D</v>
      </c>
      <c r="F186" t="str">
        <f>Parts1!J410</f>
        <v>JP1 / JTAG</v>
      </c>
      <c r="G186">
        <f>Parts1!K410</f>
        <v>1</v>
      </c>
      <c r="H186" t="str">
        <f>Parts1!L410</f>
        <v>2x5 male header, 1.27mm pitch</v>
      </c>
      <c r="I186" t="str">
        <f>Parts1!M410</f>
        <v/>
      </c>
      <c r="J186" t="str">
        <f>Parts1!N410</f>
        <v/>
      </c>
      <c r="K186" t="str">
        <f>Parts1!O410</f>
        <v/>
      </c>
      <c r="L186" t="str">
        <f>Parts1!P410</f>
        <v>649-221111-00010T4LF</v>
      </c>
      <c r="M186" s="51" t="str">
        <f>Parts1!Q410</f>
        <v/>
      </c>
      <c r="N186" s="58">
        <v>10.0</v>
      </c>
      <c r="O186" s="52" t="str">
        <f t="shared" si="2"/>
        <v>C</v>
      </c>
      <c r="P186" s="52" t="str">
        <f t="shared" si="5"/>
        <v/>
      </c>
      <c r="Q186" s="52">
        <f t="shared" si="4"/>
        <v>4</v>
      </c>
      <c r="R186" s="52" t="b">
        <f t="shared" si="6"/>
        <v>1</v>
      </c>
    </row>
    <row r="187">
      <c r="B187" s="20" t="str">
        <f>IFERROR(__xludf.DUMMYFUNCTION("if(exact($E187, """"), """", iferror(regexextract($F187, ""^(?:- )?([A-Z]+)""), ""?""))"),"JP")</f>
        <v>JP</v>
      </c>
      <c r="C187" s="57" t="str">
        <f t="shared" si="3"/>
        <v>649-221111-00010T4LF</v>
      </c>
      <c r="D187" t="str">
        <f>Parts1!H567</f>
        <v>Streams v0.5</v>
      </c>
      <c r="E187" t="str">
        <f>Parts1!I567</f>
        <v>D</v>
      </c>
      <c r="F187" t="str">
        <f>Parts1!J567</f>
        <v>JP7</v>
      </c>
      <c r="G187">
        <f>Parts1!K567</f>
        <v>1</v>
      </c>
      <c r="H187" t="str">
        <f>Parts1!L567</f>
        <v>2x5 male header, 1.27mm pitch</v>
      </c>
      <c r="I187" t="str">
        <f>Parts1!M567</f>
        <v/>
      </c>
      <c r="J187" t="str">
        <f>Parts1!N567</f>
        <v/>
      </c>
      <c r="K187" t="str">
        <f>Parts1!O567</f>
        <v/>
      </c>
      <c r="L187" t="str">
        <f>Parts1!P567</f>
        <v>649-221111-00010T4LF</v>
      </c>
      <c r="M187" s="51" t="str">
        <f>Parts1!Q567</f>
        <v/>
      </c>
      <c r="N187" s="58">
        <v>15.0</v>
      </c>
      <c r="O187" s="52" t="str">
        <f t="shared" si="2"/>
        <v>C</v>
      </c>
      <c r="P187" s="52" t="str">
        <f t="shared" si="5"/>
        <v/>
      </c>
      <c r="Q187" s="52">
        <f t="shared" si="4"/>
        <v>3</v>
      </c>
      <c r="R187" s="52" t="b">
        <f t="shared" si="6"/>
        <v>1</v>
      </c>
    </row>
    <row r="188">
      <c r="B188" s="20" t="str">
        <f>IFERROR(__xludf.DUMMYFUNCTION("if(exact($E188, """"), """", iferror(regexextract($F188, ""^(?:- )?([A-Z]+)""), ""?""))"),"JP")</f>
        <v>JP</v>
      </c>
      <c r="C188" s="61" t="str">
        <f t="shared" si="3"/>
        <v>649-221111-00010T4LF</v>
      </c>
      <c r="D188" t="str">
        <f>Parts1!H626</f>
        <v>Tides v4.0</v>
      </c>
      <c r="E188" t="str">
        <f>Parts1!I626</f>
        <v>D</v>
      </c>
      <c r="F188" t="str">
        <f>Parts1!J626</f>
        <v>JP2</v>
      </c>
      <c r="G188">
        <f>Parts1!K626</f>
        <v>1</v>
      </c>
      <c r="H188" t="str">
        <f>Parts1!L626</f>
        <v>2x5, 1.27mm pitch male header</v>
      </c>
      <c r="I188" t="str">
        <f>Parts1!M626</f>
        <v/>
      </c>
      <c r="J188" s="59" t="str">
        <f>Parts1!N626</f>
        <v/>
      </c>
      <c r="K188" s="59" t="str">
        <f>Parts1!O626</f>
        <v/>
      </c>
      <c r="L188" s="62" t="str">
        <f>Parts1!P626</f>
        <v>649-221111-00010T4LF</v>
      </c>
      <c r="M188" s="51" t="str">
        <f>Parts1!Q626</f>
        <v/>
      </c>
      <c r="N188" s="58">
        <v>17.0</v>
      </c>
      <c r="O188" s="52" t="str">
        <f t="shared" si="2"/>
        <v>C</v>
      </c>
      <c r="P188" s="52" t="str">
        <f t="shared" si="5"/>
        <v/>
      </c>
      <c r="Q188" s="52">
        <f t="shared" si="4"/>
        <v>2</v>
      </c>
      <c r="R188" s="52" t="b">
        <f t="shared" si="6"/>
        <v>1</v>
      </c>
    </row>
    <row r="189">
      <c r="B189" s="20" t="str">
        <f>IFERROR(__xludf.DUMMYFUNCTION("if(exact($E189, """"), """", iferror(regexextract($F189, ""^(?:- )?([A-Z]+)""), ""?""))"),"JP")</f>
        <v>JP</v>
      </c>
      <c r="C189" s="57" t="str">
        <f t="shared" si="3"/>
        <v>649-221111-00010T4LF</v>
      </c>
      <c r="D189" t="str">
        <f>Parts1!H674</f>
        <v>Warps v3.0</v>
      </c>
      <c r="E189" t="str">
        <f>Parts1!I674</f>
        <v>D</v>
      </c>
      <c r="F189" t="str">
        <f>Parts1!J674</f>
        <v>JP1</v>
      </c>
      <c r="G189">
        <f>Parts1!K674</f>
        <v>1</v>
      </c>
      <c r="H189" t="str">
        <f>Parts1!L674</f>
        <v>2x5 male header, 1.27mm pitch</v>
      </c>
      <c r="I189" t="str">
        <f>Parts1!M674</f>
        <v/>
      </c>
      <c r="J189" t="str">
        <f>Parts1!N674</f>
        <v/>
      </c>
      <c r="K189" t="str">
        <f>Parts1!O674</f>
        <v/>
      </c>
      <c r="L189" t="str">
        <f>Parts1!P674</f>
        <v>649-221111-00010T4LF</v>
      </c>
      <c r="M189" s="51" t="str">
        <f>Parts1!Q674</f>
        <v/>
      </c>
      <c r="N189" s="58">
        <v>18.0</v>
      </c>
      <c r="O189" s="52" t="str">
        <f t="shared" si="2"/>
        <v>C</v>
      </c>
      <c r="P189" s="52" t="str">
        <f t="shared" si="5"/>
        <v/>
      </c>
      <c r="Q189" s="52">
        <f t="shared" si="4"/>
        <v>1</v>
      </c>
      <c r="R189" s="52" t="b">
        <f t="shared" si="6"/>
        <v>1</v>
      </c>
    </row>
    <row r="190">
      <c r="B190" s="20" t="str">
        <f>IFERROR(__xludf.DUMMYFUNCTION("if(exact($E190, """"), """", iferror(regexextract($F190, ""^(?:- )?([A-Z]+)""), ""?""))"),"JP")</f>
        <v>JP</v>
      </c>
      <c r="C190" s="68" t="str">
        <f t="shared" si="3"/>
        <v>649-221111-00010T4LF</v>
      </c>
      <c r="D190" t="str">
        <f>Parts1!H712</f>
        <v>Yarns v0.3</v>
      </c>
      <c r="E190" t="str">
        <f>Parts1!I712</f>
        <v>U</v>
      </c>
      <c r="F190" s="64" t="str">
        <f>Parts1!J712</f>
        <v>JP4</v>
      </c>
      <c r="G190" s="65">
        <f>Parts1!K712</f>
        <v>1</v>
      </c>
      <c r="H190" s="64" t="str">
        <f>Parts1!L712</f>
        <v>2x5, 1.27mm pitch male header</v>
      </c>
      <c r="I190" s="64" t="str">
        <f>Parts1!M712</f>
        <v/>
      </c>
      <c r="J190" s="64" t="str">
        <f>Parts1!N712</f>
        <v/>
      </c>
      <c r="K190" s="64" t="str">
        <f>Parts1!O712</f>
        <v/>
      </c>
      <c r="L190" s="64" t="str">
        <f>Parts1!P712</f>
        <v>649-221111-00010T4LF</v>
      </c>
      <c r="M190" s="67" t="str">
        <f>Parts1!Q712</f>
        <v/>
      </c>
      <c r="N190" s="58">
        <v>19.0</v>
      </c>
      <c r="O190" s="52" t="str">
        <f t="shared" si="2"/>
        <v>B</v>
      </c>
      <c r="P190" s="52" t="str">
        <f t="shared" si="5"/>
        <v/>
      </c>
      <c r="Q190" s="52">
        <f t="shared" si="4"/>
        <v>0</v>
      </c>
      <c r="R190" s="52" t="b">
        <f t="shared" si="6"/>
        <v>1</v>
      </c>
    </row>
    <row r="191">
      <c r="B191" s="20" t="str">
        <f>IFERROR(__xludf.DUMMYFUNCTION("if(exact($E191, """"), """", iferror(regexextract($F191, ""^(?:- )?([A-Z]+)""), ""?""))"),"?")</f>
        <v>?</v>
      </c>
      <c r="C191" s="57" t="str">
        <f t="shared" si="3"/>
        <v>649-67996-406HLF</v>
      </c>
      <c r="D191" t="str">
        <f>Parts1!H515</f>
        <v>shelves_expander_v10</v>
      </c>
      <c r="E191" t="str">
        <f>Parts1!I515</f>
        <v>D</v>
      </c>
      <c r="F191" t="str">
        <f>Parts1!J515</f>
        <v/>
      </c>
      <c r="G191" s="65">
        <f>Parts1!K515</f>
        <v>2</v>
      </c>
      <c r="H191" t="str">
        <f>Parts1!L515</f>
        <v>2x3, 2.54mm pitch male header</v>
      </c>
      <c r="I191" t="str">
        <f>Parts1!M515</f>
        <v/>
      </c>
      <c r="J191" s="59" t="str">
        <f>Parts1!N515</f>
        <v/>
      </c>
      <c r="K191" s="59" t="str">
        <f>Parts1!O515</f>
        <v/>
      </c>
      <c r="L191" t="str">
        <f>Parts1!P515</f>
        <v>649-67996-406HLF</v>
      </c>
      <c r="M191" s="51" t="str">
        <f>Parts1!Q515</f>
        <v/>
      </c>
      <c r="N191" s="58">
        <v>14.0</v>
      </c>
      <c r="O191" s="52" t="str">
        <f t="shared" si="2"/>
        <v>C</v>
      </c>
      <c r="P191" s="52">
        <f t="shared" si="5"/>
        <v>1</v>
      </c>
      <c r="Q191" s="52">
        <f t="shared" si="4"/>
        <v>6</v>
      </c>
      <c r="R191" s="52" t="b">
        <f t="shared" si="6"/>
        <v>0</v>
      </c>
    </row>
    <row r="192">
      <c r="B192" s="20" t="str">
        <f>IFERROR(__xludf.DUMMYFUNCTION("if(exact($E192, """"), """", iferror(regexextract($F192, ""^(?:- )?([A-Z]+)""), ""?""))"),"J")</f>
        <v>J</v>
      </c>
      <c r="C192" s="57" t="str">
        <f t="shared" si="3"/>
        <v>649-67996-406HLF</v>
      </c>
      <c r="D192" t="str">
        <f>Parts1!H75</f>
        <v>Branches v4.0</v>
      </c>
      <c r="E192" t="str">
        <f>Parts1!I75</f>
        <v>D</v>
      </c>
      <c r="F192" t="str">
        <f>Parts1!J75</f>
        <v>J9</v>
      </c>
      <c r="G192" s="65">
        <f>Parts1!K75</f>
        <v>1</v>
      </c>
      <c r="H192" t="str">
        <f>Parts1!L75</f>
        <v>2x3, 2.54mm pitch male header</v>
      </c>
      <c r="I192" t="str">
        <f>Parts1!M75</f>
        <v/>
      </c>
      <c r="J192" s="59" t="str">
        <f>Parts1!N75</f>
        <v/>
      </c>
      <c r="K192" s="59" t="str">
        <f>Parts1!O75</f>
        <v/>
      </c>
      <c r="L192" t="str">
        <f>Parts1!P75</f>
        <v>649-67996-406HLF</v>
      </c>
      <c r="M192" s="51" t="str">
        <f>Parts1!Q75</f>
        <v/>
      </c>
      <c r="N192" s="58">
        <v>2.0</v>
      </c>
      <c r="O192" s="52" t="str">
        <f t="shared" si="2"/>
        <v>C</v>
      </c>
      <c r="P192" s="52" t="str">
        <f t="shared" si="5"/>
        <v/>
      </c>
      <c r="Q192" s="52">
        <f t="shared" si="4"/>
        <v>5</v>
      </c>
      <c r="R192" s="52" t="b">
        <f t="shared" si="6"/>
        <v>0</v>
      </c>
    </row>
    <row r="193">
      <c r="B193" s="20" t="str">
        <f>IFERROR(__xludf.DUMMYFUNCTION("if(exact($E193, """"), """", iferror(regexextract($F193, ""^(?:- )?([A-Z]+)""), ""?""))"),"J")</f>
        <v>J</v>
      </c>
      <c r="C193" s="57" t="str">
        <f t="shared" si="3"/>
        <v>649-67996-406HLF</v>
      </c>
      <c r="D193" t="str">
        <f>Parts1!H173</f>
        <v>Edges v2.0</v>
      </c>
      <c r="E193" t="str">
        <f>Parts1!I173</f>
        <v>D</v>
      </c>
      <c r="F193" t="str">
        <f>Parts1!J173</f>
        <v>J20 (ISP)</v>
      </c>
      <c r="G193">
        <f>Parts1!K173</f>
        <v>1</v>
      </c>
      <c r="H193" t="str">
        <f>Parts1!L173</f>
        <v>2x3, 2.54mm pitch male header</v>
      </c>
      <c r="I193" t="str">
        <f>Parts1!M173</f>
        <v/>
      </c>
      <c r="J193" t="str">
        <f>Parts1!N173</f>
        <v/>
      </c>
      <c r="K193" t="str">
        <f>Parts1!O173</f>
        <v/>
      </c>
      <c r="L193" t="str">
        <f>Parts1!P173</f>
        <v>649-67996-406HLF</v>
      </c>
      <c r="M193" s="51" t="str">
        <f>Parts1!Q173</f>
        <v/>
      </c>
      <c r="N193" s="58">
        <v>4.0</v>
      </c>
      <c r="O193" s="52" t="str">
        <f t="shared" si="2"/>
        <v>C</v>
      </c>
      <c r="P193" s="52" t="str">
        <f t="shared" si="5"/>
        <v/>
      </c>
      <c r="Q193" s="52">
        <f t="shared" si="4"/>
        <v>4</v>
      </c>
      <c r="R193" s="52" t="b">
        <f t="shared" si="6"/>
        <v>0</v>
      </c>
    </row>
    <row r="194">
      <c r="B194" s="20" t="str">
        <f>IFERROR(__xludf.DUMMYFUNCTION("if(exact($E194, """"), """", iferror(regexextract($F194, ""^(?:- )?([A-Z]+)""), ""?""))"),"J")</f>
        <v>J</v>
      </c>
      <c r="C194" s="57" t="str">
        <f t="shared" si="3"/>
        <v>649-67996-406HLF</v>
      </c>
      <c r="D194" t="str">
        <f>Parts1!H174</f>
        <v>Edges v2.0</v>
      </c>
      <c r="E194" t="str">
        <f>Parts1!I174</f>
        <v>D</v>
      </c>
      <c r="F194" t="str">
        <f>Parts1!J174</f>
        <v>J18 (no label)</v>
      </c>
      <c r="G194">
        <f>Parts1!K174</f>
        <v>0</v>
      </c>
      <c r="H194" t="str">
        <f>Parts1!L174</f>
        <v>2x3, 2.54mm pitch male header</v>
      </c>
      <c r="I194" t="str">
        <f>Parts1!M174</f>
        <v/>
      </c>
      <c r="J194" t="str">
        <f>Parts1!N174</f>
        <v/>
      </c>
      <c r="K194" t="str">
        <f>Parts1!O174</f>
        <v/>
      </c>
      <c r="L194" t="str">
        <f>Parts1!P174</f>
        <v>649-67996-406HLF</v>
      </c>
      <c r="M194" s="51" t="str">
        <f>Parts1!Q174</f>
        <v/>
      </c>
      <c r="N194" s="58">
        <v>4.0</v>
      </c>
      <c r="O194" s="52" t="str">
        <f t="shared" si="2"/>
        <v>C</v>
      </c>
      <c r="P194" s="52" t="str">
        <f t="shared" si="5"/>
        <v/>
      </c>
      <c r="Q194" s="52">
        <f t="shared" si="4"/>
        <v>3</v>
      </c>
      <c r="R194" s="52" t="b">
        <f t="shared" si="6"/>
        <v>0</v>
      </c>
    </row>
    <row r="195">
      <c r="B195" s="20" t="str">
        <f>IFERROR(__xludf.DUMMYFUNCTION("if(exact($E195, """"), """", iferror(regexextract($F195, ""^(?:- )?([A-Z]+)""), ""?""))"),"J")</f>
        <v>J</v>
      </c>
      <c r="C195" s="57" t="str">
        <f t="shared" si="3"/>
        <v>649-67996-406HLF</v>
      </c>
      <c r="D195" t="str">
        <f>Parts1!H299</f>
        <v>Grids v0.2</v>
      </c>
      <c r="E195" t="str">
        <f>Parts1!I299</f>
        <v>D</v>
      </c>
      <c r="F195" t="str">
        <f>Parts1!J299</f>
        <v>J15</v>
      </c>
      <c r="G195" s="65">
        <f>Parts1!K299</f>
        <v>1</v>
      </c>
      <c r="H195" t="str">
        <f>Parts1!L299</f>
        <v>2x3, 2.54mm pitch male header</v>
      </c>
      <c r="I195" t="str">
        <f>Parts1!M299</f>
        <v/>
      </c>
      <c r="J195" s="59" t="str">
        <f>Parts1!N299</f>
        <v/>
      </c>
      <c r="K195" s="59" t="str">
        <f>Parts1!O299</f>
        <v/>
      </c>
      <c r="L195" t="str">
        <f>Parts1!P299</f>
        <v>649-67996-406HLF</v>
      </c>
      <c r="M195" s="51" t="str">
        <f>Parts1!Q299</f>
        <v/>
      </c>
      <c r="N195" s="58">
        <v>7.0</v>
      </c>
      <c r="O195" s="52" t="str">
        <f t="shared" si="2"/>
        <v>C</v>
      </c>
      <c r="P195" s="52" t="str">
        <f t="shared" si="5"/>
        <v/>
      </c>
      <c r="Q195" s="52">
        <f t="shared" si="4"/>
        <v>2</v>
      </c>
      <c r="R195" s="52" t="b">
        <f t="shared" si="6"/>
        <v>0</v>
      </c>
    </row>
    <row r="196">
      <c r="B196" s="20" t="str">
        <f>IFERROR(__xludf.DUMMYFUNCTION("if(exact($E196, """"), """", iferror(regexextract($F196, ""^(?:- )?([A-Z]+)""), ""?""))"),"JP")</f>
        <v>JP</v>
      </c>
      <c r="C196" s="57" t="str">
        <f t="shared" si="3"/>
        <v>649-67996-406HLF</v>
      </c>
      <c r="D196" t="str">
        <f>Parts1!H506</f>
        <v>Shelves v0.5</v>
      </c>
      <c r="E196" t="str">
        <f>Parts1!I506</f>
        <v>D</v>
      </c>
      <c r="F196" t="str">
        <f>Parts1!J506</f>
        <v>JP5+JP7, JP6+JP13</v>
      </c>
      <c r="G196">
        <f>Parts1!K506</f>
        <v>2</v>
      </c>
      <c r="H196" t="str">
        <f>Parts1!L506</f>
        <v>2x3 male header, 2.54mm pitch</v>
      </c>
      <c r="I196" t="str">
        <f>Parts1!M506</f>
        <v/>
      </c>
      <c r="J196" s="59" t="str">
        <f>Parts1!N506</f>
        <v/>
      </c>
      <c r="K196" s="59" t="str">
        <f>Parts1!O506</f>
        <v/>
      </c>
      <c r="L196" t="str">
        <f>Parts1!P506</f>
        <v>649-67996-406HLF</v>
      </c>
      <c r="M196" s="51" t="str">
        <f>Parts1!Q506</f>
        <v/>
      </c>
      <c r="N196" s="58">
        <v>13.0</v>
      </c>
      <c r="O196" s="52" t="str">
        <f t="shared" si="2"/>
        <v>C</v>
      </c>
      <c r="P196" s="52" t="str">
        <f t="shared" si="5"/>
        <v/>
      </c>
      <c r="Q196" s="52">
        <f t="shared" si="4"/>
        <v>1</v>
      </c>
      <c r="R196" s="52" t="b">
        <f t="shared" si="6"/>
        <v>0</v>
      </c>
    </row>
    <row r="197">
      <c r="B197" s="20" t="str">
        <f>IFERROR(__xludf.DUMMYFUNCTION("if(exact($E197, """"), """", iferror(regexextract($F197, ""^(?:- )?([A-Z]+)""), ""?""))"),"JP")</f>
        <v>JP</v>
      </c>
      <c r="C197" s="57" t="str">
        <f t="shared" si="3"/>
        <v>649-67996-406HLF</v>
      </c>
      <c r="D197" t="str">
        <f>Parts1!H577</f>
        <v>Streams Bargraph v0.2</v>
      </c>
      <c r="E197" t="str">
        <f>Parts1!I577</f>
        <v>D</v>
      </c>
      <c r="F197" t="str">
        <f>Parts1!J577</f>
        <v>JP1</v>
      </c>
      <c r="G197">
        <f>Parts1!K577</f>
        <v>1</v>
      </c>
      <c r="H197" t="str">
        <f>Parts1!L577</f>
        <v>2x3 male header, 2.54mm pitch</v>
      </c>
      <c r="I197" t="str">
        <f>Parts1!M577</f>
        <v/>
      </c>
      <c r="J197" t="str">
        <f>Parts1!N577</f>
        <v/>
      </c>
      <c r="K197" t="str">
        <f>Parts1!O577</f>
        <v/>
      </c>
      <c r="L197" t="str">
        <f>Parts1!P577</f>
        <v>649-67996-406HLF</v>
      </c>
      <c r="M197" s="51" t="str">
        <f>Parts1!Q577</f>
        <v/>
      </c>
      <c r="N197" s="58">
        <v>16.0</v>
      </c>
      <c r="O197" s="52" t="str">
        <f t="shared" si="2"/>
        <v>C</v>
      </c>
      <c r="P197" s="52" t="str">
        <f t="shared" si="5"/>
        <v/>
      </c>
      <c r="Q197" s="52">
        <f t="shared" si="4"/>
        <v>0</v>
      </c>
      <c r="R197" s="52" t="b">
        <f t="shared" si="6"/>
        <v>0</v>
      </c>
    </row>
    <row r="198">
      <c r="B198" s="20" t="str">
        <f>IFERROR(__xludf.DUMMYFUNCTION("if(exact($E198, """"), """", iferror(regexextract($F198, ""^(?:- )?([A-Z]+)""), ""?""))"),"J")</f>
        <v>J</v>
      </c>
      <c r="C198" s="57" t="str">
        <f t="shared" si="3"/>
        <v>649-67996-410HLF</v>
      </c>
      <c r="D198" t="str">
        <f>Parts1!H74</f>
        <v>Branches v4.0</v>
      </c>
      <c r="E198" t="str">
        <f>Parts1!I74</f>
        <v>D</v>
      </c>
      <c r="F198" t="str">
        <f>Parts1!J74</f>
        <v>J10</v>
      </c>
      <c r="G198" s="65">
        <f>Parts1!K74</f>
        <v>1</v>
      </c>
      <c r="H198" t="str">
        <f>Parts1!L74</f>
        <v>2x5, 2.54mm pitch male header</v>
      </c>
      <c r="I198" t="str">
        <f>Parts1!M74</f>
        <v/>
      </c>
      <c r="J198" s="59" t="str">
        <f>Parts1!N74</f>
        <v/>
      </c>
      <c r="K198" s="59" t="str">
        <f>Parts1!O74</f>
        <v/>
      </c>
      <c r="L198" t="str">
        <f>Parts1!P74</f>
        <v>649-67996-410HLF</v>
      </c>
      <c r="M198" s="51" t="str">
        <f>Parts1!Q74</f>
        <v/>
      </c>
      <c r="N198" s="58">
        <v>2.0</v>
      </c>
      <c r="O198" s="52" t="str">
        <f t="shared" si="2"/>
        <v>C</v>
      </c>
      <c r="P198" s="52">
        <f t="shared" si="5"/>
        <v>1</v>
      </c>
      <c r="Q198" s="52">
        <f t="shared" si="4"/>
        <v>16</v>
      </c>
      <c r="R198" s="52" t="b">
        <f t="shared" si="6"/>
        <v>1</v>
      </c>
    </row>
    <row r="199">
      <c r="B199" s="20" t="str">
        <f>IFERROR(__xludf.DUMMYFUNCTION("if(exact($E199, """"), """", iferror(regexextract($F199, ""^(?:- )?([A-Z]+)""), ""?""))"),"J")</f>
        <v>J</v>
      </c>
      <c r="C199" s="57" t="str">
        <f t="shared" si="3"/>
        <v>649-67996-410HLF</v>
      </c>
      <c r="D199" t="str">
        <f>Parts1!H172</f>
        <v>Edges v2.0</v>
      </c>
      <c r="E199" t="str">
        <f>Parts1!I172</f>
        <v>D</v>
      </c>
      <c r="F199" t="str">
        <f>Parts1!J172</f>
        <v>J19</v>
      </c>
      <c r="G199">
        <f>Parts1!K172</f>
        <v>1</v>
      </c>
      <c r="H199" t="str">
        <f>Parts1!L172</f>
        <v>2x5, 2.54mm pitch male header</v>
      </c>
      <c r="I199" t="str">
        <f>Parts1!M172</f>
        <v/>
      </c>
      <c r="J199" t="str">
        <f>Parts1!N172</f>
        <v/>
      </c>
      <c r="K199" t="str">
        <f>Parts1!O172</f>
        <v/>
      </c>
      <c r="L199" t="str">
        <f>Parts1!P172</f>
        <v>649-67996-410HLF</v>
      </c>
      <c r="M199" s="51" t="str">
        <f>Parts1!Q172</f>
        <v/>
      </c>
      <c r="N199" s="58">
        <v>4.0</v>
      </c>
      <c r="O199" s="52" t="str">
        <f t="shared" si="2"/>
        <v>C</v>
      </c>
      <c r="P199" s="52" t="str">
        <f t="shared" si="5"/>
        <v/>
      </c>
      <c r="Q199" s="52">
        <f t="shared" si="4"/>
        <v>15</v>
      </c>
      <c r="R199" s="52" t="b">
        <f t="shared" si="6"/>
        <v>1</v>
      </c>
    </row>
    <row r="200">
      <c r="B200" s="20" t="str">
        <f>IFERROR(__xludf.DUMMYFUNCTION("if(exact($E200, """"), """", iferror(regexextract($F200, ""^(?:- )?([A-Z]+)""), ""?""))"),"J")</f>
        <v>J</v>
      </c>
      <c r="C200" s="57" t="str">
        <f t="shared" si="3"/>
        <v>649-67996-410HLF</v>
      </c>
      <c r="D200" t="str">
        <f>Parts1!H298</f>
        <v>Grids v0.2</v>
      </c>
      <c r="E200" t="str">
        <f>Parts1!I298</f>
        <v>D</v>
      </c>
      <c r="F200" t="str">
        <f>Parts1!J298</f>
        <v>J16</v>
      </c>
      <c r="G200" s="65">
        <f>Parts1!K298</f>
        <v>1</v>
      </c>
      <c r="H200" t="str">
        <f>Parts1!L298</f>
        <v>2x5, 2.54mm pitch male header</v>
      </c>
      <c r="I200" t="str">
        <f>Parts1!M298</f>
        <v/>
      </c>
      <c r="J200" t="str">
        <f>Parts1!N298</f>
        <v/>
      </c>
      <c r="K200" t="str">
        <f>Parts1!O298</f>
        <v/>
      </c>
      <c r="L200" t="str">
        <f>Parts1!P298</f>
        <v>649-67996-410HLF</v>
      </c>
      <c r="M200" s="51" t="str">
        <f>Parts1!Q298</f>
        <v/>
      </c>
      <c r="N200" s="58">
        <v>7.0</v>
      </c>
      <c r="O200" s="52" t="str">
        <f t="shared" si="2"/>
        <v>C</v>
      </c>
      <c r="P200" s="52" t="str">
        <f t="shared" si="5"/>
        <v/>
      </c>
      <c r="Q200" s="52">
        <f t="shared" si="4"/>
        <v>14</v>
      </c>
      <c r="R200" s="52" t="b">
        <f t="shared" si="6"/>
        <v>1</v>
      </c>
    </row>
    <row r="201">
      <c r="B201" s="20" t="str">
        <f>IFERROR(__xludf.DUMMYFUNCTION("if(exact($E201, """"), """", iferror(regexextract($F201, ""^(?:- )?([A-Z]+)""), ""?""))"),"JP")</f>
        <v>JP</v>
      </c>
      <c r="C201" s="61" t="str">
        <f t="shared" si="3"/>
        <v>649-67996-410HLF</v>
      </c>
      <c r="D201" t="str">
        <f>Parts1!H47</f>
        <v>Braids v5.1</v>
      </c>
      <c r="E201" t="str">
        <f>Parts1!I47</f>
        <v>D</v>
      </c>
      <c r="F201" t="str">
        <f>Parts1!J47</f>
        <v>JP1</v>
      </c>
      <c r="G201">
        <f>Parts1!K47</f>
        <v>1</v>
      </c>
      <c r="H201" t="str">
        <f>Parts1!L47</f>
        <v>2x5, 2.54mm pitch male header</v>
      </c>
      <c r="I201" t="str">
        <f>Parts1!M47</f>
        <v/>
      </c>
      <c r="J201" s="59" t="str">
        <f>Parts1!N47</f>
        <v/>
      </c>
      <c r="K201" s="59" t="str">
        <f>Parts1!O47</f>
        <v/>
      </c>
      <c r="L201" s="62" t="str">
        <f>Parts1!P47</f>
        <v>649-67996-410HLF</v>
      </c>
      <c r="M201" s="51" t="str">
        <f>Parts1!Q47</f>
        <v/>
      </c>
      <c r="N201" s="58">
        <v>1.0</v>
      </c>
      <c r="O201" s="52" t="str">
        <f t="shared" si="2"/>
        <v>C</v>
      </c>
      <c r="P201" s="52" t="str">
        <f t="shared" si="5"/>
        <v/>
      </c>
      <c r="Q201" s="52">
        <f t="shared" si="4"/>
        <v>13</v>
      </c>
      <c r="R201" s="52" t="b">
        <f t="shared" si="6"/>
        <v>1</v>
      </c>
    </row>
    <row r="202">
      <c r="B202" s="20" t="str">
        <f>IFERROR(__xludf.DUMMYFUNCTION("if(exact($E202, """"), """", iferror(regexextract($F202, ""^(?:- )?([A-Z]+)""), ""?""))"),"JP")</f>
        <v>JP</v>
      </c>
      <c r="C202" s="57" t="str">
        <f t="shared" si="3"/>
        <v>649-67996-410HLF</v>
      </c>
      <c r="D202" t="str">
        <f>Parts1!H127</f>
        <v>Clouds v3.0</v>
      </c>
      <c r="E202" t="str">
        <f>Parts1!I127</f>
        <v>D</v>
      </c>
      <c r="F202" t="str">
        <f>Parts1!J127</f>
        <v>JP2 ("JTAG")</v>
      </c>
      <c r="G202">
        <f>Parts1!K127</f>
        <v>1</v>
      </c>
      <c r="H202" t="str">
        <f>Parts1!L127</f>
        <v>2x5 male header, 2.54mm pitch</v>
      </c>
      <c r="I202" t="str">
        <f>Parts1!M127</f>
        <v/>
      </c>
      <c r="J202" t="str">
        <f>Parts1!N127</f>
        <v/>
      </c>
      <c r="K202" t="str">
        <f>Parts1!O127</f>
        <v/>
      </c>
      <c r="L202" t="str">
        <f>Parts1!P127</f>
        <v>649-67996-410HLF</v>
      </c>
      <c r="M202" s="51" t="str">
        <f>Parts1!Q127</f>
        <v/>
      </c>
      <c r="N202" s="58">
        <v>3.0</v>
      </c>
      <c r="O202" s="52" t="str">
        <f t="shared" si="2"/>
        <v>C</v>
      </c>
      <c r="P202" s="52" t="str">
        <f t="shared" si="5"/>
        <v/>
      </c>
      <c r="Q202" s="52">
        <f t="shared" si="4"/>
        <v>12</v>
      </c>
      <c r="R202" s="52" t="b">
        <f t="shared" si="6"/>
        <v>1</v>
      </c>
    </row>
    <row r="203">
      <c r="B203" s="20" t="str">
        <f>IFERROR(__xludf.DUMMYFUNCTION("if(exact($E203, """"), """", iferror(regexextract($F203, ""^(?:- )?([A-Z]+)""), ""?""))"),"JP")</f>
        <v>JP</v>
      </c>
      <c r="C203" s="57" t="str">
        <f t="shared" si="3"/>
        <v>649-67996-410HLF</v>
      </c>
      <c r="D203" t="str">
        <f>Parts1!H220</f>
        <v>Elements v0.21</v>
      </c>
      <c r="E203" t="str">
        <f>Parts1!I220</f>
        <v>D</v>
      </c>
      <c r="F203" t="str">
        <f>Parts1!J220</f>
        <v>JP3 (“Power / Red stripe”)</v>
      </c>
      <c r="G203">
        <f>Parts1!K220</f>
        <v>1</v>
      </c>
      <c r="H203" t="str">
        <f>Parts1!L220</f>
        <v>2x5 male header, 2.54mm pitch</v>
      </c>
      <c r="I203" t="str">
        <f>Parts1!M220</f>
        <v/>
      </c>
      <c r="J203" t="str">
        <f>Parts1!N220</f>
        <v/>
      </c>
      <c r="K203" t="str">
        <f>Parts1!O220</f>
        <v/>
      </c>
      <c r="L203" t="str">
        <f>Parts1!P220</f>
        <v>649-67996-410HLF</v>
      </c>
      <c r="M203" s="51" t="str">
        <f>Parts1!Q220</f>
        <v/>
      </c>
      <c r="N203" s="58">
        <v>5.0</v>
      </c>
      <c r="O203" s="52" t="str">
        <f t="shared" si="2"/>
        <v>C</v>
      </c>
      <c r="P203" s="52" t="str">
        <f t="shared" si="5"/>
        <v/>
      </c>
      <c r="Q203" s="52">
        <f t="shared" si="4"/>
        <v>11</v>
      </c>
      <c r="R203" s="52" t="b">
        <f t="shared" si="6"/>
        <v>1</v>
      </c>
    </row>
    <row r="204">
      <c r="B204" s="20" t="str">
        <f>IFERROR(__xludf.DUMMYFUNCTION("if(exact($E204, """"), """", iferror(regexextract($F204, ""^(?:- )?([A-Z]+)""), ""?""))"),"JP")</f>
        <v>JP</v>
      </c>
      <c r="C204" s="57" t="str">
        <f t="shared" si="3"/>
        <v>649-67996-410HLF</v>
      </c>
      <c r="D204" t="str">
        <f>Parts1!H266</f>
        <v>Frames v0.3</v>
      </c>
      <c r="E204" t="str">
        <f>Parts1!I266</f>
        <v>D</v>
      </c>
      <c r="F204" t="str">
        <f>Parts1!J266</f>
        <v>JP2</v>
      </c>
      <c r="G204">
        <f>Parts1!K266</f>
        <v>1</v>
      </c>
      <c r="H204" t="str">
        <f>Parts1!L266</f>
        <v>2x5 male header, 2.54mm pitch</v>
      </c>
      <c r="I204" t="str">
        <f>Parts1!M266</f>
        <v/>
      </c>
      <c r="J204" t="str">
        <f>Parts1!N266</f>
        <v/>
      </c>
      <c r="K204" t="str">
        <f>Parts1!O266</f>
        <v/>
      </c>
      <c r="L204" t="str">
        <f>Parts1!P266</f>
        <v>649-67996-410HLF</v>
      </c>
      <c r="M204" s="51" t="str">
        <f>Parts1!Q266</f>
        <v/>
      </c>
      <c r="N204" s="58">
        <v>6.0</v>
      </c>
      <c r="O204" s="52" t="str">
        <f t="shared" si="2"/>
        <v>C</v>
      </c>
      <c r="P204" s="52" t="str">
        <f t="shared" si="5"/>
        <v/>
      </c>
      <c r="Q204" s="52">
        <f t="shared" si="4"/>
        <v>10</v>
      </c>
      <c r="R204" s="52" t="b">
        <f t="shared" si="6"/>
        <v>1</v>
      </c>
    </row>
    <row r="205">
      <c r="B205" s="20" t="str">
        <f>IFERROR(__xludf.DUMMYFUNCTION("if(exact($E205, """"), """", iferror(regexextract($F205, ""^(?:- )?([A-Z]+)""), ""?""))"),"JP")</f>
        <v>JP</v>
      </c>
      <c r="C205" s="57" t="str">
        <f t="shared" si="3"/>
        <v>649-67996-410HLF</v>
      </c>
      <c r="D205" t="str">
        <f>Parts1!H319</f>
        <v>Links v4</v>
      </c>
      <c r="E205" t="str">
        <f>Parts1!I319</f>
        <v>D</v>
      </c>
      <c r="F205" t="str">
        <f>Parts1!J319</f>
        <v>JP1</v>
      </c>
      <c r="G205">
        <f>Parts1!K319</f>
        <v>1</v>
      </c>
      <c r="H205" t="str">
        <f>Parts1!L319</f>
        <v>2x5 male header, 2.54mm pitch</v>
      </c>
      <c r="I205" t="str">
        <f>Parts1!M319</f>
        <v/>
      </c>
      <c r="J205" t="str">
        <f>Parts1!N319</f>
        <v/>
      </c>
      <c r="K205" t="str">
        <f>Parts1!O319</f>
        <v/>
      </c>
      <c r="L205" t="str">
        <f>Parts1!P319</f>
        <v>649-67996-410HLF</v>
      </c>
      <c r="M205" s="51" t="str">
        <f>Parts1!Q319</f>
        <v/>
      </c>
      <c r="N205" s="58">
        <v>8.0</v>
      </c>
      <c r="O205" s="52" t="str">
        <f t="shared" si="2"/>
        <v>C</v>
      </c>
      <c r="P205" s="52" t="str">
        <f t="shared" si="5"/>
        <v/>
      </c>
      <c r="Q205" s="52">
        <f t="shared" si="4"/>
        <v>9</v>
      </c>
      <c r="R205" s="52" t="b">
        <f t="shared" si="6"/>
        <v>1</v>
      </c>
    </row>
    <row r="206">
      <c r="B206" s="20" t="str">
        <f>IFERROR(__xludf.DUMMYFUNCTION("if(exact($E206, """"), """", iferror(regexextract($F206, ""^(?:- )?([A-Z]+)""), ""?""))"),"JP")</f>
        <v>JP</v>
      </c>
      <c r="C206" s="57" t="str">
        <f t="shared" si="3"/>
        <v>649-67996-410HLF</v>
      </c>
      <c r="D206" t="str">
        <f>Parts1!H357</f>
        <v>Peaks v3.1</v>
      </c>
      <c r="E206" t="str">
        <f>Parts1!I357</f>
        <v>D</v>
      </c>
      <c r="F206" t="str">
        <f>Parts1!J357</f>
        <v>JP3</v>
      </c>
      <c r="G206">
        <f>Parts1!K357</f>
        <v>1</v>
      </c>
      <c r="H206" t="str">
        <f>Parts1!L357</f>
        <v>2x5 male header, 2.54mm pitch</v>
      </c>
      <c r="I206" t="str">
        <f>Parts1!M357</f>
        <v/>
      </c>
      <c r="J206" t="str">
        <f>Parts1!N357</f>
        <v/>
      </c>
      <c r="K206" t="str">
        <f>Parts1!O357</f>
        <v/>
      </c>
      <c r="L206" t="str">
        <f>Parts1!P357</f>
        <v>649-67996-410HLF</v>
      </c>
      <c r="M206" s="51" t="str">
        <f>Parts1!Q357</f>
        <v/>
      </c>
      <c r="N206" s="58">
        <v>9.0</v>
      </c>
      <c r="O206" s="52" t="str">
        <f t="shared" si="2"/>
        <v>C</v>
      </c>
      <c r="P206" s="52" t="str">
        <f t="shared" si="5"/>
        <v/>
      </c>
      <c r="Q206" s="52">
        <f t="shared" si="4"/>
        <v>8</v>
      </c>
      <c r="R206" s="52" t="b">
        <f t="shared" si="6"/>
        <v>1</v>
      </c>
    </row>
    <row r="207">
      <c r="B207" s="20" t="str">
        <f>IFERROR(__xludf.DUMMYFUNCTION("if(exact($E207, """"), """", iferror(regexextract($F207, ""^(?:- )?([A-Z]+)""), ""?""))"),"JP")</f>
        <v>JP</v>
      </c>
      <c r="C207" s="57" t="str">
        <f t="shared" si="3"/>
        <v>649-67996-410HLF</v>
      </c>
      <c r="D207" t="str">
        <f>Parts1!H411</f>
        <v>Rings v3.0</v>
      </c>
      <c r="E207" t="str">
        <f>Parts1!I411</f>
        <v>D</v>
      </c>
      <c r="F207" t="str">
        <f>Parts1!J411</f>
        <v>JP3</v>
      </c>
      <c r="G207">
        <f>Parts1!K411</f>
        <v>1</v>
      </c>
      <c r="H207" t="str">
        <f>Parts1!L411</f>
        <v>2x5 male header, 2.54mm pitch</v>
      </c>
      <c r="I207" t="str">
        <f>Parts1!M411</f>
        <v/>
      </c>
      <c r="J207" t="str">
        <f>Parts1!N411</f>
        <v/>
      </c>
      <c r="K207" t="str">
        <f>Parts1!O411</f>
        <v/>
      </c>
      <c r="L207" t="str">
        <f>Parts1!P411</f>
        <v>649-67996-410HLF</v>
      </c>
      <c r="M207" s="51" t="str">
        <f>Parts1!Q411</f>
        <v/>
      </c>
      <c r="N207" s="58">
        <v>10.0</v>
      </c>
      <c r="O207" s="52" t="str">
        <f t="shared" si="2"/>
        <v>C</v>
      </c>
      <c r="P207" s="52" t="str">
        <f t="shared" si="5"/>
        <v/>
      </c>
      <c r="Q207" s="52">
        <f t="shared" si="4"/>
        <v>7</v>
      </c>
      <c r="R207" s="52" t="b">
        <f t="shared" si="6"/>
        <v>1</v>
      </c>
    </row>
    <row r="208">
      <c r="B208" s="20" t="str">
        <f>IFERROR(__xludf.DUMMYFUNCTION("if(exact($E208, """"), """", iferror(regexextract($F208, ""^(?:- )?([A-Z]+)""), ""?""))"),"JP")</f>
        <v>JP</v>
      </c>
      <c r="C208" s="57" t="str">
        <f t="shared" si="3"/>
        <v>649-67996-410HLF</v>
      </c>
      <c r="D208" t="str">
        <f>Parts1!H449</f>
        <v>Ripples v4.0</v>
      </c>
      <c r="E208" t="str">
        <f>Parts1!I449</f>
        <v>D</v>
      </c>
      <c r="F208" t="str">
        <f>Parts1!J449</f>
        <v>JP1</v>
      </c>
      <c r="G208">
        <f>Parts1!K449</f>
        <v>1</v>
      </c>
      <c r="H208" t="str">
        <f>Parts1!L449</f>
        <v>2x5 male header, 2.54mm pitch</v>
      </c>
      <c r="I208" t="str">
        <f>Parts1!M449</f>
        <v/>
      </c>
      <c r="J208" t="str">
        <f>Parts1!N449</f>
        <v/>
      </c>
      <c r="K208" t="str">
        <f>Parts1!O449</f>
        <v/>
      </c>
      <c r="L208" t="str">
        <f>Parts1!P449</f>
        <v>649-67996-410HLF</v>
      </c>
      <c r="M208" s="51" t="str">
        <f>Parts1!Q449</f>
        <v/>
      </c>
      <c r="N208" s="58">
        <v>11.0</v>
      </c>
      <c r="O208" s="52" t="str">
        <f t="shared" si="2"/>
        <v>C</v>
      </c>
      <c r="P208" s="52" t="str">
        <f t="shared" si="5"/>
        <v/>
      </c>
      <c r="Q208" s="52">
        <f t="shared" si="4"/>
        <v>6</v>
      </c>
      <c r="R208" s="52" t="b">
        <f t="shared" si="6"/>
        <v>1</v>
      </c>
    </row>
    <row r="209">
      <c r="B209" s="20" t="str">
        <f>IFERROR(__xludf.DUMMYFUNCTION("if(exact($E209, """"), """", iferror(regexextract($F209, ""^(?:- )?([A-Z]+)""), ""?""))"),"JP")</f>
        <v>JP</v>
      </c>
      <c r="C209" s="57" t="str">
        <f t="shared" si="3"/>
        <v>649-67996-410HLF</v>
      </c>
      <c r="D209" t="str">
        <f>Parts1!H471</f>
        <v>Shades v3.1</v>
      </c>
      <c r="E209" t="str">
        <f>Parts1!I471</f>
        <v>D</v>
      </c>
      <c r="F209" t="str">
        <f>Parts1!J471</f>
        <v>JP1</v>
      </c>
      <c r="G209">
        <f>Parts1!K471</f>
        <v>1</v>
      </c>
      <c r="H209" t="str">
        <f>Parts1!L471</f>
        <v>2x5 male header, 2.54mm pitch</v>
      </c>
      <c r="I209" t="str">
        <f>Parts1!M471</f>
        <v/>
      </c>
      <c r="J209" t="str">
        <f>Parts1!N471</f>
        <v/>
      </c>
      <c r="K209" t="str">
        <f>Parts1!O471</f>
        <v/>
      </c>
      <c r="L209" t="str">
        <f>Parts1!P471</f>
        <v>649-67996-410HLF</v>
      </c>
      <c r="M209" s="51" t="str">
        <f>Parts1!Q471</f>
        <v/>
      </c>
      <c r="N209" s="58">
        <v>12.0</v>
      </c>
      <c r="O209" s="52" t="str">
        <f t="shared" si="2"/>
        <v>C</v>
      </c>
      <c r="P209" s="52" t="str">
        <f t="shared" si="5"/>
        <v/>
      </c>
      <c r="Q209" s="52">
        <f t="shared" si="4"/>
        <v>5</v>
      </c>
      <c r="R209" s="52" t="b">
        <f t="shared" si="6"/>
        <v>1</v>
      </c>
    </row>
    <row r="210">
      <c r="B210" s="20" t="str">
        <f>IFERROR(__xludf.DUMMYFUNCTION("if(exact($E210, """"), """", iferror(regexextract($F210, ""^(?:- )?([A-Z]+)""), ""?""))"),"JP")</f>
        <v>JP</v>
      </c>
      <c r="C210" s="57" t="str">
        <f t="shared" si="3"/>
        <v>649-67996-410HLF</v>
      </c>
      <c r="D210" t="str">
        <f>Parts1!H505</f>
        <v>Shelves v0.5</v>
      </c>
      <c r="E210" t="str">
        <f>Parts1!I505</f>
        <v>D</v>
      </c>
      <c r="F210" t="str">
        <f>Parts1!J505</f>
        <v>JP11</v>
      </c>
      <c r="G210">
        <f>Parts1!K505</f>
        <v>1</v>
      </c>
      <c r="H210" t="str">
        <f>Parts1!L505</f>
        <v>2x5 male header, 2.54mm pitch</v>
      </c>
      <c r="I210" t="str">
        <f>Parts1!M505</f>
        <v/>
      </c>
      <c r="J210" t="str">
        <f>Parts1!N505</f>
        <v/>
      </c>
      <c r="K210" t="str">
        <f>Parts1!O505</f>
        <v/>
      </c>
      <c r="L210" t="str">
        <f>Parts1!P505</f>
        <v>649-67996-410HLF</v>
      </c>
      <c r="M210" s="51" t="str">
        <f>Parts1!Q505</f>
        <v/>
      </c>
      <c r="N210" s="58">
        <v>13.0</v>
      </c>
      <c r="O210" s="52" t="str">
        <f t="shared" si="2"/>
        <v>C</v>
      </c>
      <c r="P210" s="52" t="str">
        <f t="shared" si="5"/>
        <v/>
      </c>
      <c r="Q210" s="52">
        <f t="shared" si="4"/>
        <v>4</v>
      </c>
      <c r="R210" s="52" t="b">
        <f t="shared" si="6"/>
        <v>1</v>
      </c>
    </row>
    <row r="211">
      <c r="B211" s="20" t="str">
        <f>IFERROR(__xludf.DUMMYFUNCTION("if(exact($E211, """"), """", iferror(regexextract($F211, ""^(?:- )?([A-Z]+)""), ""?""))"),"JP")</f>
        <v>JP</v>
      </c>
      <c r="C211" s="57" t="str">
        <f t="shared" si="3"/>
        <v>649-67996-410HLF</v>
      </c>
      <c r="D211" t="str">
        <f>Parts1!H566</f>
        <v>Streams v0.5</v>
      </c>
      <c r="E211" t="str">
        <f>Parts1!I566</f>
        <v>D</v>
      </c>
      <c r="F211" t="str">
        <f>Parts1!J566</f>
        <v>JP6</v>
      </c>
      <c r="G211">
        <f>Parts1!K566</f>
        <v>1</v>
      </c>
      <c r="H211" t="str">
        <f>Parts1!L566</f>
        <v>2x5 male header, 2.54mm pitch</v>
      </c>
      <c r="I211" t="str">
        <f>Parts1!M566</f>
        <v/>
      </c>
      <c r="J211" t="str">
        <f>Parts1!N566</f>
        <v/>
      </c>
      <c r="K211" t="str">
        <f>Parts1!O566</f>
        <v/>
      </c>
      <c r="L211" t="str">
        <f>Parts1!P566</f>
        <v>649-67996-410HLF</v>
      </c>
      <c r="M211" s="51" t="str">
        <f>Parts1!Q566</f>
        <v/>
      </c>
      <c r="N211" s="58">
        <v>15.0</v>
      </c>
      <c r="O211" s="52" t="str">
        <f t="shared" si="2"/>
        <v>C</v>
      </c>
      <c r="P211" s="52" t="str">
        <f t="shared" si="5"/>
        <v/>
      </c>
      <c r="Q211" s="52">
        <f t="shared" si="4"/>
        <v>3</v>
      </c>
      <c r="R211" s="52" t="b">
        <f t="shared" si="6"/>
        <v>1</v>
      </c>
    </row>
    <row r="212">
      <c r="B212" s="20" t="str">
        <f>IFERROR(__xludf.DUMMYFUNCTION("if(exact($E212, """"), """", iferror(regexextract($F212, ""^(?:- )?([A-Z]+)""), ""?""))"),"JP")</f>
        <v>JP</v>
      </c>
      <c r="C212" s="57" t="str">
        <f t="shared" si="3"/>
        <v>649-67996-410HLF</v>
      </c>
      <c r="D212" t="str">
        <f>Parts1!H625</f>
        <v>Tides v4.0</v>
      </c>
      <c r="E212" t="str">
        <f>Parts1!I625</f>
        <v>D</v>
      </c>
      <c r="F212" t="str">
        <f>Parts1!J625</f>
        <v>JP1</v>
      </c>
      <c r="G212">
        <f>Parts1!K625</f>
        <v>1</v>
      </c>
      <c r="H212" t="str">
        <f>Parts1!L625</f>
        <v>2x5 male header, 2.54mm pitch</v>
      </c>
      <c r="I212" t="str">
        <f>Parts1!M625</f>
        <v/>
      </c>
      <c r="J212" t="str">
        <f>Parts1!N625</f>
        <v/>
      </c>
      <c r="K212" t="str">
        <f>Parts1!O625</f>
        <v/>
      </c>
      <c r="L212" t="str">
        <f>Parts1!P625</f>
        <v>649-67996-410HLF</v>
      </c>
      <c r="M212" s="51" t="str">
        <f>Parts1!Q625</f>
        <v/>
      </c>
      <c r="N212" s="58">
        <v>17.0</v>
      </c>
      <c r="O212" s="52" t="str">
        <f t="shared" si="2"/>
        <v>C</v>
      </c>
      <c r="P212" s="52" t="str">
        <f t="shared" si="5"/>
        <v/>
      </c>
      <c r="Q212" s="52">
        <f t="shared" si="4"/>
        <v>2</v>
      </c>
      <c r="R212" s="52" t="b">
        <f t="shared" si="6"/>
        <v>1</v>
      </c>
    </row>
    <row r="213">
      <c r="B213" s="20" t="str">
        <f>IFERROR(__xludf.DUMMYFUNCTION("if(exact($E213, """"), """", iferror(regexextract($F213, ""^(?:- )?([A-Z]+)""), ""?""))"),"JP")</f>
        <v>JP</v>
      </c>
      <c r="C213" s="57" t="str">
        <f t="shared" si="3"/>
        <v>649-67996-410HLF</v>
      </c>
      <c r="D213" t="str">
        <f>Parts1!H675</f>
        <v>Warps v3.0</v>
      </c>
      <c r="E213" t="str">
        <f>Parts1!I675</f>
        <v>D</v>
      </c>
      <c r="F213" t="str">
        <f>Parts1!J675</f>
        <v>JP3</v>
      </c>
      <c r="G213">
        <f>Parts1!K675</f>
        <v>1</v>
      </c>
      <c r="H213" t="str">
        <f>Parts1!L675</f>
        <v>2x5 male header, 2.54mm pitch</v>
      </c>
      <c r="I213" t="str">
        <f>Parts1!M675</f>
        <v/>
      </c>
      <c r="J213" t="str">
        <f>Parts1!N675</f>
        <v/>
      </c>
      <c r="K213" t="str">
        <f>Parts1!O675</f>
        <v/>
      </c>
      <c r="L213" t="str">
        <f>Parts1!P675</f>
        <v>649-67996-410HLF</v>
      </c>
      <c r="M213" s="51" t="str">
        <f>Parts1!Q675</f>
        <v/>
      </c>
      <c r="N213" s="58">
        <v>18.0</v>
      </c>
      <c r="O213" s="52" t="str">
        <f t="shared" si="2"/>
        <v>C</v>
      </c>
      <c r="P213" s="52" t="str">
        <f t="shared" si="5"/>
        <v/>
      </c>
      <c r="Q213" s="52">
        <f t="shared" si="4"/>
        <v>1</v>
      </c>
      <c r="R213" s="52" t="b">
        <f t="shared" si="6"/>
        <v>1</v>
      </c>
    </row>
    <row r="214">
      <c r="B214" s="20" t="str">
        <f>IFERROR(__xludf.DUMMYFUNCTION("if(exact($E214, """"), """", iferror(regexextract($F214, ""^(?:- )?([A-Z]+)""), ""?""))"),"JP")</f>
        <v>JP</v>
      </c>
      <c r="C214" s="57" t="str">
        <f t="shared" si="3"/>
        <v>649-67996-410HLF</v>
      </c>
      <c r="D214" t="str">
        <f>Parts1!H711</f>
        <v>Yarns v0.3</v>
      </c>
      <c r="E214" t="str">
        <f>Parts1!I711</f>
        <v>U</v>
      </c>
      <c r="F214" s="64" t="str">
        <f>Parts1!J711</f>
        <v>JP2</v>
      </c>
      <c r="G214" s="65">
        <f>Parts1!K711</f>
        <v>1</v>
      </c>
      <c r="H214" s="64" t="str">
        <f>Parts1!L711</f>
        <v>2x5 male header, 2.54mm pitch</v>
      </c>
      <c r="I214" s="64" t="str">
        <f>Parts1!M711</f>
        <v/>
      </c>
      <c r="J214" s="64" t="str">
        <f>Parts1!N711</f>
        <v/>
      </c>
      <c r="K214" s="64" t="str">
        <f>Parts1!O711</f>
        <v/>
      </c>
      <c r="L214" t="str">
        <f>Parts1!P711</f>
        <v>649-67996-410HLF</v>
      </c>
      <c r="M214" s="67" t="str">
        <f>Parts1!Q711</f>
        <v/>
      </c>
      <c r="N214" s="58">
        <v>19.0</v>
      </c>
      <c r="O214" s="52" t="str">
        <f t="shared" si="2"/>
        <v>B</v>
      </c>
      <c r="P214" s="52" t="str">
        <f t="shared" si="5"/>
        <v/>
      </c>
      <c r="Q214" s="52">
        <f t="shared" si="4"/>
        <v>0</v>
      </c>
      <c r="R214" s="52" t="b">
        <f t="shared" si="6"/>
        <v>1</v>
      </c>
    </row>
    <row r="215">
      <c r="B215" s="20" t="str">
        <f>IFERROR(__xludf.DUMMYFUNCTION("if(exact($E215, """"), """", iferror(regexextract($F215, ""^(?:- )?([A-Z]+)""), ""?""))"),"JP")</f>
        <v>JP</v>
      </c>
      <c r="C215" s="61" t="str">
        <f t="shared" si="3"/>
        <v>649-68002-106HLF</v>
      </c>
      <c r="D215" t="str">
        <f>Parts1!H49</f>
        <v>Braids v5.1</v>
      </c>
      <c r="E215" t="str">
        <f>Parts1!I49</f>
        <v>D</v>
      </c>
      <c r="F215" t="str">
        <f>Parts1!J49</f>
        <v>JP3</v>
      </c>
      <c r="G215">
        <f>Parts1!K49</f>
        <v>1</v>
      </c>
      <c r="H215" t="str">
        <f>Parts1!L49</f>
        <v>1x6, 2.54mm pitch male header</v>
      </c>
      <c r="I215" t="str">
        <f>Parts1!M49</f>
        <v/>
      </c>
      <c r="J215" s="59" t="str">
        <f>Parts1!N49</f>
        <v/>
      </c>
      <c r="K215" s="59" t="str">
        <f>Parts1!O49</f>
        <v/>
      </c>
      <c r="L215" s="62" t="str">
        <f>Parts1!P49</f>
        <v>649-68002-106HLF</v>
      </c>
      <c r="M215" s="51" t="str">
        <f>Parts1!Q49</f>
        <v/>
      </c>
      <c r="N215" s="58">
        <v>1.0</v>
      </c>
      <c r="O215" s="52" t="str">
        <f t="shared" si="2"/>
        <v>C</v>
      </c>
      <c r="P215" s="52">
        <f t="shared" si="5"/>
        <v>1</v>
      </c>
      <c r="Q215" s="52">
        <f t="shared" si="4"/>
        <v>7</v>
      </c>
      <c r="R215" s="52" t="b">
        <f t="shared" si="6"/>
        <v>0</v>
      </c>
    </row>
    <row r="216">
      <c r="B216" s="20" t="str">
        <f>IFERROR(__xludf.DUMMYFUNCTION("if(exact($E216, """"), """", iferror(regexextract($F216, ""^(?:- )?([A-Z]+)""), ""?""))"),"JP")</f>
        <v>JP</v>
      </c>
      <c r="C216" s="57" t="str">
        <f t="shared" si="3"/>
        <v>649-68002-106HLF</v>
      </c>
      <c r="D216" t="str">
        <f>Parts1!H126</f>
        <v>Clouds v3.0</v>
      </c>
      <c r="E216" t="str">
        <f>Parts1!I126</f>
        <v>D</v>
      </c>
      <c r="F216" t="str">
        <f>Parts1!J126</f>
        <v>JP1 ("FTDI Dongle")</v>
      </c>
      <c r="G216">
        <f>Parts1!K126</f>
        <v>1</v>
      </c>
      <c r="H216" t="str">
        <f>Parts1!L126</f>
        <v>1x6 male header, 2.54mm pitch</v>
      </c>
      <c r="I216" t="str">
        <f>Parts1!M126</f>
        <v/>
      </c>
      <c r="J216" t="str">
        <f>Parts1!N126</f>
        <v/>
      </c>
      <c r="K216" t="str">
        <f>Parts1!O126</f>
        <v/>
      </c>
      <c r="L216" t="str">
        <f>Parts1!P126</f>
        <v>649-68002-106HLF</v>
      </c>
      <c r="M216" s="51" t="str">
        <f>Parts1!Q126</f>
        <v/>
      </c>
      <c r="N216" s="58">
        <v>3.0</v>
      </c>
      <c r="O216" s="52" t="str">
        <f t="shared" si="2"/>
        <v>C</v>
      </c>
      <c r="P216" s="52" t="str">
        <f t="shared" si="5"/>
        <v/>
      </c>
      <c r="Q216" s="52">
        <f t="shared" si="4"/>
        <v>6</v>
      </c>
      <c r="R216" s="52" t="b">
        <f t="shared" si="6"/>
        <v>0</v>
      </c>
    </row>
    <row r="217">
      <c r="B217" s="20" t="str">
        <f>IFERROR(__xludf.DUMMYFUNCTION("if(exact($E217, """"), """", iferror(regexextract($F217, ""^(?:- )?([A-Z]+)""), ""?""))"),"JP")</f>
        <v>JP</v>
      </c>
      <c r="C217" s="57" t="str">
        <f t="shared" si="3"/>
        <v>649-68002-106HLF</v>
      </c>
      <c r="D217" t="str">
        <f>Parts1!H221</f>
        <v>Elements v0.21</v>
      </c>
      <c r="E217" t="str">
        <f>Parts1!I221</f>
        <v>D</v>
      </c>
      <c r="F217" t="str">
        <f>Parts1!J221</f>
        <v>JP2 (“Serial”)</v>
      </c>
      <c r="G217">
        <f>Parts1!K221</f>
        <v>1</v>
      </c>
      <c r="H217" t="str">
        <f>Parts1!L221</f>
        <v>1x6 male header, 2.54mm pitch</v>
      </c>
      <c r="I217" t="str">
        <f>Parts1!M221</f>
        <v/>
      </c>
      <c r="J217" t="str">
        <f>Parts1!N221</f>
        <v/>
      </c>
      <c r="K217" t="str">
        <f>Parts1!O221</f>
        <v/>
      </c>
      <c r="L217" t="str">
        <f>Parts1!P221</f>
        <v>649-68002-106HLF</v>
      </c>
      <c r="M217" s="51" t="str">
        <f>Parts1!Q221</f>
        <v/>
      </c>
      <c r="N217" s="58">
        <v>5.0</v>
      </c>
      <c r="O217" s="52" t="str">
        <f t="shared" si="2"/>
        <v>C</v>
      </c>
      <c r="P217" s="52" t="str">
        <f t="shared" si="5"/>
        <v/>
      </c>
      <c r="Q217" s="52">
        <f t="shared" si="4"/>
        <v>5</v>
      </c>
      <c r="R217" s="52" t="b">
        <f t="shared" si="6"/>
        <v>0</v>
      </c>
    </row>
    <row r="218">
      <c r="B218" s="20" t="str">
        <f>IFERROR(__xludf.DUMMYFUNCTION("if(exact($E218, """"), """", iferror(regexextract($F218, ""^(?:- )?([A-Z]+)""), ""?""))"),"JP")</f>
        <v>JP</v>
      </c>
      <c r="C218" s="61" t="str">
        <f t="shared" si="3"/>
        <v>649-68002-106HLF</v>
      </c>
      <c r="D218" t="str">
        <f>Parts1!H267</f>
        <v>Frames v0.3</v>
      </c>
      <c r="E218" t="str">
        <f>Parts1!I267</f>
        <v>D</v>
      </c>
      <c r="F218" t="str">
        <f>Parts1!J267</f>
        <v>JP3</v>
      </c>
      <c r="G218">
        <f>Parts1!K267</f>
        <v>1</v>
      </c>
      <c r="H218" t="str">
        <f>Parts1!L267</f>
        <v>1x6 male header, 2.54mm pitch</v>
      </c>
      <c r="I218" t="str">
        <f>Parts1!M267</f>
        <v/>
      </c>
      <c r="J218" s="59" t="str">
        <f>Parts1!N267</f>
        <v/>
      </c>
      <c r="K218" s="59" t="str">
        <f>Parts1!O267</f>
        <v/>
      </c>
      <c r="L218" s="62" t="str">
        <f>Parts1!P267</f>
        <v>649-68002-106HLF</v>
      </c>
      <c r="M218" s="51" t="str">
        <f>Parts1!Q267</f>
        <v/>
      </c>
      <c r="N218" s="58">
        <v>6.0</v>
      </c>
      <c r="O218" s="52" t="str">
        <f t="shared" si="2"/>
        <v>C</v>
      </c>
      <c r="P218" s="52" t="str">
        <f t="shared" si="5"/>
        <v/>
      </c>
      <c r="Q218" s="52">
        <f t="shared" si="4"/>
        <v>4</v>
      </c>
      <c r="R218" s="52" t="b">
        <f t="shared" si="6"/>
        <v>0</v>
      </c>
    </row>
    <row r="219">
      <c r="B219" s="20" t="str">
        <f>IFERROR(__xludf.DUMMYFUNCTION("if(exact($E219, """"), """", iferror(regexextract($F219, ""^(?:- )?([A-Z]+)""), ""?""))"),"JP")</f>
        <v>JP</v>
      </c>
      <c r="C219" s="61" t="str">
        <f t="shared" si="3"/>
        <v>649-68002-106HLF</v>
      </c>
      <c r="D219" t="str">
        <f>Parts1!H359</f>
        <v>Peaks v3.1</v>
      </c>
      <c r="E219" t="str">
        <f>Parts1!I359</f>
        <v>D</v>
      </c>
      <c r="F219" t="str">
        <f>Parts1!J359</f>
        <v>JP1</v>
      </c>
      <c r="G219">
        <f>Parts1!K359</f>
        <v>1</v>
      </c>
      <c r="H219" t="str">
        <f>Parts1!L359</f>
        <v>1x6 male header, 2.54mm pitch</v>
      </c>
      <c r="I219" t="str">
        <f>Parts1!M359</f>
        <v/>
      </c>
      <c r="J219" s="59" t="str">
        <f>Parts1!N359</f>
        <v/>
      </c>
      <c r="K219" t="str">
        <f>Parts1!O359</f>
        <v/>
      </c>
      <c r="L219" s="62" t="str">
        <f>Parts1!P359</f>
        <v>649-68002-106HLF</v>
      </c>
      <c r="M219" s="51" t="str">
        <f>Parts1!Q359</f>
        <v/>
      </c>
      <c r="N219" s="58">
        <v>9.0</v>
      </c>
      <c r="O219" s="52" t="str">
        <f t="shared" si="2"/>
        <v>C</v>
      </c>
      <c r="P219" s="52" t="str">
        <f t="shared" si="5"/>
        <v/>
      </c>
      <c r="Q219" s="52">
        <f t="shared" si="4"/>
        <v>3</v>
      </c>
      <c r="R219" s="52" t="b">
        <f t="shared" si="6"/>
        <v>0</v>
      </c>
    </row>
    <row r="220">
      <c r="B220" s="20" t="str">
        <f>IFERROR(__xludf.DUMMYFUNCTION("if(exact($E220, """"), """", iferror(regexextract($F220, ""^(?:- )?([A-Z]+)""), ""?""))"),"JP")</f>
        <v>JP</v>
      </c>
      <c r="C220" s="57" t="str">
        <f t="shared" si="3"/>
        <v>649-68002-106HLF</v>
      </c>
      <c r="D220" t="str">
        <f>Parts1!H412</f>
        <v>Rings v3.0</v>
      </c>
      <c r="E220" t="str">
        <f>Parts1!I412</f>
        <v>D</v>
      </c>
      <c r="F220" t="str">
        <f>Parts1!J412</f>
        <v>JP2 / FTDI</v>
      </c>
      <c r="G220">
        <f>Parts1!K412</f>
        <v>1</v>
      </c>
      <c r="H220" t="str">
        <f>Parts1!L412</f>
        <v>1x6 male header, 2.54mm pitch</v>
      </c>
      <c r="I220" t="str">
        <f>Parts1!M412</f>
        <v/>
      </c>
      <c r="J220" t="str">
        <f>Parts1!N412</f>
        <v/>
      </c>
      <c r="K220" t="str">
        <f>Parts1!O412</f>
        <v/>
      </c>
      <c r="L220" t="str">
        <f>Parts1!P412</f>
        <v>649-68002-106HLF</v>
      </c>
      <c r="M220" s="51" t="str">
        <f>Parts1!Q412</f>
        <v/>
      </c>
      <c r="N220" s="58">
        <v>10.0</v>
      </c>
      <c r="O220" s="52" t="str">
        <f t="shared" si="2"/>
        <v>C</v>
      </c>
      <c r="P220" s="52" t="str">
        <f t="shared" si="5"/>
        <v/>
      </c>
      <c r="Q220" s="52">
        <f t="shared" si="4"/>
        <v>2</v>
      </c>
      <c r="R220" s="52" t="b">
        <f t="shared" si="6"/>
        <v>0</v>
      </c>
    </row>
    <row r="221">
      <c r="B221" s="20" t="str">
        <f>IFERROR(__xludf.DUMMYFUNCTION("if(exact($E221, """"), """", iferror(regexextract($F221, ""^(?:- )?([A-Z]+)""), ""?""))"),"JP")</f>
        <v>JP</v>
      </c>
      <c r="C221" s="61" t="str">
        <f t="shared" si="3"/>
        <v>649-68002-106HLF</v>
      </c>
      <c r="D221" t="str">
        <f>Parts1!H627</f>
        <v>Tides v4.0</v>
      </c>
      <c r="E221" t="str">
        <f>Parts1!I627</f>
        <v>D</v>
      </c>
      <c r="F221" t="str">
        <f>Parts1!J627</f>
        <v>JP3</v>
      </c>
      <c r="G221">
        <f>Parts1!K627</f>
        <v>1</v>
      </c>
      <c r="H221" t="str">
        <f>Parts1!L627</f>
        <v>1x6 male header, 2.54mm pitch</v>
      </c>
      <c r="I221" t="str">
        <f>Parts1!M627</f>
        <v/>
      </c>
      <c r="J221" s="59" t="str">
        <f>Parts1!N627</f>
        <v/>
      </c>
      <c r="K221" s="59" t="str">
        <f>Parts1!O627</f>
        <v/>
      </c>
      <c r="L221" s="62" t="str">
        <f>Parts1!P627</f>
        <v>649-68002-106HLF</v>
      </c>
      <c r="M221" s="51" t="str">
        <f>Parts1!Q627</f>
        <v/>
      </c>
      <c r="N221" s="58">
        <v>17.0</v>
      </c>
      <c r="O221" s="52" t="str">
        <f t="shared" si="2"/>
        <v>C</v>
      </c>
      <c r="P221" s="52" t="str">
        <f t="shared" si="5"/>
        <v/>
      </c>
      <c r="Q221" s="52">
        <f t="shared" si="4"/>
        <v>1</v>
      </c>
      <c r="R221" s="52" t="b">
        <f t="shared" si="6"/>
        <v>0</v>
      </c>
    </row>
    <row r="222">
      <c r="B222" s="20" t="str">
        <f>IFERROR(__xludf.DUMMYFUNCTION("if(exact($E222, """"), """", iferror(regexextract($F222, ""^(?:- )?([A-Z]+)""), ""?""))"),"JP")</f>
        <v>JP</v>
      </c>
      <c r="C222" s="57" t="str">
        <f t="shared" si="3"/>
        <v>649-68002-106HLF</v>
      </c>
      <c r="D222" t="str">
        <f>Parts1!H676</f>
        <v>Warps v3.0</v>
      </c>
      <c r="E222" t="str">
        <f>Parts1!I676</f>
        <v>D</v>
      </c>
      <c r="F222" t="str">
        <f>Parts1!J676</f>
        <v>JP2</v>
      </c>
      <c r="G222">
        <f>Parts1!K676</f>
        <v>1</v>
      </c>
      <c r="H222" t="str">
        <f>Parts1!L676</f>
        <v>1x6 male header, 2.54mm pitch</v>
      </c>
      <c r="I222" t="str">
        <f>Parts1!M676</f>
        <v/>
      </c>
      <c r="J222" t="str">
        <f>Parts1!N676</f>
        <v/>
      </c>
      <c r="K222" t="str">
        <f>Parts1!O676</f>
        <v/>
      </c>
      <c r="L222" t="str">
        <f>Parts1!P676</f>
        <v>649-68002-106HLF</v>
      </c>
      <c r="M222" s="51" t="str">
        <f>Parts1!Q676</f>
        <v/>
      </c>
      <c r="N222" s="58">
        <v>18.0</v>
      </c>
      <c r="O222" s="52" t="str">
        <f t="shared" si="2"/>
        <v>C</v>
      </c>
      <c r="P222" s="52" t="str">
        <f t="shared" si="5"/>
        <v/>
      </c>
      <c r="Q222" s="52">
        <f t="shared" si="4"/>
        <v>0</v>
      </c>
      <c r="R222" s="52" t="b">
        <f t="shared" si="6"/>
        <v>0</v>
      </c>
    </row>
    <row r="223">
      <c r="B223" s="20" t="str">
        <f>IFERROR(__xludf.DUMMYFUNCTION("if(exact($E223, """"), """", iferror(regexextract($F223, ""^(?:- )?([A-Z]+)""), ""?""))"),"JP")</f>
        <v>JP</v>
      </c>
      <c r="C223" s="57" t="str">
        <f t="shared" si="3"/>
        <v>649-77311-118-03LF</v>
      </c>
      <c r="D223" t="str">
        <f>Parts1!H265</f>
        <v>Frames v0.3</v>
      </c>
      <c r="E223" t="str">
        <f>Parts1!I265</f>
        <v>D</v>
      </c>
      <c r="F223" t="str">
        <f>Parts1!J265</f>
        <v>JP1</v>
      </c>
      <c r="G223">
        <f>Parts1!K265</f>
        <v>1</v>
      </c>
      <c r="H223" t="str">
        <f>Parts1!L265</f>
        <v>1x3 male header, 2.54mm pitch</v>
      </c>
      <c r="I223" t="str">
        <f>Parts1!M265</f>
        <v/>
      </c>
      <c r="J223" t="str">
        <f>Parts1!N265</f>
        <v/>
      </c>
      <c r="K223" t="str">
        <f>Parts1!O265</f>
        <v/>
      </c>
      <c r="L223" t="str">
        <f>Parts1!P265</f>
        <v>649-77311-118-03LF</v>
      </c>
      <c r="M223" s="51" t="str">
        <f>Parts1!Q265</f>
        <v/>
      </c>
      <c r="N223" s="58">
        <v>6.0</v>
      </c>
      <c r="O223" s="52" t="str">
        <f t="shared" si="2"/>
        <v>C</v>
      </c>
      <c r="P223" s="52">
        <f t="shared" si="5"/>
        <v>1</v>
      </c>
      <c r="Q223" s="52">
        <f t="shared" si="4"/>
        <v>2</v>
      </c>
      <c r="R223" s="52" t="b">
        <f t="shared" si="6"/>
        <v>1</v>
      </c>
    </row>
    <row r="224">
      <c r="B224" s="20" t="str">
        <f>IFERROR(__xludf.DUMMYFUNCTION("if(exact($E224, """"), """", iferror(regexextract($F224, ""^(?:- )?([A-Z]+)""), ""?""))"),"JP")</f>
        <v>JP</v>
      </c>
      <c r="C224" s="57" t="str">
        <f t="shared" si="3"/>
        <v>649-77311-118-03LF</v>
      </c>
      <c r="D224" t="str">
        <f>Parts1!H470</f>
        <v>Shades v3.1</v>
      </c>
      <c r="E224" t="str">
        <f>Parts1!I470</f>
        <v>D</v>
      </c>
      <c r="F224" t="str">
        <f>Parts1!J470</f>
        <v>JP2, JP3, JP4</v>
      </c>
      <c r="G224">
        <f>Parts1!K470</f>
        <v>3</v>
      </c>
      <c r="H224" t="str">
        <f>Parts1!L470</f>
        <v>1x3 male header, 2.54mm pitch</v>
      </c>
      <c r="I224" t="str">
        <f>Parts1!M470</f>
        <v/>
      </c>
      <c r="J224" t="str">
        <f>Parts1!N470</f>
        <v/>
      </c>
      <c r="K224" t="str">
        <f>Parts1!O470</f>
        <v/>
      </c>
      <c r="L224" t="str">
        <f>Parts1!P470</f>
        <v>649-77311-118-03LF</v>
      </c>
      <c r="M224" s="51" t="str">
        <f>Parts1!Q470</f>
        <v/>
      </c>
      <c r="N224" s="58">
        <v>12.0</v>
      </c>
      <c r="O224" s="52" t="str">
        <f t="shared" si="2"/>
        <v>C</v>
      </c>
      <c r="P224" s="52" t="str">
        <f t="shared" si="5"/>
        <v/>
      </c>
      <c r="Q224" s="52">
        <f t="shared" si="4"/>
        <v>1</v>
      </c>
      <c r="R224" s="52" t="b">
        <f t="shared" si="6"/>
        <v>1</v>
      </c>
    </row>
    <row r="225">
      <c r="B225" s="20" t="str">
        <f>IFERROR(__xludf.DUMMYFUNCTION("if(exact($E225, """"), """", iferror(regexextract($F225, ""^(?:- )?([A-Z]+)""), ""?""))"),"JP")</f>
        <v>JP</v>
      </c>
      <c r="C225" s="57" t="str">
        <f t="shared" si="3"/>
        <v>649-77311-118-03LF</v>
      </c>
      <c r="D225" t="str">
        <f>Parts1!H508</f>
        <v>Shelves v0.5</v>
      </c>
      <c r="E225" t="str">
        <f>Parts1!I508</f>
        <v>D</v>
      </c>
      <c r="F225" t="str">
        <f>Parts1!J508</f>
        <v>JP2</v>
      </c>
      <c r="G225">
        <f>Parts1!K508</f>
        <v>1</v>
      </c>
      <c r="H225" t="str">
        <f>Parts1!L508</f>
        <v>1x3 male header, 2.54mm pitch</v>
      </c>
      <c r="I225" t="str">
        <f>Parts1!M508</f>
        <v/>
      </c>
      <c r="J225" t="str">
        <f>Parts1!N508</f>
        <v/>
      </c>
      <c r="K225" t="str">
        <f>Parts1!O508</f>
        <v/>
      </c>
      <c r="L225" t="str">
        <f>Parts1!P508</f>
        <v>649-77311-118-03LF</v>
      </c>
      <c r="M225" s="51" t="str">
        <f>Parts1!Q508</f>
        <v/>
      </c>
      <c r="N225" s="58">
        <v>13.0</v>
      </c>
      <c r="O225" s="52" t="str">
        <f t="shared" si="2"/>
        <v>C</v>
      </c>
      <c r="P225" s="52" t="str">
        <f t="shared" si="5"/>
        <v/>
      </c>
      <c r="Q225" s="52">
        <f t="shared" si="4"/>
        <v>0</v>
      </c>
      <c r="R225" s="52" t="b">
        <f t="shared" si="6"/>
        <v>1</v>
      </c>
    </row>
    <row r="226">
      <c r="B226" s="20" t="str">
        <f>IFERROR(__xludf.DUMMYFUNCTION("if(exact($E226, """"), """", iferror(regexextract($F226, ""^(?:- )?([A-Z]+)""), ""?""))"),"R")</f>
        <v>R</v>
      </c>
      <c r="C226" s="57" t="str">
        <f t="shared" si="3"/>
        <v>652CR0603FX1000ELF</v>
      </c>
      <c r="D226" t="str">
        <f>Parts1!H224</f>
        <v>Frames v0.3</v>
      </c>
      <c r="E226" t="str">
        <f>Parts1!I224</f>
        <v>S</v>
      </c>
      <c r="F226" t="str">
        <f>Parts1!J224</f>
        <v>R6, R7, R8, R9, R11, R12, R13, R16, R19, R20, R21, R22</v>
      </c>
      <c r="G226">
        <f>Parts1!K224</f>
        <v>12</v>
      </c>
      <c r="H226" t="str">
        <f>Parts1!L224</f>
        <v>Resistor, 1%</v>
      </c>
      <c r="I226" t="str">
        <f>Parts1!M224</f>
        <v/>
      </c>
      <c r="J226">
        <f>Parts1!N224</f>
        <v>100</v>
      </c>
      <c r="K226" s="59" t="str">
        <f>Parts1!O224</f>
        <v>0603</v>
      </c>
      <c r="L226" s="62" t="str">
        <f>Parts1!P224</f>
        <v>652-CR0603FX-1000ELF</v>
      </c>
      <c r="M226" s="51" t="str">
        <f>Parts1!Q224</f>
        <v/>
      </c>
      <c r="N226" s="58">
        <v>6.0</v>
      </c>
      <c r="O226" s="52" t="str">
        <f t="shared" si="2"/>
        <v>A</v>
      </c>
      <c r="P226" s="52">
        <f t="shared" si="5"/>
        <v>1</v>
      </c>
      <c r="Q226" s="52">
        <f t="shared" si="4"/>
        <v>3</v>
      </c>
      <c r="R226" s="52" t="b">
        <f t="shared" si="6"/>
        <v>0</v>
      </c>
    </row>
    <row r="227">
      <c r="B227" s="20" t="str">
        <f>IFERROR(__xludf.DUMMYFUNCTION("if(exact($E227, """"), """", iferror(regexextract($F227, ""^(?:- )?([A-Z]+)""), ""?""))"),"R")</f>
        <v>R</v>
      </c>
      <c r="C227" s="57" t="str">
        <f t="shared" si="3"/>
        <v>652CR0603FX1000ELF</v>
      </c>
      <c r="D227" t="str">
        <f>Parts1!H323</f>
        <v>Peaks v3.1</v>
      </c>
      <c r="E227" t="str">
        <f>Parts1!I323</f>
        <v>S</v>
      </c>
      <c r="F227" t="str">
        <f>Parts1!J323</f>
        <v>R2, R4, R6, R7, R8</v>
      </c>
      <c r="G227">
        <f>Parts1!K323</f>
        <v>5</v>
      </c>
      <c r="H227" t="str">
        <f>Parts1!L323</f>
        <v>Resistor, 1%</v>
      </c>
      <c r="I227" t="str">
        <f>Parts1!M323</f>
        <v/>
      </c>
      <c r="J227">
        <f>Parts1!N323</f>
        <v>100</v>
      </c>
      <c r="K227" t="str">
        <f>Parts1!O323</f>
        <v>0603</v>
      </c>
      <c r="L227" s="62" t="str">
        <f>Parts1!P323</f>
        <v>652-CR0603FX-1000ELF</v>
      </c>
      <c r="M227" s="51" t="str">
        <f>Parts1!Q323</f>
        <v/>
      </c>
      <c r="N227" s="58">
        <v>9.0</v>
      </c>
      <c r="O227" s="52" t="str">
        <f t="shared" si="2"/>
        <v>A</v>
      </c>
      <c r="P227" s="52" t="str">
        <f t="shared" si="5"/>
        <v/>
      </c>
      <c r="Q227" s="52">
        <f t="shared" si="4"/>
        <v>2</v>
      </c>
      <c r="R227" s="52" t="b">
        <f t="shared" si="6"/>
        <v>0</v>
      </c>
    </row>
    <row r="228">
      <c r="B228" s="20" t="str">
        <f>IFERROR(__xludf.DUMMYFUNCTION("if(exact($E228, """"), """", iferror(regexextract($F228, ""^(?:- )?([A-Z]+)""), ""?""))"),"R")</f>
        <v>R</v>
      </c>
      <c r="C228" s="57" t="str">
        <f t="shared" si="3"/>
        <v>652CR0603FX1000ELF</v>
      </c>
      <c r="D228" t="str">
        <f>Parts1!H580</f>
        <v>Tides v4.0</v>
      </c>
      <c r="E228" t="str">
        <f>Parts1!I580</f>
        <v>S</v>
      </c>
      <c r="F228" t="str">
        <f>Parts1!J580</f>
        <v>R2, R3, R4, R7, R9, R10, R22, R24</v>
      </c>
      <c r="G228">
        <f>Parts1!K580</f>
        <v>8</v>
      </c>
      <c r="H228" t="str">
        <f>Parts1!L580</f>
        <v>Resistor, 1%</v>
      </c>
      <c r="I228" t="str">
        <f>Parts1!M580</f>
        <v/>
      </c>
      <c r="J228">
        <f>Parts1!N580</f>
        <v>100</v>
      </c>
      <c r="K228" s="59" t="str">
        <f>Parts1!O580</f>
        <v>0603</v>
      </c>
      <c r="L228" s="62" t="str">
        <f>Parts1!P580</f>
        <v>652-CR0603FX-1000ELF</v>
      </c>
      <c r="M228" s="51" t="str">
        <f>Parts1!Q580</f>
        <v/>
      </c>
      <c r="N228" s="58">
        <v>17.0</v>
      </c>
      <c r="O228" s="52" t="str">
        <f t="shared" si="2"/>
        <v>A</v>
      </c>
      <c r="P228" s="52" t="str">
        <f t="shared" si="5"/>
        <v/>
      </c>
      <c r="Q228" s="52">
        <f t="shared" si="4"/>
        <v>1</v>
      </c>
      <c r="R228" s="52" t="b">
        <f t="shared" si="6"/>
        <v>0</v>
      </c>
    </row>
    <row r="229">
      <c r="B229" s="20" t="str">
        <f>IFERROR(__xludf.DUMMYFUNCTION("if(exact($E229, """"), """", iferror(regexextract($F229, ""^(?:- )?([A-Z]+)""), ""?""))"),"R")</f>
        <v>R</v>
      </c>
      <c r="C229" s="57" t="str">
        <f t="shared" si="3"/>
        <v>652CR0603FX1000ELF</v>
      </c>
      <c r="D229" t="str">
        <f>Parts1!H680</f>
        <v>Yarns v0.3</v>
      </c>
      <c r="E229" t="str">
        <f>Parts1!I680</f>
        <v>S</v>
      </c>
      <c r="F229" s="64" t="str">
        <f>Parts1!J680</f>
        <v>R2, R3, R4, R5, R6, R7, R8, R10, R11, R12, R13, R14, R15, R16, R33, R36, R41, R42</v>
      </c>
      <c r="G229" s="65">
        <f>Parts1!K680</f>
        <v>18</v>
      </c>
      <c r="H229" s="64" t="str">
        <f>Parts1!L680</f>
        <v>Resistor, 1%</v>
      </c>
      <c r="I229" s="64" t="str">
        <f>Parts1!M680</f>
        <v/>
      </c>
      <c r="J229" s="64">
        <f>Parts1!N680</f>
        <v>100</v>
      </c>
      <c r="K229" s="64" t="str">
        <f>Parts1!O680</f>
        <v>0603</v>
      </c>
      <c r="L229" s="66" t="str">
        <f>Parts1!P680</f>
        <v>652-CR0603FX-1000ELF</v>
      </c>
      <c r="M229" s="67" t="str">
        <f>Parts1!Q680</f>
        <v/>
      </c>
      <c r="N229" s="58">
        <v>19.0</v>
      </c>
      <c r="O229" s="52" t="str">
        <f t="shared" si="2"/>
        <v>A</v>
      </c>
      <c r="P229" s="52" t="str">
        <f t="shared" si="5"/>
        <v/>
      </c>
      <c r="Q229" s="52">
        <f t="shared" si="4"/>
        <v>0</v>
      </c>
      <c r="R229" s="52" t="b">
        <f t="shared" si="6"/>
        <v>0</v>
      </c>
    </row>
    <row r="230">
      <c r="B230" s="20" t="str">
        <f>IFERROR(__xludf.DUMMYFUNCTION("if(exact($E230, """"), """", iferror(regexextract($F230, ""^(?:- )?([A-Z]+)""), ""?""))"),"R")</f>
        <v>R</v>
      </c>
      <c r="C230" s="57" t="str">
        <f t="shared" si="3"/>
        <v>652CR0603FX1001ELF</v>
      </c>
      <c r="D230" t="str">
        <f>Parts1!H226</f>
        <v>Frames v0.3</v>
      </c>
      <c r="E230" t="str">
        <f>Parts1!I226</f>
        <v>S</v>
      </c>
      <c r="F230" t="str">
        <f>Parts1!J226</f>
        <v>R28, R39, R48, R51, R58, R61</v>
      </c>
      <c r="G230">
        <f>Parts1!K226</f>
        <v>6</v>
      </c>
      <c r="H230" t="str">
        <f>Parts1!L226</f>
        <v>Resistor, 1%</v>
      </c>
      <c r="I230" t="str">
        <f>Parts1!M226</f>
        <v/>
      </c>
      <c r="J230" s="59" t="str">
        <f>Parts1!N226</f>
        <v>1.0k</v>
      </c>
      <c r="K230" s="59" t="str">
        <f>Parts1!O226</f>
        <v>0603</v>
      </c>
      <c r="L230" s="62" t="str">
        <f>Parts1!P226</f>
        <v>652-CR0603FX-1001ELF</v>
      </c>
      <c r="M230" s="51" t="str">
        <f>Parts1!Q226</f>
        <v/>
      </c>
      <c r="N230" s="58">
        <v>6.0</v>
      </c>
      <c r="O230" s="52" t="str">
        <f t="shared" si="2"/>
        <v>A</v>
      </c>
      <c r="P230" s="52">
        <f t="shared" si="5"/>
        <v>1</v>
      </c>
      <c r="Q230" s="52">
        <f t="shared" si="4"/>
        <v>2</v>
      </c>
      <c r="R230" s="52" t="b">
        <f t="shared" si="6"/>
        <v>1</v>
      </c>
    </row>
    <row r="231">
      <c r="B231" s="20" t="str">
        <f>IFERROR(__xludf.DUMMYFUNCTION("if(exact($E231, """"), """", iferror(regexextract($F231, ""^(?:- )?([A-Z]+)""), ""?""))"),"R")</f>
        <v>R</v>
      </c>
      <c r="C231" s="57" t="str">
        <f t="shared" si="3"/>
        <v>652CR0603FX1001ELF</v>
      </c>
      <c r="D231" t="str">
        <f>Parts1!H324</f>
        <v>Peaks v3.1</v>
      </c>
      <c r="E231" t="str">
        <f>Parts1!I324</f>
        <v>S</v>
      </c>
      <c r="F231" t="str">
        <f>Parts1!J324</f>
        <v>R20, R31</v>
      </c>
      <c r="G231">
        <f>Parts1!K324</f>
        <v>2</v>
      </c>
      <c r="H231" t="str">
        <f>Parts1!L324</f>
        <v>Resistor, 1%</v>
      </c>
      <c r="I231" t="str">
        <f>Parts1!M324</f>
        <v/>
      </c>
      <c r="J231" t="str">
        <f>Parts1!N324</f>
        <v>1.0k</v>
      </c>
      <c r="K231" t="str">
        <f>Parts1!O324</f>
        <v>0603</v>
      </c>
      <c r="L231" s="62" t="str">
        <f>Parts1!P324</f>
        <v>652-CR0603FX-1001ELF</v>
      </c>
      <c r="M231" s="51" t="str">
        <f>Parts1!Q324</f>
        <v/>
      </c>
      <c r="N231" s="58">
        <v>9.0</v>
      </c>
      <c r="O231" s="52" t="str">
        <f t="shared" si="2"/>
        <v>A</v>
      </c>
      <c r="P231" s="52" t="str">
        <f t="shared" si="5"/>
        <v/>
      </c>
      <c r="Q231" s="52">
        <f t="shared" si="4"/>
        <v>1</v>
      </c>
      <c r="R231" s="52" t="b">
        <f t="shared" si="6"/>
        <v>1</v>
      </c>
    </row>
    <row r="232">
      <c r="B232" s="20" t="str">
        <f>IFERROR(__xludf.DUMMYFUNCTION("if(exact($E232, """"), """", iferror(regexextract($F232, ""^(?:- )?([A-Z]+)""), ""?""))"),"R")</f>
        <v>R</v>
      </c>
      <c r="C232" s="57" t="str">
        <f t="shared" si="3"/>
        <v>652CR0603FX1001ELF</v>
      </c>
      <c r="D232" t="str">
        <f>Parts1!H681</f>
        <v>Yarns v0.3</v>
      </c>
      <c r="E232" t="str">
        <f>Parts1!I681</f>
        <v>S</v>
      </c>
      <c r="F232" s="64" t="str">
        <f>Parts1!J681</f>
        <v>R1, R9, R24, R25, R30, R31, R32, R34, R38, R43</v>
      </c>
      <c r="G232" s="65">
        <f>Parts1!K681</f>
        <v>10</v>
      </c>
      <c r="H232" s="64" t="str">
        <f>Parts1!L681</f>
        <v>Resistor, 1%</v>
      </c>
      <c r="I232" s="64" t="str">
        <f>Parts1!M681</f>
        <v/>
      </c>
      <c r="J232" s="64" t="str">
        <f>Parts1!N681</f>
        <v>1.0k</v>
      </c>
      <c r="K232" s="64" t="str">
        <f>Parts1!O681</f>
        <v>0603</v>
      </c>
      <c r="L232" s="66" t="str">
        <f>Parts1!P681</f>
        <v>652-CR0603FX-1001ELF</v>
      </c>
      <c r="M232" s="67" t="str">
        <f>Parts1!Q681</f>
        <v/>
      </c>
      <c r="N232" s="58">
        <v>19.0</v>
      </c>
      <c r="O232" s="52" t="str">
        <f t="shared" si="2"/>
        <v>A</v>
      </c>
      <c r="P232" s="52" t="str">
        <f t="shared" si="5"/>
        <v/>
      </c>
      <c r="Q232" s="52">
        <f t="shared" si="4"/>
        <v>0</v>
      </c>
      <c r="R232" s="52" t="b">
        <f t="shared" si="6"/>
        <v>1</v>
      </c>
    </row>
    <row r="233">
      <c r="B233" s="20" t="str">
        <f>IFERROR(__xludf.DUMMYFUNCTION("if(exact($E233, """"), """", iferror(regexextract($F233, ""^(?:- )?([A-Z]+)""), ""?""))"),"R")</f>
        <v>R</v>
      </c>
      <c r="C233" s="57" t="str">
        <f t="shared" si="3"/>
        <v>652CR0603FX1002GLF</v>
      </c>
      <c r="D233" t="str">
        <f>Parts1!H229</f>
        <v>Frames v0.3</v>
      </c>
      <c r="E233" t="str">
        <f>Parts1!I229</f>
        <v>S</v>
      </c>
      <c r="F233" t="str">
        <f>Parts1!J229</f>
        <v>R1, R10, R23</v>
      </c>
      <c r="G233">
        <f>Parts1!K229</f>
        <v>3</v>
      </c>
      <c r="H233" t="str">
        <f>Parts1!L229</f>
        <v>Resistor, 1%</v>
      </c>
      <c r="I233" t="str">
        <f>Parts1!M229</f>
        <v/>
      </c>
      <c r="J233" s="59" t="str">
        <f>Parts1!N229</f>
        <v>10k</v>
      </c>
      <c r="K233" s="59" t="str">
        <f>Parts1!O229</f>
        <v>0603</v>
      </c>
      <c r="L233" s="62" t="str">
        <f>Parts1!P229</f>
        <v>652-CR0603-FX-1002GLF</v>
      </c>
      <c r="M233" s="51" t="str">
        <f>Parts1!Q229</f>
        <v/>
      </c>
      <c r="N233" s="58">
        <v>6.0</v>
      </c>
      <c r="O233" s="52" t="str">
        <f t="shared" si="2"/>
        <v>A</v>
      </c>
      <c r="P233" s="52">
        <f t="shared" si="5"/>
        <v>1</v>
      </c>
      <c r="Q233" s="52">
        <f t="shared" si="4"/>
        <v>4</v>
      </c>
      <c r="R233" s="52" t="b">
        <f t="shared" si="6"/>
        <v>0</v>
      </c>
    </row>
    <row r="234">
      <c r="B234" s="20" t="str">
        <f>IFERROR(__xludf.DUMMYFUNCTION("if(exact($E234, """"), """", iferror(regexextract($F234, ""^(?:- )?([A-Z]+)""), ""?""))"),"R")</f>
        <v>R</v>
      </c>
      <c r="C234" s="57" t="str">
        <f t="shared" si="3"/>
        <v>652CR0603FX1002GLF</v>
      </c>
      <c r="D234" t="str">
        <f>Parts1!H326</f>
        <v>Peaks v3.1</v>
      </c>
      <c r="E234" t="str">
        <f>Parts1!I326</f>
        <v>S</v>
      </c>
      <c r="F234" t="str">
        <f>Parts1!J326</f>
        <v>R3, R13, R16, R28</v>
      </c>
      <c r="G234">
        <f>Parts1!K326</f>
        <v>4</v>
      </c>
      <c r="H234" t="str">
        <f>Parts1!L326</f>
        <v>Resistor, 1%</v>
      </c>
      <c r="I234" t="str">
        <f>Parts1!M326</f>
        <v/>
      </c>
      <c r="J234" s="59" t="str">
        <f>Parts1!N326</f>
        <v>10k</v>
      </c>
      <c r="K234" t="str">
        <f>Parts1!O326</f>
        <v>0603</v>
      </c>
      <c r="L234" s="62" t="str">
        <f>Parts1!P326</f>
        <v>652-CR0603-FX-1002GLF</v>
      </c>
      <c r="M234" s="51" t="str">
        <f>Parts1!Q326</f>
        <v/>
      </c>
      <c r="N234" s="58">
        <v>9.0</v>
      </c>
      <c r="O234" s="52" t="str">
        <f t="shared" si="2"/>
        <v>A</v>
      </c>
      <c r="P234" s="52" t="str">
        <f t="shared" si="5"/>
        <v/>
      </c>
      <c r="Q234" s="52">
        <f t="shared" si="4"/>
        <v>3</v>
      </c>
      <c r="R234" s="52" t="b">
        <f t="shared" si="6"/>
        <v>0</v>
      </c>
    </row>
    <row r="235">
      <c r="B235" s="20" t="str">
        <f>IFERROR(__xludf.DUMMYFUNCTION("if(exact($E235, """"), """", iferror(regexextract($F235, ""^(?:- )?([A-Z]+)""), ""?""))"),"R")</f>
        <v>R</v>
      </c>
      <c r="C235" s="57" t="str">
        <f t="shared" si="3"/>
        <v>652CR0603FX1002GLF</v>
      </c>
      <c r="D235" t="str">
        <f>Parts1!H586</f>
        <v>Tides v4.0</v>
      </c>
      <c r="E235" t="str">
        <f>Parts1!I586</f>
        <v>S</v>
      </c>
      <c r="F235" t="str">
        <f>Parts1!J586</f>
        <v>R1, R11, R47, R48, R49, R57, R58</v>
      </c>
      <c r="G235">
        <f>Parts1!K586</f>
        <v>7</v>
      </c>
      <c r="H235" t="str">
        <f>Parts1!L586</f>
        <v>Resistor, 1%</v>
      </c>
      <c r="I235" t="str">
        <f>Parts1!M586</f>
        <v/>
      </c>
      <c r="J235" s="59" t="str">
        <f>Parts1!N586</f>
        <v>10k</v>
      </c>
      <c r="K235" s="59" t="str">
        <f>Parts1!O586</f>
        <v>0603</v>
      </c>
      <c r="L235" s="62" t="str">
        <f>Parts1!P586</f>
        <v>652-CR0603-FX-1002GLF</v>
      </c>
      <c r="M235" s="51" t="str">
        <f>Parts1!Q586</f>
        <v/>
      </c>
      <c r="N235" s="58">
        <v>17.0</v>
      </c>
      <c r="O235" s="52" t="str">
        <f t="shared" si="2"/>
        <v>A</v>
      </c>
      <c r="P235" s="52" t="str">
        <f t="shared" si="5"/>
        <v/>
      </c>
      <c r="Q235" s="52">
        <f t="shared" si="4"/>
        <v>2</v>
      </c>
      <c r="R235" s="52" t="b">
        <f t="shared" si="6"/>
        <v>0</v>
      </c>
    </row>
    <row r="236">
      <c r="B236" s="20" t="str">
        <f>IFERROR(__xludf.DUMMYFUNCTION("if(exact($E236, """"), """", iferror(regexextract($F236, ""^(?:- )?([A-Z]+)""), ""?""))"),"R")</f>
        <v>R</v>
      </c>
      <c r="C236" s="57" t="str">
        <f t="shared" si="3"/>
        <v>652CR0603FX1002GLF</v>
      </c>
      <c r="D236" t="str">
        <f>Parts1!H682</f>
        <v>Yarns v0.3</v>
      </c>
      <c r="E236" t="str">
        <f>Parts1!I682</f>
        <v>S</v>
      </c>
      <c r="F236" s="64" t="str">
        <f>Parts1!J682</f>
        <v>R17</v>
      </c>
      <c r="G236" s="65">
        <f>Parts1!K682</f>
        <v>1</v>
      </c>
      <c r="H236" s="64" t="str">
        <f>Parts1!L682</f>
        <v>Resistor, 1%</v>
      </c>
      <c r="I236" s="64" t="str">
        <f>Parts1!M682</f>
        <v/>
      </c>
      <c r="J236" s="64" t="str">
        <f>Parts1!N682</f>
        <v>10k</v>
      </c>
      <c r="K236" s="64" t="str">
        <f>Parts1!O682</f>
        <v>0603</v>
      </c>
      <c r="L236" s="66" t="str">
        <f>Parts1!P682</f>
        <v>652-CR0603-FX-1002GLF</v>
      </c>
      <c r="M236" s="67" t="str">
        <f>Parts1!Q682</f>
        <v/>
      </c>
      <c r="N236" s="58">
        <v>19.0</v>
      </c>
      <c r="O236" s="52" t="str">
        <f t="shared" si="2"/>
        <v>A</v>
      </c>
      <c r="P236" s="52" t="str">
        <f t="shared" si="5"/>
        <v/>
      </c>
      <c r="Q236" s="52">
        <f t="shared" si="4"/>
        <v>1</v>
      </c>
      <c r="R236" s="52" t="b">
        <f t="shared" si="6"/>
        <v>0</v>
      </c>
    </row>
    <row r="237">
      <c r="B237" s="20" t="str">
        <f>IFERROR(__xludf.DUMMYFUNCTION("if(exact($E237, """"), """", iferror(regexextract($F237, ""^(?:- )?([A-Z]+)""), ""?""))"),"R")</f>
        <v>R</v>
      </c>
      <c r="C237" s="57" t="str">
        <f t="shared" si="3"/>
        <v>652CR0603FX1002GLF</v>
      </c>
      <c r="D237" t="str">
        <f>Parts1!H703</f>
        <v>Yarns v0.3</v>
      </c>
      <c r="E237" t="str">
        <f>Parts1!I703</f>
        <v>S</v>
      </c>
      <c r="F237" s="64" t="str">
        <f>Parts1!J703</f>
        <v>R37</v>
      </c>
      <c r="G237" s="65">
        <f>Parts1!K703</f>
        <v>1</v>
      </c>
      <c r="H237" s="64" t="str">
        <f>Parts1!L703</f>
        <v>Resistor, 1%</v>
      </c>
      <c r="I237" s="64" t="str">
        <f>Parts1!M703</f>
        <v/>
      </c>
      <c r="J237" s="64" t="str">
        <f>Parts1!N703</f>
        <v>10k</v>
      </c>
      <c r="K237" s="64" t="str">
        <f>Parts1!O703</f>
        <v>0603</v>
      </c>
      <c r="L237" s="66" t="str">
        <f>Parts1!P703</f>
        <v>652-CR0603-FX-1002GLF</v>
      </c>
      <c r="M237" s="67" t="str">
        <f>Parts1!Q703</f>
        <v/>
      </c>
      <c r="N237" s="58">
        <v>19.0</v>
      </c>
      <c r="O237" s="52" t="str">
        <f t="shared" si="2"/>
        <v>A</v>
      </c>
      <c r="P237" s="52" t="str">
        <f t="shared" si="5"/>
        <v/>
      </c>
      <c r="Q237" s="52">
        <f t="shared" si="4"/>
        <v>0</v>
      </c>
      <c r="R237" s="52" t="b">
        <f t="shared" si="6"/>
        <v>0</v>
      </c>
    </row>
    <row r="238">
      <c r="B238" s="20" t="str">
        <f>IFERROR(__xludf.DUMMYFUNCTION("if(exact($E238, """"), """", iferror(regexextract($F238, ""^(?:- )?([A-Z]+)""), ""?""))"),"R")</f>
        <v>R</v>
      </c>
      <c r="C238" s="57" t="str">
        <f t="shared" si="3"/>
        <v>652CR0603FX1003GLF</v>
      </c>
      <c r="D238" t="str">
        <f>Parts1!H232</f>
        <v>Frames v0.3</v>
      </c>
      <c r="E238" t="str">
        <f>Parts1!I232</f>
        <v>S</v>
      </c>
      <c r="F238" t="str">
        <f>Parts1!J232</f>
        <v>R18, R27, R29, R30, R31, R32, R33, R36, R37, R38, R41, R44, R45, R46, R47, R49, R50, R52, R53, R54, R57, R59, R60, R62, R63, R64, R65</v>
      </c>
      <c r="G238">
        <f>Parts1!K232</f>
        <v>27</v>
      </c>
      <c r="H238" t="str">
        <f>Parts1!L232</f>
        <v>Resistor, 1%</v>
      </c>
      <c r="I238" t="str">
        <f>Parts1!M232</f>
        <v/>
      </c>
      <c r="J238" t="str">
        <f>Parts1!N232</f>
        <v>100k</v>
      </c>
      <c r="K238" s="59" t="str">
        <f>Parts1!O232</f>
        <v>0603</v>
      </c>
      <c r="L238" t="str">
        <f>Parts1!P232</f>
        <v>652-CR0603-FX-1003GLF</v>
      </c>
      <c r="M238" s="51" t="str">
        <f>Parts1!Q232</f>
        <v/>
      </c>
      <c r="N238" s="58">
        <v>6.0</v>
      </c>
      <c r="O238" s="52" t="str">
        <f t="shared" si="2"/>
        <v>A</v>
      </c>
      <c r="P238" s="52">
        <f t="shared" si="5"/>
        <v>1</v>
      </c>
      <c r="Q238" s="52">
        <f t="shared" si="4"/>
        <v>2</v>
      </c>
      <c r="R238" s="52" t="b">
        <f t="shared" si="6"/>
        <v>1</v>
      </c>
    </row>
    <row r="239">
      <c r="B239" s="20" t="str">
        <f>IFERROR(__xludf.DUMMYFUNCTION("if(exact($E239, """"), """", iferror(regexextract($F239, ""^(?:- )?([A-Z]+)""), ""?""))"),"R")</f>
        <v>R</v>
      </c>
      <c r="C239" s="57" t="str">
        <f t="shared" si="3"/>
        <v>652CR0603FX1003GLF</v>
      </c>
      <c r="D239" t="str">
        <f>Parts1!H328</f>
        <v>Peaks v3.1</v>
      </c>
      <c r="E239" t="str">
        <f>Parts1!I328</f>
        <v>S</v>
      </c>
      <c r="F239" t="str">
        <f>Parts1!J328</f>
        <v>R15, R27</v>
      </c>
      <c r="G239">
        <f>Parts1!K328</f>
        <v>2</v>
      </c>
      <c r="H239" t="str">
        <f>Parts1!L328</f>
        <v>Resistor, 1%</v>
      </c>
      <c r="I239" t="str">
        <f>Parts1!M328</f>
        <v/>
      </c>
      <c r="J239" t="str">
        <f>Parts1!N328</f>
        <v>100k</v>
      </c>
      <c r="K239" t="str">
        <f>Parts1!O328</f>
        <v>0603</v>
      </c>
      <c r="L239" t="str">
        <f>Parts1!P328</f>
        <v>652-CR0603-FX-1003GLF</v>
      </c>
      <c r="M239" s="51" t="str">
        <f>Parts1!Q328</f>
        <v/>
      </c>
      <c r="N239" s="58">
        <v>9.0</v>
      </c>
      <c r="O239" s="52" t="str">
        <f t="shared" si="2"/>
        <v>A</v>
      </c>
      <c r="P239" s="52" t="str">
        <f t="shared" si="5"/>
        <v/>
      </c>
      <c r="Q239" s="52">
        <f t="shared" si="4"/>
        <v>1</v>
      </c>
      <c r="R239" s="52" t="b">
        <f t="shared" si="6"/>
        <v>1</v>
      </c>
    </row>
    <row r="240">
      <c r="B240" s="20" t="str">
        <f>IFERROR(__xludf.DUMMYFUNCTION("if(exact($E240, """"), """", iferror(regexextract($F240, ""^(?:- )?([A-Z]+)""), ""?""))"),"R")</f>
        <v>R</v>
      </c>
      <c r="C240" s="57" t="str">
        <f t="shared" si="3"/>
        <v>652CR0603FX1003GLF</v>
      </c>
      <c r="D240" t="str">
        <f>Parts1!H592</f>
        <v>Tides v4.0</v>
      </c>
      <c r="E240" t="str">
        <f>Parts1!I592</f>
        <v>S</v>
      </c>
      <c r="F240" t="str">
        <f>Parts1!J592</f>
        <v>R14, R16, R26, R29, R30, R31, R32, R36, R38, R39, R41, R42, R44, R54, R55, R56</v>
      </c>
      <c r="G240">
        <f>Parts1!K592</f>
        <v>16</v>
      </c>
      <c r="H240" t="str">
        <f>Parts1!L592</f>
        <v>Resistor, 1%</v>
      </c>
      <c r="I240" t="str">
        <f>Parts1!M592</f>
        <v/>
      </c>
      <c r="J240" t="str">
        <f>Parts1!N592</f>
        <v>100k</v>
      </c>
      <c r="K240" s="59" t="str">
        <f>Parts1!O592</f>
        <v>0603</v>
      </c>
      <c r="L240" t="str">
        <f>Parts1!P592</f>
        <v>652-CR0603-FX-1003GLF</v>
      </c>
      <c r="M240" s="51" t="str">
        <f>Parts1!Q592</f>
        <v/>
      </c>
      <c r="N240" s="58">
        <v>17.0</v>
      </c>
      <c r="O240" s="52" t="str">
        <f t="shared" si="2"/>
        <v>A</v>
      </c>
      <c r="P240" s="52" t="str">
        <f t="shared" si="5"/>
        <v/>
      </c>
      <c r="Q240" s="52">
        <f t="shared" si="4"/>
        <v>0</v>
      </c>
      <c r="R240" s="52" t="b">
        <f t="shared" si="6"/>
        <v>1</v>
      </c>
    </row>
    <row r="241">
      <c r="B241" s="20" t="str">
        <f>IFERROR(__xludf.DUMMYFUNCTION("if(exact($E241, """"), """", iferror(regexextract($F241, ""^(?:- )?([A-Z]+)""), ""?""))"),"R")</f>
        <v>R</v>
      </c>
      <c r="C241" s="57" t="str">
        <f t="shared" si="3"/>
        <v>652CR0603FX1203ELF</v>
      </c>
      <c r="D241" t="str">
        <f>Parts1!H593</f>
        <v>Tides v4.0</v>
      </c>
      <c r="E241" t="str">
        <f>Parts1!I593</f>
        <v>S</v>
      </c>
      <c r="F241" t="str">
        <f>Parts1!J593</f>
        <v>R23, R35, R43</v>
      </c>
      <c r="G241">
        <f>Parts1!K593</f>
        <v>3</v>
      </c>
      <c r="H241" t="str">
        <f>Parts1!L593</f>
        <v>Resistor, 1%</v>
      </c>
      <c r="I241" t="str">
        <f>Parts1!M593</f>
        <v/>
      </c>
      <c r="J241" t="str">
        <f>Parts1!N593</f>
        <v>120k</v>
      </c>
      <c r="K241" s="59" t="str">
        <f>Parts1!O593</f>
        <v>0603</v>
      </c>
      <c r="L241" t="str">
        <f>Parts1!P593</f>
        <v>652-CR0603FX-1203ELF</v>
      </c>
      <c r="M241" s="51" t="str">
        <f>Parts1!Q593</f>
        <v/>
      </c>
      <c r="N241" s="58">
        <v>17.0</v>
      </c>
      <c r="O241" s="52" t="str">
        <f t="shared" si="2"/>
        <v>A</v>
      </c>
      <c r="P241" s="52">
        <f t="shared" si="5"/>
        <v>1</v>
      </c>
      <c r="Q241" s="52">
        <f t="shared" si="4"/>
        <v>0</v>
      </c>
      <c r="R241" s="52" t="b">
        <f t="shared" si="6"/>
        <v>0</v>
      </c>
    </row>
    <row r="242">
      <c r="B242" s="20" t="str">
        <f>IFERROR(__xludf.DUMMYFUNCTION("if(exact($E242, """"), """", iferror(regexextract($F242, ""^(?:- )?([A-Z]+)""), ""?""))"),"R")</f>
        <v>R</v>
      </c>
      <c r="C242" s="57" t="str">
        <f t="shared" si="3"/>
        <v>652CR0603FX2002ELF</v>
      </c>
      <c r="D242" t="str">
        <f>Parts1!H587</f>
        <v>Tides v4.0</v>
      </c>
      <c r="E242" t="str">
        <f>Parts1!I587</f>
        <v>S</v>
      </c>
      <c r="F242" t="str">
        <f>Parts1!J587</f>
        <v>R34</v>
      </c>
      <c r="G242">
        <f>Parts1!K587</f>
        <v>1</v>
      </c>
      <c r="H242" t="str">
        <f>Parts1!L587</f>
        <v>Resistor, 1%</v>
      </c>
      <c r="I242" t="str">
        <f>Parts1!M587</f>
        <v/>
      </c>
      <c r="J242" t="str">
        <f>Parts1!N587</f>
        <v>20k</v>
      </c>
      <c r="K242" s="59" t="str">
        <f>Parts1!O587</f>
        <v>0603</v>
      </c>
      <c r="L242" s="62" t="str">
        <f>Parts1!P587</f>
        <v>652-CR0603FX-2002ELF</v>
      </c>
      <c r="M242" s="51" t="str">
        <f>Parts1!Q587</f>
        <v/>
      </c>
      <c r="N242" s="58">
        <v>17.0</v>
      </c>
      <c r="O242" s="52" t="str">
        <f t="shared" si="2"/>
        <v>A</v>
      </c>
      <c r="P242" s="52">
        <f t="shared" si="5"/>
        <v>1</v>
      </c>
      <c r="Q242" s="52">
        <f t="shared" si="4"/>
        <v>0</v>
      </c>
      <c r="R242" s="52" t="b">
        <f t="shared" si="6"/>
        <v>1</v>
      </c>
    </row>
    <row r="243">
      <c r="B243" s="20" t="str">
        <f>IFERROR(__xludf.DUMMYFUNCTION("if(exact($E243, """"), """", iferror(regexextract($F243, ""^(?:- )?([A-Z]+)""), ""?""))"),"R")</f>
        <v>R</v>
      </c>
      <c r="C243" s="57" t="str">
        <f t="shared" si="3"/>
        <v>652CR0603FX2200ELF</v>
      </c>
      <c r="D243" t="str">
        <f>Parts1!H702</f>
        <v>Yarns v0.3</v>
      </c>
      <c r="E243" t="str">
        <f>Parts1!I702</f>
        <v>S</v>
      </c>
      <c r="F243" s="64" t="str">
        <f>Parts1!J702</f>
        <v>R35</v>
      </c>
      <c r="G243" s="65">
        <f>Parts1!K702</f>
        <v>1</v>
      </c>
      <c r="H243" s="64" t="str">
        <f>Parts1!L702</f>
        <v>Resistor, 1%</v>
      </c>
      <c r="I243" s="64" t="str">
        <f>Parts1!M702</f>
        <v/>
      </c>
      <c r="J243" s="64" t="str">
        <f>Parts1!N702</f>
        <v>220</v>
      </c>
      <c r="K243" s="64" t="str">
        <f>Parts1!O702</f>
        <v>0603</v>
      </c>
      <c r="L243" s="66" t="str">
        <f>Parts1!P702</f>
        <v>652-CR0603FX-2200ELF</v>
      </c>
      <c r="M243" s="67" t="str">
        <f>Parts1!Q702</f>
        <v/>
      </c>
      <c r="N243" s="58">
        <v>19.0</v>
      </c>
      <c r="O243" s="52" t="str">
        <f t="shared" si="2"/>
        <v>A</v>
      </c>
      <c r="P243" s="52">
        <f t="shared" si="5"/>
        <v>1</v>
      </c>
      <c r="Q243" s="52">
        <f t="shared" si="4"/>
        <v>0</v>
      </c>
      <c r="R243" s="52" t="b">
        <f t="shared" si="6"/>
        <v>0</v>
      </c>
    </row>
    <row r="244">
      <c r="B244" s="20" t="str">
        <f>IFERROR(__xludf.DUMMYFUNCTION("if(exact($E244, """"), """", iferror(regexextract($F244, ""^(?:- )?([A-Z]+)""), ""?""))"),"R")</f>
        <v>R</v>
      </c>
      <c r="C244" s="57" t="str">
        <f t="shared" si="3"/>
        <v>652CR0603FX2203ELF</v>
      </c>
      <c r="D244" t="str">
        <f>Parts1!H594</f>
        <v>Tides v4.0</v>
      </c>
      <c r="E244" t="str">
        <f>Parts1!I594</f>
        <v>S</v>
      </c>
      <c r="F244" t="str">
        <f>Parts1!J594</f>
        <v>R21, R25</v>
      </c>
      <c r="G244">
        <f>Parts1!K594</f>
        <v>2</v>
      </c>
      <c r="H244" t="str">
        <f>Parts1!L594</f>
        <v>Resistor, 1%</v>
      </c>
      <c r="I244" t="str">
        <f>Parts1!M594</f>
        <v/>
      </c>
      <c r="J244" s="59" t="str">
        <f>Parts1!N594</f>
        <v>220k</v>
      </c>
      <c r="K244" s="59" t="str">
        <f>Parts1!O594</f>
        <v>0603</v>
      </c>
      <c r="L244" t="str">
        <f>Parts1!P594</f>
        <v>652-CR0603FX-2203ELF</v>
      </c>
      <c r="M244" s="51" t="str">
        <f>Parts1!Q594</f>
        <v/>
      </c>
      <c r="N244" s="58">
        <v>17.0</v>
      </c>
      <c r="O244" s="52" t="str">
        <f t="shared" si="2"/>
        <v>A</v>
      </c>
      <c r="P244" s="52">
        <f t="shared" si="5"/>
        <v>1</v>
      </c>
      <c r="Q244" s="52">
        <f t="shared" si="4"/>
        <v>0</v>
      </c>
      <c r="R244" s="52" t="b">
        <f t="shared" si="6"/>
        <v>1</v>
      </c>
    </row>
    <row r="245">
      <c r="B245" s="20" t="str">
        <f>IFERROR(__xludf.DUMMYFUNCTION("if(exact($E245, """"), """", iferror(regexextract($F245, ""^(?:- )?([A-Z]+)""), ""?""))"),"R")</f>
        <v>R</v>
      </c>
      <c r="C245" s="57" t="str">
        <f t="shared" si="3"/>
        <v>652CR0603FX2403ELF</v>
      </c>
      <c r="D245" t="str">
        <f>Parts1!H233</f>
        <v>Frames v0.3</v>
      </c>
      <c r="E245" t="str">
        <f>Parts1!I233</f>
        <v>S</v>
      </c>
      <c r="F245" t="str">
        <f>Parts1!J233</f>
        <v>R42</v>
      </c>
      <c r="G245">
        <f>Parts1!K233</f>
        <v>1</v>
      </c>
      <c r="H245" t="str">
        <f>Parts1!L233</f>
        <v>Resistor, 1%</v>
      </c>
      <c r="I245" t="str">
        <f>Parts1!M233</f>
        <v/>
      </c>
      <c r="J245" s="59" t="str">
        <f>Parts1!N233</f>
        <v>240k</v>
      </c>
      <c r="K245" s="59" t="str">
        <f>Parts1!O233</f>
        <v>0603</v>
      </c>
      <c r="L245" s="62" t="str">
        <f>Parts1!P233</f>
        <v>652-CR0603FX-2403ELF</v>
      </c>
      <c r="M245" s="51" t="str">
        <f>Parts1!Q233</f>
        <v/>
      </c>
      <c r="N245" s="58">
        <v>6.0</v>
      </c>
      <c r="O245" s="52" t="str">
        <f t="shared" si="2"/>
        <v>A</v>
      </c>
      <c r="P245" s="52">
        <f t="shared" si="5"/>
        <v>1</v>
      </c>
      <c r="Q245" s="52">
        <f t="shared" si="4"/>
        <v>1</v>
      </c>
      <c r="R245" s="52" t="b">
        <f t="shared" si="6"/>
        <v>0</v>
      </c>
    </row>
    <row r="246">
      <c r="B246" s="20" t="str">
        <f>IFERROR(__xludf.DUMMYFUNCTION("if(exact($E246, """"), """", iferror(regexextract($F246, ""^(?:- )?([A-Z]+)""), ""?""))"),"R")</f>
        <v>R</v>
      </c>
      <c r="C246" s="57" t="str">
        <f t="shared" si="3"/>
        <v>652CR0603FX2403ELF</v>
      </c>
      <c r="D246" t="str">
        <f>Parts1!H684</f>
        <v>Yarns v0.3</v>
      </c>
      <c r="E246" t="str">
        <f>Parts1!I684</f>
        <v>S</v>
      </c>
      <c r="F246" s="64" t="str">
        <f>Parts1!J684</f>
        <v>R26, R27, R28, R29</v>
      </c>
      <c r="G246" s="65">
        <f>Parts1!K684</f>
        <v>4</v>
      </c>
      <c r="H246" s="64" t="str">
        <f>Parts1!L684</f>
        <v>Resistor, 1%</v>
      </c>
      <c r="I246" s="64" t="str">
        <f>Parts1!M684</f>
        <v/>
      </c>
      <c r="J246" s="64" t="str">
        <f>Parts1!N684</f>
        <v>240k</v>
      </c>
      <c r="K246" s="64" t="str">
        <f>Parts1!O684</f>
        <v>0603</v>
      </c>
      <c r="L246" s="66" t="str">
        <f>Parts1!P684</f>
        <v>652-CR0603FX-2403ELF</v>
      </c>
      <c r="M246" s="67" t="str">
        <f>Parts1!Q684</f>
        <v/>
      </c>
      <c r="N246" s="58">
        <v>19.0</v>
      </c>
      <c r="O246" s="52" t="str">
        <f t="shared" si="2"/>
        <v>A</v>
      </c>
      <c r="P246" s="52" t="str">
        <f t="shared" si="5"/>
        <v/>
      </c>
      <c r="Q246" s="52">
        <f t="shared" si="4"/>
        <v>0</v>
      </c>
      <c r="R246" s="52" t="b">
        <f t="shared" si="6"/>
        <v>0</v>
      </c>
    </row>
    <row r="247">
      <c r="B247" s="20" t="str">
        <f>IFERROR(__xludf.DUMMYFUNCTION("if(exact($E247, """"), """", iferror(regexextract($F247, ""^(?:- )?([A-Z]+)""), ""?""))"),"R")</f>
        <v>R</v>
      </c>
      <c r="C247" s="57" t="str">
        <f t="shared" si="3"/>
        <v>652CR0603FX2491ELF</v>
      </c>
      <c r="D247" t="str">
        <f>Parts1!H582</f>
        <v>Tides v4.0</v>
      </c>
      <c r="E247" t="str">
        <f>Parts1!I582</f>
        <v>S</v>
      </c>
      <c r="F247" t="str">
        <f>Parts1!J582</f>
        <v>R8</v>
      </c>
      <c r="G247">
        <f>Parts1!K582</f>
        <v>1</v>
      </c>
      <c r="H247" t="str">
        <f>Parts1!L582</f>
        <v>Resistor, 1%</v>
      </c>
      <c r="I247" t="str">
        <f>Parts1!M582</f>
        <v/>
      </c>
      <c r="J247" s="59" t="str">
        <f>Parts1!N582</f>
        <v>2.49k</v>
      </c>
      <c r="K247" s="59" t="str">
        <f>Parts1!O582</f>
        <v>0603</v>
      </c>
      <c r="L247" s="62" t="str">
        <f>Parts1!P582</f>
        <v>652-CR0603FX-2491ELF</v>
      </c>
      <c r="M247" s="51" t="str">
        <f>Parts1!Q582</f>
        <v/>
      </c>
      <c r="N247" s="58">
        <v>17.0</v>
      </c>
      <c r="O247" s="52" t="str">
        <f t="shared" si="2"/>
        <v>A</v>
      </c>
      <c r="P247" s="52">
        <f t="shared" si="5"/>
        <v>1</v>
      </c>
      <c r="Q247" s="52">
        <f t="shared" si="4"/>
        <v>0</v>
      </c>
      <c r="R247" s="52" t="b">
        <f t="shared" si="6"/>
        <v>1</v>
      </c>
    </row>
    <row r="248">
      <c r="B248" s="20" t="str">
        <f>IFERROR(__xludf.DUMMYFUNCTION("if(exact($E248, """"), """", iferror(regexextract($F248, ""^(?:- )?([A-Z]+)""), ""?""))"),"R")</f>
        <v>R</v>
      </c>
      <c r="C248" s="57" t="str">
        <f t="shared" si="3"/>
        <v>652CR0603FX2493ELF</v>
      </c>
      <c r="D248" t="str">
        <f>Parts1!H329</f>
        <v>Peaks v3.1</v>
      </c>
      <c r="E248" t="str">
        <f>Parts1!I329</f>
        <v>S</v>
      </c>
      <c r="F248" t="str">
        <f>Parts1!J329</f>
        <v>R18, R29</v>
      </c>
      <c r="G248">
        <f>Parts1!K329</f>
        <v>2</v>
      </c>
      <c r="H248" t="str">
        <f>Parts1!L329</f>
        <v>Resistor, 1%</v>
      </c>
      <c r="I248" t="str">
        <f>Parts1!M329</f>
        <v/>
      </c>
      <c r="J248" s="59" t="str">
        <f>Parts1!N329</f>
        <v>249k</v>
      </c>
      <c r="K248" t="str">
        <f>Parts1!O329</f>
        <v>0603</v>
      </c>
      <c r="L248" t="str">
        <f>Parts1!P329</f>
        <v>652-CR0603FX-2493ELF</v>
      </c>
      <c r="M248" s="51" t="str">
        <f>Parts1!Q329</f>
        <v/>
      </c>
      <c r="N248" s="58">
        <v>9.0</v>
      </c>
      <c r="O248" s="52" t="str">
        <f t="shared" si="2"/>
        <v>A</v>
      </c>
      <c r="P248" s="52">
        <f t="shared" si="5"/>
        <v>1</v>
      </c>
      <c r="Q248" s="52">
        <f t="shared" si="4"/>
        <v>0</v>
      </c>
      <c r="R248" s="52" t="b">
        <f t="shared" si="6"/>
        <v>0</v>
      </c>
    </row>
    <row r="249">
      <c r="B249" s="20" t="str">
        <f>IFERROR(__xludf.DUMMYFUNCTION("if(exact($E249, """"), """", iferror(regexextract($F249, ""^(?:- )?([A-Z]+)""), ""?""))"),"R")</f>
        <v>R</v>
      </c>
      <c r="C249" s="57" t="str">
        <f t="shared" si="3"/>
        <v>652CR0603FX2700ELF</v>
      </c>
      <c r="D249" t="str">
        <f>Parts1!H581</f>
        <v>Tides v4.0</v>
      </c>
      <c r="E249" t="str">
        <f>Parts1!I581</f>
        <v>S</v>
      </c>
      <c r="F249" t="str">
        <f>Parts1!J581</f>
        <v>R27</v>
      </c>
      <c r="G249">
        <f>Parts1!K581</f>
        <v>1</v>
      </c>
      <c r="H249" t="str">
        <f>Parts1!L581</f>
        <v>Resistor, 1%</v>
      </c>
      <c r="I249" t="str">
        <f>Parts1!M581</f>
        <v/>
      </c>
      <c r="J249">
        <f>Parts1!N581</f>
        <v>270</v>
      </c>
      <c r="K249" s="59" t="str">
        <f>Parts1!O581</f>
        <v>0603</v>
      </c>
      <c r="L249" s="62" t="str">
        <f>Parts1!P581</f>
        <v>652-CR0603FX-2700ELF</v>
      </c>
      <c r="M249" s="51" t="str">
        <f>Parts1!Q581</f>
        <v/>
      </c>
      <c r="N249" s="58">
        <v>17.0</v>
      </c>
      <c r="O249" s="52" t="str">
        <f t="shared" si="2"/>
        <v>A</v>
      </c>
      <c r="P249" s="52">
        <f t="shared" si="5"/>
        <v>1</v>
      </c>
      <c r="Q249" s="52">
        <f t="shared" si="4"/>
        <v>0</v>
      </c>
      <c r="R249" s="52" t="b">
        <f t="shared" si="6"/>
        <v>1</v>
      </c>
    </row>
    <row r="250">
      <c r="B250" s="20" t="str">
        <f>IFERROR(__xludf.DUMMYFUNCTION("if(exact($E250, """"), """", iferror(regexextract($F250, ""^(?:- )?([A-Z]+)""), ""?""))"),"R")</f>
        <v>R</v>
      </c>
      <c r="C250" s="57" t="str">
        <f t="shared" si="3"/>
        <v>652CR0603FX2702ELF</v>
      </c>
      <c r="D250" t="str">
        <f>Parts1!H588</f>
        <v>Tides v4.0</v>
      </c>
      <c r="E250" t="str">
        <f>Parts1!I588</f>
        <v>S</v>
      </c>
      <c r="F250" t="str">
        <f>Parts1!J588</f>
        <v>R37</v>
      </c>
      <c r="G250">
        <f>Parts1!K588</f>
        <v>1</v>
      </c>
      <c r="H250" t="str">
        <f>Parts1!L588</f>
        <v>Resistor, 1%</v>
      </c>
      <c r="I250" t="str">
        <f>Parts1!M588</f>
        <v/>
      </c>
      <c r="J250" t="str">
        <f>Parts1!N588</f>
        <v>27k</v>
      </c>
      <c r="K250" s="59" t="str">
        <f>Parts1!O588</f>
        <v>0603</v>
      </c>
      <c r="L250" t="str">
        <f>Parts1!P588</f>
        <v>652-CR0603FX-2702ELF</v>
      </c>
      <c r="M250" s="51" t="str">
        <f>Parts1!Q588</f>
        <v/>
      </c>
      <c r="N250" s="58">
        <v>17.0</v>
      </c>
      <c r="O250" s="52" t="str">
        <f t="shared" si="2"/>
        <v>A</v>
      </c>
      <c r="P250" s="52">
        <f t="shared" si="5"/>
        <v>1</v>
      </c>
      <c r="Q250" s="52">
        <f t="shared" si="4"/>
        <v>0</v>
      </c>
      <c r="R250" s="52" t="b">
        <f t="shared" si="6"/>
        <v>0</v>
      </c>
    </row>
    <row r="251">
      <c r="B251" s="20" t="str">
        <f>IFERROR(__xludf.DUMMYFUNCTION("if(exact($E251, """"), """", iferror(regexextract($F251, ""^(?:- )?([A-Z]+)""), ""?""))"),"R")</f>
        <v>R</v>
      </c>
      <c r="C251" s="57" t="str">
        <f t="shared" si="3"/>
        <v>652CR0603FX3002ELF</v>
      </c>
      <c r="D251" t="str">
        <f>Parts1!H589</f>
        <v>Tides v4.0</v>
      </c>
      <c r="E251" t="str">
        <f>Parts1!I589</f>
        <v>S</v>
      </c>
      <c r="F251" t="str">
        <f>Parts1!J589</f>
        <v>R20</v>
      </c>
      <c r="G251">
        <f>Parts1!K589</f>
        <v>1</v>
      </c>
      <c r="H251" t="str">
        <f>Parts1!L589</f>
        <v>Resistor, 1%</v>
      </c>
      <c r="I251" t="str">
        <f>Parts1!M589</f>
        <v/>
      </c>
      <c r="J251" t="str">
        <f>Parts1!N589</f>
        <v>30k</v>
      </c>
      <c r="K251" s="59" t="str">
        <f>Parts1!O589</f>
        <v>0603</v>
      </c>
      <c r="L251" t="str">
        <f>Parts1!P589</f>
        <v>652-CR0603FX-3002ELF</v>
      </c>
      <c r="M251" s="51" t="str">
        <f>Parts1!Q589</f>
        <v/>
      </c>
      <c r="N251" s="58">
        <v>17.0</v>
      </c>
      <c r="O251" s="52" t="str">
        <f t="shared" si="2"/>
        <v>A</v>
      </c>
      <c r="P251" s="52">
        <f t="shared" si="5"/>
        <v>1</v>
      </c>
      <c r="Q251" s="52">
        <f t="shared" si="4"/>
        <v>0</v>
      </c>
      <c r="R251" s="52" t="b">
        <f t="shared" si="6"/>
        <v>1</v>
      </c>
    </row>
    <row r="252">
      <c r="B252" s="20" t="str">
        <f>IFERROR(__xludf.DUMMYFUNCTION("if(exact($E252, """"), """", iferror(regexextract($F252, ""^(?:- )?([A-Z]+)""), ""?""))"),"R")</f>
        <v>R</v>
      </c>
      <c r="C252" s="57" t="str">
        <f t="shared" si="3"/>
        <v>652CR0603FX3301ELF</v>
      </c>
      <c r="D252" t="str">
        <f>Parts1!H227</f>
        <v>Frames v0.3</v>
      </c>
      <c r="E252" t="str">
        <f>Parts1!I227</f>
        <v>S</v>
      </c>
      <c r="F252" t="str">
        <f>Parts1!J227</f>
        <v>R24</v>
      </c>
      <c r="G252">
        <f>Parts1!K227</f>
        <v>1</v>
      </c>
      <c r="H252" t="str">
        <f>Parts1!L227</f>
        <v>Resistor, 1%</v>
      </c>
      <c r="I252" t="str">
        <f>Parts1!M227</f>
        <v/>
      </c>
      <c r="J252" t="str">
        <f>Parts1!N227</f>
        <v>3.3k</v>
      </c>
      <c r="K252" s="59" t="str">
        <f>Parts1!O227</f>
        <v>0603</v>
      </c>
      <c r="L252" s="62" t="str">
        <f>Parts1!P227</f>
        <v>652-CR0603-FX3301ELF</v>
      </c>
      <c r="M252" s="51" t="str">
        <f>Parts1!Q227</f>
        <v/>
      </c>
      <c r="N252" s="58">
        <v>6.0</v>
      </c>
      <c r="O252" s="52" t="str">
        <f t="shared" si="2"/>
        <v>A</v>
      </c>
      <c r="P252" s="52">
        <f t="shared" si="5"/>
        <v>1</v>
      </c>
      <c r="Q252" s="52">
        <f t="shared" si="4"/>
        <v>2</v>
      </c>
      <c r="R252" s="52" t="b">
        <f t="shared" si="6"/>
        <v>0</v>
      </c>
    </row>
    <row r="253">
      <c r="B253" s="20" t="str">
        <f>IFERROR(__xludf.DUMMYFUNCTION("if(exact($E253, """"), """", iferror(regexextract($F253, ""^(?:- )?([A-Z]+)""), ""?""))"),"R")</f>
        <v>R</v>
      </c>
      <c r="C253" s="57" t="str">
        <f t="shared" si="3"/>
        <v>652CR0603FX3301ELF</v>
      </c>
      <c r="D253" t="str">
        <f>Parts1!H325</f>
        <v>Peaks v3.1</v>
      </c>
      <c r="E253" t="str">
        <f>Parts1!I325</f>
        <v>S</v>
      </c>
      <c r="F253" t="str">
        <f>Parts1!J325</f>
        <v>R9, R25</v>
      </c>
      <c r="G253">
        <f>Parts1!K325</f>
        <v>2</v>
      </c>
      <c r="H253" t="str">
        <f>Parts1!L325</f>
        <v>Resistor, 1%</v>
      </c>
      <c r="I253" t="str">
        <f>Parts1!M325</f>
        <v/>
      </c>
      <c r="J253" t="str">
        <f>Parts1!N325</f>
        <v>3.3k</v>
      </c>
      <c r="K253" t="str">
        <f>Parts1!O325</f>
        <v>0603</v>
      </c>
      <c r="L253" s="62" t="str">
        <f>Parts1!P325</f>
        <v>652-CR0603-FX3301ELF</v>
      </c>
      <c r="M253" s="51" t="str">
        <f>Parts1!Q325</f>
        <v/>
      </c>
      <c r="N253" s="58">
        <v>9.0</v>
      </c>
      <c r="O253" s="52" t="str">
        <f t="shared" si="2"/>
        <v>A</v>
      </c>
      <c r="P253" s="52" t="str">
        <f t="shared" si="5"/>
        <v/>
      </c>
      <c r="Q253" s="52">
        <f t="shared" si="4"/>
        <v>1</v>
      </c>
      <c r="R253" s="52" t="b">
        <f t="shared" si="6"/>
        <v>0</v>
      </c>
    </row>
    <row r="254">
      <c r="B254" s="20" t="str">
        <f>IFERROR(__xludf.DUMMYFUNCTION("if(exact($E254, """"), """", iferror(regexextract($F254, ""^(?:- )?([A-Z]+)""), ""?""))"),"R")</f>
        <v>R</v>
      </c>
      <c r="C254" s="57" t="str">
        <f t="shared" si="3"/>
        <v>652CR0603FX3301ELF</v>
      </c>
      <c r="D254" t="str">
        <f>Parts1!H584</f>
        <v>Tides v4.0</v>
      </c>
      <c r="E254" t="str">
        <f>Parts1!I584</f>
        <v>S</v>
      </c>
      <c r="F254" t="str">
        <f>Parts1!J584</f>
        <v>R12, R50, R52</v>
      </c>
      <c r="G254">
        <f>Parts1!K584</f>
        <v>3</v>
      </c>
      <c r="H254" t="str">
        <f>Parts1!L584</f>
        <v>Resistor, 1%</v>
      </c>
      <c r="I254" t="str">
        <f>Parts1!M584</f>
        <v/>
      </c>
      <c r="J254" t="str">
        <f>Parts1!N584</f>
        <v>3.3k</v>
      </c>
      <c r="K254" s="59" t="str">
        <f>Parts1!O584</f>
        <v>0603</v>
      </c>
      <c r="L254" s="62" t="str">
        <f>Parts1!P584</f>
        <v>652-CR0603-FX3301ELF</v>
      </c>
      <c r="M254" s="51" t="str">
        <f>Parts1!Q584</f>
        <v/>
      </c>
      <c r="N254" s="58">
        <v>17.0</v>
      </c>
      <c r="O254" s="52" t="str">
        <f t="shared" si="2"/>
        <v>A</v>
      </c>
      <c r="P254" s="52" t="str">
        <f t="shared" si="5"/>
        <v/>
      </c>
      <c r="Q254" s="52">
        <f t="shared" si="4"/>
        <v>0</v>
      </c>
      <c r="R254" s="52" t="b">
        <f t="shared" si="6"/>
        <v>0</v>
      </c>
    </row>
    <row r="255">
      <c r="B255" s="20" t="str">
        <f>IFERROR(__xludf.DUMMYFUNCTION("if(exact($E255, """"), """", iferror(regexextract($F255, ""^(?:- )?([A-Z]+)""), ""?""))"),"R")</f>
        <v>R</v>
      </c>
      <c r="C255" s="57" t="str">
        <f t="shared" si="3"/>
        <v>652CR0603FX3302ELF</v>
      </c>
      <c r="D255" t="str">
        <f>Parts1!H230</f>
        <v>Frames v0.3</v>
      </c>
      <c r="E255" t="str">
        <f>Parts1!I230</f>
        <v>S</v>
      </c>
      <c r="F255" t="str">
        <f>Parts1!J230</f>
        <v>R40</v>
      </c>
      <c r="G255">
        <f>Parts1!K230</f>
        <v>1</v>
      </c>
      <c r="H255" t="str">
        <f>Parts1!L230</f>
        <v>Resistor, 1%</v>
      </c>
      <c r="I255" t="str">
        <f>Parts1!M230</f>
        <v/>
      </c>
      <c r="J255" s="59" t="str">
        <f>Parts1!N230</f>
        <v>33k</v>
      </c>
      <c r="K255" s="59" t="str">
        <f>Parts1!O230</f>
        <v>0603</v>
      </c>
      <c r="L255" t="str">
        <f>Parts1!P230</f>
        <v>652-CR0603FX-3302ELF</v>
      </c>
      <c r="M255" s="51" t="str">
        <f>Parts1!Q230</f>
        <v/>
      </c>
      <c r="N255" s="58">
        <v>6.0</v>
      </c>
      <c r="O255" s="52" t="str">
        <f t="shared" si="2"/>
        <v>A</v>
      </c>
      <c r="P255" s="52">
        <f t="shared" si="5"/>
        <v>1</v>
      </c>
      <c r="Q255" s="52">
        <f t="shared" si="4"/>
        <v>1</v>
      </c>
      <c r="R255" s="52" t="b">
        <f t="shared" si="6"/>
        <v>1</v>
      </c>
    </row>
    <row r="256">
      <c r="B256" s="20" t="str">
        <f>IFERROR(__xludf.DUMMYFUNCTION("if(exact($E256, """"), """", iferror(regexextract($F256, ""^(?:- )?([A-Z]+)""), ""?""))"),"R")</f>
        <v>R</v>
      </c>
      <c r="C256" s="57" t="str">
        <f t="shared" si="3"/>
        <v>652CR0603FX3302ELF</v>
      </c>
      <c r="D256" t="str">
        <f>Parts1!H590</f>
        <v>Tides v4.0</v>
      </c>
      <c r="E256" t="str">
        <f>Parts1!I590</f>
        <v>S</v>
      </c>
      <c r="F256" t="str">
        <f>Parts1!J590</f>
        <v>R13, R15, R28, R33, R40</v>
      </c>
      <c r="G256">
        <f>Parts1!K590</f>
        <v>5</v>
      </c>
      <c r="H256" t="str">
        <f>Parts1!L590</f>
        <v>Resistor, 1%</v>
      </c>
      <c r="I256" t="str">
        <f>Parts1!M590</f>
        <v/>
      </c>
      <c r="J256" s="59" t="str">
        <f>Parts1!N590</f>
        <v>33k</v>
      </c>
      <c r="K256" s="59" t="str">
        <f>Parts1!O590</f>
        <v>0603</v>
      </c>
      <c r="L256" t="str">
        <f>Parts1!P590</f>
        <v>652-CR0603FX-3302ELF</v>
      </c>
      <c r="M256" s="51" t="str">
        <f>Parts1!Q590</f>
        <v/>
      </c>
      <c r="N256" s="58">
        <v>17.0</v>
      </c>
      <c r="O256" s="52" t="str">
        <f t="shared" si="2"/>
        <v>A</v>
      </c>
      <c r="P256" s="52" t="str">
        <f t="shared" si="5"/>
        <v/>
      </c>
      <c r="Q256" s="52">
        <f t="shared" si="4"/>
        <v>0</v>
      </c>
      <c r="R256" s="52" t="b">
        <f t="shared" si="6"/>
        <v>1</v>
      </c>
    </row>
    <row r="257">
      <c r="B257" s="20" t="str">
        <f>IFERROR(__xludf.DUMMYFUNCTION("if(exact($E257, """"), """", iferror(regexextract($F257, ""^(?:- )?([A-Z]+)""), ""?""))"),"R")</f>
        <v>R</v>
      </c>
      <c r="C257" s="57" t="str">
        <f t="shared" si="3"/>
        <v>652CR0603FX33R0ELF</v>
      </c>
      <c r="D257" t="str">
        <f>Parts1!H322</f>
        <v>Peaks v3.1</v>
      </c>
      <c r="E257" t="str">
        <f>Parts1!I322</f>
        <v>S</v>
      </c>
      <c r="F257" t="str">
        <f>Parts1!J322</f>
        <v>R10, R23</v>
      </c>
      <c r="G257">
        <f>Parts1!K322</f>
        <v>2</v>
      </c>
      <c r="H257" t="str">
        <f>Parts1!L322</f>
        <v>Resistor, 1%</v>
      </c>
      <c r="I257" t="str">
        <f>Parts1!M322</f>
        <v/>
      </c>
      <c r="J257">
        <f>Parts1!N322</f>
        <v>33</v>
      </c>
      <c r="K257" t="str">
        <f>Parts1!O322</f>
        <v>0603</v>
      </c>
      <c r="L257" s="62" t="str">
        <f>Parts1!P322</f>
        <v>652-CR0603FX-33R0ELF</v>
      </c>
      <c r="M257" s="51" t="str">
        <f>Parts1!Q322</f>
        <v/>
      </c>
      <c r="N257" s="58">
        <v>9.0</v>
      </c>
      <c r="O257" s="52" t="str">
        <f t="shared" si="2"/>
        <v>A</v>
      </c>
      <c r="P257" s="52">
        <f t="shared" si="5"/>
        <v>1</v>
      </c>
      <c r="Q257" s="52">
        <f t="shared" si="4"/>
        <v>0</v>
      </c>
      <c r="R257" s="52" t="b">
        <f t="shared" si="6"/>
        <v>0</v>
      </c>
    </row>
    <row r="258">
      <c r="B258" s="20" t="str">
        <f>IFERROR(__xludf.DUMMYFUNCTION("if(exact($E258, """"), """", iferror(regexextract($F258, ""^(?:- )?([A-Z]+)""), ""?""))"),"R")</f>
        <v>R</v>
      </c>
      <c r="C258" s="57" t="str">
        <f t="shared" si="3"/>
        <v>652CR0603FX3902ELF</v>
      </c>
      <c r="D258" t="str">
        <f>Parts1!H327</f>
        <v>Peaks v3.1</v>
      </c>
      <c r="E258" t="str">
        <f>Parts1!I327</f>
        <v>S</v>
      </c>
      <c r="F258" t="str">
        <f>Parts1!J327</f>
        <v>R12, R14, R17, R22, R24, R26</v>
      </c>
      <c r="G258">
        <f>Parts1!K327</f>
        <v>6</v>
      </c>
      <c r="H258" t="str">
        <f>Parts1!L327</f>
        <v>Resistor, 1%</v>
      </c>
      <c r="I258" t="str">
        <f>Parts1!M327</f>
        <v/>
      </c>
      <c r="J258" t="str">
        <f>Parts1!N327</f>
        <v>39k</v>
      </c>
      <c r="K258" t="str">
        <f>Parts1!O327</f>
        <v>0603</v>
      </c>
      <c r="L258" t="str">
        <f>Parts1!P327</f>
        <v>652-CR0603FX-3902ELF</v>
      </c>
      <c r="M258" s="51" t="str">
        <f>Parts1!Q327</f>
        <v/>
      </c>
      <c r="N258" s="58">
        <v>9.0</v>
      </c>
      <c r="O258" s="52" t="str">
        <f t="shared" si="2"/>
        <v>A</v>
      </c>
      <c r="P258" s="52">
        <f t="shared" si="5"/>
        <v>1</v>
      </c>
      <c r="Q258" s="52">
        <f t="shared" si="4"/>
        <v>1</v>
      </c>
      <c r="R258" s="52" t="b">
        <f t="shared" si="6"/>
        <v>1</v>
      </c>
    </row>
    <row r="259">
      <c r="B259" s="20" t="str">
        <f>IFERROR(__xludf.DUMMYFUNCTION("if(exact($E259, """"), """", iferror(regexextract($F259, ""^(?:- )?([A-Z]+)""), ""?""))"),"R")</f>
        <v>R</v>
      </c>
      <c r="C259" s="57" t="str">
        <f t="shared" si="3"/>
        <v>652CR0603FX3902ELF</v>
      </c>
      <c r="D259" t="str">
        <f>Parts1!H591</f>
        <v>Tides v4.0</v>
      </c>
      <c r="E259" t="str">
        <f>Parts1!I591</f>
        <v>S</v>
      </c>
      <c r="F259" t="str">
        <f>Parts1!J591</f>
        <v>R45</v>
      </c>
      <c r="G259">
        <f>Parts1!K591</f>
        <v>1</v>
      </c>
      <c r="H259" t="str">
        <f>Parts1!L591</f>
        <v>Resistor, 1%</v>
      </c>
      <c r="I259" t="str">
        <f>Parts1!M591</f>
        <v/>
      </c>
      <c r="J259" t="str">
        <f>Parts1!N591</f>
        <v>39k</v>
      </c>
      <c r="K259" s="59" t="str">
        <f>Parts1!O591</f>
        <v>0603</v>
      </c>
      <c r="L259" t="str">
        <f>Parts1!P591</f>
        <v>652-CR0603FX-3902ELF</v>
      </c>
      <c r="M259" s="51" t="str">
        <f>Parts1!Q591</f>
        <v/>
      </c>
      <c r="N259" s="58">
        <v>17.0</v>
      </c>
      <c r="O259" s="52" t="str">
        <f t="shared" si="2"/>
        <v>A</v>
      </c>
      <c r="P259" s="52" t="str">
        <f t="shared" si="5"/>
        <v/>
      </c>
      <c r="Q259" s="52">
        <f t="shared" si="4"/>
        <v>0</v>
      </c>
      <c r="R259" s="52" t="b">
        <f t="shared" si="6"/>
        <v>1</v>
      </c>
    </row>
    <row r="260">
      <c r="B260" s="20" t="str">
        <f>IFERROR(__xludf.DUMMYFUNCTION("if(exact($E260, """"), """", iferror(regexextract($F260, ""^(?:- )?([A-Z]+)""), ""?""))"),"R")</f>
        <v>R</v>
      </c>
      <c r="C260" s="57" t="str">
        <f t="shared" si="3"/>
        <v>652CR0603FX4701ELF</v>
      </c>
      <c r="D260" t="str">
        <f>Parts1!H228</f>
        <v>Frames v0.3</v>
      </c>
      <c r="E260" t="str">
        <f>Parts1!I228</f>
        <v>S</v>
      </c>
      <c r="F260" t="str">
        <f>Parts1!J228</f>
        <v>R25, R26</v>
      </c>
      <c r="G260">
        <f>Parts1!K228</f>
        <v>2</v>
      </c>
      <c r="H260" t="str">
        <f>Parts1!L228</f>
        <v>Resistor, 1%</v>
      </c>
      <c r="I260" t="str">
        <f>Parts1!M228</f>
        <v/>
      </c>
      <c r="J260" t="str">
        <f>Parts1!N228</f>
        <v>4.7k</v>
      </c>
      <c r="K260" s="59" t="str">
        <f>Parts1!O228</f>
        <v>0603</v>
      </c>
      <c r="L260" s="62" t="str">
        <f>Parts1!P228</f>
        <v>652-CR0603FX-4701ELF</v>
      </c>
      <c r="M260" s="51" t="str">
        <f>Parts1!Q228</f>
        <v/>
      </c>
      <c r="N260" s="58">
        <v>6.0</v>
      </c>
      <c r="O260" s="52" t="str">
        <f t="shared" si="2"/>
        <v>A</v>
      </c>
      <c r="P260" s="52">
        <f t="shared" si="5"/>
        <v>1</v>
      </c>
      <c r="Q260" s="52">
        <f t="shared" si="4"/>
        <v>1</v>
      </c>
      <c r="R260" s="52" t="b">
        <f t="shared" si="6"/>
        <v>0</v>
      </c>
    </row>
    <row r="261">
      <c r="B261" s="20" t="str">
        <f>IFERROR(__xludf.DUMMYFUNCTION("if(exact($E261, """"), """", iferror(regexextract($F261, ""^(?:- )?([A-Z]+)""), ""?""))"),"R")</f>
        <v>R</v>
      </c>
      <c r="C261" s="57" t="str">
        <f t="shared" si="3"/>
        <v>652CR0603FX4701ELF</v>
      </c>
      <c r="D261" t="str">
        <f>Parts1!H585</f>
        <v>Tides v4.0</v>
      </c>
      <c r="E261" t="str">
        <f>Parts1!I585</f>
        <v>S</v>
      </c>
      <c r="F261" t="str">
        <f>Parts1!J585</f>
        <v>R51, R53</v>
      </c>
      <c r="G261">
        <f>Parts1!K585</f>
        <v>2</v>
      </c>
      <c r="H261" t="str">
        <f>Parts1!L585</f>
        <v>Resistor, 1%</v>
      </c>
      <c r="I261" t="str">
        <f>Parts1!M585</f>
        <v/>
      </c>
      <c r="J261" t="str">
        <f>Parts1!N585</f>
        <v>4.7k</v>
      </c>
      <c r="K261" s="59" t="str">
        <f>Parts1!O585</f>
        <v>0603</v>
      </c>
      <c r="L261" s="62" t="str">
        <f>Parts1!P585</f>
        <v>652-CR0603FX-4701ELF</v>
      </c>
      <c r="M261" s="51" t="str">
        <f>Parts1!Q585</f>
        <v/>
      </c>
      <c r="N261" s="58">
        <v>17.0</v>
      </c>
      <c r="O261" s="52" t="str">
        <f t="shared" si="2"/>
        <v>A</v>
      </c>
      <c r="P261" s="52" t="str">
        <f t="shared" si="5"/>
        <v/>
      </c>
      <c r="Q261" s="52">
        <f t="shared" si="4"/>
        <v>0</v>
      </c>
      <c r="R261" s="52" t="b">
        <f t="shared" si="6"/>
        <v>0</v>
      </c>
    </row>
    <row r="262">
      <c r="B262" s="20" t="str">
        <f>IFERROR(__xludf.DUMMYFUNCTION("if(exact($E262, """"), """", iferror(regexextract($F262, ""^(?:- )?([A-Z]+)""), ""?""))"),"R")</f>
        <v>R</v>
      </c>
      <c r="C262" s="57" t="str">
        <f t="shared" si="3"/>
        <v>652CR0603FX4702ELF</v>
      </c>
      <c r="D262" t="str">
        <f>Parts1!H683</f>
        <v>Yarns v0.3</v>
      </c>
      <c r="E262" t="str">
        <f>Parts1!I683</f>
        <v>S</v>
      </c>
      <c r="F262" s="64" t="str">
        <f>Parts1!J683</f>
        <v>R18, R19, R20, R21, R22, R23</v>
      </c>
      <c r="G262" s="65">
        <f>Parts1!K683</f>
        <v>6</v>
      </c>
      <c r="H262" s="64" t="str">
        <f>Parts1!L683</f>
        <v>Resistor, 1%</v>
      </c>
      <c r="I262" s="64" t="str">
        <f>Parts1!M683</f>
        <v/>
      </c>
      <c r="J262" s="64" t="str">
        <f>Parts1!N683</f>
        <v>47k</v>
      </c>
      <c r="K262" s="64" t="str">
        <f>Parts1!O683</f>
        <v>0603</v>
      </c>
      <c r="L262" s="66" t="str">
        <f>Parts1!P683</f>
        <v>652-CR0603FX-4702ELF</v>
      </c>
      <c r="M262" s="67" t="str">
        <f>Parts1!Q683</f>
        <v/>
      </c>
      <c r="N262" s="58">
        <v>19.0</v>
      </c>
      <c r="O262" s="52" t="str">
        <f t="shared" si="2"/>
        <v>A</v>
      </c>
      <c r="P262" s="52">
        <f t="shared" si="5"/>
        <v>1</v>
      </c>
      <c r="Q262" s="52">
        <f t="shared" si="4"/>
        <v>0</v>
      </c>
      <c r="R262" s="52" t="b">
        <f t="shared" si="6"/>
        <v>1</v>
      </c>
    </row>
    <row r="263">
      <c r="B263" s="20" t="str">
        <f>IFERROR(__xludf.DUMMYFUNCTION("if(exact($E263, """"), """", iferror(regexextract($F263, ""^(?:- )?([A-Z]+)""), ""?""))"),"R")</f>
        <v>R</v>
      </c>
      <c r="C263" s="57" t="str">
        <f t="shared" si="3"/>
        <v>652CR0603FX4992ELF</v>
      </c>
      <c r="D263" t="str">
        <f>Parts1!H231</f>
        <v>Frames v0.3</v>
      </c>
      <c r="E263" t="str">
        <f>Parts1!I231</f>
        <v>S</v>
      </c>
      <c r="F263" t="str">
        <f>Parts1!J231</f>
        <v>R43</v>
      </c>
      <c r="G263">
        <f>Parts1!K231</f>
        <v>1</v>
      </c>
      <c r="H263" t="str">
        <f>Parts1!L231</f>
        <v>Resistor, 1%</v>
      </c>
      <c r="I263" t="str">
        <f>Parts1!M231</f>
        <v/>
      </c>
      <c r="J263" s="59" t="str">
        <f>Parts1!N231</f>
        <v>49.9k</v>
      </c>
      <c r="K263" s="59" t="str">
        <f>Parts1!O231</f>
        <v>0603</v>
      </c>
      <c r="L263" s="62" t="str">
        <f>Parts1!P231</f>
        <v>652-CR0603FX-4992ELF</v>
      </c>
      <c r="M263" s="51" t="str">
        <f>Parts1!Q231</f>
        <v/>
      </c>
      <c r="N263" s="58">
        <v>6.0</v>
      </c>
      <c r="O263" s="52" t="str">
        <f t="shared" si="2"/>
        <v>A</v>
      </c>
      <c r="P263" s="52">
        <f t="shared" si="5"/>
        <v>1</v>
      </c>
      <c r="Q263" s="52">
        <f t="shared" si="4"/>
        <v>0</v>
      </c>
      <c r="R263" s="52" t="b">
        <f t="shared" si="6"/>
        <v>0</v>
      </c>
    </row>
    <row r="264">
      <c r="B264" s="20" t="str">
        <f>IFERROR(__xludf.DUMMYFUNCTION("if(exact($E264, """"), """", iferror(regexextract($F264, ""^(?:- )?([A-Z]+)""), ""?""))"),"R")</f>
        <v>R</v>
      </c>
      <c r="C264" s="57" t="str">
        <f t="shared" si="3"/>
        <v>652CR0603FX5100ELF</v>
      </c>
      <c r="D264" t="str">
        <f>Parts1!H225</f>
        <v>Frames v0.3</v>
      </c>
      <c r="E264" t="str">
        <f>Parts1!I225</f>
        <v>S</v>
      </c>
      <c r="F264" t="str">
        <f>Parts1!J225</f>
        <v>R17, R34, R35, R55, R56</v>
      </c>
      <c r="G264">
        <f>Parts1!K225</f>
        <v>5</v>
      </c>
      <c r="H264" t="str">
        <f>Parts1!L225</f>
        <v>Resistor, 1%</v>
      </c>
      <c r="I264" t="str">
        <f>Parts1!M225</f>
        <v/>
      </c>
      <c r="J264" s="59" t="str">
        <f>Parts1!N225</f>
        <v>510</v>
      </c>
      <c r="K264" s="59" t="str">
        <f>Parts1!O225</f>
        <v>0603</v>
      </c>
      <c r="L264" t="str">
        <f>Parts1!P225</f>
        <v>652-CR0603FX-5100ELF</v>
      </c>
      <c r="M264" s="51" t="str">
        <f>Parts1!Q225</f>
        <v/>
      </c>
      <c r="N264" s="58">
        <v>6.0</v>
      </c>
      <c r="O264" s="52" t="str">
        <f t="shared" si="2"/>
        <v>A</v>
      </c>
      <c r="P264" s="52">
        <f t="shared" si="5"/>
        <v>1</v>
      </c>
      <c r="Q264" s="52">
        <f t="shared" si="4"/>
        <v>0</v>
      </c>
      <c r="R264" s="52" t="b">
        <f t="shared" si="6"/>
        <v>1</v>
      </c>
    </row>
    <row r="265">
      <c r="B265" s="20" t="str">
        <f>IFERROR(__xludf.DUMMYFUNCTION("if(exact($E265, """"), """", iferror(regexextract($F265, ""^(?:- )?([A-Z]+)""), ""?""))"),"R")</f>
        <v>R</v>
      </c>
      <c r="C265" s="57" t="str">
        <f t="shared" si="3"/>
        <v>652CR0603FX51R0ELF</v>
      </c>
      <c r="D265" t="str">
        <f>Parts1!H679</f>
        <v>Yarns v0.3</v>
      </c>
      <c r="E265" t="str">
        <f>Parts1!I679</f>
        <v>S</v>
      </c>
      <c r="F265" s="64" t="str">
        <f>Parts1!J679</f>
        <v>R39, R40</v>
      </c>
      <c r="G265" s="65">
        <f>Parts1!K679</f>
        <v>2</v>
      </c>
      <c r="H265" s="64" t="str">
        <f>Parts1!L679</f>
        <v>Resistor, 1%</v>
      </c>
      <c r="I265" s="64" t="str">
        <f>Parts1!M679</f>
        <v/>
      </c>
      <c r="J265" s="64" t="str">
        <f>Parts1!N679</f>
        <v>51</v>
      </c>
      <c r="K265" s="64" t="str">
        <f>Parts1!O679</f>
        <v>0603</v>
      </c>
      <c r="L265" s="66" t="str">
        <f>Parts1!P679</f>
        <v>652-CR0603FX-51R0ELF</v>
      </c>
      <c r="M265" s="67" t="str">
        <f>Parts1!Q679</f>
        <v/>
      </c>
      <c r="N265" s="58">
        <v>19.0</v>
      </c>
      <c r="O265" s="52" t="str">
        <f t="shared" si="2"/>
        <v>A</v>
      </c>
      <c r="P265" s="52">
        <f t="shared" si="5"/>
        <v>1</v>
      </c>
      <c r="Q265" s="52">
        <f t="shared" si="4"/>
        <v>0</v>
      </c>
      <c r="R265" s="52" t="b">
        <f t="shared" si="6"/>
        <v>0</v>
      </c>
    </row>
    <row r="266">
      <c r="B266" s="20" t="str">
        <f>IFERROR(__xludf.DUMMYFUNCTION("if(exact($E266, """"), """", iferror(regexextract($F266, ""^(?:- )?([A-Z]+)""), ""?""))"),"R")</f>
        <v>R</v>
      </c>
      <c r="C266" s="57" t="str">
        <f t="shared" si="3"/>
        <v>652CR0603FX8202ELF</v>
      </c>
      <c r="D266" t="str">
        <f>Parts1!H139</f>
        <v>Edges v2.0</v>
      </c>
      <c r="E266" t="str">
        <f>Parts1!I139</f>
        <v>S</v>
      </c>
      <c r="F266" t="str">
        <f>Parts1!J139</f>
        <v>R54</v>
      </c>
      <c r="G266">
        <f>Parts1!K139</f>
        <v>1</v>
      </c>
      <c r="H266" t="str">
        <f>Parts1!L139</f>
        <v>Resistor, 1%</v>
      </c>
      <c r="I266" t="str">
        <f>Parts1!M139</f>
        <v/>
      </c>
      <c r="J266" t="str">
        <f>Parts1!N139</f>
        <v>82k</v>
      </c>
      <c r="K266" t="str">
        <f>Parts1!O139</f>
        <v>0603</v>
      </c>
      <c r="L266" t="str">
        <f>Parts1!P139</f>
        <v>652-CR0603FX-8202ELF</v>
      </c>
      <c r="M266" s="51" t="str">
        <f>Parts1!Q139</f>
        <v/>
      </c>
      <c r="N266" s="58">
        <v>4.0</v>
      </c>
      <c r="O266" s="52" t="str">
        <f t="shared" si="2"/>
        <v>A</v>
      </c>
      <c r="P266" s="52">
        <f t="shared" si="5"/>
        <v>1</v>
      </c>
      <c r="Q266" s="52">
        <f t="shared" si="4"/>
        <v>0</v>
      </c>
      <c r="R266" s="52" t="b">
        <f t="shared" si="6"/>
        <v>1</v>
      </c>
    </row>
    <row r="267">
      <c r="B267" s="20" t="str">
        <f>IFERROR(__xludf.DUMMYFUNCTION("if(exact($E267, """"), """", iferror(regexextract($F267, ""^(?:- )?([A-Z]+)""), ""?""))"),"R")</f>
        <v>R</v>
      </c>
      <c r="C267" s="57" t="str">
        <f t="shared" si="3"/>
        <v>652CR0805FX2491ELF</v>
      </c>
      <c r="D267" t="str">
        <f>Parts1!H583</f>
        <v>Tides v4.0</v>
      </c>
      <c r="E267" t="str">
        <f>Parts1!I583</f>
        <v>S</v>
      </c>
      <c r="F267" t="str">
        <f>Parts1!J583</f>
        <v>R60</v>
      </c>
      <c r="G267">
        <f>Parts1!K583</f>
        <v>1</v>
      </c>
      <c r="H267" t="str">
        <f>Parts1!L583</f>
        <v>Resistor, 1%</v>
      </c>
      <c r="I267" t="str">
        <f>Parts1!M583</f>
        <v/>
      </c>
      <c r="J267" s="59" t="str">
        <f>Parts1!N583</f>
        <v>2.49k</v>
      </c>
      <c r="K267" s="59" t="str">
        <f>Parts1!O583</f>
        <v>0805</v>
      </c>
      <c r="L267" t="str">
        <f>Parts1!P583</f>
        <v>652-CR0805FX-2491ELF</v>
      </c>
      <c r="M267" s="51" t="str">
        <f>Parts1!Q583</f>
        <v/>
      </c>
      <c r="N267" s="58">
        <v>17.0</v>
      </c>
      <c r="O267" s="52" t="str">
        <f t="shared" si="2"/>
        <v>A</v>
      </c>
      <c r="P267" s="52">
        <f t="shared" si="5"/>
        <v>1</v>
      </c>
      <c r="Q267" s="52">
        <f t="shared" si="4"/>
        <v>0</v>
      </c>
      <c r="R267" s="52" t="b">
        <f t="shared" si="6"/>
        <v>0</v>
      </c>
    </row>
    <row r="268">
      <c r="B268" s="20" t="str">
        <f>IFERROR(__xludf.DUMMYFUNCTION("if(exact($E268, """"), """", iferror(regexextract($F268, ""^(?:- )?([A-Z]+)""), ""?""))"),"R")</f>
        <v>R</v>
      </c>
      <c r="C268" s="57" t="str">
        <f t="shared" si="3"/>
        <v>652PTV09A4025UB103</v>
      </c>
      <c r="D268" t="str">
        <f>Parts1!H502</f>
        <v>Shelves v0.5</v>
      </c>
      <c r="E268" t="str">
        <f>Parts1!I502</f>
        <v>U</v>
      </c>
      <c r="F268" t="str">
        <f>Parts1!J502</f>
        <v>R42, R65</v>
      </c>
      <c r="G268">
        <f>Parts1!K502</f>
        <v>2</v>
      </c>
      <c r="H268" t="str">
        <f>Parts1!L502</f>
        <v>10k linear pot, 25mm shaft with marker</v>
      </c>
      <c r="I268" t="str">
        <f>Parts1!M502</f>
        <v/>
      </c>
      <c r="J268" t="str">
        <f>Parts1!N502</f>
        <v/>
      </c>
      <c r="K268" t="str">
        <f>Parts1!O502</f>
        <v/>
      </c>
      <c r="L268" t="str">
        <f>Parts1!P502</f>
        <v>652-PTV09A-4025UB103</v>
      </c>
      <c r="M268" s="51" t="str">
        <f>Parts1!Q502</f>
        <v>https://www.thonk.co.uk/shop/ttpots/</v>
      </c>
      <c r="N268" s="58">
        <v>13.0</v>
      </c>
      <c r="O268" s="52" t="str">
        <f t="shared" si="2"/>
        <v>B</v>
      </c>
      <c r="P268" s="52">
        <f t="shared" si="5"/>
        <v>1</v>
      </c>
      <c r="Q268" s="52">
        <f t="shared" si="4"/>
        <v>0</v>
      </c>
      <c r="R268" s="52" t="b">
        <f t="shared" si="6"/>
        <v>1</v>
      </c>
    </row>
    <row r="269">
      <c r="B269" s="20" t="str">
        <f>IFERROR(__xludf.DUMMYFUNCTION("if(exact($E269, """"), """", iferror(regexextract($F269, ""^(?:- )?([A-Z]+)""), ""?""))"),"C")</f>
        <v>C</v>
      </c>
      <c r="C269" s="63" t="str">
        <f t="shared" si="3"/>
        <v>667-EEE-1EA100WR</v>
      </c>
      <c r="D269" t="str">
        <f>Parts1!H457</f>
        <v>Shades v3.1</v>
      </c>
      <c r="E269" t="str">
        <f>Parts1!I457</f>
        <v>S</v>
      </c>
      <c r="F269" t="str">
        <f>Parts1!J457</f>
        <v>C1, C2</v>
      </c>
      <c r="G269">
        <f>Parts1!K457</f>
        <v>2</v>
      </c>
      <c r="H269" t="str">
        <f>Parts1!L457</f>
        <v>Capacitor, electrolytic</v>
      </c>
      <c r="I269" t="str">
        <f>Parts1!M457</f>
        <v>&gt;= 25V</v>
      </c>
      <c r="J269" s="59" t="str">
        <f>Parts1!N457</f>
        <v>10u</v>
      </c>
      <c r="K269" t="str">
        <f>Parts1!O457</f>
        <v>Panasonic B (3mm dia)</v>
      </c>
      <c r="L269" s="66" t="str">
        <f>Parts1!P457</f>
        <v>667-EEE-1EA100WR</v>
      </c>
      <c r="M269" s="51" t="str">
        <f>Parts1!Q457</f>
        <v>EEE-1EA100WR</v>
      </c>
      <c r="N269" s="58">
        <v>12.0</v>
      </c>
      <c r="O269" s="52" t="str">
        <f t="shared" si="2"/>
        <v>A</v>
      </c>
      <c r="P269" s="52">
        <f t="shared" si="5"/>
        <v>1</v>
      </c>
      <c r="Q269" s="52">
        <f t="shared" si="4"/>
        <v>1</v>
      </c>
      <c r="R269" s="52" t="b">
        <f t="shared" si="6"/>
        <v>0</v>
      </c>
    </row>
    <row r="270">
      <c r="B270" s="20" t="str">
        <f>IFERROR(__xludf.DUMMYFUNCTION("if(exact($E270, """"), """", iferror(regexextract($F270, ""^(?:- )?([A-Z]+)""), ""?""))"),"C")</f>
        <v>C</v>
      </c>
      <c r="C270" s="57" t="str">
        <f t="shared" si="3"/>
        <v>667-EEE-1EA100WR</v>
      </c>
      <c r="D270" t="str">
        <f>Parts1!H539</f>
        <v>Streams v0.5</v>
      </c>
      <c r="E270" t="str">
        <f>Parts1!I539</f>
        <v>S</v>
      </c>
      <c r="F270" t="str">
        <f>Parts1!J539</f>
        <v>C2, C24, C28</v>
      </c>
      <c r="G270">
        <f>Parts1!K539</f>
        <v>3</v>
      </c>
      <c r="H270" t="str">
        <f>Parts1!L539</f>
        <v>Capacitor, electrolytic</v>
      </c>
      <c r="I270" t="str">
        <f>Parts1!M539</f>
        <v>&gt;= 25V</v>
      </c>
      <c r="J270" t="str">
        <f>Parts1!N539</f>
        <v>10u</v>
      </c>
      <c r="K270" t="str">
        <f>Parts1!O539</f>
        <v>Panasonic B</v>
      </c>
      <c r="L270" t="str">
        <f>Parts1!P539</f>
        <v>667-EEE-1EA100WR</v>
      </c>
      <c r="M270" s="51" t="str">
        <f>Parts1!Q539</f>
        <v>EEE-1EA100WR</v>
      </c>
      <c r="N270" s="58">
        <v>15.0</v>
      </c>
      <c r="O270" s="52" t="str">
        <f t="shared" si="2"/>
        <v>A</v>
      </c>
      <c r="P270" s="52" t="str">
        <f t="shared" si="5"/>
        <v/>
      </c>
      <c r="Q270" s="52">
        <f t="shared" si="4"/>
        <v>0</v>
      </c>
      <c r="R270" s="52" t="b">
        <f t="shared" si="6"/>
        <v>0</v>
      </c>
    </row>
    <row r="271">
      <c r="B271" s="20" t="str">
        <f>IFERROR(__xludf.DUMMYFUNCTION("if(exact($E271, """"), """", iferror(regexextract($F271, ""^(?:- )?([A-Z]+)""), ""?""))"),"C")</f>
        <v>C</v>
      </c>
      <c r="C271" s="57" t="str">
        <f t="shared" si="3"/>
        <v>667-EEE-FK1V470P</v>
      </c>
      <c r="D271" t="str">
        <f>Parts1!H26</f>
        <v>Braids v5.1</v>
      </c>
      <c r="E271" t="str">
        <f>Parts1!I26</f>
        <v>S</v>
      </c>
      <c r="F271" t="str">
        <f>Parts1!J26</f>
        <v>C25, C30</v>
      </c>
      <c r="G271">
        <f>Parts1!K26</f>
        <v>2</v>
      </c>
      <c r="H271" t="str">
        <f>Parts1!L26</f>
        <v>Capacitor, electrolytic</v>
      </c>
      <c r="I271" t="str">
        <f>Parts1!M26</f>
        <v>&gt;= 25V</v>
      </c>
      <c r="J271" t="str">
        <f>Parts1!N26</f>
        <v>47u</v>
      </c>
      <c r="K271" t="str">
        <f>Parts1!O26</f>
        <v>Panasonic D</v>
      </c>
      <c r="L271" t="str">
        <f>Parts1!P26</f>
        <v>667-EEE-FK1V470P</v>
      </c>
      <c r="M271" s="51" t="str">
        <f>Parts1!Q26</f>
        <v>EEEFK1V470P</v>
      </c>
      <c r="N271" s="58">
        <v>1.0</v>
      </c>
      <c r="O271" s="52" t="str">
        <f t="shared" si="2"/>
        <v>A</v>
      </c>
      <c r="P271" s="52">
        <f t="shared" si="5"/>
        <v>1</v>
      </c>
      <c r="Q271" s="52">
        <f t="shared" si="4"/>
        <v>6</v>
      </c>
      <c r="R271" s="52" t="b">
        <f t="shared" si="6"/>
        <v>1</v>
      </c>
    </row>
    <row r="272">
      <c r="B272" s="20" t="str">
        <f>IFERROR(__xludf.DUMMYFUNCTION("if(exact($E272, """"), """", iferror(regexextract($F272, ""^(?:- )?([A-Z]+)""), ""?""))"),"C")</f>
        <v>C</v>
      </c>
      <c r="C272" s="57" t="str">
        <f t="shared" si="3"/>
        <v>667-EEE-FK1V470P</v>
      </c>
      <c r="D272" t="str">
        <f>Parts1!H102</f>
        <v>Clouds v3.0</v>
      </c>
      <c r="E272" t="str">
        <f>Parts1!I102</f>
        <v>S</v>
      </c>
      <c r="F272" t="str">
        <f>Parts1!J102</f>
        <v>C1, C2, C4, C13, C27</v>
      </c>
      <c r="G272">
        <f>Parts1!K102</f>
        <v>5</v>
      </c>
      <c r="H272" t="str">
        <f>Parts1!L102</f>
        <v>Capacitor, electrolytic</v>
      </c>
      <c r="I272" t="str">
        <f>Parts1!M102</f>
        <v>&gt;= 25V</v>
      </c>
      <c r="J272" t="str">
        <f>Parts1!N102</f>
        <v>47u</v>
      </c>
      <c r="K272" s="59" t="str">
        <f>Parts1!O102</f>
        <v>Panasonic D</v>
      </c>
      <c r="L272" t="str">
        <f>Parts1!P102</f>
        <v>667-EEE-FK1V470P</v>
      </c>
      <c r="M272" s="51" t="str">
        <f>Parts1!Q102</f>
        <v>EEEFK1V470P</v>
      </c>
      <c r="N272" s="58">
        <v>3.0</v>
      </c>
      <c r="O272" s="52" t="str">
        <f t="shared" si="2"/>
        <v>A</v>
      </c>
      <c r="P272" s="52" t="str">
        <f t="shared" si="5"/>
        <v/>
      </c>
      <c r="Q272" s="52">
        <f t="shared" si="4"/>
        <v>5</v>
      </c>
      <c r="R272" s="52" t="b">
        <f t="shared" si="6"/>
        <v>1</v>
      </c>
    </row>
    <row r="273">
      <c r="B273" s="20" t="str">
        <f>IFERROR(__xludf.DUMMYFUNCTION("if(exact($E273, """"), """", iferror(regexextract($F273, ""^(?:- )?([A-Z]+)""), ""?""))"),"C")</f>
        <v>C</v>
      </c>
      <c r="C273" s="61" t="str">
        <f t="shared" si="3"/>
        <v>667-EEE-FK1V470P</v>
      </c>
      <c r="D273" t="str">
        <f>Parts1!H241</f>
        <v>Frames v0.3</v>
      </c>
      <c r="E273" t="str">
        <f>Parts1!I241</f>
        <v>S</v>
      </c>
      <c r="F273" t="str">
        <f>Parts1!J241</f>
        <v>C4, C21</v>
      </c>
      <c r="G273">
        <f>Parts1!K241</f>
        <v>2</v>
      </c>
      <c r="H273" t="str">
        <f>Parts1!L241</f>
        <v>Capacitor, electrolytic</v>
      </c>
      <c r="I273" t="str">
        <f>Parts1!M241</f>
        <v>&gt;= 25V</v>
      </c>
      <c r="J273" s="59" t="str">
        <f>Parts1!N241</f>
        <v>47u</v>
      </c>
      <c r="K273" s="59" t="str">
        <f>Parts1!O241</f>
        <v>Panasonic D</v>
      </c>
      <c r="L273" s="62" t="str">
        <f>Parts1!P241</f>
        <v>667-EEE-FK1V470P</v>
      </c>
      <c r="M273" s="51" t="str">
        <f>Parts1!Q241</f>
        <v>EEEFK1V470P</v>
      </c>
      <c r="N273" s="58">
        <v>6.0</v>
      </c>
      <c r="O273" s="52" t="str">
        <f t="shared" si="2"/>
        <v>A</v>
      </c>
      <c r="P273" s="52" t="str">
        <f t="shared" si="5"/>
        <v/>
      </c>
      <c r="Q273" s="52">
        <f t="shared" si="4"/>
        <v>4</v>
      </c>
      <c r="R273" s="52" t="b">
        <f t="shared" si="6"/>
        <v>1</v>
      </c>
    </row>
    <row r="274">
      <c r="B274" s="20" t="str">
        <f>IFERROR(__xludf.DUMMYFUNCTION("if(exact($E274, """"), """", iferror(regexextract($F274, ""^(?:- )?([A-Z]+)""), ""?""))"),"C")</f>
        <v>C</v>
      </c>
      <c r="C274" s="57" t="str">
        <f t="shared" si="3"/>
        <v>667-EEE-FK1V470P</v>
      </c>
      <c r="D274" t="str">
        <f>Parts1!H386</f>
        <v>Rings v3.0</v>
      </c>
      <c r="E274" t="str">
        <f>Parts1!I386</f>
        <v>S</v>
      </c>
      <c r="F274" t="str">
        <f>Parts1!J386</f>
        <v>C2, C3, C8</v>
      </c>
      <c r="G274">
        <f>Parts1!K386</f>
        <v>3</v>
      </c>
      <c r="H274" t="str">
        <f>Parts1!L386</f>
        <v>Capacitor, electrolytic</v>
      </c>
      <c r="I274" t="str">
        <f>Parts1!M386</f>
        <v>&gt;= 25V</v>
      </c>
      <c r="J274" t="str">
        <f>Parts1!N386</f>
        <v>47u</v>
      </c>
      <c r="K274" t="str">
        <f>Parts1!O386</f>
        <v>Panasonic D</v>
      </c>
      <c r="L274" t="str">
        <f>Parts1!P386</f>
        <v>667-EEE-FK1V470P</v>
      </c>
      <c r="M274" s="51" t="str">
        <f>Parts1!Q386</f>
        <v>EEEFK1V470P</v>
      </c>
      <c r="N274" s="58">
        <v>10.0</v>
      </c>
      <c r="O274" s="52" t="str">
        <f t="shared" si="2"/>
        <v>A</v>
      </c>
      <c r="P274" s="52" t="str">
        <f t="shared" si="5"/>
        <v/>
      </c>
      <c r="Q274" s="52">
        <f t="shared" si="4"/>
        <v>3</v>
      </c>
      <c r="R274" s="52" t="b">
        <f t="shared" si="6"/>
        <v>1</v>
      </c>
    </row>
    <row r="275">
      <c r="B275" s="20" t="str">
        <f>IFERROR(__xludf.DUMMYFUNCTION("if(exact($E275, """"), """", iferror(regexextract($F275, ""^(?:- )?([A-Z]+)""), ""?""))"),"C")</f>
        <v>C</v>
      </c>
      <c r="C275" s="61" t="str">
        <f t="shared" si="3"/>
        <v>667-EEE-FK1V470P</v>
      </c>
      <c r="D275" t="str">
        <f>Parts1!H433</f>
        <v>Ripples v4.0</v>
      </c>
      <c r="E275" t="str">
        <f>Parts1!I433</f>
        <v>S</v>
      </c>
      <c r="F275" t="str">
        <f>Parts1!J433</f>
        <v>C12, C14</v>
      </c>
      <c r="G275">
        <f>Parts1!K433</f>
        <v>2</v>
      </c>
      <c r="H275" t="str">
        <f>Parts1!L433</f>
        <v>Capacitor, electrolytic</v>
      </c>
      <c r="I275" t="str">
        <f>Parts1!M433</f>
        <v>&gt;= 25V</v>
      </c>
      <c r="J275" s="59" t="str">
        <f>Parts1!N433</f>
        <v>47u</v>
      </c>
      <c r="K275" s="59" t="str">
        <f>Parts1!O433</f>
        <v>Panasonic D</v>
      </c>
      <c r="L275" s="62" t="str">
        <f>Parts1!P433</f>
        <v>667-EEE-FK1V470P</v>
      </c>
      <c r="M275" s="51" t="str">
        <f>Parts1!Q433</f>
        <v>EEEFK1V470P</v>
      </c>
      <c r="N275" s="58">
        <v>11.0</v>
      </c>
      <c r="O275" s="52" t="str">
        <f t="shared" si="2"/>
        <v>A</v>
      </c>
      <c r="P275" s="52" t="str">
        <f t="shared" si="5"/>
        <v/>
      </c>
      <c r="Q275" s="52">
        <f t="shared" si="4"/>
        <v>2</v>
      </c>
      <c r="R275" s="52" t="b">
        <f t="shared" si="6"/>
        <v>1</v>
      </c>
    </row>
    <row r="276">
      <c r="B276" s="20" t="str">
        <f>IFERROR(__xludf.DUMMYFUNCTION("if(exact($E276, """"), """", iferror(regexextract($F276, ""^(?:- )?([A-Z]+)""), ""?""))"),"C")</f>
        <v>C</v>
      </c>
      <c r="C276" s="61" t="str">
        <f t="shared" si="3"/>
        <v>667-EEE-FK1V470P</v>
      </c>
      <c r="D276" t="str">
        <f>Parts1!H604</f>
        <v>Tides v4.0</v>
      </c>
      <c r="E276" t="str">
        <f>Parts1!I604</f>
        <v>S</v>
      </c>
      <c r="F276" t="str">
        <f>Parts1!J604</f>
        <v>C3, C10</v>
      </c>
      <c r="G276">
        <f>Parts1!K604</f>
        <v>2</v>
      </c>
      <c r="H276" t="str">
        <f>Parts1!L604</f>
        <v>Capacitor, electrolytic</v>
      </c>
      <c r="I276" t="str">
        <f>Parts1!M604</f>
        <v>&gt;= 25V</v>
      </c>
      <c r="J276" s="59" t="str">
        <f>Parts1!N604</f>
        <v>47u</v>
      </c>
      <c r="K276" s="59" t="str">
        <f>Parts1!O604</f>
        <v>Panasonic D</v>
      </c>
      <c r="L276" s="62" t="str">
        <f>Parts1!P604</f>
        <v>667-EEE-FK1V470P</v>
      </c>
      <c r="M276" s="51" t="str">
        <f>Parts1!Q604</f>
        <v>EEEFK1V470P</v>
      </c>
      <c r="N276" s="58">
        <v>17.0</v>
      </c>
      <c r="O276" s="52" t="str">
        <f t="shared" si="2"/>
        <v>A</v>
      </c>
      <c r="P276" s="52" t="str">
        <f t="shared" si="5"/>
        <v/>
      </c>
      <c r="Q276" s="52">
        <f t="shared" si="4"/>
        <v>1</v>
      </c>
      <c r="R276" s="52" t="b">
        <f t="shared" si="6"/>
        <v>1</v>
      </c>
    </row>
    <row r="277">
      <c r="B277" s="20" t="str">
        <f>IFERROR(__xludf.DUMMYFUNCTION("if(exact($E277, """"), """", iferror(regexextract($F277, ""^(?:- )?([A-Z]+)""), ""?""))"),"C")</f>
        <v>C</v>
      </c>
      <c r="C277" s="57" t="str">
        <f t="shared" si="3"/>
        <v>667-EEE-FK1V470P</v>
      </c>
      <c r="D277" t="str">
        <f>Parts1!H652</f>
        <v>Warps v3.0</v>
      </c>
      <c r="E277" t="str">
        <f>Parts1!I652</f>
        <v>S</v>
      </c>
      <c r="F277" t="str">
        <f>Parts1!J652</f>
        <v>C1, C2, C3, C4</v>
      </c>
      <c r="G277">
        <f>Parts1!K652</f>
        <v>4</v>
      </c>
      <c r="H277" t="str">
        <f>Parts1!L652</f>
        <v>Capacitor, electrolytic</v>
      </c>
      <c r="I277" t="str">
        <f>Parts1!M652</f>
        <v>&gt;= 25V</v>
      </c>
      <c r="J277" t="str">
        <f>Parts1!N652</f>
        <v>47u</v>
      </c>
      <c r="K277" t="str">
        <f>Parts1!O652</f>
        <v>Panasonic D</v>
      </c>
      <c r="L277" t="str">
        <f>Parts1!P652</f>
        <v>667-EEE-FK1V470P</v>
      </c>
      <c r="M277" s="51" t="str">
        <f>Parts1!Q652</f>
        <v>EEEFK1V470P</v>
      </c>
      <c r="N277" s="58">
        <v>18.0</v>
      </c>
      <c r="O277" s="52" t="str">
        <f t="shared" si="2"/>
        <v>A</v>
      </c>
      <c r="P277" s="52" t="str">
        <f t="shared" si="5"/>
        <v/>
      </c>
      <c r="Q277" s="52">
        <f t="shared" si="4"/>
        <v>0</v>
      </c>
      <c r="R277" s="52" t="b">
        <f t="shared" si="6"/>
        <v>1</v>
      </c>
    </row>
    <row r="278">
      <c r="A278" s="69" t="s">
        <v>102</v>
      </c>
      <c r="B278" s="20" t="str">
        <f>IFERROR(__xludf.DUMMYFUNCTION("if(exact($E278, """"), """", iferror(regexextract($F278, ""^(?:- )?([A-Z]+)""), ""?""))"),"C")</f>
        <v>C</v>
      </c>
      <c r="C278" s="57" t="str">
        <f t="shared" si="3"/>
        <v>667-EEE-FP1E220AR</v>
      </c>
      <c r="D278" t="str">
        <f>Parts1!H25</f>
        <v>Braids v5.1</v>
      </c>
      <c r="E278" t="str">
        <f>Parts1!I25</f>
        <v>S</v>
      </c>
      <c r="F278" t="str">
        <f>Parts1!J25</f>
        <v>C15, C19</v>
      </c>
      <c r="G278">
        <f>Parts1!K25</f>
        <v>2</v>
      </c>
      <c r="H278" t="str">
        <f>Parts1!L25</f>
        <v>Capacitor, electrolytic</v>
      </c>
      <c r="I278" t="str">
        <f>Parts1!M25</f>
        <v>&gt;= 16V</v>
      </c>
      <c r="J278" t="str">
        <f>Parts1!N25</f>
        <v>22u</v>
      </c>
      <c r="K278" t="str">
        <f>Parts1!O25</f>
        <v>Panasonic C</v>
      </c>
      <c r="L278" t="str">
        <f>Parts1!P25</f>
        <v>667-EEE-FP1E220AR</v>
      </c>
      <c r="M278" s="51" t="str">
        <f>Parts1!Q25</f>
        <v>EEEHC1C220R</v>
      </c>
      <c r="N278" s="58">
        <v>1.0</v>
      </c>
      <c r="O278" s="52" t="str">
        <f t="shared" si="2"/>
        <v>A</v>
      </c>
      <c r="P278" s="52">
        <f t="shared" si="5"/>
        <v>1</v>
      </c>
      <c r="Q278" s="52">
        <f t="shared" si="4"/>
        <v>10</v>
      </c>
      <c r="R278" s="52" t="b">
        <f t="shared" si="6"/>
        <v>0</v>
      </c>
    </row>
    <row r="279">
      <c r="B279" s="20" t="str">
        <f>IFERROR(__xludf.DUMMYFUNCTION("if(exact($E279, """"), """", iferror(regexextract($F279, ""^(?:- )?([A-Z]+)""), ""?""))"),"C")</f>
        <v>C</v>
      </c>
      <c r="C279" s="63" t="str">
        <f t="shared" si="3"/>
        <v>667-EEE-FP1E220AR</v>
      </c>
      <c r="D279" t="str">
        <f>Parts1!H58</f>
        <v>Branches v4.0</v>
      </c>
      <c r="E279" t="str">
        <f>Parts1!I58</f>
        <v>S</v>
      </c>
      <c r="F279" t="str">
        <f>Parts1!J58</f>
        <v>C3, C9</v>
      </c>
      <c r="G279" s="65">
        <f>Parts1!K58</f>
        <v>2</v>
      </c>
      <c r="H279" t="str">
        <f>Parts1!L58</f>
        <v>Capacitor, electrolytic</v>
      </c>
      <c r="I279" t="str">
        <f>Parts1!M58</f>
        <v>&gt;= 25V</v>
      </c>
      <c r="J279" s="59" t="str">
        <f>Parts1!N58</f>
        <v>22u</v>
      </c>
      <c r="K279" s="59" t="str">
        <f>Parts1!O58</f>
        <v>Panasonic C</v>
      </c>
      <c r="L279" s="66" t="str">
        <f>Parts1!P58</f>
        <v>667-EEE-FP1E220AR</v>
      </c>
      <c r="M279" s="51" t="str">
        <f>Parts1!Q58</f>
        <v>EEE-FP1E220AR</v>
      </c>
      <c r="N279" s="58">
        <v>2.0</v>
      </c>
      <c r="O279" s="52" t="str">
        <f t="shared" si="2"/>
        <v>A</v>
      </c>
      <c r="P279" s="52" t="str">
        <f t="shared" si="5"/>
        <v/>
      </c>
      <c r="Q279" s="52">
        <f t="shared" si="4"/>
        <v>9</v>
      </c>
      <c r="R279" s="52" t="b">
        <f t="shared" si="6"/>
        <v>0</v>
      </c>
    </row>
    <row r="280">
      <c r="B280" s="20" t="str">
        <f>IFERROR(__xludf.DUMMYFUNCTION("if(exact($E280, """"), """", iferror(regexextract($F280, ""^(?:- )?([A-Z]+)""), ""?""))"),"C")</f>
        <v>C</v>
      </c>
      <c r="C280" s="57" t="str">
        <f t="shared" si="3"/>
        <v>667-EEE-FP1E220AR</v>
      </c>
      <c r="D280" t="str">
        <f>Parts1!H197</f>
        <v>Elements v0.21</v>
      </c>
      <c r="E280" t="str">
        <f>Parts1!I197</f>
        <v>S</v>
      </c>
      <c r="F280" t="str">
        <f>Parts1!J197</f>
        <v>C1, C3, C9, C10</v>
      </c>
      <c r="G280">
        <f>Parts1!K197</f>
        <v>4</v>
      </c>
      <c r="H280" t="str">
        <f>Parts1!L197</f>
        <v>Capacitor, electrolytic</v>
      </c>
      <c r="I280" t="str">
        <f>Parts1!M197</f>
        <v>&gt;= 25V</v>
      </c>
      <c r="J280" t="str">
        <f>Parts1!N197</f>
        <v>22u</v>
      </c>
      <c r="K280" t="str">
        <f>Parts1!O197</f>
        <v>Panasonic D</v>
      </c>
      <c r="L280" t="str">
        <f>Parts1!P197</f>
        <v>667-EEE-FP1E220AR</v>
      </c>
      <c r="M280" s="51" t="str">
        <f>Parts1!Q197</f>
        <v>EEE-FP1E220AR</v>
      </c>
      <c r="N280" s="58">
        <v>5.0</v>
      </c>
      <c r="O280" s="52" t="str">
        <f t="shared" si="2"/>
        <v>A</v>
      </c>
      <c r="P280" s="52" t="str">
        <f t="shared" si="5"/>
        <v/>
      </c>
      <c r="Q280" s="52">
        <f t="shared" si="4"/>
        <v>8</v>
      </c>
      <c r="R280" s="52" t="b">
        <f t="shared" si="6"/>
        <v>0</v>
      </c>
    </row>
    <row r="281">
      <c r="B281" s="20" t="str">
        <f>IFERROR(__xludf.DUMMYFUNCTION("if(exact($E281, """"), """", iferror(regexextract($F281, ""^(?:- )?([A-Z]+)""), ""?""))"),"C")</f>
        <v>C</v>
      </c>
      <c r="C281" s="61" t="str">
        <f t="shared" si="3"/>
        <v>667-EEE-FP1E220AR</v>
      </c>
      <c r="D281" t="str">
        <f>Parts1!H240</f>
        <v>Frames v0.3</v>
      </c>
      <c r="E281" t="str">
        <f>Parts1!I240</f>
        <v>S</v>
      </c>
      <c r="F281" t="str">
        <f>Parts1!J240</f>
        <v>C5, C11, C15</v>
      </c>
      <c r="G281">
        <f>Parts1!K240</f>
        <v>3</v>
      </c>
      <c r="H281" t="str">
        <f>Parts1!L240</f>
        <v>Capacitor, electrolytic</v>
      </c>
      <c r="I281" t="str">
        <f>Parts1!M240</f>
        <v>&gt;= 25V</v>
      </c>
      <c r="J281" s="59" t="str">
        <f>Parts1!N240</f>
        <v>22u</v>
      </c>
      <c r="K281" s="59" t="str">
        <f>Parts1!O240</f>
        <v>Panasonic C</v>
      </c>
      <c r="L281" s="62" t="str">
        <f>Parts1!P240</f>
        <v>667-EEE-FP1E220AR</v>
      </c>
      <c r="M281" s="51" t="str">
        <f>Parts1!Q240</f>
        <v>EEE-FP1E220AR</v>
      </c>
      <c r="N281" s="58">
        <v>6.0</v>
      </c>
      <c r="O281" s="52" t="str">
        <f t="shared" si="2"/>
        <v>A</v>
      </c>
      <c r="P281" s="52" t="str">
        <f t="shared" si="5"/>
        <v/>
      </c>
      <c r="Q281" s="52">
        <f t="shared" si="4"/>
        <v>7</v>
      </c>
      <c r="R281" s="52" t="b">
        <f t="shared" si="6"/>
        <v>0</v>
      </c>
    </row>
    <row r="282">
      <c r="B282" s="20" t="str">
        <f>IFERROR(__xludf.DUMMYFUNCTION("if(exact($E282, """"), """", iferror(regexextract($F282, ""^(?:- )?([A-Z]+)""), ""?""))"),"C")</f>
        <v>C</v>
      </c>
      <c r="C282" s="57" t="str">
        <f t="shared" si="3"/>
        <v>667-EEE-FP1E220AR</v>
      </c>
      <c r="D282" t="str">
        <f>Parts1!H281</f>
        <v>Grids v0.2</v>
      </c>
      <c r="E282" t="str">
        <f>Parts1!I281</f>
        <v>S</v>
      </c>
      <c r="F282" t="str">
        <f>Parts1!J281</f>
        <v>C1, C19</v>
      </c>
      <c r="G282" s="65">
        <f>Parts1!K281</f>
        <v>2</v>
      </c>
      <c r="H282" t="str">
        <f>Parts1!L281</f>
        <v>Capacitor, electrolytic</v>
      </c>
      <c r="I282" t="str">
        <f>Parts1!M281</f>
        <v>&gt;= 25V</v>
      </c>
      <c r="J282" t="str">
        <f>Parts1!N281</f>
        <v>22u</v>
      </c>
      <c r="K282" t="str">
        <f>Parts1!O281</f>
        <v>Panasonic C</v>
      </c>
      <c r="L282" t="str">
        <f>Parts1!P281</f>
        <v>667-EEE-FP1E220AR</v>
      </c>
      <c r="M282" s="51" t="str">
        <f>Parts1!Q281</f>
        <v>Panasonic EEEFP1E220AR</v>
      </c>
      <c r="N282" s="58">
        <v>7.0</v>
      </c>
      <c r="O282" s="52" t="str">
        <f t="shared" si="2"/>
        <v>A</v>
      </c>
      <c r="P282" s="52" t="str">
        <f t="shared" si="5"/>
        <v/>
      </c>
      <c r="Q282" s="52">
        <f t="shared" si="4"/>
        <v>6</v>
      </c>
      <c r="R282" s="52" t="b">
        <f t="shared" si="6"/>
        <v>0</v>
      </c>
    </row>
    <row r="283">
      <c r="B283" s="20" t="str">
        <f>IFERROR(__xludf.DUMMYFUNCTION("if(exact($E283, """"), """", iferror(regexextract($F283, ""^(?:- )?([A-Z]+)""), ""?""))"),"C")</f>
        <v>C</v>
      </c>
      <c r="C283" s="61" t="str">
        <f t="shared" si="3"/>
        <v>667-EEE-FP1E220AR</v>
      </c>
      <c r="D283" t="str">
        <f>Parts1!H336</f>
        <v>Peaks v3.1</v>
      </c>
      <c r="E283" t="str">
        <f>Parts1!I336</f>
        <v>S</v>
      </c>
      <c r="F283" t="str">
        <f>Parts1!J336</f>
        <v>C1, C2, C4</v>
      </c>
      <c r="G283">
        <f>Parts1!K336</f>
        <v>3</v>
      </c>
      <c r="H283" t="str">
        <f>Parts1!L336</f>
        <v>Capacitor, electrolytic</v>
      </c>
      <c r="I283" t="str">
        <f>Parts1!M336</f>
        <v>&gt;= 25V</v>
      </c>
      <c r="J283" s="59" t="str">
        <f>Parts1!N336</f>
        <v>22u</v>
      </c>
      <c r="K283" t="str">
        <f>Parts1!O336</f>
        <v>Panasonic C</v>
      </c>
      <c r="L283" s="62" t="str">
        <f>Parts1!P336</f>
        <v>667-EEE-FP1E220AR</v>
      </c>
      <c r="M283" s="51" t="str">
        <f>Parts1!Q336</f>
        <v>EEE-FP1E220AR</v>
      </c>
      <c r="N283" s="58">
        <v>9.0</v>
      </c>
      <c r="O283" s="52" t="str">
        <f t="shared" si="2"/>
        <v>A</v>
      </c>
      <c r="P283" s="52" t="str">
        <f t="shared" si="5"/>
        <v/>
      </c>
      <c r="Q283" s="52">
        <f t="shared" si="4"/>
        <v>5</v>
      </c>
      <c r="R283" s="52" t="b">
        <f t="shared" si="6"/>
        <v>0</v>
      </c>
    </row>
    <row r="284">
      <c r="B284" s="20" t="str">
        <f>IFERROR(__xludf.DUMMYFUNCTION("if(exact($E284, """"), """", iferror(regexextract($F284, ""^(?:- )?([A-Z]+)""), ""?""))"),"C")</f>
        <v>C</v>
      </c>
      <c r="C284" s="57" t="str">
        <f t="shared" si="3"/>
        <v>667-EEE-FP1E220AR</v>
      </c>
      <c r="D284" t="str">
        <f>Parts1!H385</f>
        <v>Rings v3.0</v>
      </c>
      <c r="E284" t="str">
        <f>Parts1!I385</f>
        <v>S</v>
      </c>
      <c r="F284" t="str">
        <f>Parts1!J385</f>
        <v>C1</v>
      </c>
      <c r="G284">
        <f>Parts1!K385</f>
        <v>1</v>
      </c>
      <c r="H284" t="str">
        <f>Parts1!L385</f>
        <v>Capacitor, electrolytic</v>
      </c>
      <c r="I284" t="str">
        <f>Parts1!M385</f>
        <v>&gt;= 25V</v>
      </c>
      <c r="J284" t="str">
        <f>Parts1!N385</f>
        <v>22u</v>
      </c>
      <c r="K284" t="str">
        <f>Parts1!O385</f>
        <v>Panasonic C</v>
      </c>
      <c r="L284" t="str">
        <f>Parts1!P385</f>
        <v>667-EEE-FP1E220AR</v>
      </c>
      <c r="M284" s="51" t="str">
        <f>Parts1!Q385</f>
        <v>EEE-FP1E220AR</v>
      </c>
      <c r="N284" s="58">
        <v>10.0</v>
      </c>
      <c r="O284" s="52" t="str">
        <f t="shared" si="2"/>
        <v>A</v>
      </c>
      <c r="P284" s="52" t="str">
        <f t="shared" si="5"/>
        <v/>
      </c>
      <c r="Q284" s="52">
        <f t="shared" si="4"/>
        <v>4</v>
      </c>
      <c r="R284" s="52" t="b">
        <f t="shared" si="6"/>
        <v>0</v>
      </c>
    </row>
    <row r="285">
      <c r="B285" s="20" t="str">
        <f>IFERROR(__xludf.DUMMYFUNCTION("if(exact($E285, """"), """", iferror(regexextract($F285, ""^(?:- )?([A-Z]+)""), ""?""))"),"C")</f>
        <v>C</v>
      </c>
      <c r="C285" s="57" t="str">
        <f t="shared" si="3"/>
        <v>667-EEE-FP1E220AR</v>
      </c>
      <c r="D285" t="str">
        <f>Parts1!H490</f>
        <v>Shelves v0.5</v>
      </c>
      <c r="E285" t="str">
        <f>Parts1!I490</f>
        <v>S</v>
      </c>
      <c r="F285" t="str">
        <f>Parts1!J490</f>
        <v>C1, C2, C58</v>
      </c>
      <c r="G285">
        <f>Parts1!K490</f>
        <v>3</v>
      </c>
      <c r="H285" t="str">
        <f>Parts1!L490</f>
        <v>Capacitor, electrolytic</v>
      </c>
      <c r="I285" t="str">
        <f>Parts1!M490</f>
        <v>&gt;= 25V</v>
      </c>
      <c r="J285" t="str">
        <f>Parts1!N490</f>
        <v>22u</v>
      </c>
      <c r="K285" t="str">
        <f>Parts1!O490</f>
        <v>Panasonic C</v>
      </c>
      <c r="L285" t="str">
        <f>Parts1!P490</f>
        <v>667-EEE-FP1E220AR</v>
      </c>
      <c r="M285" s="51" t="str">
        <f>Parts1!Q490</f>
        <v>EEE-FP1E220AR</v>
      </c>
      <c r="N285" s="58">
        <v>13.0</v>
      </c>
      <c r="O285" s="52" t="str">
        <f t="shared" si="2"/>
        <v>A</v>
      </c>
      <c r="P285" s="52" t="str">
        <f t="shared" si="5"/>
        <v/>
      </c>
      <c r="Q285" s="52">
        <f t="shared" si="4"/>
        <v>3</v>
      </c>
      <c r="R285" s="52" t="b">
        <f t="shared" si="6"/>
        <v>0</v>
      </c>
    </row>
    <row r="286">
      <c r="B286" s="20" t="str">
        <f>IFERROR(__xludf.DUMMYFUNCTION("if(exact($E286, """"), """", iferror(regexextract($F286, ""^(?:- )?([A-Z]+)""), ""?""))"),"C")</f>
        <v>C</v>
      </c>
      <c r="C286" s="57" t="str">
        <f t="shared" si="3"/>
        <v>667-EEE-FP1E220AR</v>
      </c>
      <c r="D286" t="str">
        <f>Parts1!H541</f>
        <v>Streams v0.5</v>
      </c>
      <c r="E286" t="str">
        <f>Parts1!I541</f>
        <v>S</v>
      </c>
      <c r="F286" t="str">
        <f>Parts1!J541</f>
        <v>C16</v>
      </c>
      <c r="G286">
        <f>Parts1!K541</f>
        <v>1</v>
      </c>
      <c r="H286" t="str">
        <f>Parts1!L541</f>
        <v>Capacitor, electrolytic</v>
      </c>
      <c r="I286" t="str">
        <f>Parts1!M541</f>
        <v>&gt;= 25V</v>
      </c>
      <c r="J286" t="str">
        <f>Parts1!N541</f>
        <v>22u</v>
      </c>
      <c r="K286" t="str">
        <f>Parts1!O541</f>
        <v>Panasonic C</v>
      </c>
      <c r="L286" t="str">
        <f>Parts1!P541</f>
        <v>667-EEE-FP1E220AR</v>
      </c>
      <c r="M286" s="51" t="str">
        <f>Parts1!Q541</f>
        <v>EEE-FP1E220AR</v>
      </c>
      <c r="N286" s="58">
        <v>15.0</v>
      </c>
      <c r="O286" s="52" t="str">
        <f t="shared" si="2"/>
        <v>A</v>
      </c>
      <c r="P286" s="52" t="str">
        <f t="shared" si="5"/>
        <v/>
      </c>
      <c r="Q286" s="52">
        <f t="shared" si="4"/>
        <v>2</v>
      </c>
      <c r="R286" s="52" t="b">
        <f t="shared" si="6"/>
        <v>0</v>
      </c>
    </row>
    <row r="287">
      <c r="B287" s="20" t="str">
        <f>IFERROR(__xludf.DUMMYFUNCTION("if(exact($E287, """"), """", iferror(regexextract($F287, ""^(?:- )?([A-Z]+)""), ""?""))"),"C")</f>
        <v>C</v>
      </c>
      <c r="C287" s="61" t="str">
        <f t="shared" si="3"/>
        <v>667-EEE-FP1E220AR</v>
      </c>
      <c r="D287" t="str">
        <f>Parts1!H603</f>
        <v>Tides v4.0</v>
      </c>
      <c r="E287" t="str">
        <f>Parts1!I603</f>
        <v>S</v>
      </c>
      <c r="F287" t="str">
        <f>Parts1!J603</f>
        <v>C1, C8, C9</v>
      </c>
      <c r="G287">
        <f>Parts1!K603</f>
        <v>3</v>
      </c>
      <c r="H287" t="str">
        <f>Parts1!L603</f>
        <v>Capacitor, electrolytic</v>
      </c>
      <c r="I287" t="str">
        <f>Parts1!M603</f>
        <v>&gt;= 25V</v>
      </c>
      <c r="J287" s="59" t="str">
        <f>Parts1!N603</f>
        <v>22u</v>
      </c>
      <c r="K287" s="59" t="str">
        <f>Parts1!O603</f>
        <v>Panasonic C</v>
      </c>
      <c r="L287" s="62" t="str">
        <f>Parts1!P603</f>
        <v>667-EEE-FP1E220AR</v>
      </c>
      <c r="M287" s="51" t="str">
        <f>Parts1!Q603</f>
        <v>EEE-FP1E220AR</v>
      </c>
      <c r="N287" s="58">
        <v>17.0</v>
      </c>
      <c r="O287" s="52" t="str">
        <f t="shared" si="2"/>
        <v>A</v>
      </c>
      <c r="P287" s="52" t="str">
        <f t="shared" si="5"/>
        <v/>
      </c>
      <c r="Q287" s="52">
        <f t="shared" si="4"/>
        <v>1</v>
      </c>
      <c r="R287" s="52" t="b">
        <f t="shared" si="6"/>
        <v>0</v>
      </c>
    </row>
    <row r="288">
      <c r="B288" s="20" t="str">
        <f>IFERROR(__xludf.DUMMYFUNCTION("if(exact($E288, """"), """", iferror(regexextract($F288, ""^(?:- )?([A-Z]+)""), ""?""))"),"C")</f>
        <v>C</v>
      </c>
      <c r="C288" s="63" t="str">
        <f t="shared" si="3"/>
        <v>667-EEE-FP1E220AR</v>
      </c>
      <c r="D288" t="str">
        <f>Parts1!H706</f>
        <v>Yarns v0.3</v>
      </c>
      <c r="E288" t="str">
        <f>Parts1!I706</f>
        <v>S</v>
      </c>
      <c r="F288" s="64" t="str">
        <f>Parts1!J706</f>
        <v>C1, C4</v>
      </c>
      <c r="G288" s="65">
        <f>Parts1!K706</f>
        <v>2</v>
      </c>
      <c r="H288" s="64" t="str">
        <f>Parts1!L706</f>
        <v>Capacitor, electrolytic</v>
      </c>
      <c r="I288" s="64" t="str">
        <f>Parts1!M706</f>
        <v>&gt;= 25V</v>
      </c>
      <c r="J288" s="64" t="str">
        <f>Parts1!N706</f>
        <v>22u</v>
      </c>
      <c r="K288" s="64" t="str">
        <f>Parts1!O706</f>
        <v>Panasonic C</v>
      </c>
      <c r="L288" s="66" t="str">
        <f>Parts1!P706</f>
        <v>667-EEE-FP1E220AR</v>
      </c>
      <c r="M288" s="67" t="str">
        <f>Parts1!Q706</f>
        <v>EEE-FP1E220AR</v>
      </c>
      <c r="N288" s="58">
        <v>19.0</v>
      </c>
      <c r="O288" s="52" t="str">
        <f t="shared" si="2"/>
        <v>A</v>
      </c>
      <c r="P288" s="52" t="str">
        <f t="shared" si="5"/>
        <v/>
      </c>
      <c r="Q288" s="52">
        <f t="shared" si="4"/>
        <v>0</v>
      </c>
      <c r="R288" s="52" t="b">
        <f t="shared" si="6"/>
        <v>0</v>
      </c>
    </row>
    <row r="289">
      <c r="B289" s="20" t="str">
        <f>IFERROR(__xludf.DUMMYFUNCTION("if(exact($E289, """"), """", iferror(regexextract($F289, ""^(?:- )?([A-Z]+)""), ""?""))"),"C")</f>
        <v>C</v>
      </c>
      <c r="C289" s="57" t="str">
        <f t="shared" si="3"/>
        <v>667-EEE-HA1C220WR</v>
      </c>
      <c r="D289" t="str">
        <f>Parts1!H540</f>
        <v>Streams v0.5</v>
      </c>
      <c r="E289" t="str">
        <f>Parts1!I540</f>
        <v>S</v>
      </c>
      <c r="F289" t="str">
        <f>Parts1!J540</f>
        <v>C11</v>
      </c>
      <c r="G289">
        <f>Parts1!K540</f>
        <v>1</v>
      </c>
      <c r="H289" t="str">
        <f>Parts1!L540</f>
        <v>Capacitor, electrolytic</v>
      </c>
      <c r="I289" t="str">
        <f>Parts1!M540</f>
        <v>&gt;= 16V</v>
      </c>
      <c r="J289" t="str">
        <f>Parts1!N540</f>
        <v>22u</v>
      </c>
      <c r="K289" t="str">
        <f>Parts1!O540</f>
        <v>Panasonic B</v>
      </c>
      <c r="L289" t="str">
        <f>Parts1!P540</f>
        <v>667-EEE-HA1C220WR</v>
      </c>
      <c r="M289" s="51" t="str">
        <f>Parts1!Q540</f>
        <v>EEE-HA1C220WR</v>
      </c>
      <c r="N289" s="58">
        <v>15.0</v>
      </c>
      <c r="O289" s="52" t="str">
        <f t="shared" si="2"/>
        <v>A</v>
      </c>
      <c r="P289" s="52">
        <f t="shared" si="5"/>
        <v>1</v>
      </c>
      <c r="Q289" s="52">
        <f t="shared" si="4"/>
        <v>0</v>
      </c>
      <c r="R289" s="52" t="b">
        <f t="shared" si="6"/>
        <v>1</v>
      </c>
    </row>
    <row r="290">
      <c r="B290" s="20" t="str">
        <f>IFERROR(__xludf.DUMMYFUNCTION("if(exact($E290, """"), """", iferror(regexextract($F290, ""^(?:- )?([A-Z]+)""), ""?""))"),"C")</f>
        <v>C</v>
      </c>
      <c r="C290" s="57" t="str">
        <f t="shared" si="3"/>
        <v>667-EEE-HC1E470XP</v>
      </c>
      <c r="D290" t="str">
        <f>Parts1!H148</f>
        <v>Edges v2.0</v>
      </c>
      <c r="E290" t="str">
        <f>Parts1!I148</f>
        <v>S</v>
      </c>
      <c r="F290" t="str">
        <f>Parts1!J148</f>
        <v>C18, C19, C38, C39</v>
      </c>
      <c r="G290">
        <f>Parts1!K148</f>
        <v>4</v>
      </c>
      <c r="H290" t="str">
        <f>Parts1!L148</f>
        <v>Capacitor, electrolytic</v>
      </c>
      <c r="I290" t="str">
        <f>Parts1!M148</f>
        <v>&gt;= 25V</v>
      </c>
      <c r="J290" t="str">
        <f>Parts1!N148</f>
        <v>47u</v>
      </c>
      <c r="K290" t="str">
        <f>Parts1!O148</f>
        <v>Panasonic D</v>
      </c>
      <c r="L290" t="str">
        <f>Parts1!P148</f>
        <v>667-EEE-HC1E470XP</v>
      </c>
      <c r="M290" s="51" t="str">
        <f>Parts1!Q148</f>
        <v>EEEHC1E470XP</v>
      </c>
      <c r="N290" s="58">
        <v>4.0</v>
      </c>
      <c r="O290" s="52" t="str">
        <f t="shared" si="2"/>
        <v>A</v>
      </c>
      <c r="P290" s="52">
        <f t="shared" si="5"/>
        <v>1</v>
      </c>
      <c r="Q290" s="52">
        <f t="shared" si="4"/>
        <v>0</v>
      </c>
      <c r="R290" s="52" t="b">
        <f t="shared" si="6"/>
        <v>0</v>
      </c>
    </row>
    <row r="291">
      <c r="B291" s="20" t="str">
        <f>IFERROR(__xludf.DUMMYFUNCTION("if(exact($E291, """"), """", iferror(regexextract($F291, ""^(?:- )?([A-Z]+)""), ""?""))"),"SW")</f>
        <v>SW</v>
      </c>
      <c r="C291" s="57" t="str">
        <f t="shared" si="3"/>
        <v>667-EVQ-Q2K01W</v>
      </c>
      <c r="D291" t="str">
        <f>Parts1!H38</f>
        <v>Braids v5.1</v>
      </c>
      <c r="E291" t="str">
        <f>Parts1!I38</f>
        <v>S</v>
      </c>
      <c r="F291" t="str">
        <f>Parts1!J38</f>
        <v>SW2, SW3</v>
      </c>
      <c r="G291">
        <f>Parts1!K38</f>
        <v>2</v>
      </c>
      <c r="H291" t="str">
        <f>Parts1!L38</f>
        <v>Switch, 6mm, SMT</v>
      </c>
      <c r="I291" t="str">
        <f>Parts1!M38</f>
        <v/>
      </c>
      <c r="J291" t="str">
        <f>Parts1!N38</f>
        <v/>
      </c>
      <c r="K291" t="str">
        <f>Parts1!O38</f>
        <v>6mm x 6mm</v>
      </c>
      <c r="L291" t="str">
        <f>Parts1!P38</f>
        <v>667-EVQ-Q2K01W</v>
      </c>
      <c r="M291" s="51" t="str">
        <f>Parts1!Q38</f>
        <v>Panasonic EVQ-Q2K01W</v>
      </c>
      <c r="N291" s="58">
        <v>1.0</v>
      </c>
      <c r="O291" s="52" t="str">
        <f t="shared" si="2"/>
        <v>A</v>
      </c>
      <c r="P291" s="52">
        <f t="shared" si="5"/>
        <v>1</v>
      </c>
      <c r="Q291" s="52">
        <f t="shared" si="4"/>
        <v>7</v>
      </c>
      <c r="R291" s="52" t="b">
        <f t="shared" si="6"/>
        <v>1</v>
      </c>
    </row>
    <row r="292">
      <c r="B292" s="20" t="str">
        <f>IFERROR(__xludf.DUMMYFUNCTION("if(exact($E292, """"), """", iferror(regexextract($F292, ""^(?:- )?([A-Z]+)""), ""?""))"),"SW")</f>
        <v>SW</v>
      </c>
      <c r="C292" s="57" t="str">
        <f t="shared" si="3"/>
        <v>667-EVQ-Q2K01W</v>
      </c>
      <c r="D292" t="str">
        <f>Parts1!H116</f>
        <v>Clouds v3.0</v>
      </c>
      <c r="E292" t="str">
        <f>Parts1!I116</f>
        <v>S</v>
      </c>
      <c r="F292" t="str">
        <f>Parts1!J116</f>
        <v>SW4, SW5</v>
      </c>
      <c r="G292">
        <f>Parts1!K116</f>
        <v>2</v>
      </c>
      <c r="H292" t="str">
        <f>Parts1!L116</f>
        <v>Switch, 6mm, SMT</v>
      </c>
      <c r="I292" t="str">
        <f>Parts1!M116</f>
        <v/>
      </c>
      <c r="J292" t="str">
        <f>Parts1!N116</f>
        <v/>
      </c>
      <c r="K292" s="59" t="str">
        <f>Parts1!O116</f>
        <v>6mm x 6mm</v>
      </c>
      <c r="L292" t="str">
        <f>Parts1!P116</f>
        <v>667-EVQ-Q2K01W</v>
      </c>
      <c r="M292" s="51" t="str">
        <f>Parts1!Q116</f>
        <v>Panasonic EVQ-Q2@03W (@: B, F, K, P, U, Y)</v>
      </c>
      <c r="N292" s="58">
        <v>3.0</v>
      </c>
      <c r="O292" s="52" t="str">
        <f t="shared" si="2"/>
        <v>A</v>
      </c>
      <c r="P292" s="52" t="str">
        <f t="shared" si="5"/>
        <v/>
      </c>
      <c r="Q292" s="52">
        <f t="shared" si="4"/>
        <v>6</v>
      </c>
      <c r="R292" s="52" t="b">
        <f t="shared" si="6"/>
        <v>1</v>
      </c>
    </row>
    <row r="293">
      <c r="B293" s="20" t="str">
        <f>IFERROR(__xludf.DUMMYFUNCTION("if(exact($E293, """"), """", iferror(regexextract($F293, ""^(?:- )?([A-Z]+)""), ""?""))"),"SW")</f>
        <v>SW</v>
      </c>
      <c r="C293" s="57" t="str">
        <f t="shared" si="3"/>
        <v>667-EVQ-Q2K01W</v>
      </c>
      <c r="D293" t="str">
        <f>Parts1!H210</f>
        <v>Elements v0.21</v>
      </c>
      <c r="E293" t="str">
        <f>Parts1!I210</f>
        <v>S</v>
      </c>
      <c r="F293" t="str">
        <f>Parts1!J210</f>
        <v>SW2, SW3</v>
      </c>
      <c r="G293">
        <f>Parts1!K210</f>
        <v>2</v>
      </c>
      <c r="H293" t="str">
        <f>Parts1!L210</f>
        <v>Switch, 6mm, SMT</v>
      </c>
      <c r="I293" t="str">
        <f>Parts1!M210</f>
        <v/>
      </c>
      <c r="J293" t="str">
        <f>Parts1!N210</f>
        <v/>
      </c>
      <c r="K293" t="str">
        <f>Parts1!O210</f>
        <v>6mm x 6mm</v>
      </c>
      <c r="L293" t="str">
        <f>Parts1!P210</f>
        <v>667-EVQ-Q2K01W</v>
      </c>
      <c r="M293" s="51" t="str">
        <f>Parts1!Q210</f>
        <v>Panasonic EVQ-Q2K01W</v>
      </c>
      <c r="N293" s="58">
        <v>5.0</v>
      </c>
      <c r="O293" s="52" t="str">
        <f t="shared" si="2"/>
        <v>A</v>
      </c>
      <c r="P293" s="52" t="str">
        <f t="shared" si="5"/>
        <v/>
      </c>
      <c r="Q293" s="52">
        <f t="shared" si="4"/>
        <v>5</v>
      </c>
      <c r="R293" s="52" t="b">
        <f t="shared" si="6"/>
        <v>1</v>
      </c>
    </row>
    <row r="294">
      <c r="B294" s="20" t="str">
        <f>IFERROR(__xludf.DUMMYFUNCTION("if(exact($E294, """"), """", iferror(regexextract($F294, ""^(?:- )?([A-Z]+)""), ""?""))"),"SW")</f>
        <v>SW</v>
      </c>
      <c r="C294" s="61" t="str">
        <f t="shared" si="3"/>
        <v>667-EVQ-Q2K01W</v>
      </c>
      <c r="D294" t="str">
        <f>Parts1!H253</f>
        <v>Frames v0.3</v>
      </c>
      <c r="E294" t="str">
        <f>Parts1!I253</f>
        <v>S</v>
      </c>
      <c r="F294" t="str">
        <f>Parts1!J253</f>
        <v>SW1, SW2</v>
      </c>
      <c r="G294">
        <f>Parts1!K253</f>
        <v>2</v>
      </c>
      <c r="H294" t="str">
        <f>Parts1!L253</f>
        <v>Switch, 6mm, SMT</v>
      </c>
      <c r="I294" t="str">
        <f>Parts1!M253</f>
        <v/>
      </c>
      <c r="J294" s="59" t="str">
        <f>Parts1!N253</f>
        <v/>
      </c>
      <c r="K294" s="59" t="str">
        <f>Parts1!O253</f>
        <v>6mm x 6mm</v>
      </c>
      <c r="L294" s="62" t="str">
        <f>Parts1!P253</f>
        <v>667-EVQ-Q2K01W</v>
      </c>
      <c r="M294" s="51" t="str">
        <f>Parts1!Q253</f>
        <v>Panasonic EVQ-Q2K01W</v>
      </c>
      <c r="N294" s="58">
        <v>6.0</v>
      </c>
      <c r="O294" s="52" t="str">
        <f t="shared" si="2"/>
        <v>A</v>
      </c>
      <c r="P294" s="52" t="str">
        <f t="shared" si="5"/>
        <v/>
      </c>
      <c r="Q294" s="52">
        <f t="shared" si="4"/>
        <v>4</v>
      </c>
      <c r="R294" s="52" t="b">
        <f t="shared" si="6"/>
        <v>1</v>
      </c>
    </row>
    <row r="295">
      <c r="B295" s="20" t="str">
        <f>IFERROR(__xludf.DUMMYFUNCTION("if(exact($E295, """"), """", iferror(regexextract($F295, ""^(?:- )?([A-Z]+)""), ""?""))"),"SW")</f>
        <v>SW</v>
      </c>
      <c r="C295" s="61" t="str">
        <f t="shared" si="3"/>
        <v>667-EVQ-Q2K01W</v>
      </c>
      <c r="D295" t="str">
        <f>Parts1!H346</f>
        <v>Peaks v3.1</v>
      </c>
      <c r="E295" t="str">
        <f>Parts1!I346</f>
        <v>S</v>
      </c>
      <c r="F295" t="str">
        <f>Parts1!J346</f>
        <v>SW3, SW5</v>
      </c>
      <c r="G295">
        <f>Parts1!K346</f>
        <v>2</v>
      </c>
      <c r="H295" t="str">
        <f>Parts1!L346</f>
        <v>Switch, 6mm, SMT</v>
      </c>
      <c r="I295" t="str">
        <f>Parts1!M346</f>
        <v/>
      </c>
      <c r="J295" s="59" t="str">
        <f>Parts1!N346</f>
        <v/>
      </c>
      <c r="K295" t="str">
        <f>Parts1!O346</f>
        <v>6mm x 6mm</v>
      </c>
      <c r="L295" s="62" t="str">
        <f>Parts1!P346</f>
        <v>667-EVQ-Q2K01W</v>
      </c>
      <c r="M295" s="51" t="str">
        <f>Parts1!Q346</f>
        <v>Panasonic EVQ-Q2K01W</v>
      </c>
      <c r="N295" s="58">
        <v>9.0</v>
      </c>
      <c r="O295" s="52" t="str">
        <f t="shared" si="2"/>
        <v>A</v>
      </c>
      <c r="P295" s="52" t="str">
        <f t="shared" si="5"/>
        <v/>
      </c>
      <c r="Q295" s="52">
        <f t="shared" si="4"/>
        <v>3</v>
      </c>
      <c r="R295" s="52" t="b">
        <f t="shared" si="6"/>
        <v>1</v>
      </c>
    </row>
    <row r="296">
      <c r="B296" s="20" t="str">
        <f>IFERROR(__xludf.DUMMYFUNCTION("if(exact($E296, """"), """", iferror(regexextract($F296, ""^(?:- )?([A-Z]+)""), ""?""))"),"SW")</f>
        <v>SW</v>
      </c>
      <c r="C296" s="57" t="str">
        <f t="shared" si="3"/>
        <v>667-EVQ-Q2K01W</v>
      </c>
      <c r="D296" t="str">
        <f>Parts1!H401</f>
        <v>Rings v3.0</v>
      </c>
      <c r="E296" t="str">
        <f>Parts1!I401</f>
        <v>S</v>
      </c>
      <c r="F296" t="str">
        <f>Parts1!J401</f>
        <v>SW3, SW4</v>
      </c>
      <c r="G296">
        <f>Parts1!K401</f>
        <v>2</v>
      </c>
      <c r="H296" t="str">
        <f>Parts1!L401</f>
        <v>Switch, 6mm, SMT</v>
      </c>
      <c r="I296" t="str">
        <f>Parts1!M401</f>
        <v/>
      </c>
      <c r="J296" t="str">
        <f>Parts1!N401</f>
        <v/>
      </c>
      <c r="K296" t="str">
        <f>Parts1!O401</f>
        <v>6mm x 6mm</v>
      </c>
      <c r="L296" t="str">
        <f>Parts1!P401</f>
        <v>667-EVQ-Q2K01W</v>
      </c>
      <c r="M296" s="51" t="str">
        <f>Parts1!Q401</f>
        <v>Panasonic EVQ-Q2K01W</v>
      </c>
      <c r="N296" s="58">
        <v>10.0</v>
      </c>
      <c r="O296" s="52" t="str">
        <f t="shared" si="2"/>
        <v>A</v>
      </c>
      <c r="P296" s="52" t="str">
        <f t="shared" si="5"/>
        <v/>
      </c>
      <c r="Q296" s="52">
        <f t="shared" si="4"/>
        <v>2</v>
      </c>
      <c r="R296" s="52" t="b">
        <f t="shared" si="6"/>
        <v>1</v>
      </c>
    </row>
    <row r="297">
      <c r="B297" s="20" t="str">
        <f>IFERROR(__xludf.DUMMYFUNCTION("if(exact($E297, """"), """", iferror(regexextract($F297, ""^(?:- )?([A-Z]+)""), ""?""))"),"SW")</f>
        <v>SW</v>
      </c>
      <c r="C297" s="61" t="str">
        <f t="shared" si="3"/>
        <v>667-EVQ-Q2K01W</v>
      </c>
      <c r="D297" t="str">
        <f>Parts1!H615</f>
        <v>Tides v4.0</v>
      </c>
      <c r="E297" t="str">
        <f>Parts1!I615</f>
        <v>S</v>
      </c>
      <c r="F297" t="str">
        <f>Parts1!J615</f>
        <v>SW1, SW2</v>
      </c>
      <c r="G297">
        <f>Parts1!K615</f>
        <v>2</v>
      </c>
      <c r="H297" t="str">
        <f>Parts1!L615</f>
        <v>Switch, 6mm, SMT</v>
      </c>
      <c r="I297" t="str">
        <f>Parts1!M615</f>
        <v/>
      </c>
      <c r="J297" s="59" t="str">
        <f>Parts1!N615</f>
        <v/>
      </c>
      <c r="K297" s="59" t="str">
        <f>Parts1!O615</f>
        <v>6mm x 6mm</v>
      </c>
      <c r="L297" s="62" t="str">
        <f>Parts1!P615</f>
        <v>667-EVQ-Q2K01W</v>
      </c>
      <c r="M297" s="51" t="str">
        <f>Parts1!Q615</f>
        <v>Panasonic EVQ-Q2K01W</v>
      </c>
      <c r="N297" s="58">
        <v>17.0</v>
      </c>
      <c r="O297" s="52" t="str">
        <f t="shared" si="2"/>
        <v>A</v>
      </c>
      <c r="P297" s="52" t="str">
        <f t="shared" si="5"/>
        <v/>
      </c>
      <c r="Q297" s="52">
        <f t="shared" si="4"/>
        <v>1</v>
      </c>
      <c r="R297" s="52" t="b">
        <f t="shared" si="6"/>
        <v>1</v>
      </c>
    </row>
    <row r="298">
      <c r="B298" s="20" t="str">
        <f>IFERROR(__xludf.DUMMYFUNCTION("if(exact($E298, """"), """", iferror(regexextract($F298, ""^(?:- )?([A-Z]+)""), ""?""))"),"SW")</f>
        <v>SW</v>
      </c>
      <c r="C298" s="57" t="str">
        <f t="shared" si="3"/>
        <v>667-EVQ-Q2K01W</v>
      </c>
      <c r="D298" t="str">
        <f>Parts1!H664</f>
        <v>Warps v3.0</v>
      </c>
      <c r="E298" t="str">
        <f>Parts1!I664</f>
        <v>S</v>
      </c>
      <c r="F298" t="str">
        <f>Parts1!J664</f>
        <v>SW1, SW2</v>
      </c>
      <c r="G298">
        <f>Parts1!K664</f>
        <v>2</v>
      </c>
      <c r="H298" t="str">
        <f>Parts1!L664</f>
        <v>Switch, 6mm, SMT</v>
      </c>
      <c r="I298" t="str">
        <f>Parts1!M664</f>
        <v/>
      </c>
      <c r="J298" t="str">
        <f>Parts1!N664</f>
        <v/>
      </c>
      <c r="K298" t="str">
        <f>Parts1!O664</f>
        <v>6mm x 6mm</v>
      </c>
      <c r="L298" t="str">
        <f>Parts1!P664</f>
        <v>667-EVQ-Q2K01W</v>
      </c>
      <c r="M298" s="51" t="str">
        <f>Parts1!Q664</f>
        <v>Panasonic EVQ-Q2K01W</v>
      </c>
      <c r="N298" s="58">
        <v>18.0</v>
      </c>
      <c r="O298" s="52" t="str">
        <f t="shared" si="2"/>
        <v>A</v>
      </c>
      <c r="P298" s="52" t="str">
        <f t="shared" si="5"/>
        <v/>
      </c>
      <c r="Q298" s="52">
        <f t="shared" si="4"/>
        <v>0</v>
      </c>
      <c r="R298" s="52" t="b">
        <f t="shared" si="6"/>
        <v>1</v>
      </c>
    </row>
    <row r="299">
      <c r="B299" s="20" t="str">
        <f>IFERROR(__xludf.DUMMYFUNCTION("if(exact($E299, """"), """", iferror(regexextract($F299, ""^(?:- )?([A-Z]+)""), ""?""))"),"R")</f>
        <v>R</v>
      </c>
      <c r="C299" s="57" t="str">
        <f t="shared" si="3"/>
        <v>667ERA3AEB104V</v>
      </c>
      <c r="D299" t="str">
        <f>Parts1!H305</f>
        <v>Links v4</v>
      </c>
      <c r="E299" t="str">
        <f>Parts1!I305</f>
        <v>S</v>
      </c>
      <c r="F299" t="str">
        <f>Parts1!J305</f>
        <v>R6, R7, R8, R9, R10, R14, R16, R17, R18, R20</v>
      </c>
      <c r="G299">
        <f>Parts1!K305</f>
        <v>10</v>
      </c>
      <c r="H299" t="str">
        <f>Parts1!L305</f>
        <v>Resistor, 0.1%, Thin film</v>
      </c>
      <c r="I299" t="str">
        <f>Parts1!M305</f>
        <v/>
      </c>
      <c r="J299" t="str">
        <f>Parts1!N305</f>
        <v>100k</v>
      </c>
      <c r="K299" t="str">
        <f>Parts1!O305</f>
        <v>0603</v>
      </c>
      <c r="L299" t="str">
        <f>Parts1!P305</f>
        <v>667-ERA-3AEB104V</v>
      </c>
      <c r="M299" s="51" t="str">
        <f>Parts1!Q305</f>
        <v/>
      </c>
      <c r="N299" s="58">
        <v>8.0</v>
      </c>
      <c r="O299" s="52" t="str">
        <f t="shared" si="2"/>
        <v>A</v>
      </c>
      <c r="P299" s="52">
        <f t="shared" si="5"/>
        <v>1</v>
      </c>
      <c r="Q299" s="52">
        <f t="shared" si="4"/>
        <v>2</v>
      </c>
      <c r="R299" s="52" t="b">
        <f t="shared" si="6"/>
        <v>0</v>
      </c>
    </row>
    <row r="300">
      <c r="B300" s="20" t="str">
        <f>IFERROR(__xludf.DUMMYFUNCTION("if(exact($E300, """"), """", iferror(regexextract($F300, ""^(?:- )?([A-Z]+)""), ""?""))"),"R")</f>
        <v>R</v>
      </c>
      <c r="C300" s="57" t="str">
        <f t="shared" si="3"/>
        <v>667ERA3AEB104V</v>
      </c>
      <c r="D300" t="str">
        <f>Parts1!H454</f>
        <v>Shades v3.1</v>
      </c>
      <c r="E300" t="str">
        <f>Parts1!I454</f>
        <v>S</v>
      </c>
      <c r="F300" t="str">
        <f>Parts1!J454</f>
        <v>R1, R2, R5, R6, R7, R8, R9, R12, R13, R14, R15, R16, R17, R18, R19, R20, R22, R23, R25, R26</v>
      </c>
      <c r="G300">
        <f>Parts1!K454</f>
        <v>20</v>
      </c>
      <c r="H300" t="str">
        <f>Parts1!L454</f>
        <v>Resistor, 0.1% thin film</v>
      </c>
      <c r="I300" t="str">
        <f>Parts1!M454</f>
        <v/>
      </c>
      <c r="J300" t="str">
        <f>Parts1!N454</f>
        <v>100k</v>
      </c>
      <c r="K300" t="str">
        <f>Parts1!O454</f>
        <v>0603</v>
      </c>
      <c r="L300" t="str">
        <f>Parts1!P454</f>
        <v>667-ERA-3AEB104V</v>
      </c>
      <c r="M300" s="51" t="str">
        <f>Parts1!Q454</f>
        <v/>
      </c>
      <c r="N300" s="58">
        <v>12.0</v>
      </c>
      <c r="O300" s="52" t="str">
        <f t="shared" si="2"/>
        <v>A</v>
      </c>
      <c r="P300" s="52" t="str">
        <f t="shared" si="5"/>
        <v/>
      </c>
      <c r="Q300" s="52">
        <f t="shared" si="4"/>
        <v>1</v>
      </c>
      <c r="R300" s="52" t="b">
        <f t="shared" si="6"/>
        <v>0</v>
      </c>
    </row>
    <row r="301">
      <c r="B301" s="20" t="str">
        <f>IFERROR(__xludf.DUMMYFUNCTION("if(exact($E301, """"), """", iferror(regexextract($F301, ""^(?:- )?([A-Z]+)""), ""?""))"),"R")</f>
        <v>R</v>
      </c>
      <c r="C301" s="57" t="str">
        <f t="shared" si="3"/>
        <v>667ERA3AEB104V</v>
      </c>
      <c r="D301" t="str">
        <f>Parts1!H481</f>
        <v>Shelves v0.5</v>
      </c>
      <c r="E301" t="str">
        <f>Parts1!I481</f>
        <v>S</v>
      </c>
      <c r="F301" t="str">
        <f>Parts1!J481</f>
        <v>R5, R6, R7, R8, R9, R10, R11, R12, R15, R16, R17, R18, R19, R32, R33, R35, R37, R38, R39, R40,
R41, R43, R47, R48, R49, R52, R53, R55, R58, R59, R66, R67, R71, R72, R73, R74, R75, R76, R77, R81,
R82, R83, R86, R87, R88, R91, R92, R98, R99, R102, R103, R104, R105, R108, R109, R110, R114, R115, R117, R118,
R120, R121, R122</v>
      </c>
      <c r="G301">
        <f>Parts1!K481</f>
        <v>63</v>
      </c>
      <c r="H301" t="str">
        <f>Parts1!L481</f>
        <v>Resistor, 0.1%, thin film</v>
      </c>
      <c r="I301" t="str">
        <f>Parts1!M481</f>
        <v/>
      </c>
      <c r="J301" t="str">
        <f>Parts1!N481</f>
        <v>100k</v>
      </c>
      <c r="K301" t="str">
        <f>Parts1!O481</f>
        <v>0603</v>
      </c>
      <c r="L301" t="str">
        <f>Parts1!P481</f>
        <v>667-ERA-3AEB104V</v>
      </c>
      <c r="M301" s="51" t="str">
        <f>Parts1!Q481</f>
        <v>Panasonic ERA-3AEB104V</v>
      </c>
      <c r="N301" s="58">
        <v>13.0</v>
      </c>
      <c r="O301" s="52" t="str">
        <f t="shared" si="2"/>
        <v>A</v>
      </c>
      <c r="P301" s="52" t="str">
        <f t="shared" si="5"/>
        <v/>
      </c>
      <c r="Q301" s="52">
        <f t="shared" si="4"/>
        <v>0</v>
      </c>
      <c r="R301" s="52" t="b">
        <f t="shared" si="6"/>
        <v>0</v>
      </c>
    </row>
    <row r="302">
      <c r="B302" s="20" t="str">
        <f>IFERROR(__xludf.DUMMYFUNCTION("if(exact($E302, """"), """", iferror(regexextract($F302, ""^(?:- )?([A-Z]+)""), ""?""))"),"R")</f>
        <v>R</v>
      </c>
      <c r="C302" s="57" t="str">
        <f t="shared" si="3"/>
        <v>667ERJ3EKF1000V</v>
      </c>
      <c r="D302" t="str">
        <f>Parts1!H7</f>
        <v>Braids v5.1</v>
      </c>
      <c r="E302" t="str">
        <f>Parts1!I7</f>
        <v>S</v>
      </c>
      <c r="F302" t="str">
        <f>Parts1!J7</f>
        <v>R4, R5, R6, R7, R8, R9, R10, R12, R13, R14, R15, R16, R17, R18</v>
      </c>
      <c r="G302">
        <f>Parts1!K7</f>
        <v>14</v>
      </c>
      <c r="H302" t="str">
        <f>Parts1!L7</f>
        <v>Resistor, 1%</v>
      </c>
      <c r="I302" t="str">
        <f>Parts1!M7</f>
        <v/>
      </c>
      <c r="J302">
        <f>Parts1!N7</f>
        <v>100</v>
      </c>
      <c r="K302" t="str">
        <f>Parts1!O7</f>
        <v>0603</v>
      </c>
      <c r="L302" t="str">
        <f>Parts1!P7</f>
        <v>667-ERJ3EKF1000V</v>
      </c>
      <c r="M302" s="51" t="str">
        <f>Parts1!Q7</f>
        <v/>
      </c>
      <c r="N302" s="58">
        <v>1.0</v>
      </c>
      <c r="O302" s="52" t="str">
        <f t="shared" si="2"/>
        <v>A</v>
      </c>
      <c r="P302" s="52">
        <f t="shared" si="5"/>
        <v>1</v>
      </c>
      <c r="Q302" s="52">
        <f t="shared" si="4"/>
        <v>3</v>
      </c>
      <c r="R302" s="52" t="b">
        <f t="shared" si="6"/>
        <v>1</v>
      </c>
    </row>
    <row r="303">
      <c r="B303" s="20" t="str">
        <f>IFERROR(__xludf.DUMMYFUNCTION("if(exact($E303, """"), """", iferror(regexextract($F303, ""^(?:- )?([A-Z]+)""), ""?""))"),"R")</f>
        <v>R</v>
      </c>
      <c r="C303" s="57" t="str">
        <f t="shared" si="3"/>
        <v>667ERJ3EKF1000V</v>
      </c>
      <c r="D303" t="str">
        <f>Parts1!H131</f>
        <v>Edges v2.0</v>
      </c>
      <c r="E303" t="str">
        <f>Parts1!I131</f>
        <v>S</v>
      </c>
      <c r="F303" t="str">
        <f>Parts1!J131</f>
        <v>R71, R72, R73, R74</v>
      </c>
      <c r="G303">
        <f>Parts1!K131</f>
        <v>4</v>
      </c>
      <c r="H303" t="str">
        <f>Parts1!L131</f>
        <v>Resistor, 1%</v>
      </c>
      <c r="I303" t="str">
        <f>Parts1!M131</f>
        <v/>
      </c>
      <c r="J303">
        <f>Parts1!N131</f>
        <v>100</v>
      </c>
      <c r="K303" t="str">
        <f>Parts1!O131</f>
        <v>0603</v>
      </c>
      <c r="L303" t="str">
        <f>Parts1!P131</f>
        <v>667-ERJ3EKF1000V</v>
      </c>
      <c r="M303" s="51" t="str">
        <f>Parts1!Q131</f>
        <v/>
      </c>
      <c r="N303" s="58">
        <v>4.0</v>
      </c>
      <c r="O303" s="52" t="str">
        <f t="shared" si="2"/>
        <v>A</v>
      </c>
      <c r="P303" s="52" t="str">
        <f t="shared" si="5"/>
        <v/>
      </c>
      <c r="Q303" s="52">
        <f t="shared" si="4"/>
        <v>2</v>
      </c>
      <c r="R303" s="52" t="b">
        <f t="shared" si="6"/>
        <v>1</v>
      </c>
    </row>
    <row r="304">
      <c r="B304" s="20" t="str">
        <f>IFERROR(__xludf.DUMMYFUNCTION("if(exact($E304, """"), """", iferror(regexextract($F304, ""^(?:- )?([A-Z]+)""), ""?""))"),"R")</f>
        <v>R</v>
      </c>
      <c r="C304" s="57" t="str">
        <f t="shared" si="3"/>
        <v>667ERJ3EKF1000V</v>
      </c>
      <c r="D304" t="str">
        <f>Parts1!H272</f>
        <v>Grids v0.2</v>
      </c>
      <c r="E304" t="str">
        <f>Parts1!I272</f>
        <v>S</v>
      </c>
      <c r="F304" t="str">
        <f>Parts1!J272</f>
        <v>R4, R39, R40, R41</v>
      </c>
      <c r="G304" s="65">
        <f>Parts1!K272</f>
        <v>4</v>
      </c>
      <c r="H304" t="str">
        <f>Parts1!L272</f>
        <v>Resistor, 1%</v>
      </c>
      <c r="I304" t="str">
        <f>Parts1!M272</f>
        <v/>
      </c>
      <c r="J304">
        <f>Parts1!N272</f>
        <v>100</v>
      </c>
      <c r="K304" s="59" t="str">
        <f>Parts1!O272</f>
        <v>0603</v>
      </c>
      <c r="L304" s="62" t="str">
        <f>Parts1!P272</f>
        <v>667-ERJ3EKF1000V</v>
      </c>
      <c r="M304" s="51" t="str">
        <f>Parts1!Q272</f>
        <v/>
      </c>
      <c r="N304" s="58">
        <v>7.0</v>
      </c>
      <c r="O304" s="52" t="str">
        <f t="shared" si="2"/>
        <v>A</v>
      </c>
      <c r="P304" s="52" t="str">
        <f t="shared" si="5"/>
        <v/>
      </c>
      <c r="Q304" s="52">
        <f t="shared" si="4"/>
        <v>1</v>
      </c>
      <c r="R304" s="52" t="b">
        <f t="shared" si="6"/>
        <v>1</v>
      </c>
    </row>
    <row r="305">
      <c r="B305" s="20" t="str">
        <f>IFERROR(__xludf.DUMMYFUNCTION("if(exact($E305, """"), """", iferror(regexextract($F305, ""^(?:- )?([A-Z]+)""), ""?""))"),"R")</f>
        <v>R</v>
      </c>
      <c r="C305" s="57" t="str">
        <f t="shared" si="3"/>
        <v>667ERJ3EKF1000V</v>
      </c>
      <c r="D305" t="str">
        <f>Parts1!H631</f>
        <v>Warps v3.0</v>
      </c>
      <c r="E305" t="str">
        <f>Parts1!I631</f>
        <v>S</v>
      </c>
      <c r="F305" t="str">
        <f>Parts1!J631</f>
        <v>R3, R4, R5</v>
      </c>
      <c r="G305">
        <f>Parts1!K631</f>
        <v>3</v>
      </c>
      <c r="H305" t="str">
        <f>Parts1!L631</f>
        <v>Resistor, 1%</v>
      </c>
      <c r="I305" t="str">
        <f>Parts1!M631</f>
        <v/>
      </c>
      <c r="J305">
        <f>Parts1!N631</f>
        <v>100</v>
      </c>
      <c r="K305" t="str">
        <f>Parts1!O631</f>
        <v>0603</v>
      </c>
      <c r="L305" t="str">
        <f>Parts1!P631</f>
        <v>667-ERJ-3EKF1000V</v>
      </c>
      <c r="M305" s="51" t="str">
        <f>Parts1!Q631</f>
        <v/>
      </c>
      <c r="N305" s="58">
        <v>18.0</v>
      </c>
      <c r="O305" s="52" t="str">
        <f t="shared" si="2"/>
        <v>A</v>
      </c>
      <c r="P305" s="52" t="str">
        <f t="shared" si="5"/>
        <v/>
      </c>
      <c r="Q305" s="52">
        <f t="shared" si="4"/>
        <v>0</v>
      </c>
      <c r="R305" s="52" t="b">
        <f t="shared" si="6"/>
        <v>1</v>
      </c>
    </row>
    <row r="306">
      <c r="B306" s="20" t="str">
        <f>IFERROR(__xludf.DUMMYFUNCTION("if(exact($E306, """"), """", iferror(regexextract($F306, ""^(?:- )?([A-Z]+)""), ""?""))"),"R")</f>
        <v>R</v>
      </c>
      <c r="C306" s="57" t="str">
        <f t="shared" si="3"/>
        <v>667ERJ3EKF1001V</v>
      </c>
      <c r="D306" t="str">
        <f>Parts1!H9</f>
        <v>Braids v5.1</v>
      </c>
      <c r="E306" t="str">
        <f>Parts1!I9</f>
        <v>S</v>
      </c>
      <c r="F306" t="str">
        <f>Parts1!J9</f>
        <v>R1, R2, R3, R11, R23, R55</v>
      </c>
      <c r="G306">
        <f>Parts1!K9</f>
        <v>6</v>
      </c>
      <c r="H306" t="str">
        <f>Parts1!L9</f>
        <v>Resistor, 1%</v>
      </c>
      <c r="I306" t="str">
        <f>Parts1!M9</f>
        <v/>
      </c>
      <c r="J306" t="str">
        <f>Parts1!N9</f>
        <v>1k</v>
      </c>
      <c r="K306" t="str">
        <f>Parts1!O9</f>
        <v>0603</v>
      </c>
      <c r="L306" t="str">
        <f>Parts1!P9</f>
        <v>667-ERJ3EKF1001V</v>
      </c>
      <c r="M306" s="51" t="str">
        <f>Parts1!Q9</f>
        <v/>
      </c>
      <c r="N306" s="58">
        <v>1.0</v>
      </c>
      <c r="O306" s="52" t="str">
        <f t="shared" si="2"/>
        <v>A</v>
      </c>
      <c r="P306" s="52">
        <f t="shared" si="5"/>
        <v>1</v>
      </c>
      <c r="Q306" s="52">
        <f t="shared" si="4"/>
        <v>13</v>
      </c>
      <c r="R306" s="52" t="b">
        <f t="shared" si="6"/>
        <v>0</v>
      </c>
    </row>
    <row r="307">
      <c r="B307" s="20" t="str">
        <f>IFERROR(__xludf.DUMMYFUNCTION("if(exact($E307, """"), """", iferror(regexextract($F307, ""^(?:- )?([A-Z]+)""), ""?""))"),"R")</f>
        <v>R</v>
      </c>
      <c r="C307" s="57" t="str">
        <f t="shared" si="3"/>
        <v>667ERJ3EKF1001V</v>
      </c>
      <c r="D307" t="str">
        <f>Parts1!H53</f>
        <v>Branches v4.0</v>
      </c>
      <c r="E307" t="str">
        <f>Parts1!I53</f>
        <v>S</v>
      </c>
      <c r="F307" t="str">
        <f>Parts1!J53</f>
        <v>R12, R13, R16, R17</v>
      </c>
      <c r="G307" s="65">
        <f>Parts1!K53</f>
        <v>4</v>
      </c>
      <c r="H307" t="str">
        <f>Parts1!L53</f>
        <v>Resistor, 1%</v>
      </c>
      <c r="I307" t="str">
        <f>Parts1!M53</f>
        <v/>
      </c>
      <c r="J307" t="str">
        <f>Parts1!N53</f>
        <v>1k</v>
      </c>
      <c r="K307" t="str">
        <f>Parts1!O53</f>
        <v>0603</v>
      </c>
      <c r="L307" s="66" t="str">
        <f>Parts1!P53</f>
        <v>667-ERJ-3EKF1001V</v>
      </c>
      <c r="M307" s="51" t="str">
        <f>Parts1!Q53</f>
        <v/>
      </c>
      <c r="N307" s="58">
        <v>2.0</v>
      </c>
      <c r="O307" s="52" t="str">
        <f t="shared" si="2"/>
        <v>A</v>
      </c>
      <c r="P307" s="52" t="str">
        <f t="shared" si="5"/>
        <v/>
      </c>
      <c r="Q307" s="52">
        <f t="shared" si="4"/>
        <v>12</v>
      </c>
      <c r="R307" s="52" t="b">
        <f t="shared" si="6"/>
        <v>0</v>
      </c>
    </row>
    <row r="308">
      <c r="B308" s="20" t="str">
        <f>IFERROR(__xludf.DUMMYFUNCTION("if(exact($E308, """"), """", iferror(regexextract($F308, ""^(?:- )?([A-Z]+)""), ""?""))"),"R")</f>
        <v>R</v>
      </c>
      <c r="C308" s="57" t="str">
        <f t="shared" si="3"/>
        <v>667ERJ3EKF1001V</v>
      </c>
      <c r="D308" t="str">
        <f>Parts1!H81</f>
        <v>Clouds v3.0</v>
      </c>
      <c r="E308" t="str">
        <f>Parts1!I81</f>
        <v>S</v>
      </c>
      <c r="F308" t="str">
        <f>Parts1!J81</f>
        <v>R61, R62</v>
      </c>
      <c r="G308">
        <f>Parts1!K81</f>
        <v>2</v>
      </c>
      <c r="H308" t="str">
        <f>Parts1!L81</f>
        <v>Resistor, 1%</v>
      </c>
      <c r="I308" t="str">
        <f>Parts1!M81</f>
        <v/>
      </c>
      <c r="J308" t="str">
        <f>Parts1!N81</f>
        <v>1.0k</v>
      </c>
      <c r="K308" s="59" t="str">
        <f>Parts1!O81</f>
        <v>0603</v>
      </c>
      <c r="L308" t="str">
        <f>Parts1!P81</f>
        <v>667-ERJ-3EKF1001V</v>
      </c>
      <c r="M308" s="51" t="str">
        <f>Parts1!Q81</f>
        <v/>
      </c>
      <c r="N308" s="58">
        <v>3.0</v>
      </c>
      <c r="O308" s="52" t="str">
        <f t="shared" si="2"/>
        <v>A</v>
      </c>
      <c r="P308" s="52" t="str">
        <f t="shared" si="5"/>
        <v/>
      </c>
      <c r="Q308" s="52">
        <f t="shared" si="4"/>
        <v>11</v>
      </c>
      <c r="R308" s="52" t="b">
        <f t="shared" si="6"/>
        <v>0</v>
      </c>
    </row>
    <row r="309">
      <c r="B309" s="20" t="str">
        <f>IFERROR(__xludf.DUMMYFUNCTION("if(exact($E309, """"), """", iferror(regexextract($F309, ""^(?:- )?([A-Z]+)""), ""?""))"),"R")</f>
        <v>R</v>
      </c>
      <c r="C309" s="57" t="str">
        <f t="shared" si="3"/>
        <v>667ERJ3EKF1001V</v>
      </c>
      <c r="D309" t="str">
        <f>Parts1!H133</f>
        <v>Edges v2.0</v>
      </c>
      <c r="E309" t="str">
        <f>Parts1!I133</f>
        <v>S</v>
      </c>
      <c r="F309" t="str">
        <f>Parts1!J133</f>
        <v>R6, R7, R20, R33, R43, R49, R62</v>
      </c>
      <c r="G309">
        <f>Parts1!K133</f>
        <v>7</v>
      </c>
      <c r="H309" t="str">
        <f>Parts1!L133</f>
        <v>Resistor, 1%</v>
      </c>
      <c r="I309" t="str">
        <f>Parts1!M133</f>
        <v/>
      </c>
      <c r="J309" t="str">
        <f>Parts1!N133</f>
        <v>1k</v>
      </c>
      <c r="K309" t="str">
        <f>Parts1!O133</f>
        <v>0603</v>
      </c>
      <c r="L309" t="str">
        <f>Parts1!P133</f>
        <v>667-ERJ3EKF1001V</v>
      </c>
      <c r="M309" s="51" t="str">
        <f>Parts1!Q133</f>
        <v/>
      </c>
      <c r="N309" s="58">
        <v>4.0</v>
      </c>
      <c r="O309" s="52" t="str">
        <f t="shared" si="2"/>
        <v>A</v>
      </c>
      <c r="P309" s="52" t="str">
        <f t="shared" si="5"/>
        <v/>
      </c>
      <c r="Q309" s="52">
        <f t="shared" si="4"/>
        <v>10</v>
      </c>
      <c r="R309" s="52" t="b">
        <f t="shared" si="6"/>
        <v>0</v>
      </c>
    </row>
    <row r="310">
      <c r="B310" s="20" t="str">
        <f>IFERROR(__xludf.DUMMYFUNCTION("if(exact($E310, """"), """", iferror(regexextract($F310, ""^(?:- )?([A-Z]+)""), ""?""))"),"R")</f>
        <v>R</v>
      </c>
      <c r="C310" s="57" t="str">
        <f t="shared" si="3"/>
        <v>667ERJ3EKF1001V</v>
      </c>
      <c r="D310" t="str">
        <f>Parts1!H178</f>
        <v>Elements v0.21</v>
      </c>
      <c r="E310" t="str">
        <f>Parts1!I178</f>
        <v>S</v>
      </c>
      <c r="F310" t="str">
        <f>Parts1!J178</f>
        <v>R1, R2, R88, R89</v>
      </c>
      <c r="G310">
        <f>Parts1!K178</f>
        <v>4</v>
      </c>
      <c r="H310" t="str">
        <f>Parts1!L178</f>
        <v>Resistor, 1%</v>
      </c>
      <c r="I310" t="str">
        <f>Parts1!M178</f>
        <v/>
      </c>
      <c r="J310" t="str">
        <f>Parts1!N178</f>
        <v>1.0k</v>
      </c>
      <c r="K310" t="str">
        <f>Parts1!O178</f>
        <v>0603</v>
      </c>
      <c r="L310" t="str">
        <f>Parts1!P178</f>
        <v>667-ERJ-3EKF1001V</v>
      </c>
      <c r="M310" s="51" t="str">
        <f>Parts1!Q178</f>
        <v/>
      </c>
      <c r="N310" s="58">
        <v>5.0</v>
      </c>
      <c r="O310" s="52" t="str">
        <f t="shared" si="2"/>
        <v>A</v>
      </c>
      <c r="P310" s="52" t="str">
        <f t="shared" si="5"/>
        <v/>
      </c>
      <c r="Q310" s="52">
        <f t="shared" si="4"/>
        <v>9</v>
      </c>
      <c r="R310" s="52" t="b">
        <f t="shared" si="6"/>
        <v>0</v>
      </c>
    </row>
    <row r="311">
      <c r="B311" s="20" t="str">
        <f>IFERROR(__xludf.DUMMYFUNCTION("if(exact($E311, """"), """", iferror(regexextract($F311, ""^(?:- )?([A-Z]+)""), ""?""))"),"R")</f>
        <v>R</v>
      </c>
      <c r="C311" s="57" t="str">
        <f t="shared" si="3"/>
        <v>667ERJ3EKF1001V</v>
      </c>
      <c r="D311" t="str">
        <f>Parts1!H273</f>
        <v>Grids v0.2</v>
      </c>
      <c r="E311" t="str">
        <f>Parts1!I273</f>
        <v>S</v>
      </c>
      <c r="F311" t="str">
        <f>Parts1!J273</f>
        <v>R43, R44, R45, R47, R48, R49</v>
      </c>
      <c r="G311" s="65">
        <f>Parts1!K273</f>
        <v>6</v>
      </c>
      <c r="H311" t="str">
        <f>Parts1!L273</f>
        <v>Resistor, 1%</v>
      </c>
      <c r="I311" t="str">
        <f>Parts1!M273</f>
        <v/>
      </c>
      <c r="J311" t="str">
        <f>Parts1!N273</f>
        <v>1k</v>
      </c>
      <c r="K311" s="59" t="str">
        <f>Parts1!O273</f>
        <v>0603</v>
      </c>
      <c r="L311" t="str">
        <f>Parts1!P273</f>
        <v>667-ERJ3EKF1001V</v>
      </c>
      <c r="M311" s="51" t="str">
        <f>Parts1!Q273</f>
        <v/>
      </c>
      <c r="N311" s="58">
        <v>7.0</v>
      </c>
      <c r="O311" s="52" t="str">
        <f t="shared" si="2"/>
        <v>A</v>
      </c>
      <c r="P311" s="52" t="str">
        <f t="shared" si="5"/>
        <v/>
      </c>
      <c r="Q311" s="52">
        <f t="shared" si="4"/>
        <v>8</v>
      </c>
      <c r="R311" s="52" t="b">
        <f t="shared" si="6"/>
        <v>0</v>
      </c>
    </row>
    <row r="312">
      <c r="B312" s="20" t="str">
        <f>IFERROR(__xludf.DUMMYFUNCTION("if(exact($E312, """"), """", iferror(regexextract($F312, ""^(?:- )?([A-Z]+)""), ""?""))"),"R")</f>
        <v>R</v>
      </c>
      <c r="C312" s="57" t="str">
        <f t="shared" si="3"/>
        <v>667ERJ3EKF1001V</v>
      </c>
      <c r="D312" t="str">
        <f>Parts1!H303</f>
        <v>Links v4</v>
      </c>
      <c r="E312" t="str">
        <f>Parts1!I303</f>
        <v>S</v>
      </c>
      <c r="F312" t="str">
        <f>Parts1!J303</f>
        <v>R3, R11, R19</v>
      </c>
      <c r="G312">
        <f>Parts1!K303</f>
        <v>3</v>
      </c>
      <c r="H312" t="str">
        <f>Parts1!L303</f>
        <v>Resistor, 1%</v>
      </c>
      <c r="I312" t="str">
        <f>Parts1!M303</f>
        <v/>
      </c>
      <c r="J312" t="str">
        <f>Parts1!N303</f>
        <v>1.0k</v>
      </c>
      <c r="K312" t="str">
        <f>Parts1!O303</f>
        <v>0603</v>
      </c>
      <c r="L312" t="str">
        <f>Parts1!P303</f>
        <v>667-ERJ3-EKF1001V</v>
      </c>
      <c r="M312" s="51" t="str">
        <f>Parts1!Q303</f>
        <v/>
      </c>
      <c r="N312" s="58">
        <v>8.0</v>
      </c>
      <c r="O312" s="52" t="str">
        <f t="shared" si="2"/>
        <v>A</v>
      </c>
      <c r="P312" s="52" t="str">
        <f t="shared" si="5"/>
        <v/>
      </c>
      <c r="Q312" s="52">
        <f t="shared" si="4"/>
        <v>7</v>
      </c>
      <c r="R312" s="52" t="b">
        <f t="shared" si="6"/>
        <v>0</v>
      </c>
    </row>
    <row r="313">
      <c r="B313" s="20" t="str">
        <f>IFERROR(__xludf.DUMMYFUNCTION("if(exact($E313, """"), """", iferror(regexextract($F313, ""^(?:- )?([A-Z]+)""), ""?""))"),"R")</f>
        <v>R</v>
      </c>
      <c r="C313" s="57" t="str">
        <f t="shared" si="3"/>
        <v>667ERJ3EKF1001V</v>
      </c>
      <c r="D313" t="str">
        <f>Parts1!H364</f>
        <v>Rings v3.0</v>
      </c>
      <c r="E313" t="str">
        <f>Parts1!I364</f>
        <v>S</v>
      </c>
      <c r="F313" t="str">
        <f>Parts1!J364</f>
        <v>R55, R56</v>
      </c>
      <c r="G313">
        <f>Parts1!K364</f>
        <v>2</v>
      </c>
      <c r="H313" t="str">
        <f>Parts1!L364</f>
        <v>Resistor, 1%</v>
      </c>
      <c r="I313" t="str">
        <f>Parts1!M364</f>
        <v/>
      </c>
      <c r="J313" t="str">
        <f>Parts1!N364</f>
        <v>1.0k</v>
      </c>
      <c r="K313" s="59" t="str">
        <f>Parts1!O364</f>
        <v>0603</v>
      </c>
      <c r="L313" t="str">
        <f>Parts1!P364</f>
        <v>667-ERJ-3EKF1001V</v>
      </c>
      <c r="M313" s="51" t="str">
        <f>Parts1!Q364</f>
        <v/>
      </c>
      <c r="N313" s="58">
        <v>10.0</v>
      </c>
      <c r="O313" s="52" t="str">
        <f t="shared" si="2"/>
        <v>A</v>
      </c>
      <c r="P313" s="52" t="str">
        <f t="shared" si="5"/>
        <v/>
      </c>
      <c r="Q313" s="52">
        <f t="shared" si="4"/>
        <v>6</v>
      </c>
      <c r="R313" s="52" t="b">
        <f t="shared" si="6"/>
        <v>0</v>
      </c>
    </row>
    <row r="314">
      <c r="B314" s="20" t="str">
        <f>IFERROR(__xludf.DUMMYFUNCTION("if(exact($E314, """"), """", iferror(regexextract($F314, ""^(?:- )?([A-Z]+)""), ""?""))"),"R")</f>
        <v>R</v>
      </c>
      <c r="C314" s="57" t="str">
        <f t="shared" si="3"/>
        <v>667ERJ3EKF1001V</v>
      </c>
      <c r="D314" t="str">
        <f>Parts1!H416</f>
        <v>Ripples v4.0</v>
      </c>
      <c r="E314" t="str">
        <f>Parts1!I416</f>
        <v>S</v>
      </c>
      <c r="F314" t="str">
        <f>Parts1!J416</f>
        <v>R14, R17, R19, R21, R28, R32, R41, R46</v>
      </c>
      <c r="G314">
        <f>Parts1!K416</f>
        <v>8</v>
      </c>
      <c r="H314" t="str">
        <f>Parts1!L416</f>
        <v>Resistor, 1%</v>
      </c>
      <c r="I314" t="str">
        <f>Parts1!M416</f>
        <v/>
      </c>
      <c r="J314" s="59" t="str">
        <f>Parts1!N416</f>
        <v>1.0k</v>
      </c>
      <c r="K314" s="59" t="str">
        <f>Parts1!O416</f>
        <v>0603</v>
      </c>
      <c r="L314" t="str">
        <f>Parts1!P416</f>
        <v>667-ERJ3EKF1001V</v>
      </c>
      <c r="M314" s="51" t="str">
        <f>Parts1!Q416</f>
        <v/>
      </c>
      <c r="N314" s="58">
        <v>11.0</v>
      </c>
      <c r="O314" s="52" t="str">
        <f t="shared" si="2"/>
        <v>A</v>
      </c>
      <c r="P314" s="52" t="str">
        <f t="shared" si="5"/>
        <v/>
      </c>
      <c r="Q314" s="52">
        <f t="shared" si="4"/>
        <v>5</v>
      </c>
      <c r="R314" s="52" t="b">
        <f t="shared" si="6"/>
        <v>0</v>
      </c>
    </row>
    <row r="315">
      <c r="B315" s="20" t="str">
        <f>IFERROR(__xludf.DUMMYFUNCTION("if(exact($E315, """"), """", iferror(regexextract($F315, ""^(?:- )?([A-Z]+)""), ""?""))"),"R")</f>
        <v>R</v>
      </c>
      <c r="C315" s="57" t="str">
        <f t="shared" si="3"/>
        <v>667ERJ3EKF1001V</v>
      </c>
      <c r="D315" t="str">
        <f>Parts1!H452</f>
        <v>Shades v3.1</v>
      </c>
      <c r="E315" t="str">
        <f>Parts1!I452</f>
        <v>S</v>
      </c>
      <c r="F315" t="str">
        <f>Parts1!J452</f>
        <v>R4, R11, R24, R28, R29, R30</v>
      </c>
      <c r="G315">
        <f>Parts1!K452</f>
        <v>6</v>
      </c>
      <c r="H315" t="str">
        <f>Parts1!L452</f>
        <v>Resistor, 1%</v>
      </c>
      <c r="I315" t="str">
        <f>Parts1!M452</f>
        <v/>
      </c>
      <c r="J315" s="59" t="str">
        <f>Parts1!N452</f>
        <v>1.0k</v>
      </c>
      <c r="K315" t="str">
        <f>Parts1!O452</f>
        <v>0603</v>
      </c>
      <c r="L315" s="66" t="str">
        <f>Parts1!P452</f>
        <v>667-ERJ3-EKF1001V</v>
      </c>
      <c r="M315" s="51" t="str">
        <f>Parts1!Q452</f>
        <v/>
      </c>
      <c r="N315" s="58">
        <v>12.0</v>
      </c>
      <c r="O315" s="52" t="str">
        <f t="shared" si="2"/>
        <v>A</v>
      </c>
      <c r="P315" s="52" t="str">
        <f t="shared" si="5"/>
        <v/>
      </c>
      <c r="Q315" s="52">
        <f t="shared" si="4"/>
        <v>4</v>
      </c>
      <c r="R315" s="52" t="b">
        <f t="shared" si="6"/>
        <v>0</v>
      </c>
    </row>
    <row r="316">
      <c r="B316" s="20" t="str">
        <f>IFERROR(__xludf.DUMMYFUNCTION("if(exact($E316, """"), """", iferror(regexextract($F316, ""^(?:- )?([A-Z]+)""), ""?""))"),"R")</f>
        <v>R</v>
      </c>
      <c r="C316" s="57" t="str">
        <f t="shared" si="3"/>
        <v>667ERJ3EKF1001V</v>
      </c>
      <c r="D316" t="str">
        <f>Parts1!H476</f>
        <v>Shelves v0.5</v>
      </c>
      <c r="E316" t="str">
        <f>Parts1!I476</f>
        <v>S</v>
      </c>
      <c r="F316" t="str">
        <f>Parts1!J476</f>
        <v>R2, R111, R112</v>
      </c>
      <c r="G316">
        <f>Parts1!K476</f>
        <v>3</v>
      </c>
      <c r="H316" t="str">
        <f>Parts1!L476</f>
        <v>Resistor, 1%</v>
      </c>
      <c r="I316" t="str">
        <f>Parts1!M476</f>
        <v/>
      </c>
      <c r="J316" t="str">
        <f>Parts1!N476</f>
        <v>1.0k</v>
      </c>
      <c r="K316" t="str">
        <f>Parts1!O476</f>
        <v>0603</v>
      </c>
      <c r="L316" t="str">
        <f>Parts1!P476</f>
        <v>667-ERJ-3EKF1001V</v>
      </c>
      <c r="M316" s="51" t="str">
        <f>Parts1!Q476</f>
        <v/>
      </c>
      <c r="N316" s="58">
        <v>13.0</v>
      </c>
      <c r="O316" s="52" t="str">
        <f t="shared" si="2"/>
        <v>A</v>
      </c>
      <c r="P316" s="52" t="str">
        <f t="shared" si="5"/>
        <v/>
      </c>
      <c r="Q316" s="52">
        <f t="shared" si="4"/>
        <v>3</v>
      </c>
      <c r="R316" s="52" t="b">
        <f t="shared" si="6"/>
        <v>0</v>
      </c>
    </row>
    <row r="317">
      <c r="B317" s="20" t="str">
        <f>IFERROR(__xludf.DUMMYFUNCTION("if(exact($E317, """"), """", iferror(regexextract($F317, ""^(?:- )?([A-Z]+)""), ""?""))"),"R")</f>
        <v>R</v>
      </c>
      <c r="C317" s="57" t="str">
        <f t="shared" si="3"/>
        <v>667ERJ3EKF1001V</v>
      </c>
      <c r="D317" t="str">
        <f>Parts1!H511</f>
        <v>shelves_expander_v10</v>
      </c>
      <c r="E317" t="str">
        <f>Parts1!I511</f>
        <v>S</v>
      </c>
      <c r="F317" t="str">
        <f>Parts1!J511</f>
        <v>R1, R2, R3, R4, R5, R6</v>
      </c>
      <c r="G317">
        <f>Parts1!K511</f>
        <v>6</v>
      </c>
      <c r="H317" t="str">
        <f>Parts1!L511</f>
        <v>Resistor, 1%</v>
      </c>
      <c r="I317" t="str">
        <f>Parts1!M511</f>
        <v/>
      </c>
      <c r="J317" s="59" t="str">
        <f>Parts1!N511</f>
        <v>1.0k</v>
      </c>
      <c r="K317" t="str">
        <f>Parts1!O511</f>
        <v>0603</v>
      </c>
      <c r="L317" s="66" t="str">
        <f>Parts1!P511</f>
        <v>667-ERJ3-EKF1001V</v>
      </c>
      <c r="M317" s="51" t="str">
        <f>Parts1!Q511</f>
        <v/>
      </c>
      <c r="N317" s="58">
        <v>14.0</v>
      </c>
      <c r="O317" s="52" t="str">
        <f t="shared" si="2"/>
        <v>A</v>
      </c>
      <c r="P317" s="52" t="str">
        <f t="shared" si="5"/>
        <v/>
      </c>
      <c r="Q317" s="52">
        <f t="shared" si="4"/>
        <v>2</v>
      </c>
      <c r="R317" s="52" t="b">
        <f t="shared" si="6"/>
        <v>0</v>
      </c>
    </row>
    <row r="318">
      <c r="B318" s="20" t="str">
        <f>IFERROR(__xludf.DUMMYFUNCTION("if(exact($E318, """"), """", iferror(regexextract($F318, ""^(?:- )?([A-Z]+)""), ""?""))"),"R")</f>
        <v>R</v>
      </c>
      <c r="C318" s="57" t="str">
        <f t="shared" si="3"/>
        <v>667ERJ3EKF1001V</v>
      </c>
      <c r="D318" t="str">
        <f>Parts1!H520</f>
        <v>Streams v0.5</v>
      </c>
      <c r="E318" t="str">
        <f>Parts1!I520</f>
        <v>S</v>
      </c>
      <c r="F318" t="str">
        <f>Parts1!J520</f>
        <v>R6, R7, R16, R17, R46, R61, R62</v>
      </c>
      <c r="G318">
        <f>Parts1!K520</f>
        <v>7</v>
      </c>
      <c r="H318" t="str">
        <f>Parts1!L520</f>
        <v>Resistor, 1%</v>
      </c>
      <c r="I318" t="str">
        <f>Parts1!M520</f>
        <v/>
      </c>
      <c r="J318" t="str">
        <f>Parts1!N520</f>
        <v>1.0k</v>
      </c>
      <c r="K318" t="str">
        <f>Parts1!O520</f>
        <v>0603</v>
      </c>
      <c r="L318" t="str">
        <f>Parts1!P520</f>
        <v>667-ERJ-3EKF1001V</v>
      </c>
      <c r="M318" s="51" t="str">
        <f>Parts1!Q520</f>
        <v/>
      </c>
      <c r="N318" s="58">
        <v>15.0</v>
      </c>
      <c r="O318" s="52" t="str">
        <f t="shared" si="2"/>
        <v>A</v>
      </c>
      <c r="P318" s="52" t="str">
        <f t="shared" si="5"/>
        <v/>
      </c>
      <c r="Q318" s="52">
        <f t="shared" si="4"/>
        <v>1</v>
      </c>
      <c r="R318" s="52" t="b">
        <f t="shared" si="6"/>
        <v>0</v>
      </c>
    </row>
    <row r="319">
      <c r="B319" s="20" t="str">
        <f>IFERROR(__xludf.DUMMYFUNCTION("if(exact($E319, """"), """", iferror(regexextract($F319, ""^(?:- )?([A-Z]+)""), ""?""))"),"R")</f>
        <v>R</v>
      </c>
      <c r="C319" s="57" t="str">
        <f t="shared" si="3"/>
        <v>667ERJ3EKF1001V</v>
      </c>
      <c r="D319" t="str">
        <f>Parts1!H633</f>
        <v>Warps v3.0</v>
      </c>
      <c r="E319" t="str">
        <f>Parts1!I633</f>
        <v>S</v>
      </c>
      <c r="F319" t="str">
        <f>Parts1!J633</f>
        <v>R42, R43</v>
      </c>
      <c r="G319">
        <f>Parts1!K633</f>
        <v>2</v>
      </c>
      <c r="H319" t="str">
        <f>Parts1!L633</f>
        <v>Resistor, 1%</v>
      </c>
      <c r="I319" t="str">
        <f>Parts1!M633</f>
        <v/>
      </c>
      <c r="J319" t="str">
        <f>Parts1!N633</f>
        <v>1.0k</v>
      </c>
      <c r="K319" t="str">
        <f>Parts1!O633</f>
        <v>0603</v>
      </c>
      <c r="L319" t="str">
        <f>Parts1!P633</f>
        <v>667-ERJ-3EKF1001V</v>
      </c>
      <c r="M319" s="51" t="str">
        <f>Parts1!Q633</f>
        <v/>
      </c>
      <c r="N319" s="58">
        <v>18.0</v>
      </c>
      <c r="O319" s="52" t="str">
        <f t="shared" si="2"/>
        <v>A</v>
      </c>
      <c r="P319" s="52" t="str">
        <f t="shared" si="5"/>
        <v/>
      </c>
      <c r="Q319" s="52">
        <f t="shared" si="4"/>
        <v>0</v>
      </c>
      <c r="R319" s="52" t="b">
        <f t="shared" si="6"/>
        <v>0</v>
      </c>
    </row>
    <row r="320">
      <c r="B320" s="20" t="str">
        <f>IFERROR(__xludf.DUMMYFUNCTION("if(exact($E320, """"), """", iferror(regexextract($F320, ""^(?:- )?([A-Z]+)""), ""?""))"),"R")</f>
        <v>R</v>
      </c>
      <c r="C320" s="57" t="str">
        <f t="shared" si="3"/>
        <v>667ERJ3EKF1002V</v>
      </c>
      <c r="D320" t="str">
        <f>Parts1!H10</f>
        <v>Braids v5.1</v>
      </c>
      <c r="E320" t="str">
        <f>Parts1!I10</f>
        <v>S</v>
      </c>
      <c r="F320" t="str">
        <f>Parts1!J10</f>
        <v>R22, R27, R33</v>
      </c>
      <c r="G320">
        <f>Parts1!K10</f>
        <v>3</v>
      </c>
      <c r="H320" t="str">
        <f>Parts1!L10</f>
        <v>Resistor, 1%</v>
      </c>
      <c r="I320" t="str">
        <f>Parts1!M10</f>
        <v/>
      </c>
      <c r="J320" t="str">
        <f>Parts1!N10</f>
        <v>10k</v>
      </c>
      <c r="K320" t="str">
        <f>Parts1!O10</f>
        <v>0603</v>
      </c>
      <c r="L320" t="str">
        <f>Parts1!P10</f>
        <v>667-ERJ3EKF1002V</v>
      </c>
      <c r="M320" s="51" t="str">
        <f>Parts1!Q10</f>
        <v/>
      </c>
      <c r="N320" s="58">
        <v>1.0</v>
      </c>
      <c r="O320" s="52" t="str">
        <f t="shared" si="2"/>
        <v>A</v>
      </c>
      <c r="P320" s="52">
        <f t="shared" si="5"/>
        <v>1</v>
      </c>
      <c r="Q320" s="52">
        <f t="shared" si="4"/>
        <v>9</v>
      </c>
      <c r="R320" s="52" t="b">
        <f t="shared" si="6"/>
        <v>1</v>
      </c>
    </row>
    <row r="321">
      <c r="B321" s="20" t="str">
        <f>IFERROR(__xludf.DUMMYFUNCTION("if(exact($E321, """"), """", iferror(regexextract($F321, ""^(?:- )?([A-Z]+)""), ""?""))"),"R")</f>
        <v>R</v>
      </c>
      <c r="C321" s="57" t="str">
        <f t="shared" si="3"/>
        <v>667ERJ3EKF1002V</v>
      </c>
      <c r="D321" t="str">
        <f>Parts1!H54</f>
        <v>Branches v4.0</v>
      </c>
      <c r="E321" t="str">
        <f>Parts1!I54</f>
        <v>S</v>
      </c>
      <c r="F321" t="str">
        <f>Parts1!J54</f>
        <v>R1, R2, R14</v>
      </c>
      <c r="G321" s="65">
        <f>Parts1!K54</f>
        <v>3</v>
      </c>
      <c r="H321" t="str">
        <f>Parts1!L54</f>
        <v>Resistor, 1%</v>
      </c>
      <c r="I321" t="str">
        <f>Parts1!M54</f>
        <v/>
      </c>
      <c r="J321" t="str">
        <f>Parts1!N54</f>
        <v>10k</v>
      </c>
      <c r="K321" t="str">
        <f>Parts1!O54</f>
        <v>0603</v>
      </c>
      <c r="L321" s="66" t="str">
        <f>Parts1!P54</f>
        <v>667-ERJ-3EKF1002V</v>
      </c>
      <c r="M321" s="51" t="str">
        <f>Parts1!Q54</f>
        <v/>
      </c>
      <c r="N321" s="58">
        <v>2.0</v>
      </c>
      <c r="O321" s="52" t="str">
        <f t="shared" si="2"/>
        <v>A</v>
      </c>
      <c r="P321" s="52" t="str">
        <f t="shared" si="5"/>
        <v/>
      </c>
      <c r="Q321" s="52">
        <f t="shared" si="4"/>
        <v>8</v>
      </c>
      <c r="R321" s="52" t="b">
        <f t="shared" si="6"/>
        <v>1</v>
      </c>
    </row>
    <row r="322">
      <c r="B322" s="20" t="str">
        <f>IFERROR(__xludf.DUMMYFUNCTION("if(exact($E322, """"), """", iferror(regexextract($F322, ""^(?:- )?([A-Z]+)""), ""?""))"),"R")</f>
        <v>R</v>
      </c>
      <c r="C322" s="57" t="str">
        <f t="shared" si="3"/>
        <v>667ERJ3EKF1002V</v>
      </c>
      <c r="D322" t="str">
        <f>Parts1!H85</f>
        <v>Clouds v3.0</v>
      </c>
      <c r="E322" t="str">
        <f>Parts1!I85</f>
        <v>S</v>
      </c>
      <c r="F322" t="str">
        <f>Parts1!J85</f>
        <v>R13, R14, R16, R17</v>
      </c>
      <c r="G322">
        <f>Parts1!K85</f>
        <v>4</v>
      </c>
      <c r="H322" t="str">
        <f>Parts1!L85</f>
        <v>Resistor, 1%</v>
      </c>
      <c r="I322" t="str">
        <f>Parts1!M85</f>
        <v/>
      </c>
      <c r="J322" t="str">
        <f>Parts1!N85</f>
        <v>10k</v>
      </c>
      <c r="K322" s="59" t="str">
        <f>Parts1!O85</f>
        <v>0603</v>
      </c>
      <c r="L322" t="str">
        <f>Parts1!P85</f>
        <v>667-ERJ-3EKF1002V</v>
      </c>
      <c r="M322" s="51" t="str">
        <f>Parts1!Q85</f>
        <v/>
      </c>
      <c r="N322" s="58">
        <v>3.0</v>
      </c>
      <c r="O322" s="52" t="str">
        <f t="shared" si="2"/>
        <v>A</v>
      </c>
      <c r="P322" s="52" t="str">
        <f t="shared" si="5"/>
        <v/>
      </c>
      <c r="Q322" s="52">
        <f t="shared" si="4"/>
        <v>7</v>
      </c>
      <c r="R322" s="52" t="b">
        <f t="shared" si="6"/>
        <v>1</v>
      </c>
    </row>
    <row r="323">
      <c r="B323" s="20" t="str">
        <f>IFERROR(__xludf.DUMMYFUNCTION("if(exact($E323, """"), """", iferror(regexextract($F323, ""^(?:- )?([A-Z]+)""), ""?""))"),"R")</f>
        <v>R</v>
      </c>
      <c r="C323" s="57" t="str">
        <f t="shared" si="3"/>
        <v>667ERJ3EKF1002V</v>
      </c>
      <c r="D323" t="str">
        <f>Parts1!H135</f>
        <v>Edges v2.0</v>
      </c>
      <c r="E323" t="str">
        <f>Parts1!I135</f>
        <v>S</v>
      </c>
      <c r="F323" t="str">
        <f>Parts1!J135</f>
        <v>R2, R9, R10, R15, R18, R45, R46, R53, R60</v>
      </c>
      <c r="G323">
        <f>Parts1!K135</f>
        <v>9</v>
      </c>
      <c r="H323" t="str">
        <f>Parts1!L135</f>
        <v>Resistor, 1%</v>
      </c>
      <c r="I323" t="str">
        <f>Parts1!M135</f>
        <v/>
      </c>
      <c r="J323" t="str">
        <f>Parts1!N135</f>
        <v>10k</v>
      </c>
      <c r="K323" t="str">
        <f>Parts1!O135</f>
        <v>0603</v>
      </c>
      <c r="L323" t="str">
        <f>Parts1!P135</f>
        <v>667-ERJ3EKF1002V</v>
      </c>
      <c r="M323" s="51" t="str">
        <f>Parts1!Q135</f>
        <v/>
      </c>
      <c r="N323" s="58">
        <v>4.0</v>
      </c>
      <c r="O323" s="52" t="str">
        <f t="shared" si="2"/>
        <v>A</v>
      </c>
      <c r="P323" s="52" t="str">
        <f t="shared" si="5"/>
        <v/>
      </c>
      <c r="Q323" s="52">
        <f t="shared" si="4"/>
        <v>6</v>
      </c>
      <c r="R323" s="52" t="b">
        <f t="shared" si="6"/>
        <v>1</v>
      </c>
    </row>
    <row r="324">
      <c r="B324" s="20" t="str">
        <f>IFERROR(__xludf.DUMMYFUNCTION("if(exact($E324, """"), """", iferror(regexextract($F324, ""^(?:- )?([A-Z]+)""), ""?""))"),"R")</f>
        <v>R</v>
      </c>
      <c r="C324" s="57" t="str">
        <f t="shared" si="3"/>
        <v>667ERJ3EKF1002V</v>
      </c>
      <c r="D324" t="str">
        <f>Parts1!H181</f>
        <v>Elements v0.21</v>
      </c>
      <c r="E324" t="str">
        <f>Parts1!I181</f>
        <v>S</v>
      </c>
      <c r="F324" t="str">
        <f>Parts1!J181</f>
        <v>R45, R50, R60</v>
      </c>
      <c r="G324">
        <f>Parts1!K181</f>
        <v>3</v>
      </c>
      <c r="H324" t="str">
        <f>Parts1!L181</f>
        <v>Resistor, 1%</v>
      </c>
      <c r="I324" t="str">
        <f>Parts1!M181</f>
        <v/>
      </c>
      <c r="J324" t="str">
        <f>Parts1!N181</f>
        <v>10k</v>
      </c>
      <c r="K324" t="str">
        <f>Parts1!O181</f>
        <v>0603</v>
      </c>
      <c r="L324" t="str">
        <f>Parts1!P181</f>
        <v>667-ERJ-3EKF1002V</v>
      </c>
      <c r="M324" s="51" t="str">
        <f>Parts1!Q181</f>
        <v/>
      </c>
      <c r="N324" s="58">
        <v>5.0</v>
      </c>
      <c r="O324" s="52" t="str">
        <f t="shared" si="2"/>
        <v>A</v>
      </c>
      <c r="P324" s="52" t="str">
        <f t="shared" si="5"/>
        <v/>
      </c>
      <c r="Q324" s="52">
        <f t="shared" si="4"/>
        <v>5</v>
      </c>
      <c r="R324" s="52" t="b">
        <f t="shared" si="6"/>
        <v>1</v>
      </c>
    </row>
    <row r="325">
      <c r="B325" s="20" t="str">
        <f>IFERROR(__xludf.DUMMYFUNCTION("if(exact($E325, """"), """", iferror(regexextract($F325, ""^(?:- )?([A-Z]+)""), ""?""))"),"R")</f>
        <v>R</v>
      </c>
      <c r="C325" s="57" t="str">
        <f t="shared" si="3"/>
        <v>667ERJ3EKF1002V</v>
      </c>
      <c r="D325" t="str">
        <f>Parts1!H274</f>
        <v>Grids v0.2</v>
      </c>
      <c r="E325" t="str">
        <f>Parts1!I274</f>
        <v>S</v>
      </c>
      <c r="F325" t="str">
        <f>Parts1!J274</f>
        <v>R3, R6, R7, R8</v>
      </c>
      <c r="G325" s="65">
        <f>Parts1!K274</f>
        <v>4</v>
      </c>
      <c r="H325" t="str">
        <f>Parts1!L274</f>
        <v>Resistor, 1%</v>
      </c>
      <c r="I325" t="str">
        <f>Parts1!M274</f>
        <v/>
      </c>
      <c r="J325" s="59" t="str">
        <f>Parts1!N274</f>
        <v>10k</v>
      </c>
      <c r="K325" s="59" t="str">
        <f>Parts1!O274</f>
        <v>0603</v>
      </c>
      <c r="L325" s="62" t="str">
        <f>Parts1!P274</f>
        <v>667-ERJ3EKF1002V</v>
      </c>
      <c r="M325" s="51" t="str">
        <f>Parts1!Q274</f>
        <v/>
      </c>
      <c r="N325" s="58">
        <v>7.0</v>
      </c>
      <c r="O325" s="52" t="str">
        <f t="shared" si="2"/>
        <v>A</v>
      </c>
      <c r="P325" s="52" t="str">
        <f t="shared" si="5"/>
        <v/>
      </c>
      <c r="Q325" s="52">
        <f t="shared" si="4"/>
        <v>4</v>
      </c>
      <c r="R325" s="52" t="b">
        <f t="shared" si="6"/>
        <v>1</v>
      </c>
    </row>
    <row r="326">
      <c r="B326" s="20" t="str">
        <f>IFERROR(__xludf.DUMMYFUNCTION("if(exact($E326, """"), """", iferror(regexextract($F326, ""^(?:- )?([A-Z]+)""), ""?""))"),"R")</f>
        <v>R</v>
      </c>
      <c r="C326" s="57" t="str">
        <f t="shared" si="3"/>
        <v>667ERJ3EKF1002V</v>
      </c>
      <c r="D326" t="str">
        <f>Parts1!H367</f>
        <v>Rings v3.0</v>
      </c>
      <c r="E326" t="str">
        <f>Parts1!I367</f>
        <v>S</v>
      </c>
      <c r="F326" t="str">
        <f>Parts1!J367</f>
        <v>R6, R7, R8</v>
      </c>
      <c r="G326">
        <f>Parts1!K367</f>
        <v>3</v>
      </c>
      <c r="H326" t="str">
        <f>Parts1!L367</f>
        <v>Resistor, 1%</v>
      </c>
      <c r="I326" t="str">
        <f>Parts1!M367</f>
        <v/>
      </c>
      <c r="J326" t="str">
        <f>Parts1!N367</f>
        <v>10k</v>
      </c>
      <c r="K326" s="59" t="str">
        <f>Parts1!O367</f>
        <v>0603</v>
      </c>
      <c r="L326" t="str">
        <f>Parts1!P367</f>
        <v>667-ERJ-3EKF1002V</v>
      </c>
      <c r="M326" s="51" t="str">
        <f>Parts1!Q367</f>
        <v/>
      </c>
      <c r="N326" s="58">
        <v>10.0</v>
      </c>
      <c r="O326" s="52" t="str">
        <f t="shared" si="2"/>
        <v>A</v>
      </c>
      <c r="P326" s="52" t="str">
        <f t="shared" si="5"/>
        <v/>
      </c>
      <c r="Q326" s="52">
        <f t="shared" si="4"/>
        <v>3</v>
      </c>
      <c r="R326" s="52" t="b">
        <f t="shared" si="6"/>
        <v>1</v>
      </c>
    </row>
    <row r="327">
      <c r="B327" s="20" t="str">
        <f>IFERROR(__xludf.DUMMYFUNCTION("if(exact($E327, """"), """", iferror(regexextract($F327, ""^(?:- )?([A-Z]+)""), ""?""))"),"R")</f>
        <v>R</v>
      </c>
      <c r="C327" s="57" t="str">
        <f t="shared" si="3"/>
        <v>667ERJ3EKF1002V</v>
      </c>
      <c r="D327" t="str">
        <f>Parts1!H453</f>
        <v>Shades v3.1</v>
      </c>
      <c r="E327" t="str">
        <f>Parts1!I453</f>
        <v>S</v>
      </c>
      <c r="F327" t="str">
        <f>Parts1!J453</f>
        <v>R27</v>
      </c>
      <c r="G327">
        <f>Parts1!K453</f>
        <v>1</v>
      </c>
      <c r="H327" t="str">
        <f>Parts1!L453</f>
        <v>Resistor, 1%</v>
      </c>
      <c r="I327" t="str">
        <f>Parts1!M453</f>
        <v/>
      </c>
      <c r="J327" s="59" t="str">
        <f>Parts1!N453</f>
        <v>10k</v>
      </c>
      <c r="K327" t="str">
        <f>Parts1!O453</f>
        <v>0603</v>
      </c>
      <c r="L327" s="66" t="str">
        <f>Parts1!P453</f>
        <v>667-ERJ3-EKF1002V</v>
      </c>
      <c r="M327" s="51" t="str">
        <f>Parts1!Q453</f>
        <v/>
      </c>
      <c r="N327" s="58">
        <v>12.0</v>
      </c>
      <c r="O327" s="52" t="str">
        <f t="shared" si="2"/>
        <v>A</v>
      </c>
      <c r="P327" s="52" t="str">
        <f t="shared" si="5"/>
        <v/>
      </c>
      <c r="Q327" s="52">
        <f t="shared" si="4"/>
        <v>2</v>
      </c>
      <c r="R327" s="52" t="b">
        <f t="shared" si="6"/>
        <v>1</v>
      </c>
    </row>
    <row r="328">
      <c r="B328" s="20" t="str">
        <f>IFERROR(__xludf.DUMMYFUNCTION("if(exact($E328, """"), """", iferror(regexextract($F328, ""^(?:- )?([A-Z]+)""), ""?""))"),"R")</f>
        <v>R</v>
      </c>
      <c r="C328" s="57" t="str">
        <f t="shared" si="3"/>
        <v>667ERJ3EKF1002V</v>
      </c>
      <c r="D328" t="str">
        <f>Parts1!H523</f>
        <v>Streams v0.5</v>
      </c>
      <c r="E328" t="str">
        <f>Parts1!I523</f>
        <v>S</v>
      </c>
      <c r="F328" t="str">
        <f>Parts1!J523</f>
        <v>R1, R20, R21</v>
      </c>
      <c r="G328">
        <f>Parts1!K523</f>
        <v>3</v>
      </c>
      <c r="H328" t="str">
        <f>Parts1!L523</f>
        <v>Resistor, 1%</v>
      </c>
      <c r="I328" t="str">
        <f>Parts1!M523</f>
        <v/>
      </c>
      <c r="J328" t="str">
        <f>Parts1!N523</f>
        <v>10k</v>
      </c>
      <c r="K328" t="str">
        <f>Parts1!O523</f>
        <v>0603</v>
      </c>
      <c r="L328" t="str">
        <f>Parts1!P523</f>
        <v>667-ERJ-3EKF1002V</v>
      </c>
      <c r="M328" s="51" t="str">
        <f>Parts1!Q523</f>
        <v/>
      </c>
      <c r="N328" s="58">
        <v>15.0</v>
      </c>
      <c r="O328" s="52" t="str">
        <f t="shared" si="2"/>
        <v>A</v>
      </c>
      <c r="P328" s="52" t="str">
        <f t="shared" si="5"/>
        <v/>
      </c>
      <c r="Q328" s="52">
        <f t="shared" si="4"/>
        <v>1</v>
      </c>
      <c r="R328" s="52" t="b">
        <f t="shared" si="6"/>
        <v>1</v>
      </c>
    </row>
    <row r="329">
      <c r="B329" s="20" t="str">
        <f>IFERROR(__xludf.DUMMYFUNCTION("if(exact($E329, """"), """", iferror(regexextract($F329, ""^(?:- )?([A-Z]+)""), ""?""))"),"R")</f>
        <v>R</v>
      </c>
      <c r="C329" s="57" t="str">
        <f t="shared" si="3"/>
        <v>667ERJ3EKF1002V</v>
      </c>
      <c r="D329" t="str">
        <f>Parts1!H637</f>
        <v>Warps v3.0</v>
      </c>
      <c r="E329" t="str">
        <f>Parts1!I637</f>
        <v>S</v>
      </c>
      <c r="F329" t="str">
        <f>Parts1!J637</f>
        <v>R2, R14</v>
      </c>
      <c r="G329">
        <f>Parts1!K637</f>
        <v>2</v>
      </c>
      <c r="H329" t="str">
        <f>Parts1!L637</f>
        <v>Resistor, 1%</v>
      </c>
      <c r="I329" t="str">
        <f>Parts1!M637</f>
        <v/>
      </c>
      <c r="J329" t="str">
        <f>Parts1!N637</f>
        <v>10k</v>
      </c>
      <c r="K329" t="str">
        <f>Parts1!O637</f>
        <v>0603</v>
      </c>
      <c r="L329" t="str">
        <f>Parts1!P637</f>
        <v>667-ERJ-3EKF1002V</v>
      </c>
      <c r="M329" s="51" t="str">
        <f>Parts1!Q637</f>
        <v/>
      </c>
      <c r="N329" s="58">
        <v>18.0</v>
      </c>
      <c r="O329" s="52" t="str">
        <f t="shared" si="2"/>
        <v>A</v>
      </c>
      <c r="P329" s="52" t="str">
        <f t="shared" si="5"/>
        <v/>
      </c>
      <c r="Q329" s="52">
        <f t="shared" si="4"/>
        <v>0</v>
      </c>
      <c r="R329" s="52" t="b">
        <f t="shared" si="6"/>
        <v>1</v>
      </c>
    </row>
    <row r="330">
      <c r="B330" s="20" t="str">
        <f>IFERROR(__xludf.DUMMYFUNCTION("if(exact($E330, """"), """", iferror(regexextract($F330, ""^(?:- )?([A-Z]+)""), ""?""))"),"R")</f>
        <v>R</v>
      </c>
      <c r="C330" s="57" t="str">
        <f t="shared" si="3"/>
        <v>667ERJ3EKF1003V</v>
      </c>
      <c r="D330" t="str">
        <f>Parts1!H14</f>
        <v>Braids v5.1</v>
      </c>
      <c r="E330" t="str">
        <f>Parts1!I14</f>
        <v>S</v>
      </c>
      <c r="F330" t="str">
        <f>Parts1!J14</f>
        <v>R24, R29, R47, R48, R54, R56</v>
      </c>
      <c r="G330">
        <f>Parts1!K14</f>
        <v>6</v>
      </c>
      <c r="H330" t="str">
        <f>Parts1!L14</f>
        <v>Resistor, 1%</v>
      </c>
      <c r="I330" t="str">
        <f>Parts1!M14</f>
        <v/>
      </c>
      <c r="J330" t="str">
        <f>Parts1!N14</f>
        <v>100k</v>
      </c>
      <c r="K330" t="str">
        <f>Parts1!O14</f>
        <v>0603</v>
      </c>
      <c r="L330" t="str">
        <f>Parts1!P14</f>
        <v>667-ERJ3EKF1003V</v>
      </c>
      <c r="M330" s="51" t="str">
        <f>Parts1!Q14</f>
        <v/>
      </c>
      <c r="N330" s="58">
        <v>1.0</v>
      </c>
      <c r="O330" s="52" t="str">
        <f t="shared" si="2"/>
        <v>A</v>
      </c>
      <c r="P330" s="52">
        <f t="shared" si="5"/>
        <v>1</v>
      </c>
      <c r="Q330" s="52">
        <f t="shared" si="4"/>
        <v>9</v>
      </c>
      <c r="R330" s="52" t="b">
        <f t="shared" si="6"/>
        <v>0</v>
      </c>
    </row>
    <row r="331">
      <c r="B331" s="20" t="str">
        <f>IFERROR(__xludf.DUMMYFUNCTION("if(exact($E331, """"), """", iferror(regexextract($F331, ""^(?:- )?([A-Z]+)""), ""?""))"),"R")</f>
        <v>R</v>
      </c>
      <c r="C331" s="57" t="str">
        <f t="shared" si="3"/>
        <v>667ERJ3EKF1003V</v>
      </c>
      <c r="D331" t="str">
        <f>Parts1!H55</f>
        <v>Branches v4.0</v>
      </c>
      <c r="E331" t="str">
        <f>Parts1!I55</f>
        <v>S</v>
      </c>
      <c r="F331" t="str">
        <f>Parts1!J55</f>
        <v>R3, R4, R5, R7, R8, R9, R10, R18</v>
      </c>
      <c r="G331" s="65">
        <f>Parts1!K55</f>
        <v>8</v>
      </c>
      <c r="H331" t="str">
        <f>Parts1!L55</f>
        <v>Resistor, 1%</v>
      </c>
      <c r="I331" t="str">
        <f>Parts1!M55</f>
        <v/>
      </c>
      <c r="J331" s="59" t="str">
        <f>Parts1!N55</f>
        <v>100k</v>
      </c>
      <c r="K331" t="str">
        <f>Parts1!O55</f>
        <v>0603</v>
      </c>
      <c r="L331" s="66" t="str">
        <f>Parts1!P55</f>
        <v>667-ERJ-3EKF1003V</v>
      </c>
      <c r="M331" s="51" t="str">
        <f>Parts1!Q55</f>
        <v/>
      </c>
      <c r="N331" s="58">
        <v>2.0</v>
      </c>
      <c r="O331" s="52" t="str">
        <f t="shared" si="2"/>
        <v>A</v>
      </c>
      <c r="P331" s="52" t="str">
        <f t="shared" si="5"/>
        <v/>
      </c>
      <c r="Q331" s="52">
        <f t="shared" si="4"/>
        <v>8</v>
      </c>
      <c r="R331" s="52" t="b">
        <f t="shared" si="6"/>
        <v>0</v>
      </c>
    </row>
    <row r="332">
      <c r="B332" s="20" t="str">
        <f>IFERROR(__xludf.DUMMYFUNCTION("if(exact($E332, """"), """", iferror(regexextract($F332, ""^(?:- )?([A-Z]+)""), ""?""))"),"R")</f>
        <v>R</v>
      </c>
      <c r="C332" s="57" t="str">
        <f t="shared" si="3"/>
        <v>667ERJ3EKF1003V</v>
      </c>
      <c r="D332" t="str">
        <f>Parts1!H91</f>
        <v>Clouds v3.0</v>
      </c>
      <c r="E332" t="str">
        <f>Parts1!I91</f>
        <v>S</v>
      </c>
      <c r="F332" t="str">
        <f>Parts1!J91</f>
        <v>R12, R15, R21, R24, R29, R32, R38, R39</v>
      </c>
      <c r="G332">
        <f>Parts1!K91</f>
        <v>8</v>
      </c>
      <c r="H332" t="str">
        <f>Parts1!L91</f>
        <v>Resistor, 1%</v>
      </c>
      <c r="I332" t="str">
        <f>Parts1!M91</f>
        <v/>
      </c>
      <c r="J332" t="str">
        <f>Parts1!N91</f>
        <v>100k</v>
      </c>
      <c r="K332" s="59" t="str">
        <f>Parts1!O91</f>
        <v>0603</v>
      </c>
      <c r="L332" t="str">
        <f>Parts1!P91</f>
        <v>667-ERJ-3EKF1003V</v>
      </c>
      <c r="M332" s="51" t="str">
        <f>Parts1!Q91</f>
        <v/>
      </c>
      <c r="N332" s="58">
        <v>3.0</v>
      </c>
      <c r="O332" s="52" t="str">
        <f t="shared" si="2"/>
        <v>A</v>
      </c>
      <c r="P332" s="52" t="str">
        <f t="shared" si="5"/>
        <v/>
      </c>
      <c r="Q332" s="52">
        <f t="shared" si="4"/>
        <v>7</v>
      </c>
      <c r="R332" s="52" t="b">
        <f t="shared" si="6"/>
        <v>0</v>
      </c>
    </row>
    <row r="333">
      <c r="B333" s="20" t="str">
        <f>IFERROR(__xludf.DUMMYFUNCTION("if(exact($E333, """"), """", iferror(regexextract($F333, ""^(?:- )?([A-Z]+)""), ""?""))"),"R")</f>
        <v>R</v>
      </c>
      <c r="C333" s="57" t="str">
        <f t="shared" si="3"/>
        <v>667ERJ3EKF1003V</v>
      </c>
      <c r="D333" t="str">
        <f>Parts1!H140</f>
        <v>Edges v2.0</v>
      </c>
      <c r="E333" t="str">
        <f>Parts1!I140</f>
        <v>S</v>
      </c>
      <c r="F333" t="str">
        <f>Parts1!J140</f>
        <v>R14, R21, R22, R24, R29, R30, R34, R36, R37, R38, R40, R50, R56, R57, R59, R66, R67</v>
      </c>
      <c r="G333">
        <f>Parts1!K140</f>
        <v>17</v>
      </c>
      <c r="H333" t="str">
        <f>Parts1!L140</f>
        <v>Resistor, 1%</v>
      </c>
      <c r="I333" t="str">
        <f>Parts1!M140</f>
        <v/>
      </c>
      <c r="J333" t="str">
        <f>Parts1!N140</f>
        <v>100k</v>
      </c>
      <c r="K333" t="str">
        <f>Parts1!O140</f>
        <v>0603</v>
      </c>
      <c r="L333" t="str">
        <f>Parts1!P140</f>
        <v>667-ERJ3EKF1003V</v>
      </c>
      <c r="M333" s="51" t="str">
        <f>Parts1!Q140</f>
        <v/>
      </c>
      <c r="N333" s="58">
        <v>4.0</v>
      </c>
      <c r="O333" s="52" t="str">
        <f t="shared" si="2"/>
        <v>A</v>
      </c>
      <c r="P333" s="52" t="str">
        <f t="shared" si="5"/>
        <v/>
      </c>
      <c r="Q333" s="52">
        <f t="shared" si="4"/>
        <v>6</v>
      </c>
      <c r="R333" s="52" t="b">
        <f t="shared" si="6"/>
        <v>0</v>
      </c>
    </row>
    <row r="334">
      <c r="B334" s="20" t="str">
        <f>IFERROR(__xludf.DUMMYFUNCTION("if(exact($E334, """"), """", iferror(regexextract($F334, ""^(?:- )?([A-Z]+)""), ""?""))"),"R")</f>
        <v>R</v>
      </c>
      <c r="C334" s="57" t="str">
        <f t="shared" si="3"/>
        <v>667ERJ3EKF1003V</v>
      </c>
      <c r="D334" t="str">
        <f>Parts1!H186</f>
        <v>Elements v0.21</v>
      </c>
      <c r="E334" t="str">
        <f>Parts1!I186</f>
        <v>S</v>
      </c>
      <c r="F334" t="str">
        <f>Parts1!J186</f>
        <v>R13, R16, R19, R22, R30, R33, R36, R39, R40, R43, R54, R57, R67, R71</v>
      </c>
      <c r="G334">
        <f>Parts1!K186</f>
        <v>14</v>
      </c>
      <c r="H334" t="str">
        <f>Parts1!L186</f>
        <v>Resistor, 1%</v>
      </c>
      <c r="I334" t="str">
        <f>Parts1!M186</f>
        <v/>
      </c>
      <c r="J334" t="str">
        <f>Parts1!N186</f>
        <v>100k</v>
      </c>
      <c r="K334" t="str">
        <f>Parts1!O186</f>
        <v>0603</v>
      </c>
      <c r="L334" t="str">
        <f>Parts1!P186</f>
        <v>667-ERJ-3EKF1003V</v>
      </c>
      <c r="M334" s="51" t="str">
        <f>Parts1!Q186</f>
        <v/>
      </c>
      <c r="N334" s="58">
        <v>5.0</v>
      </c>
      <c r="O334" s="52" t="str">
        <f t="shared" si="2"/>
        <v>A</v>
      </c>
      <c r="P334" s="52" t="str">
        <f t="shared" si="5"/>
        <v/>
      </c>
      <c r="Q334" s="52">
        <f t="shared" si="4"/>
        <v>5</v>
      </c>
      <c r="R334" s="52" t="b">
        <f t="shared" si="6"/>
        <v>0</v>
      </c>
    </row>
    <row r="335">
      <c r="B335" s="20" t="str">
        <f>IFERROR(__xludf.DUMMYFUNCTION("if(exact($E335, """"), """", iferror(regexextract($F335, ""^(?:- )?([A-Z]+)""), ""?""))"),"R")</f>
        <v>R</v>
      </c>
      <c r="C335" s="57" t="str">
        <f t="shared" si="3"/>
        <v>667ERJ3EKF1003V</v>
      </c>
      <c r="D335" t="str">
        <f>Parts1!H275</f>
        <v>Grids v0.2</v>
      </c>
      <c r="E335" t="str">
        <f>Parts1!I275</f>
        <v>S</v>
      </c>
      <c r="F335" t="str">
        <f>Parts1!J275</f>
        <v>R9, R11, R13, R14, R15, R16, R17, R18, R19, R20, R21, R22, R23, R24, R27, R28, R29, R30, R31, R32, R33, R34, R35, R36, R37, R38</v>
      </c>
      <c r="G335" s="65">
        <f>Parts1!K275</f>
        <v>26</v>
      </c>
      <c r="H335" t="str">
        <f>Parts1!L275</f>
        <v>Resistor, 1%</v>
      </c>
      <c r="I335" t="str">
        <f>Parts1!M275</f>
        <v/>
      </c>
      <c r="J335" t="str">
        <f>Parts1!N275</f>
        <v>100k</v>
      </c>
      <c r="K335" s="59" t="str">
        <f>Parts1!O275</f>
        <v>0603</v>
      </c>
      <c r="L335" t="str">
        <f>Parts1!P275</f>
        <v>667-ERJ3EKF1003V</v>
      </c>
      <c r="M335" s="51" t="str">
        <f>Parts1!Q275</f>
        <v/>
      </c>
      <c r="N335" s="58">
        <v>7.0</v>
      </c>
      <c r="O335" s="52" t="str">
        <f t="shared" si="2"/>
        <v>A</v>
      </c>
      <c r="P335" s="52" t="str">
        <f t="shared" si="5"/>
        <v/>
      </c>
      <c r="Q335" s="52">
        <f t="shared" si="4"/>
        <v>4</v>
      </c>
      <c r="R335" s="52" t="b">
        <f t="shared" si="6"/>
        <v>0</v>
      </c>
    </row>
    <row r="336">
      <c r="B336" s="20" t="str">
        <f>IFERROR(__xludf.DUMMYFUNCTION("if(exact($E336, """"), """", iferror(regexextract($F336, ""^(?:- )?([A-Z]+)""), ""?""))"),"R")</f>
        <v>R</v>
      </c>
      <c r="C336" s="57" t="str">
        <f t="shared" si="3"/>
        <v>667ERJ3EKF1003V</v>
      </c>
      <c r="D336" t="str">
        <f>Parts1!H371</f>
        <v>Rings v3.0</v>
      </c>
      <c r="E336" t="str">
        <f>Parts1!I371</f>
        <v>S</v>
      </c>
      <c r="F336" t="str">
        <f>Parts1!J371</f>
        <v>R11, R14, R19, R21, R22, R34, R35, R52</v>
      </c>
      <c r="G336">
        <f>Parts1!K371</f>
        <v>8</v>
      </c>
      <c r="H336" t="str">
        <f>Parts1!L371</f>
        <v>Resistor, 1%</v>
      </c>
      <c r="I336" t="str">
        <f>Parts1!M371</f>
        <v/>
      </c>
      <c r="J336" t="str">
        <f>Parts1!N371</f>
        <v>100k</v>
      </c>
      <c r="K336" s="59" t="str">
        <f>Parts1!O371</f>
        <v>0603</v>
      </c>
      <c r="L336" t="str">
        <f>Parts1!P371</f>
        <v>667-ERJ-3EKF1003V</v>
      </c>
      <c r="M336" s="51" t="str">
        <f>Parts1!Q371</f>
        <v/>
      </c>
      <c r="N336" s="58">
        <v>10.0</v>
      </c>
      <c r="O336" s="52" t="str">
        <f t="shared" si="2"/>
        <v>A</v>
      </c>
      <c r="P336" s="52" t="str">
        <f t="shared" si="5"/>
        <v/>
      </c>
      <c r="Q336" s="52">
        <f t="shared" si="4"/>
        <v>3</v>
      </c>
      <c r="R336" s="52" t="b">
        <f t="shared" si="6"/>
        <v>0</v>
      </c>
    </row>
    <row r="337">
      <c r="B337" s="20" t="str">
        <f>IFERROR(__xludf.DUMMYFUNCTION("if(exact($E337, """"), """", iferror(regexextract($F337, ""^(?:- )?([A-Z]+)""), ""?""))"),"R")</f>
        <v>R</v>
      </c>
      <c r="C337" s="57" t="str">
        <f t="shared" si="3"/>
        <v>667ERJ3EKF1003V</v>
      </c>
      <c r="D337" t="str">
        <f>Parts1!H425</f>
        <v>Ripples v4.0</v>
      </c>
      <c r="E337" t="str">
        <f>Parts1!I425</f>
        <v>S</v>
      </c>
      <c r="F337" t="str">
        <f>Parts1!J425</f>
        <v>R9, R20, R29, R31, R35, R37, R38, R40, R42, R45</v>
      </c>
      <c r="G337">
        <f>Parts1!K425</f>
        <v>10</v>
      </c>
      <c r="H337" t="str">
        <f>Parts1!L425</f>
        <v>Resistor, 1%</v>
      </c>
      <c r="I337" t="str">
        <f>Parts1!M425</f>
        <v/>
      </c>
      <c r="J337" s="59" t="str">
        <f>Parts1!N425</f>
        <v>100k</v>
      </c>
      <c r="K337" s="59" t="str">
        <f>Parts1!O425</f>
        <v>0603</v>
      </c>
      <c r="L337" t="str">
        <f>Parts1!P425</f>
        <v>667-ERJ3EKF1003V</v>
      </c>
      <c r="M337" s="51" t="str">
        <f>Parts1!Q425</f>
        <v/>
      </c>
      <c r="N337" s="58">
        <v>11.0</v>
      </c>
      <c r="O337" s="52" t="str">
        <f t="shared" si="2"/>
        <v>A</v>
      </c>
      <c r="P337" s="52" t="str">
        <f t="shared" si="5"/>
        <v/>
      </c>
      <c r="Q337" s="52">
        <f t="shared" si="4"/>
        <v>2</v>
      </c>
      <c r="R337" s="52" t="b">
        <f t="shared" si="6"/>
        <v>0</v>
      </c>
    </row>
    <row r="338">
      <c r="B338" s="20" t="str">
        <f>IFERROR(__xludf.DUMMYFUNCTION("if(exact($E338, """"), """", iferror(regexextract($F338, ""^(?:- )?([A-Z]+)""), ""?""))"),"R")</f>
        <v>R</v>
      </c>
      <c r="C338" s="57" t="str">
        <f t="shared" si="3"/>
        <v>667ERJ3EKF1003V</v>
      </c>
      <c r="D338" t="str">
        <f>Parts1!H527</f>
        <v>Streams v0.5</v>
      </c>
      <c r="E338" t="str">
        <f>Parts1!I527</f>
        <v>S</v>
      </c>
      <c r="F338" t="str">
        <f>Parts1!J527</f>
        <v>R12, R13, R25, R28, R34, R35, R39, R42, R49, R51, R52, R53, R54, R56, R58, R59</v>
      </c>
      <c r="G338">
        <f>Parts1!K527</f>
        <v>16</v>
      </c>
      <c r="H338" t="str">
        <f>Parts1!L527</f>
        <v>Resistor, 1%</v>
      </c>
      <c r="I338" t="str">
        <f>Parts1!M527</f>
        <v/>
      </c>
      <c r="J338" t="str">
        <f>Parts1!N527</f>
        <v>100k</v>
      </c>
      <c r="K338" t="str">
        <f>Parts1!O527</f>
        <v>0603</v>
      </c>
      <c r="L338" t="str">
        <f>Parts1!P527</f>
        <v>667-ERJ-3EKF1003V</v>
      </c>
      <c r="M338" s="51" t="str">
        <f>Parts1!Q527</f>
        <v/>
      </c>
      <c r="N338" s="58">
        <v>15.0</v>
      </c>
      <c r="O338" s="52" t="str">
        <f t="shared" si="2"/>
        <v>A</v>
      </c>
      <c r="P338" s="52" t="str">
        <f t="shared" si="5"/>
        <v/>
      </c>
      <c r="Q338" s="52">
        <f t="shared" si="4"/>
        <v>1</v>
      </c>
      <c r="R338" s="52" t="b">
        <f t="shared" si="6"/>
        <v>0</v>
      </c>
    </row>
    <row r="339">
      <c r="B339" s="20" t="str">
        <f>IFERROR(__xludf.DUMMYFUNCTION("if(exact($E339, """"), """", iferror(regexextract($F339, ""^(?:- )?([A-Z]+)""), ""?""))"),"R")</f>
        <v>R</v>
      </c>
      <c r="C339" s="57" t="str">
        <f t="shared" si="3"/>
        <v>667ERJ3EKF1003V</v>
      </c>
      <c r="D339" t="str">
        <f>Parts1!H641</f>
        <v>Warps v3.0</v>
      </c>
      <c r="E339" t="str">
        <f>Parts1!I641</f>
        <v>S</v>
      </c>
      <c r="F339" t="str">
        <f>Parts1!J641</f>
        <v>R8, R9, R17, R18</v>
      </c>
      <c r="G339">
        <f>Parts1!K641</f>
        <v>4</v>
      </c>
      <c r="H339" t="str">
        <f>Parts1!L641</f>
        <v>Resistor, 1%</v>
      </c>
      <c r="I339" t="str">
        <f>Parts1!M641</f>
        <v/>
      </c>
      <c r="J339" t="str">
        <f>Parts1!N641</f>
        <v>100k</v>
      </c>
      <c r="K339" t="str">
        <f>Parts1!O641</f>
        <v>0603</v>
      </c>
      <c r="L339" t="str">
        <f>Parts1!P641</f>
        <v>667-ERJ-3EKF1003V</v>
      </c>
      <c r="M339" s="51" t="str">
        <f>Parts1!Q641</f>
        <v/>
      </c>
      <c r="N339" s="58">
        <v>18.0</v>
      </c>
      <c r="O339" s="52" t="str">
        <f t="shared" si="2"/>
        <v>A</v>
      </c>
      <c r="P339" s="52" t="str">
        <f t="shared" si="5"/>
        <v/>
      </c>
      <c r="Q339" s="52">
        <f t="shared" si="4"/>
        <v>0</v>
      </c>
      <c r="R339" s="52" t="b">
        <f t="shared" si="6"/>
        <v>0</v>
      </c>
    </row>
    <row r="340">
      <c r="B340" s="20" t="str">
        <f>IFERROR(__xludf.DUMMYFUNCTION("if(exact($E340, """"), """", iferror(regexextract($F340, ""^(?:- )?([A-Z]+)""), ""?""))"),"R")</f>
        <v>R</v>
      </c>
      <c r="C340" s="57" t="str">
        <f t="shared" si="3"/>
        <v>667ERJ3EKF1004V</v>
      </c>
      <c r="D340" t="str">
        <f>Parts1!H276</f>
        <v>Grids v0.2</v>
      </c>
      <c r="E340" t="str">
        <f>Parts1!I276</f>
        <v>S</v>
      </c>
      <c r="F340" t="str">
        <f>Parts1!J276</f>
        <v>R10, R12</v>
      </c>
      <c r="G340" s="65">
        <f>Parts1!K276</f>
        <v>2</v>
      </c>
      <c r="H340" t="str">
        <f>Parts1!L276</f>
        <v>Resistor, 1%</v>
      </c>
      <c r="I340" t="str">
        <f>Parts1!M276</f>
        <v/>
      </c>
      <c r="J340" t="str">
        <f>Parts1!N276</f>
        <v>1M</v>
      </c>
      <c r="K340" s="59" t="str">
        <f>Parts1!O276</f>
        <v>0603</v>
      </c>
      <c r="L340" t="str">
        <f>Parts1!P276</f>
        <v>667-ERJ3EKF1004V</v>
      </c>
      <c r="M340" s="51" t="str">
        <f>Parts1!Q276</f>
        <v/>
      </c>
      <c r="N340" s="58">
        <v>7.0</v>
      </c>
      <c r="O340" s="52" t="str">
        <f t="shared" si="2"/>
        <v>A</v>
      </c>
      <c r="P340" s="52">
        <f t="shared" si="5"/>
        <v>1</v>
      </c>
      <c r="Q340" s="52">
        <f t="shared" si="4"/>
        <v>1</v>
      </c>
      <c r="R340" s="52" t="b">
        <f t="shared" si="6"/>
        <v>1</v>
      </c>
    </row>
    <row r="341">
      <c r="B341" s="20" t="str">
        <f>IFERROR(__xludf.DUMMYFUNCTION("if(exact($E341, """"), """", iferror(regexextract($F341, ""^(?:- )?([A-Z]+)""), ""?""))"),"R")</f>
        <v>R</v>
      </c>
      <c r="C341" s="57" t="str">
        <f t="shared" si="3"/>
        <v>667ERJ3EKF1004V</v>
      </c>
      <c r="D341" t="str">
        <f>Parts1!H375</f>
        <v>Rings v3.0</v>
      </c>
      <c r="E341" t="str">
        <f>Parts1!I375</f>
        <v>S</v>
      </c>
      <c r="F341" t="str">
        <f>Parts1!J375</f>
        <v>R53</v>
      </c>
      <c r="G341">
        <f>Parts1!K375</f>
        <v>1</v>
      </c>
      <c r="H341" t="str">
        <f>Parts1!L375</f>
        <v>Resistor, 1%</v>
      </c>
      <c r="I341" t="str">
        <f>Parts1!M375</f>
        <v/>
      </c>
      <c r="J341" t="str">
        <f>Parts1!N375</f>
        <v>1.0M</v>
      </c>
      <c r="K341" s="59" t="str">
        <f>Parts1!O375</f>
        <v>0603</v>
      </c>
      <c r="L341" t="str">
        <f>Parts1!P375</f>
        <v>667-ERJ-3EKF1004V</v>
      </c>
      <c r="M341" s="51" t="str">
        <f>Parts1!Q375</f>
        <v/>
      </c>
      <c r="N341" s="58">
        <v>10.0</v>
      </c>
      <c r="O341" s="52" t="str">
        <f t="shared" si="2"/>
        <v>A</v>
      </c>
      <c r="P341" s="52" t="str">
        <f t="shared" si="5"/>
        <v/>
      </c>
      <c r="Q341" s="52">
        <f t="shared" si="4"/>
        <v>0</v>
      </c>
      <c r="R341" s="52" t="b">
        <f t="shared" si="6"/>
        <v>1</v>
      </c>
    </row>
    <row r="342">
      <c r="B342" s="20" t="str">
        <f>IFERROR(__xludf.DUMMYFUNCTION("if(exact($E342, """"), """", iferror(regexextract($F342, ""^(?:- )?([A-Z]+)""), ""?""))"),"R")</f>
        <v>R</v>
      </c>
      <c r="C342" s="57" t="str">
        <f t="shared" si="3"/>
        <v>667ERJ3EKF1201V</v>
      </c>
      <c r="D342" t="str">
        <f>Parts1!H521</f>
        <v>Streams v0.5</v>
      </c>
      <c r="E342" t="str">
        <f>Parts1!I521</f>
        <v>S</v>
      </c>
      <c r="F342" t="str">
        <f>Parts1!J521</f>
        <v>R4, R5</v>
      </c>
      <c r="G342">
        <f>Parts1!K521</f>
        <v>2</v>
      </c>
      <c r="H342" t="str">
        <f>Parts1!L521</f>
        <v>Resistor, 1%</v>
      </c>
      <c r="I342" t="str">
        <f>Parts1!M521</f>
        <v/>
      </c>
      <c r="J342" t="str">
        <f>Parts1!N521</f>
        <v>1.2k</v>
      </c>
      <c r="K342" t="str">
        <f>Parts1!O521</f>
        <v>0603</v>
      </c>
      <c r="L342" t="str">
        <f>Parts1!P521</f>
        <v>667-ERJ-3EKF1201V</v>
      </c>
      <c r="M342" s="51" t="str">
        <f>Parts1!Q521</f>
        <v/>
      </c>
      <c r="N342" s="58">
        <v>15.0</v>
      </c>
      <c r="O342" s="52" t="str">
        <f t="shared" si="2"/>
        <v>A</v>
      </c>
      <c r="P342" s="52">
        <f t="shared" si="5"/>
        <v>1</v>
      </c>
      <c r="Q342" s="52">
        <f t="shared" si="4"/>
        <v>0</v>
      </c>
      <c r="R342" s="52" t="b">
        <f t="shared" si="6"/>
        <v>0</v>
      </c>
    </row>
    <row r="343">
      <c r="B343" s="20" t="str">
        <f>IFERROR(__xludf.DUMMYFUNCTION("if(exact($E343, """"), """", iferror(regexextract($F343, ""^(?:- )?([A-Z]+)""), ""?""))"),"R")</f>
        <v>R</v>
      </c>
      <c r="C343" s="57" t="str">
        <f t="shared" si="3"/>
        <v>667ERJ3EKF1202V</v>
      </c>
      <c r="D343" t="str">
        <f>Parts1!H478</f>
        <v>Shelves v0.5</v>
      </c>
      <c r="E343" t="str">
        <f>Parts1!I478</f>
        <v>S</v>
      </c>
      <c r="F343" t="str">
        <f>Parts1!J478</f>
        <v>R22, R23, R50, R84, R113</v>
      </c>
      <c r="G343">
        <f>Parts1!K478</f>
        <v>5</v>
      </c>
      <c r="H343" t="str">
        <f>Parts1!L478</f>
        <v>Resistor, 1%</v>
      </c>
      <c r="I343" t="str">
        <f>Parts1!M478</f>
        <v/>
      </c>
      <c r="J343" t="str">
        <f>Parts1!N478</f>
        <v>12k</v>
      </c>
      <c r="K343" t="str">
        <f>Parts1!O478</f>
        <v>0603</v>
      </c>
      <c r="L343" t="str">
        <f>Parts1!P478</f>
        <v>667-ERJ-3EKF1202V</v>
      </c>
      <c r="M343" s="51" t="str">
        <f>Parts1!Q478</f>
        <v/>
      </c>
      <c r="N343" s="58">
        <v>13.0</v>
      </c>
      <c r="O343" s="52" t="str">
        <f t="shared" si="2"/>
        <v>A</v>
      </c>
      <c r="P343" s="52">
        <f t="shared" si="5"/>
        <v>1</v>
      </c>
      <c r="Q343" s="52">
        <f t="shared" si="4"/>
        <v>0</v>
      </c>
      <c r="R343" s="52" t="b">
        <f t="shared" si="6"/>
        <v>1</v>
      </c>
    </row>
    <row r="344">
      <c r="B344" s="20" t="str">
        <f>IFERROR(__xludf.DUMMYFUNCTION("if(exact($E344, """"), """", iferror(regexextract($F344, ""^(?:- )?([A-Z]+)""), ""?""))"),"R")</f>
        <v>R</v>
      </c>
      <c r="C344" s="57" t="str">
        <f t="shared" si="3"/>
        <v>667ERJ3EKF1203V</v>
      </c>
      <c r="D344" t="str">
        <f>Parts1!H15</f>
        <v>Braids v5.1</v>
      </c>
      <c r="E344" t="str">
        <f>Parts1!I15</f>
        <v>S</v>
      </c>
      <c r="F344" t="str">
        <f>Parts1!J15</f>
        <v>R39</v>
      </c>
      <c r="G344">
        <f>Parts1!K15</f>
        <v>1</v>
      </c>
      <c r="H344" t="str">
        <f>Parts1!L15</f>
        <v>Resistor, 1%</v>
      </c>
      <c r="I344" t="str">
        <f>Parts1!M15</f>
        <v/>
      </c>
      <c r="J344" t="str">
        <f>Parts1!N15</f>
        <v>120k</v>
      </c>
      <c r="K344" t="str">
        <f>Parts1!O15</f>
        <v>0603</v>
      </c>
      <c r="L344" t="str">
        <f>Parts1!P15</f>
        <v>667-ERJ3EKF1203V</v>
      </c>
      <c r="M344" s="51" t="str">
        <f>Parts1!Q15</f>
        <v/>
      </c>
      <c r="N344" s="58">
        <v>1.0</v>
      </c>
      <c r="O344" s="52" t="str">
        <f t="shared" si="2"/>
        <v>A</v>
      </c>
      <c r="P344" s="52">
        <f t="shared" si="5"/>
        <v>1</v>
      </c>
      <c r="Q344" s="52">
        <f t="shared" si="4"/>
        <v>5</v>
      </c>
      <c r="R344" s="52" t="b">
        <f t="shared" si="6"/>
        <v>0</v>
      </c>
    </row>
    <row r="345">
      <c r="B345" s="20" t="str">
        <f>IFERROR(__xludf.DUMMYFUNCTION("if(exact($E345, """"), """", iferror(regexextract($F345, ""^(?:- )?([A-Z]+)""), ""?""))"),"R")</f>
        <v>R</v>
      </c>
      <c r="C345" s="57" t="str">
        <f t="shared" si="3"/>
        <v>667ERJ3EKF1203V</v>
      </c>
      <c r="D345" t="str">
        <f>Parts1!H187</f>
        <v>Elements v0.21</v>
      </c>
      <c r="E345" t="str">
        <f>Parts1!I187</f>
        <v>S</v>
      </c>
      <c r="F345" t="str">
        <f>Parts1!J187</f>
        <v>R14, R15, R20, R21, R32, R38, R41, R42, R55, R56, R70</v>
      </c>
      <c r="G345">
        <f>Parts1!K187</f>
        <v>11</v>
      </c>
      <c r="H345" t="str">
        <f>Parts1!L187</f>
        <v>Resistor, 1%</v>
      </c>
      <c r="I345" t="str">
        <f>Parts1!M187</f>
        <v/>
      </c>
      <c r="J345" t="str">
        <f>Parts1!N187</f>
        <v>120k</v>
      </c>
      <c r="K345" t="str">
        <f>Parts1!O187</f>
        <v>0603</v>
      </c>
      <c r="L345" t="str">
        <f>Parts1!P187</f>
        <v>667-ERJ-3EKF1203V</v>
      </c>
      <c r="M345" s="51" t="str">
        <f>Parts1!Q187</f>
        <v/>
      </c>
      <c r="N345" s="58">
        <v>5.0</v>
      </c>
      <c r="O345" s="52" t="str">
        <f t="shared" si="2"/>
        <v>A</v>
      </c>
      <c r="P345" s="52" t="str">
        <f t="shared" si="5"/>
        <v/>
      </c>
      <c r="Q345" s="52">
        <f t="shared" si="4"/>
        <v>4</v>
      </c>
      <c r="R345" s="52" t="b">
        <f t="shared" si="6"/>
        <v>0</v>
      </c>
    </row>
    <row r="346">
      <c r="B346" s="20" t="str">
        <f>IFERROR(__xludf.DUMMYFUNCTION("if(exact($E346, """"), """", iferror(regexextract($F346, ""^(?:- )?([A-Z]+)""), ""?""))"),"R")</f>
        <v>R</v>
      </c>
      <c r="C346" s="57" t="str">
        <f t="shared" si="3"/>
        <v>667ERJ3EKF1203V</v>
      </c>
      <c r="D346" t="str">
        <f>Parts1!H372</f>
        <v>Rings v3.0</v>
      </c>
      <c r="E346" t="str">
        <f>Parts1!I372</f>
        <v>S</v>
      </c>
      <c r="F346" t="str">
        <f>Parts1!J372</f>
        <v>R20, R23, R24, R36, R37</v>
      </c>
      <c r="G346">
        <f>Parts1!K372</f>
        <v>5</v>
      </c>
      <c r="H346" t="str">
        <f>Parts1!L372</f>
        <v>Resistor, 1%</v>
      </c>
      <c r="I346" t="str">
        <f>Parts1!M372</f>
        <v/>
      </c>
      <c r="J346" t="str">
        <f>Parts1!N372</f>
        <v>120k</v>
      </c>
      <c r="K346" t="str">
        <f>Parts1!O372</f>
        <v>0603</v>
      </c>
      <c r="L346" t="str">
        <f>Parts1!P372</f>
        <v>667-ERJ-3EKF1203V</v>
      </c>
      <c r="M346" s="51" t="str">
        <f>Parts1!Q372</f>
        <v/>
      </c>
      <c r="N346" s="58">
        <v>10.0</v>
      </c>
      <c r="O346" s="52" t="str">
        <f t="shared" si="2"/>
        <v>A</v>
      </c>
      <c r="P346" s="52" t="str">
        <f t="shared" si="5"/>
        <v/>
      </c>
      <c r="Q346" s="52">
        <f t="shared" si="4"/>
        <v>3</v>
      </c>
      <c r="R346" s="52" t="b">
        <f t="shared" si="6"/>
        <v>0</v>
      </c>
    </row>
    <row r="347">
      <c r="B347" s="20" t="str">
        <f>IFERROR(__xludf.DUMMYFUNCTION("if(exact($E347, """"), """", iferror(regexextract($F347, ""^(?:- )?([A-Z]+)""), ""?""))"),"R")</f>
        <v>R</v>
      </c>
      <c r="C347" s="57" t="str">
        <f t="shared" si="3"/>
        <v>667ERJ3EKF1203V</v>
      </c>
      <c r="D347" t="str">
        <f>Parts1!H482</f>
        <v>Shelves v0.5</v>
      </c>
      <c r="E347" t="str">
        <f>Parts1!I482</f>
        <v>S</v>
      </c>
      <c r="F347" t="str">
        <f>Parts1!J482</f>
        <v>R26, R27, R30, R31, R44, R45, R78, R79</v>
      </c>
      <c r="G347">
        <f>Parts1!K482</f>
        <v>8</v>
      </c>
      <c r="H347" t="str">
        <f>Parts1!L482</f>
        <v>Resistor, 1%</v>
      </c>
      <c r="I347" t="str">
        <f>Parts1!M482</f>
        <v/>
      </c>
      <c r="J347" t="str">
        <f>Parts1!N482</f>
        <v>120k</v>
      </c>
      <c r="K347" t="str">
        <f>Parts1!O482</f>
        <v>0603</v>
      </c>
      <c r="L347" t="str">
        <f>Parts1!P482</f>
        <v>667-ERJ-3EKF1203V</v>
      </c>
      <c r="M347" s="51" t="str">
        <f>Parts1!Q482</f>
        <v/>
      </c>
      <c r="N347" s="58">
        <v>13.0</v>
      </c>
      <c r="O347" s="52" t="str">
        <f t="shared" si="2"/>
        <v>A</v>
      </c>
      <c r="P347" s="52" t="str">
        <f t="shared" si="5"/>
        <v/>
      </c>
      <c r="Q347" s="52">
        <f t="shared" si="4"/>
        <v>2</v>
      </c>
      <c r="R347" s="52" t="b">
        <f t="shared" si="6"/>
        <v>0</v>
      </c>
    </row>
    <row r="348">
      <c r="B348" s="20" t="str">
        <f>IFERROR(__xludf.DUMMYFUNCTION("if(exact($E348, """"), """", iferror(regexextract($F348, ""^(?:- )?([A-Z]+)""), ""?""))"),"R")</f>
        <v>R</v>
      </c>
      <c r="C348" s="57" t="str">
        <f t="shared" si="3"/>
        <v>667ERJ3EKF1203V</v>
      </c>
      <c r="D348" t="str">
        <f>Parts1!H528</f>
        <v>Streams v0.5</v>
      </c>
      <c r="E348" t="str">
        <f>Parts1!I528</f>
        <v>S</v>
      </c>
      <c r="F348" t="str">
        <f>Parts1!J528</f>
        <v>R9, R10, R24, R26</v>
      </c>
      <c r="G348">
        <f>Parts1!K528</f>
        <v>4</v>
      </c>
      <c r="H348" t="str">
        <f>Parts1!L528</f>
        <v>Resistor, 1%</v>
      </c>
      <c r="I348" t="str">
        <f>Parts1!M528</f>
        <v/>
      </c>
      <c r="J348" t="str">
        <f>Parts1!N528</f>
        <v>120k</v>
      </c>
      <c r="K348" t="str">
        <f>Parts1!O528</f>
        <v>0603</v>
      </c>
      <c r="L348" t="str">
        <f>Parts1!P528</f>
        <v>667-ERJ-3EKF1203V</v>
      </c>
      <c r="M348" s="51" t="str">
        <f>Parts1!Q528</f>
        <v/>
      </c>
      <c r="N348" s="58">
        <v>15.0</v>
      </c>
      <c r="O348" s="52" t="str">
        <f t="shared" si="2"/>
        <v>A</v>
      </c>
      <c r="P348" s="52" t="str">
        <f t="shared" si="5"/>
        <v/>
      </c>
      <c r="Q348" s="52">
        <f t="shared" si="4"/>
        <v>1</v>
      </c>
      <c r="R348" s="52" t="b">
        <f t="shared" si="6"/>
        <v>0</v>
      </c>
    </row>
    <row r="349">
      <c r="B349" s="20" t="str">
        <f>IFERROR(__xludf.DUMMYFUNCTION("if(exact($E349, """"), """", iferror(regexextract($F349, ""^(?:- )?([A-Z]+)""), ""?""))"),"R")</f>
        <v>R</v>
      </c>
      <c r="C349" s="57" t="str">
        <f t="shared" si="3"/>
        <v>667ERJ3EKF1203V</v>
      </c>
      <c r="D349" t="str">
        <f>Parts1!H642</f>
        <v>Warps v3.0</v>
      </c>
      <c r="E349" t="str">
        <f>Parts1!I642</f>
        <v>S</v>
      </c>
      <c r="F349" t="str">
        <f>Parts1!J642</f>
        <v>R10, R11</v>
      </c>
      <c r="G349">
        <f>Parts1!K642</f>
        <v>2</v>
      </c>
      <c r="H349" t="str">
        <f>Parts1!L642</f>
        <v>Resistor, 1%</v>
      </c>
      <c r="I349" t="str">
        <f>Parts1!M642</f>
        <v/>
      </c>
      <c r="J349" t="str">
        <f>Parts1!N642</f>
        <v>120k</v>
      </c>
      <c r="K349" t="str">
        <f>Parts1!O642</f>
        <v>0603</v>
      </c>
      <c r="L349" t="str">
        <f>Parts1!P642</f>
        <v>667-ERJ-3EKF1203V</v>
      </c>
      <c r="M349" s="51" t="str">
        <f>Parts1!Q642</f>
        <v/>
      </c>
      <c r="N349" s="58">
        <v>18.0</v>
      </c>
      <c r="O349" s="52" t="str">
        <f t="shared" si="2"/>
        <v>A</v>
      </c>
      <c r="P349" s="52" t="str">
        <f t="shared" si="5"/>
        <v/>
      </c>
      <c r="Q349" s="52">
        <f t="shared" si="4"/>
        <v>0</v>
      </c>
      <c r="R349" s="52" t="b">
        <f t="shared" si="6"/>
        <v>0</v>
      </c>
    </row>
    <row r="350">
      <c r="B350" s="20" t="str">
        <f>IFERROR(__xludf.DUMMYFUNCTION("if(exact($E350, """"), """", iferror(regexextract($F350, ""^(?:- )?([A-Z]+)""), ""?""))"),"R")</f>
        <v>R</v>
      </c>
      <c r="C350" s="57" t="str">
        <f t="shared" si="3"/>
        <v>667ERJ3EKF1402V</v>
      </c>
      <c r="D350" t="str">
        <f>Parts1!H524</f>
        <v>Streams v0.5</v>
      </c>
      <c r="E350" t="str">
        <f>Parts1!I524</f>
        <v>S</v>
      </c>
      <c r="F350" t="str">
        <f>Parts1!J524</f>
        <v>R29, R30</v>
      </c>
      <c r="G350">
        <f>Parts1!K524</f>
        <v>2</v>
      </c>
      <c r="H350" t="str">
        <f>Parts1!L524</f>
        <v>Resistor, 1%</v>
      </c>
      <c r="I350" t="str">
        <f>Parts1!M524</f>
        <v/>
      </c>
      <c r="J350" t="str">
        <f>Parts1!N524</f>
        <v>14k</v>
      </c>
      <c r="K350" t="str">
        <f>Parts1!O524</f>
        <v>0603</v>
      </c>
      <c r="L350" t="str">
        <f>Parts1!P524</f>
        <v>667-ERJ-3EKF1402V</v>
      </c>
      <c r="M350" s="51" t="str">
        <f>Parts1!Q524</f>
        <v/>
      </c>
      <c r="N350" s="58">
        <v>15.0</v>
      </c>
      <c r="O350" s="52" t="str">
        <f t="shared" si="2"/>
        <v>A</v>
      </c>
      <c r="P350" s="52">
        <f t="shared" si="5"/>
        <v>1</v>
      </c>
      <c r="Q350" s="52">
        <f t="shared" si="4"/>
        <v>0</v>
      </c>
      <c r="R350" s="52" t="b">
        <f t="shared" si="6"/>
        <v>1</v>
      </c>
    </row>
    <row r="351">
      <c r="B351" s="20" t="str">
        <f>IFERROR(__xludf.DUMMYFUNCTION("if(exact($E351, """"), """", iferror(regexextract($F351, ""^(?:- )?([A-Z]+)""), ""?""))"),"R")</f>
        <v>R</v>
      </c>
      <c r="C351" s="57" t="str">
        <f t="shared" si="3"/>
        <v>667ERJ3EKF1500V</v>
      </c>
      <c r="D351" t="str">
        <f>Parts1!H570</f>
        <v>Streams Bargraph v0.2</v>
      </c>
      <c r="E351" t="str">
        <f>Parts1!I570</f>
        <v>S</v>
      </c>
      <c r="F351" t="str">
        <f>Parts1!J570</f>
        <v>R1, R2, R3, R4, R5, R6, R7, R8, R9, R10, R11, R12, R13, R14, R15, R16</v>
      </c>
      <c r="G351">
        <f>Parts1!K570</f>
        <v>16</v>
      </c>
      <c r="H351" t="str">
        <f>Parts1!L570</f>
        <v>Resistor, 1%</v>
      </c>
      <c r="I351" t="str">
        <f>Parts1!M570</f>
        <v/>
      </c>
      <c r="J351">
        <f>Parts1!N570</f>
        <v>150</v>
      </c>
      <c r="K351" t="str">
        <f>Parts1!O570</f>
        <v>0603</v>
      </c>
      <c r="L351" t="str">
        <f>Parts1!P570</f>
        <v>667-ERJ3EKF1500V</v>
      </c>
      <c r="M351" s="51" t="str">
        <f>Parts1!Q570</f>
        <v/>
      </c>
      <c r="N351" s="58">
        <v>16.0</v>
      </c>
      <c r="O351" s="52" t="str">
        <f t="shared" si="2"/>
        <v>A</v>
      </c>
      <c r="P351" s="52">
        <f t="shared" si="5"/>
        <v>1</v>
      </c>
      <c r="Q351" s="52">
        <f t="shared" si="4"/>
        <v>0</v>
      </c>
      <c r="R351" s="52" t="b">
        <f t="shared" si="6"/>
        <v>0</v>
      </c>
    </row>
    <row r="352">
      <c r="B352" s="20" t="str">
        <f>IFERROR(__xludf.DUMMYFUNCTION("if(exact($E352, """"), """", iferror(regexextract($F352, ""^(?:- )?([A-Z]+)""), ""?""))"),"R")</f>
        <v>R</v>
      </c>
      <c r="C352" s="57" t="str">
        <f t="shared" si="3"/>
        <v>667ERJ3EKF1502V</v>
      </c>
      <c r="D352" t="str">
        <f>Parts1!H418</f>
        <v>Ripples v4.0</v>
      </c>
      <c r="E352" t="str">
        <f>Parts1!I418</f>
        <v>S</v>
      </c>
      <c r="F352" t="str">
        <f>Parts1!J418</f>
        <v>R36, R47</v>
      </c>
      <c r="G352">
        <f>Parts1!K418</f>
        <v>2</v>
      </c>
      <c r="H352" t="str">
        <f>Parts1!L418</f>
        <v>Resistor, 1%</v>
      </c>
      <c r="I352" t="str">
        <f>Parts1!M418</f>
        <v/>
      </c>
      <c r="J352" s="59" t="str">
        <f>Parts1!N418</f>
        <v>15k</v>
      </c>
      <c r="K352" s="59" t="str">
        <f>Parts1!O418</f>
        <v>0603</v>
      </c>
      <c r="L352" t="str">
        <f>Parts1!P418</f>
        <v>667-ERJ3EKF1502V</v>
      </c>
      <c r="M352" s="51" t="str">
        <f>Parts1!Q418</f>
        <v/>
      </c>
      <c r="N352" s="58">
        <v>11.0</v>
      </c>
      <c r="O352" s="52" t="str">
        <f t="shared" si="2"/>
        <v>A</v>
      </c>
      <c r="P352" s="52">
        <f t="shared" si="5"/>
        <v>1</v>
      </c>
      <c r="Q352" s="52">
        <f t="shared" si="4"/>
        <v>0</v>
      </c>
      <c r="R352" s="52" t="b">
        <f t="shared" si="6"/>
        <v>1</v>
      </c>
    </row>
    <row r="353">
      <c r="B353" s="20" t="str">
        <f>IFERROR(__xludf.DUMMYFUNCTION("if(exact($E353, """"), """", iferror(regexextract($F353, ""^(?:- )?([A-Z]+)""), ""?""))"),"R")</f>
        <v>R</v>
      </c>
      <c r="C353" s="57" t="str">
        <f t="shared" si="3"/>
        <v>667ERJ3EKF1503V</v>
      </c>
      <c r="D353" t="str">
        <f>Parts1!H483</f>
        <v>Shelves v0.5</v>
      </c>
      <c r="E353" t="str">
        <f>Parts1!I483</f>
        <v>S</v>
      </c>
      <c r="F353" t="str">
        <f>Parts1!J483</f>
        <v>R62, R95</v>
      </c>
      <c r="G353">
        <f>Parts1!K483</f>
        <v>2</v>
      </c>
      <c r="H353" t="str">
        <f>Parts1!L483</f>
        <v>Resistor, 1%</v>
      </c>
      <c r="I353" t="str">
        <f>Parts1!M483</f>
        <v/>
      </c>
      <c r="J353" t="str">
        <f>Parts1!N483</f>
        <v>150k</v>
      </c>
      <c r="K353" t="str">
        <f>Parts1!O483</f>
        <v>0603</v>
      </c>
      <c r="L353" t="str">
        <f>Parts1!P483</f>
        <v>667-ERJ-3EKF1503V</v>
      </c>
      <c r="M353" s="51" t="str">
        <f>Parts1!Q483</f>
        <v/>
      </c>
      <c r="N353" s="58">
        <v>13.0</v>
      </c>
      <c r="O353" s="52" t="str">
        <f t="shared" si="2"/>
        <v>A</v>
      </c>
      <c r="P353" s="52">
        <f t="shared" si="5"/>
        <v>1</v>
      </c>
      <c r="Q353" s="52">
        <f t="shared" si="4"/>
        <v>0</v>
      </c>
      <c r="R353" s="52" t="b">
        <f t="shared" si="6"/>
        <v>0</v>
      </c>
    </row>
    <row r="354">
      <c r="B354" s="20" t="str">
        <f>IFERROR(__xludf.DUMMYFUNCTION("if(exact($E354, """"), """", iferror(regexextract($F354, ""^(?:- )?([A-Z]+)""), ""?""))"),"R")</f>
        <v>R</v>
      </c>
      <c r="C354" s="57" t="str">
        <f t="shared" si="3"/>
        <v>667ERJ3EKF1504V</v>
      </c>
      <c r="D354" t="str">
        <f>Parts1!H486</f>
        <v>Shelves v0.5</v>
      </c>
      <c r="E354" t="str">
        <f>Parts1!I486</f>
        <v>S</v>
      </c>
      <c r="F354" t="str">
        <f>Parts1!J486</f>
        <v>R63, R96</v>
      </c>
      <c r="G354">
        <f>Parts1!K486</f>
        <v>2</v>
      </c>
      <c r="H354" t="str">
        <f>Parts1!L486</f>
        <v>Resistor, 1%</v>
      </c>
      <c r="I354" t="str">
        <f>Parts1!M486</f>
        <v/>
      </c>
      <c r="J354" t="str">
        <f>Parts1!N486</f>
        <v>1.5M</v>
      </c>
      <c r="K354" t="str">
        <f>Parts1!O486</f>
        <v>0603</v>
      </c>
      <c r="L354" t="str">
        <f>Parts1!P486</f>
        <v>667-ERJ-3EKF1504V</v>
      </c>
      <c r="M354" s="51" t="str">
        <f>Parts1!Q486</f>
        <v/>
      </c>
      <c r="N354" s="58">
        <v>13.0</v>
      </c>
      <c r="O354" s="52" t="str">
        <f t="shared" si="2"/>
        <v>A</v>
      </c>
      <c r="P354" s="52">
        <f t="shared" si="5"/>
        <v>1</v>
      </c>
      <c r="Q354" s="52">
        <f t="shared" si="4"/>
        <v>0</v>
      </c>
      <c r="R354" s="52" t="b">
        <f t="shared" si="6"/>
        <v>1</v>
      </c>
    </row>
    <row r="355">
      <c r="B355" s="20" t="str">
        <f>IFERROR(__xludf.DUMMYFUNCTION("if(exact($E355, """"), """", iferror(regexextract($F355, ""^(?:- )?([A-Z]+)""), ""?""))"),"R")</f>
        <v>R</v>
      </c>
      <c r="C355" s="57" t="str">
        <f t="shared" si="3"/>
        <v>667ERJ3EKF1800V</v>
      </c>
      <c r="D355" t="str">
        <f>Parts1!H363</f>
        <v>Rings v3.0</v>
      </c>
      <c r="E355" t="str">
        <f>Parts1!I363</f>
        <v>S</v>
      </c>
      <c r="F355" t="str">
        <f>Parts1!J363</f>
        <v>R1, R3, R4, R5</v>
      </c>
      <c r="G355">
        <f>Parts1!K363</f>
        <v>4</v>
      </c>
      <c r="H355" t="str">
        <f>Parts1!L363</f>
        <v>Resistor, 1%</v>
      </c>
      <c r="I355" t="str">
        <f>Parts1!M363</f>
        <v/>
      </c>
      <c r="J355">
        <f>Parts1!N363</f>
        <v>180</v>
      </c>
      <c r="K355" s="59" t="str">
        <f>Parts1!O363</f>
        <v>0603</v>
      </c>
      <c r="L355" t="str">
        <f>Parts1!P363</f>
        <v>667-ERJ-3EKF1800V</v>
      </c>
      <c r="M355" s="51" t="str">
        <f>Parts1!Q363</f>
        <v/>
      </c>
      <c r="N355" s="58">
        <v>10.0</v>
      </c>
      <c r="O355" s="52" t="str">
        <f t="shared" si="2"/>
        <v>A</v>
      </c>
      <c r="P355" s="52">
        <f t="shared" si="5"/>
        <v>1</v>
      </c>
      <c r="Q355" s="52">
        <f t="shared" si="4"/>
        <v>1</v>
      </c>
      <c r="R355" s="52" t="b">
        <f t="shared" si="6"/>
        <v>0</v>
      </c>
    </row>
    <row r="356">
      <c r="B356" s="20" t="str">
        <f>IFERROR(__xludf.DUMMYFUNCTION("if(exact($E356, """"), """", iferror(regexextract($F356, ""^(?:- )?([A-Z]+)""), ""?""))"),"R")</f>
        <v>R</v>
      </c>
      <c r="C356" s="57" t="str">
        <f t="shared" si="3"/>
        <v>667ERJ3EKF1800V</v>
      </c>
      <c r="D356" t="str">
        <f>Parts1!H632</f>
        <v>Warps v3.0</v>
      </c>
      <c r="E356" t="str">
        <f>Parts1!I632</f>
        <v>S</v>
      </c>
      <c r="F356" t="str">
        <f>Parts1!J632</f>
        <v>R21, R22</v>
      </c>
      <c r="G356">
        <f>Parts1!K632</f>
        <v>2</v>
      </c>
      <c r="H356" t="str">
        <f>Parts1!L632</f>
        <v>Resistor, 1%</v>
      </c>
      <c r="I356" t="str">
        <f>Parts1!M632</f>
        <v/>
      </c>
      <c r="J356">
        <f>Parts1!N632</f>
        <v>180</v>
      </c>
      <c r="K356" t="str">
        <f>Parts1!O632</f>
        <v>0603</v>
      </c>
      <c r="L356" t="str">
        <f>Parts1!P632</f>
        <v>667-ERJ-3EKF1800V</v>
      </c>
      <c r="M356" s="51" t="str">
        <f>Parts1!Q632</f>
        <v/>
      </c>
      <c r="N356" s="58">
        <v>18.0</v>
      </c>
      <c r="O356" s="52" t="str">
        <f t="shared" si="2"/>
        <v>A</v>
      </c>
      <c r="P356" s="52" t="str">
        <f t="shared" si="5"/>
        <v/>
      </c>
      <c r="Q356" s="52">
        <f t="shared" si="4"/>
        <v>0</v>
      </c>
      <c r="R356" s="52" t="b">
        <f t="shared" si="6"/>
        <v>0</v>
      </c>
    </row>
    <row r="357">
      <c r="B357" s="20" t="str">
        <f>IFERROR(__xludf.DUMMYFUNCTION("if(exact($E357, """"), """", iferror(regexextract($F357, ""^(?:- )?([A-Z]+)""), ""?""))"),"R")</f>
        <v>R</v>
      </c>
      <c r="C357" s="57" t="str">
        <f t="shared" si="3"/>
        <v>667ERJ3EKF1802V</v>
      </c>
      <c r="D357" t="str">
        <f>Parts1!H479</f>
        <v>Shelves v0.5</v>
      </c>
      <c r="E357" t="str">
        <f>Parts1!I479</f>
        <v>S</v>
      </c>
      <c r="F357" t="str">
        <f>Parts1!J479</f>
        <v>R13, R14, R51, R85</v>
      </c>
      <c r="G357">
        <f>Parts1!K479</f>
        <v>4</v>
      </c>
      <c r="H357" t="str">
        <f>Parts1!L479</f>
        <v>Resistor, 1%</v>
      </c>
      <c r="I357" t="str">
        <f>Parts1!M479</f>
        <v/>
      </c>
      <c r="J357" t="str">
        <f>Parts1!N479</f>
        <v>18k</v>
      </c>
      <c r="K357" t="str">
        <f>Parts1!O479</f>
        <v>0603</v>
      </c>
      <c r="L357" t="str">
        <f>Parts1!P479</f>
        <v>667-ERJ-3EKF1802V</v>
      </c>
      <c r="M357" s="51" t="str">
        <f>Parts1!Q479</f>
        <v/>
      </c>
      <c r="N357" s="58">
        <v>13.0</v>
      </c>
      <c r="O357" s="52" t="str">
        <f t="shared" si="2"/>
        <v>A</v>
      </c>
      <c r="P357" s="52">
        <f t="shared" si="5"/>
        <v>1</v>
      </c>
      <c r="Q357" s="52">
        <f t="shared" si="4"/>
        <v>0</v>
      </c>
      <c r="R357" s="52" t="b">
        <f t="shared" si="6"/>
        <v>1</v>
      </c>
    </row>
    <row r="358">
      <c r="B358" s="20" t="str">
        <f>IFERROR(__xludf.DUMMYFUNCTION("if(exact($E358, """"), """", iferror(regexextract($F358, ""^(?:- )?([A-Z]+)""), ""?""))"),"R")</f>
        <v>R</v>
      </c>
      <c r="C358" s="57" t="str">
        <f t="shared" si="3"/>
        <v>667ERJ3EKF1803V</v>
      </c>
      <c r="D358" t="str">
        <f>Parts1!H92</f>
        <v>Clouds v3.0</v>
      </c>
      <c r="E358" t="str">
        <f>Parts1!I92</f>
        <v>S</v>
      </c>
      <c r="F358" t="str">
        <f>Parts1!J92</f>
        <v>R36</v>
      </c>
      <c r="G358">
        <f>Parts1!K92</f>
        <v>1</v>
      </c>
      <c r="H358" t="str">
        <f>Parts1!L92</f>
        <v>Resistor, 1%</v>
      </c>
      <c r="I358" t="str">
        <f>Parts1!M92</f>
        <v/>
      </c>
      <c r="J358" t="str">
        <f>Parts1!N92</f>
        <v>180k</v>
      </c>
      <c r="K358" s="59" t="str">
        <f>Parts1!O92</f>
        <v>0603</v>
      </c>
      <c r="L358" t="str">
        <f>Parts1!P92</f>
        <v>667-ERJ-3EKF1803V</v>
      </c>
      <c r="M358" s="51" t="str">
        <f>Parts1!Q92</f>
        <v/>
      </c>
      <c r="N358" s="58">
        <v>3.0</v>
      </c>
      <c r="O358" s="52" t="str">
        <f t="shared" si="2"/>
        <v>A</v>
      </c>
      <c r="P358" s="52">
        <f t="shared" si="5"/>
        <v>1</v>
      </c>
      <c r="Q358" s="52">
        <f t="shared" si="4"/>
        <v>2</v>
      </c>
      <c r="R358" s="52" t="b">
        <f t="shared" si="6"/>
        <v>0</v>
      </c>
    </row>
    <row r="359">
      <c r="B359" s="20" t="str">
        <f>IFERROR(__xludf.DUMMYFUNCTION("if(exact($E359, """"), """", iferror(regexextract($F359, ""^(?:- )?([A-Z]+)""), ""?""))"),"R")</f>
        <v>R</v>
      </c>
      <c r="C359" s="57" t="str">
        <f t="shared" si="3"/>
        <v>667ERJ3EKF1803V</v>
      </c>
      <c r="D359" t="str">
        <f>Parts1!H188</f>
        <v>Elements v0.21</v>
      </c>
      <c r="E359" t="str">
        <f>Parts1!I188</f>
        <v>S</v>
      </c>
      <c r="F359" t="str">
        <f>Parts1!J188</f>
        <v>R37</v>
      </c>
      <c r="G359">
        <f>Parts1!K188</f>
        <v>1</v>
      </c>
      <c r="H359" t="str">
        <f>Parts1!L188</f>
        <v>Resistor, 1%</v>
      </c>
      <c r="I359" t="str">
        <f>Parts1!M188</f>
        <v/>
      </c>
      <c r="J359" t="str">
        <f>Parts1!N188</f>
        <v>180k</v>
      </c>
      <c r="K359" t="str">
        <f>Parts1!O188</f>
        <v>0603</v>
      </c>
      <c r="L359" t="str">
        <f>Parts1!P188</f>
        <v>667-ERJ-3EKF1803V</v>
      </c>
      <c r="M359" s="51" t="str">
        <f>Parts1!Q188</f>
        <v/>
      </c>
      <c r="N359" s="58">
        <v>5.0</v>
      </c>
      <c r="O359" s="52" t="str">
        <f t="shared" si="2"/>
        <v>A</v>
      </c>
      <c r="P359" s="52" t="str">
        <f t="shared" si="5"/>
        <v/>
      </c>
      <c r="Q359" s="52">
        <f t="shared" si="4"/>
        <v>1</v>
      </c>
      <c r="R359" s="52" t="b">
        <f t="shared" si="6"/>
        <v>0</v>
      </c>
    </row>
    <row r="360">
      <c r="B360" s="20" t="str">
        <f>IFERROR(__xludf.DUMMYFUNCTION("if(exact($E360, """"), """", iferror(regexextract($F360, ""^(?:- )?([A-Z]+)""), ""?""))"),"R")</f>
        <v>R</v>
      </c>
      <c r="C360" s="57" t="str">
        <f t="shared" si="3"/>
        <v>667ERJ3EKF1803V</v>
      </c>
      <c r="D360" t="str">
        <f>Parts1!H373</f>
        <v>Rings v3.0</v>
      </c>
      <c r="E360" t="str">
        <f>Parts1!I373</f>
        <v>S</v>
      </c>
      <c r="F360" t="str">
        <f>Parts1!J373</f>
        <v>R15</v>
      </c>
      <c r="G360">
        <f>Parts1!K373</f>
        <v>1</v>
      </c>
      <c r="H360" t="str">
        <f>Parts1!L373</f>
        <v>Resistor, 1%</v>
      </c>
      <c r="I360" t="str">
        <f>Parts1!M373</f>
        <v/>
      </c>
      <c r="J360" t="str">
        <f>Parts1!N373</f>
        <v>180k</v>
      </c>
      <c r="K360" s="59" t="str">
        <f>Parts1!O373</f>
        <v>0603</v>
      </c>
      <c r="L360" t="str">
        <f>Parts1!P373</f>
        <v>667-ERJ-3EKF1803V</v>
      </c>
      <c r="M360" s="51" t="str">
        <f>Parts1!Q373</f>
        <v/>
      </c>
      <c r="N360" s="58">
        <v>10.0</v>
      </c>
      <c r="O360" s="52" t="str">
        <f t="shared" si="2"/>
        <v>A</v>
      </c>
      <c r="P360" s="52" t="str">
        <f t="shared" si="5"/>
        <v/>
      </c>
      <c r="Q360" s="52">
        <f t="shared" si="4"/>
        <v>0</v>
      </c>
      <c r="R360" s="52" t="b">
        <f t="shared" si="6"/>
        <v>0</v>
      </c>
    </row>
    <row r="361">
      <c r="B361" s="20" t="str">
        <f>IFERROR(__xludf.DUMMYFUNCTION("if(exact($E361, """"), """", iferror(regexextract($F361, ""^(?:- )?([A-Z]+)""), ""?""))"),"R")</f>
        <v>R</v>
      </c>
      <c r="C361" s="57" t="str">
        <f t="shared" si="3"/>
        <v>667ERJ3EKF2001V</v>
      </c>
      <c r="D361" t="str">
        <f>Parts1!H134</f>
        <v>Edges v2.0</v>
      </c>
      <c r="E361" t="str">
        <f>Parts1!I134</f>
        <v>S</v>
      </c>
      <c r="F361" t="str">
        <f>Parts1!J134</f>
        <v>R1</v>
      </c>
      <c r="G361">
        <f>Parts1!K134</f>
        <v>1</v>
      </c>
      <c r="H361" t="str">
        <f>Parts1!L134</f>
        <v>Resistor, 1%</v>
      </c>
      <c r="I361" t="str">
        <f>Parts1!M134</f>
        <v/>
      </c>
      <c r="J361" t="str">
        <f>Parts1!N134</f>
        <v>2k</v>
      </c>
      <c r="K361" t="str">
        <f>Parts1!O134</f>
        <v>0603</v>
      </c>
      <c r="L361" t="str">
        <f>Parts1!P134</f>
        <v>667-ERJ3EKF2001V</v>
      </c>
      <c r="M361" s="51" t="str">
        <f>Parts1!Q134</f>
        <v/>
      </c>
      <c r="N361" s="58">
        <v>4.0</v>
      </c>
      <c r="O361" s="52" t="str">
        <f t="shared" si="2"/>
        <v>A</v>
      </c>
      <c r="P361" s="52">
        <f t="shared" si="5"/>
        <v>1</v>
      </c>
      <c r="Q361" s="52">
        <f t="shared" si="4"/>
        <v>0</v>
      </c>
      <c r="R361" s="52" t="b">
        <f t="shared" si="6"/>
        <v>1</v>
      </c>
    </row>
    <row r="362">
      <c r="B362" s="20" t="str">
        <f>IFERROR(__xludf.DUMMYFUNCTION("if(exact($E362, """"), """", iferror(regexextract($F362, ""^(?:- )?([A-Z]+)""), ""?""))"),"R")</f>
        <v>R</v>
      </c>
      <c r="C362" s="57" t="str">
        <f t="shared" si="3"/>
        <v>667ERJ3EKF2002V</v>
      </c>
      <c r="D362" t="str">
        <f>Parts1!H182</f>
        <v>Elements v0.21</v>
      </c>
      <c r="E362" t="str">
        <f>Parts1!I182</f>
        <v>S</v>
      </c>
      <c r="F362" t="str">
        <f>Parts1!J182</f>
        <v>R11, R12, R17, R18, R28, R29, R35, R46, R48, R49, R73</v>
      </c>
      <c r="G362">
        <f>Parts1!K182</f>
        <v>11</v>
      </c>
      <c r="H362" t="str">
        <f>Parts1!L182</f>
        <v>Resistor, 1%</v>
      </c>
      <c r="I362" t="str">
        <f>Parts1!M182</f>
        <v/>
      </c>
      <c r="J362" t="str">
        <f>Parts1!N182</f>
        <v>20k</v>
      </c>
      <c r="K362" t="str">
        <f>Parts1!O182</f>
        <v>0603</v>
      </c>
      <c r="L362" t="str">
        <f>Parts1!P182</f>
        <v>667-ERJ-3EKF2002V</v>
      </c>
      <c r="M362" s="51" t="str">
        <f>Parts1!Q182</f>
        <v/>
      </c>
      <c r="N362" s="58">
        <v>5.0</v>
      </c>
      <c r="O362" s="52" t="str">
        <f t="shared" si="2"/>
        <v>A</v>
      </c>
      <c r="P362" s="52">
        <f t="shared" si="5"/>
        <v>1</v>
      </c>
      <c r="Q362" s="52">
        <f t="shared" si="4"/>
        <v>2</v>
      </c>
      <c r="R362" s="52" t="b">
        <f t="shared" si="6"/>
        <v>0</v>
      </c>
    </row>
    <row r="363">
      <c r="B363" s="20" t="str">
        <f>IFERROR(__xludf.DUMMYFUNCTION("if(exact($E363, """"), """", iferror(regexextract($F363, ""^(?:- )?([A-Z]+)""), ""?""))"),"R")</f>
        <v>R</v>
      </c>
      <c r="C363" s="57" t="str">
        <f t="shared" si="3"/>
        <v>667ERJ3EKF2002V</v>
      </c>
      <c r="D363" t="str">
        <f>Parts1!H368</f>
        <v>Rings v3.0</v>
      </c>
      <c r="E363" t="str">
        <f>Parts1!I368</f>
        <v>S</v>
      </c>
      <c r="F363" t="str">
        <f>Parts1!J368</f>
        <v>R18, R25, R26, R31, R32</v>
      </c>
      <c r="G363">
        <f>Parts1!K368</f>
        <v>5</v>
      </c>
      <c r="H363" t="str">
        <f>Parts1!L368</f>
        <v>Resistor, 1%</v>
      </c>
      <c r="I363" t="str">
        <f>Parts1!M368</f>
        <v/>
      </c>
      <c r="J363" t="str">
        <f>Parts1!N368</f>
        <v>20k</v>
      </c>
      <c r="K363" t="str">
        <f>Parts1!O368</f>
        <v>0603</v>
      </c>
      <c r="L363" t="str">
        <f>Parts1!P368</f>
        <v>667-ERJ-3EKF2002V</v>
      </c>
      <c r="M363" s="51" t="str">
        <f>Parts1!Q368</f>
        <v/>
      </c>
      <c r="N363" s="58">
        <v>10.0</v>
      </c>
      <c r="O363" s="52" t="str">
        <f t="shared" si="2"/>
        <v>A</v>
      </c>
      <c r="P363" s="52" t="str">
        <f t="shared" si="5"/>
        <v/>
      </c>
      <c r="Q363" s="52">
        <f t="shared" si="4"/>
        <v>1</v>
      </c>
      <c r="R363" s="52" t="b">
        <f t="shared" si="6"/>
        <v>0</v>
      </c>
    </row>
    <row r="364">
      <c r="B364" s="20" t="str">
        <f>IFERROR(__xludf.DUMMYFUNCTION("if(exact($E364, """"), """", iferror(regexextract($F364, ""^(?:- )?([A-Z]+)""), ""?""))"),"R")</f>
        <v>R</v>
      </c>
      <c r="C364" s="57" t="str">
        <f t="shared" si="3"/>
        <v>667ERJ3EKF2002V</v>
      </c>
      <c r="D364" t="str">
        <f>Parts1!H525</f>
        <v>Streams v0.5</v>
      </c>
      <c r="E364" t="str">
        <f>Parts1!I525</f>
        <v>S</v>
      </c>
      <c r="F364" t="str">
        <f>Parts1!J525</f>
        <v>R18, R19, R22, R23</v>
      </c>
      <c r="G364">
        <f>Parts1!K525</f>
        <v>4</v>
      </c>
      <c r="H364" t="str">
        <f>Parts1!L525</f>
        <v>Resistor, 1%</v>
      </c>
      <c r="I364" t="str">
        <f>Parts1!M525</f>
        <v/>
      </c>
      <c r="J364" t="str">
        <f>Parts1!N525</f>
        <v>20k</v>
      </c>
      <c r="K364" t="str">
        <f>Parts1!O525</f>
        <v>0603</v>
      </c>
      <c r="L364" t="str">
        <f>Parts1!P525</f>
        <v>667-ERJ-3EKF2002V</v>
      </c>
      <c r="M364" s="51" t="str">
        <f>Parts1!Q525</f>
        <v/>
      </c>
      <c r="N364" s="58">
        <v>15.0</v>
      </c>
      <c r="O364" s="52" t="str">
        <f t="shared" si="2"/>
        <v>A</v>
      </c>
      <c r="P364" s="52" t="str">
        <f t="shared" si="5"/>
        <v/>
      </c>
      <c r="Q364" s="52">
        <f t="shared" si="4"/>
        <v>0</v>
      </c>
      <c r="R364" s="52" t="b">
        <f t="shared" si="6"/>
        <v>0</v>
      </c>
    </row>
    <row r="365">
      <c r="B365" s="20" t="str">
        <f>IFERROR(__xludf.DUMMYFUNCTION("if(exact($E365, """"), """", iferror(regexextract($F365, ""^(?:- )?([A-Z]+)""), ""?""))"),"R")</f>
        <v>R</v>
      </c>
      <c r="C365" s="57" t="str">
        <f t="shared" si="3"/>
        <v>667ERJ3EKF2003V</v>
      </c>
      <c r="D365" t="str">
        <f>Parts1!H16</f>
        <v>Braids v5.1</v>
      </c>
      <c r="E365" t="str">
        <f>Parts1!I16</f>
        <v>S</v>
      </c>
      <c r="F365" t="str">
        <f>Parts1!J16</f>
        <v>R28, R32, R40</v>
      </c>
      <c r="G365">
        <f>Parts1!K16</f>
        <v>3</v>
      </c>
      <c r="H365" t="str">
        <f>Parts1!L16</f>
        <v>Resistor, 1%</v>
      </c>
      <c r="I365" t="str">
        <f>Parts1!M16</f>
        <v/>
      </c>
      <c r="J365" t="str">
        <f>Parts1!N16</f>
        <v>200k</v>
      </c>
      <c r="K365" t="str">
        <f>Parts1!O16</f>
        <v>0603</v>
      </c>
      <c r="L365" t="str">
        <f>Parts1!P16</f>
        <v>667-ERJ3EKF2003V</v>
      </c>
      <c r="M365" s="51" t="str">
        <f>Parts1!Q16</f>
        <v/>
      </c>
      <c r="N365" s="58">
        <v>1.0</v>
      </c>
      <c r="O365" s="52" t="str">
        <f t="shared" si="2"/>
        <v>A</v>
      </c>
      <c r="P365" s="52">
        <f t="shared" si="5"/>
        <v>1</v>
      </c>
      <c r="Q365" s="52">
        <f t="shared" si="4"/>
        <v>6</v>
      </c>
      <c r="R365" s="52" t="b">
        <f t="shared" si="6"/>
        <v>1</v>
      </c>
    </row>
    <row r="366">
      <c r="B366" s="20" t="str">
        <f>IFERROR(__xludf.DUMMYFUNCTION("if(exact($E366, """"), """", iferror(regexextract($F366, ""^(?:- )?([A-Z]+)""), ""?""))"),"R")</f>
        <v>R</v>
      </c>
      <c r="C366" s="57" t="str">
        <f t="shared" si="3"/>
        <v>667ERJ3EKF2003V</v>
      </c>
      <c r="D366" t="str">
        <f>Parts1!H93</f>
        <v>Clouds v3.0</v>
      </c>
      <c r="E366" t="str">
        <f>Parts1!I93</f>
        <v>S</v>
      </c>
      <c r="F366" t="str">
        <f>Parts1!J93</f>
        <v>R22, R23, R28, R33, R37</v>
      </c>
      <c r="G366">
        <f>Parts1!K93</f>
        <v>5</v>
      </c>
      <c r="H366" t="str">
        <f>Parts1!L93</f>
        <v>Resistor, 1%</v>
      </c>
      <c r="I366" t="str">
        <f>Parts1!M93</f>
        <v/>
      </c>
      <c r="J366" t="str">
        <f>Parts1!N93</f>
        <v>200k</v>
      </c>
      <c r="K366" s="59" t="str">
        <f>Parts1!O93</f>
        <v>0603</v>
      </c>
      <c r="L366" t="str">
        <f>Parts1!P93</f>
        <v>667-ERJ-3EKF2003V</v>
      </c>
      <c r="M366" s="51" t="str">
        <f>Parts1!Q93</f>
        <v/>
      </c>
      <c r="N366" s="58">
        <v>3.0</v>
      </c>
      <c r="O366" s="52" t="str">
        <f t="shared" si="2"/>
        <v>A</v>
      </c>
      <c r="P366" s="52" t="str">
        <f t="shared" si="5"/>
        <v/>
      </c>
      <c r="Q366" s="52">
        <f t="shared" si="4"/>
        <v>5</v>
      </c>
      <c r="R366" s="52" t="b">
        <f t="shared" si="6"/>
        <v>1</v>
      </c>
    </row>
    <row r="367">
      <c r="B367" s="20" t="str">
        <f>IFERROR(__xludf.DUMMYFUNCTION("if(exact($E367, """"), """", iferror(regexextract($F367, ""^(?:- )?([A-Z]+)""), ""?""))"),"R")</f>
        <v>R</v>
      </c>
      <c r="C367" s="57" t="str">
        <f t="shared" si="3"/>
        <v>667ERJ3EKF2003V</v>
      </c>
      <c r="D367" t="str">
        <f>Parts1!H141</f>
        <v>Edges v2.0</v>
      </c>
      <c r="E367" t="str">
        <f>Parts1!I141</f>
        <v>S</v>
      </c>
      <c r="F367" t="str">
        <f>Parts1!J141</f>
        <v>R16, R19, R25, R26, R27, R28, R51, R55, R61, R63, R64, R65</v>
      </c>
      <c r="G367">
        <f>Parts1!K141</f>
        <v>12</v>
      </c>
      <c r="H367" t="str">
        <f>Parts1!L141</f>
        <v>Resistor, 1%</v>
      </c>
      <c r="I367" t="str">
        <f>Parts1!M141</f>
        <v/>
      </c>
      <c r="J367" t="str">
        <f>Parts1!N141</f>
        <v>200k</v>
      </c>
      <c r="K367" t="str">
        <f>Parts1!O141</f>
        <v>0603</v>
      </c>
      <c r="L367" t="str">
        <f>Parts1!P141</f>
        <v>667-ERJ3EKF2003V</v>
      </c>
      <c r="M367" s="51" t="str">
        <f>Parts1!Q141</f>
        <v/>
      </c>
      <c r="N367" s="58">
        <v>4.0</v>
      </c>
      <c r="O367" s="52" t="str">
        <f t="shared" si="2"/>
        <v>A</v>
      </c>
      <c r="P367" s="52" t="str">
        <f t="shared" si="5"/>
        <v/>
      </c>
      <c r="Q367" s="52">
        <f t="shared" si="4"/>
        <v>4</v>
      </c>
      <c r="R367" s="52" t="b">
        <f t="shared" si="6"/>
        <v>1</v>
      </c>
    </row>
    <row r="368">
      <c r="B368" s="20" t="str">
        <f>IFERROR(__xludf.DUMMYFUNCTION("if(exact($E368, """"), """", iferror(regexextract($F368, ""^(?:- )?([A-Z]+)""), ""?""))"),"R")</f>
        <v>R</v>
      </c>
      <c r="C368" s="57" t="str">
        <f t="shared" si="3"/>
        <v>667ERJ3EKF2003V</v>
      </c>
      <c r="D368" t="str">
        <f>Parts1!H189</f>
        <v>Elements v0.21</v>
      </c>
      <c r="E368" t="str">
        <f>Parts1!I189</f>
        <v>S</v>
      </c>
      <c r="F368" t="str">
        <f>Parts1!J189</f>
        <v>R31</v>
      </c>
      <c r="G368">
        <f>Parts1!K189</f>
        <v>1</v>
      </c>
      <c r="H368" t="str">
        <f>Parts1!L189</f>
        <v>Resistor, 1%</v>
      </c>
      <c r="I368" t="str">
        <f>Parts1!M189</f>
        <v/>
      </c>
      <c r="J368" t="str">
        <f>Parts1!N189</f>
        <v>200k</v>
      </c>
      <c r="K368" t="str">
        <f>Parts1!O189</f>
        <v>0603</v>
      </c>
      <c r="L368" t="str">
        <f>Parts1!P189</f>
        <v>667-ERJ-3EKF2003V</v>
      </c>
      <c r="M368" s="51" t="str">
        <f>Parts1!Q189</f>
        <v/>
      </c>
      <c r="N368" s="58">
        <v>5.0</v>
      </c>
      <c r="O368" s="52" t="str">
        <f t="shared" si="2"/>
        <v>A</v>
      </c>
      <c r="P368" s="52" t="str">
        <f t="shared" si="5"/>
        <v/>
      </c>
      <c r="Q368" s="52">
        <f t="shared" si="4"/>
        <v>3</v>
      </c>
      <c r="R368" s="52" t="b">
        <f t="shared" si="6"/>
        <v>1</v>
      </c>
    </row>
    <row r="369">
      <c r="B369" s="20" t="str">
        <f>IFERROR(__xludf.DUMMYFUNCTION("if(exact($E369, """"), """", iferror(regexextract($F369, ""^(?:- )?([A-Z]+)""), ""?""))"),"R")</f>
        <v>R</v>
      </c>
      <c r="C369" s="57" t="str">
        <f t="shared" si="3"/>
        <v>667ERJ3EKF2003V</v>
      </c>
      <c r="D369" t="str">
        <f>Parts1!H484</f>
        <v>Shelves v0.5</v>
      </c>
      <c r="E369" t="str">
        <f>Parts1!I484</f>
        <v>S</v>
      </c>
      <c r="F369" t="str">
        <f>Parts1!J484</f>
        <v>R28, R29, R46, R54, R70, R80, R106, R107</v>
      </c>
      <c r="G369">
        <f>Parts1!K484</f>
        <v>8</v>
      </c>
      <c r="H369" t="str">
        <f>Parts1!L484</f>
        <v>Resistor, 1%</v>
      </c>
      <c r="I369" t="str">
        <f>Parts1!M484</f>
        <v/>
      </c>
      <c r="J369" t="str">
        <f>Parts1!N484</f>
        <v>200k</v>
      </c>
      <c r="K369" t="str">
        <f>Parts1!O484</f>
        <v>0603</v>
      </c>
      <c r="L369" t="str">
        <f>Parts1!P484</f>
        <v>667-ERJ-3EKF2003V</v>
      </c>
      <c r="M369" s="51" t="str">
        <f>Parts1!Q484</f>
        <v/>
      </c>
      <c r="N369" s="58">
        <v>13.0</v>
      </c>
      <c r="O369" s="52" t="str">
        <f t="shared" si="2"/>
        <v>A</v>
      </c>
      <c r="P369" s="52" t="str">
        <f t="shared" si="5"/>
        <v/>
      </c>
      <c r="Q369" s="52">
        <f t="shared" si="4"/>
        <v>2</v>
      </c>
      <c r="R369" s="52" t="b">
        <f t="shared" si="6"/>
        <v>1</v>
      </c>
    </row>
    <row r="370">
      <c r="B370" s="20" t="str">
        <f>IFERROR(__xludf.DUMMYFUNCTION("if(exact($E370, """"), """", iferror(regexextract($F370, ""^(?:- )?([A-Z]+)""), ""?""))"),"R")</f>
        <v>R</v>
      </c>
      <c r="C370" s="57" t="str">
        <f t="shared" si="3"/>
        <v>667ERJ3EKF2003V</v>
      </c>
      <c r="D370" t="str">
        <f>Parts1!H529</f>
        <v>Streams v0.5</v>
      </c>
      <c r="E370" t="str">
        <f>Parts1!I529</f>
        <v>S</v>
      </c>
      <c r="F370" t="str">
        <f>Parts1!J529</f>
        <v>R37, R44</v>
      </c>
      <c r="G370">
        <f>Parts1!K529</f>
        <v>2</v>
      </c>
      <c r="H370" t="str">
        <f>Parts1!L529</f>
        <v>Resistor, 1%</v>
      </c>
      <c r="I370" t="str">
        <f>Parts1!M529</f>
        <v/>
      </c>
      <c r="J370" t="str">
        <f>Parts1!N529</f>
        <v>200k</v>
      </c>
      <c r="K370" t="str">
        <f>Parts1!O529</f>
        <v>0603</v>
      </c>
      <c r="L370" t="str">
        <f>Parts1!P529</f>
        <v>667-ERJ-3EKF2003V</v>
      </c>
      <c r="M370" s="51" t="str">
        <f>Parts1!Q529</f>
        <v/>
      </c>
      <c r="N370" s="58">
        <v>15.0</v>
      </c>
      <c r="O370" s="52" t="str">
        <f t="shared" si="2"/>
        <v>A</v>
      </c>
      <c r="P370" s="52" t="str">
        <f t="shared" si="5"/>
        <v/>
      </c>
      <c r="Q370" s="52">
        <f t="shared" si="4"/>
        <v>1</v>
      </c>
      <c r="R370" s="52" t="b">
        <f t="shared" si="6"/>
        <v>1</v>
      </c>
    </row>
    <row r="371">
      <c r="B371" s="20" t="str">
        <f>IFERROR(__xludf.DUMMYFUNCTION("if(exact($E371, """"), """", iferror(regexextract($F371, ""^(?:- )?([A-Z]+)""), ""?""))"),"R")</f>
        <v>R</v>
      </c>
      <c r="C371" s="57" t="str">
        <f t="shared" si="3"/>
        <v>667ERJ3EKF2003V</v>
      </c>
      <c r="D371" t="str">
        <f>Parts1!H643</f>
        <v>Warps v3.0</v>
      </c>
      <c r="E371" t="str">
        <f>Parts1!I643</f>
        <v>S</v>
      </c>
      <c r="F371" t="str">
        <f>Parts1!J643</f>
        <v>R19, R20, R32, R35</v>
      </c>
      <c r="G371">
        <f>Parts1!K643</f>
        <v>4</v>
      </c>
      <c r="H371" t="str">
        <f>Parts1!L643</f>
        <v>Resistor, 1%</v>
      </c>
      <c r="I371" t="str">
        <f>Parts1!M643</f>
        <v/>
      </c>
      <c r="J371" t="str">
        <f>Parts1!N643</f>
        <v>200k</v>
      </c>
      <c r="K371" t="str">
        <f>Parts1!O643</f>
        <v>0603</v>
      </c>
      <c r="L371" t="str">
        <f>Parts1!P643</f>
        <v>667-ERJ-3EKF2003V</v>
      </c>
      <c r="M371" s="51" t="str">
        <f>Parts1!Q643</f>
        <v/>
      </c>
      <c r="N371" s="58">
        <v>18.0</v>
      </c>
      <c r="O371" s="52" t="str">
        <f t="shared" si="2"/>
        <v>A</v>
      </c>
      <c r="P371" s="52" t="str">
        <f t="shared" si="5"/>
        <v/>
      </c>
      <c r="Q371" s="52">
        <f t="shared" si="4"/>
        <v>0</v>
      </c>
      <c r="R371" s="52" t="b">
        <f t="shared" si="6"/>
        <v>1</v>
      </c>
    </row>
    <row r="372">
      <c r="B372" s="20" t="str">
        <f>IFERROR(__xludf.DUMMYFUNCTION("if(exact($E372, """"), """", iferror(regexextract($F372, ""^(?:- )?([A-Z]+)""), ""?""))"),"R")</f>
        <v>R</v>
      </c>
      <c r="C372" s="57" t="str">
        <f t="shared" si="3"/>
        <v>667ERJ3EKF2200V</v>
      </c>
      <c r="D372" t="str">
        <f>Parts1!H52</f>
        <v>Branches v4.0</v>
      </c>
      <c r="E372" t="str">
        <f>Parts1!I52</f>
        <v>S</v>
      </c>
      <c r="F372" t="str">
        <f>Parts1!J52</f>
        <v>R11, R19</v>
      </c>
      <c r="G372" s="65">
        <f>Parts1!K52</f>
        <v>2</v>
      </c>
      <c r="H372" t="str">
        <f>Parts1!L52</f>
        <v>Resistor, 1%</v>
      </c>
      <c r="I372" t="str">
        <f>Parts1!M52</f>
        <v/>
      </c>
      <c r="J372">
        <f>Parts1!N52</f>
        <v>220</v>
      </c>
      <c r="K372" t="str">
        <f>Parts1!O52</f>
        <v>0603</v>
      </c>
      <c r="L372" s="66" t="str">
        <f>Parts1!P52</f>
        <v>667-ERJ-3EKF2200V</v>
      </c>
      <c r="M372" s="70" t="str">
        <f>Parts1!Q52</f>
        <v/>
      </c>
      <c r="N372" s="58">
        <v>2.0</v>
      </c>
      <c r="O372" s="52" t="str">
        <f t="shared" si="2"/>
        <v>A</v>
      </c>
      <c r="P372" s="52">
        <f t="shared" si="5"/>
        <v>1</v>
      </c>
      <c r="Q372" s="52">
        <f t="shared" si="4"/>
        <v>0</v>
      </c>
      <c r="R372" s="52" t="b">
        <f t="shared" si="6"/>
        <v>0</v>
      </c>
    </row>
    <row r="373">
      <c r="B373" s="20" t="str">
        <f>IFERROR(__xludf.DUMMYFUNCTION("if(exact($E373, """"), """", iferror(regexextract($F373, ""^(?:- )?([A-Z]+)""), ""?""))"),"R")</f>
        <v>R</v>
      </c>
      <c r="C373" s="57" t="str">
        <f t="shared" si="3"/>
        <v>667ERJ3EKF2201V</v>
      </c>
      <c r="D373" t="str">
        <f>Parts1!H82</f>
        <v>Clouds v3.0</v>
      </c>
      <c r="E373" t="str">
        <f>Parts1!I82</f>
        <v>S</v>
      </c>
      <c r="F373" t="str">
        <f>Parts1!J82</f>
        <v>R40, R41</v>
      </c>
      <c r="G373">
        <f>Parts1!K82</f>
        <v>2</v>
      </c>
      <c r="H373" t="str">
        <f>Parts1!L82</f>
        <v>Resistor, 1%</v>
      </c>
      <c r="I373" t="str">
        <f>Parts1!M82</f>
        <v/>
      </c>
      <c r="J373" t="str">
        <f>Parts1!N82</f>
        <v>2.2k</v>
      </c>
      <c r="K373" s="59" t="str">
        <f>Parts1!O82</f>
        <v>0603</v>
      </c>
      <c r="L373" t="str">
        <f>Parts1!P82</f>
        <v>667-ERJ-3EKF2201V</v>
      </c>
      <c r="M373" s="51" t="str">
        <f>Parts1!Q82</f>
        <v/>
      </c>
      <c r="N373" s="58">
        <v>3.0</v>
      </c>
      <c r="O373" s="52" t="str">
        <f t="shared" si="2"/>
        <v>A</v>
      </c>
      <c r="P373" s="52">
        <f t="shared" si="5"/>
        <v>1</v>
      </c>
      <c r="Q373" s="52">
        <f t="shared" si="4"/>
        <v>3</v>
      </c>
      <c r="R373" s="52" t="b">
        <f t="shared" si="6"/>
        <v>1</v>
      </c>
    </row>
    <row r="374">
      <c r="B374" s="20" t="str">
        <f>IFERROR(__xludf.DUMMYFUNCTION("if(exact($E374, """"), """", iferror(regexextract($F374, ""^(?:- )?([A-Z]+)""), ""?""))"),"R")</f>
        <v>R</v>
      </c>
      <c r="C374" s="57" t="str">
        <f t="shared" si="3"/>
        <v>667ERJ3EKF2201V</v>
      </c>
      <c r="D374" t="str">
        <f>Parts1!H179</f>
        <v>Elements v0.21</v>
      </c>
      <c r="E374" t="str">
        <f>Parts1!I179</f>
        <v>S</v>
      </c>
      <c r="F374" t="str">
        <f>Parts1!J179</f>
        <v>R44, R47, R52, R53</v>
      </c>
      <c r="G374">
        <f>Parts1!K179</f>
        <v>4</v>
      </c>
      <c r="H374" t="str">
        <f>Parts1!L179</f>
        <v>Resistor, 1%</v>
      </c>
      <c r="I374" t="str">
        <f>Parts1!M179</f>
        <v/>
      </c>
      <c r="J374" t="str">
        <f>Parts1!N179</f>
        <v>2.2k</v>
      </c>
      <c r="K374" t="str">
        <f>Parts1!O179</f>
        <v>0603</v>
      </c>
      <c r="L374" t="str">
        <f>Parts1!P179</f>
        <v>667-ERJ-3EKF2201V</v>
      </c>
      <c r="M374" s="51" t="str">
        <f>Parts1!Q179</f>
        <v/>
      </c>
      <c r="N374" s="58">
        <v>5.0</v>
      </c>
      <c r="O374" s="52" t="str">
        <f t="shared" si="2"/>
        <v>A</v>
      </c>
      <c r="P374" s="52" t="str">
        <f t="shared" si="5"/>
        <v/>
      </c>
      <c r="Q374" s="52">
        <f t="shared" si="4"/>
        <v>2</v>
      </c>
      <c r="R374" s="52" t="b">
        <f t="shared" si="6"/>
        <v>1</v>
      </c>
    </row>
    <row r="375">
      <c r="B375" s="20" t="str">
        <f>IFERROR(__xludf.DUMMYFUNCTION("if(exact($E375, """"), """", iferror(regexextract($F375, ""^(?:- )?([A-Z]+)""), ""?""))"),"R")</f>
        <v>R</v>
      </c>
      <c r="C375" s="57" t="str">
        <f t="shared" si="3"/>
        <v>667ERJ3EKF2201V</v>
      </c>
      <c r="D375" t="str">
        <f>Parts1!H365</f>
        <v>Rings v3.0</v>
      </c>
      <c r="E375" t="str">
        <f>Parts1!I365</f>
        <v>S</v>
      </c>
      <c r="F375" t="str">
        <f>Parts1!J365</f>
        <v>R12, R16, R17</v>
      </c>
      <c r="G375">
        <f>Parts1!K365</f>
        <v>3</v>
      </c>
      <c r="H375" t="str">
        <f>Parts1!L365</f>
        <v>Resistor, 1%</v>
      </c>
      <c r="I375" t="str">
        <f>Parts1!M365</f>
        <v/>
      </c>
      <c r="J375" t="str">
        <f>Parts1!N365</f>
        <v>2.2k</v>
      </c>
      <c r="K375" s="59" t="str">
        <f>Parts1!O365</f>
        <v>0603</v>
      </c>
      <c r="L375" t="str">
        <f>Parts1!P365</f>
        <v>667-ERJ-3EKF2201V</v>
      </c>
      <c r="M375" s="51" t="str">
        <f>Parts1!Q365</f>
        <v/>
      </c>
      <c r="N375" s="58">
        <v>10.0</v>
      </c>
      <c r="O375" s="52" t="str">
        <f t="shared" si="2"/>
        <v>A</v>
      </c>
      <c r="P375" s="52" t="str">
        <f t="shared" si="5"/>
        <v/>
      </c>
      <c r="Q375" s="52">
        <f t="shared" si="4"/>
        <v>1</v>
      </c>
      <c r="R375" s="52" t="b">
        <f t="shared" si="6"/>
        <v>1</v>
      </c>
    </row>
    <row r="376">
      <c r="B376" s="20" t="str">
        <f>IFERROR(__xludf.DUMMYFUNCTION("if(exact($E376, """"), """", iferror(regexextract($F376, ""^(?:- )?([A-Z]+)""), ""?""))"),"R")</f>
        <v>R</v>
      </c>
      <c r="C376" s="57" t="str">
        <f t="shared" si="3"/>
        <v>667ERJ3EKF2201V</v>
      </c>
      <c r="D376" t="str">
        <f>Parts1!H634</f>
        <v>Warps v3.0</v>
      </c>
      <c r="E376" t="str">
        <f>Parts1!I634</f>
        <v>S</v>
      </c>
      <c r="F376" t="str">
        <f>Parts1!J634</f>
        <v>R24, R25</v>
      </c>
      <c r="G376">
        <f>Parts1!K634</f>
        <v>2</v>
      </c>
      <c r="H376" t="str">
        <f>Parts1!L634</f>
        <v>Resistor, 1%</v>
      </c>
      <c r="I376" t="str">
        <f>Parts1!M634</f>
        <v/>
      </c>
      <c r="J376" t="str">
        <f>Parts1!N634</f>
        <v>2.2k</v>
      </c>
      <c r="K376" t="str">
        <f>Parts1!O634</f>
        <v>0603</v>
      </c>
      <c r="L376" t="str">
        <f>Parts1!P634</f>
        <v>667-ERJ-3EKF2201V</v>
      </c>
      <c r="M376" s="51" t="str">
        <f>Parts1!Q634</f>
        <v/>
      </c>
      <c r="N376" s="58">
        <v>18.0</v>
      </c>
      <c r="O376" s="52" t="str">
        <f t="shared" si="2"/>
        <v>A</v>
      </c>
      <c r="P376" s="52" t="str">
        <f t="shared" si="5"/>
        <v/>
      </c>
      <c r="Q376" s="52">
        <f t="shared" si="4"/>
        <v>0</v>
      </c>
      <c r="R376" s="52" t="b">
        <f t="shared" si="6"/>
        <v>1</v>
      </c>
    </row>
    <row r="377">
      <c r="B377" s="20" t="str">
        <f>IFERROR(__xludf.DUMMYFUNCTION("if(exact($E377, """"), """", iferror(regexextract($F377, ""^(?:- )?([A-Z]+)""), ""?""))"),"R")</f>
        <v>R</v>
      </c>
      <c r="C377" s="57" t="str">
        <f t="shared" si="3"/>
        <v>667ERJ3EKF2202V</v>
      </c>
      <c r="D377" t="str">
        <f>Parts1!H86</f>
        <v>Clouds v3.0</v>
      </c>
      <c r="E377" t="str">
        <f>Parts1!I86</f>
        <v>S</v>
      </c>
      <c r="F377" t="str">
        <f>Parts1!J86</f>
        <v>R57, R58</v>
      </c>
      <c r="G377">
        <f>Parts1!K86</f>
        <v>2</v>
      </c>
      <c r="H377" t="str">
        <f>Parts1!L86</f>
        <v>Resistor, 1%</v>
      </c>
      <c r="I377" t="str">
        <f>Parts1!M86</f>
        <v/>
      </c>
      <c r="J377" t="str">
        <f>Parts1!N86</f>
        <v>22k</v>
      </c>
      <c r="K377" s="59" t="str">
        <f>Parts1!O86</f>
        <v>0603</v>
      </c>
      <c r="L377" t="str">
        <f>Parts1!P86</f>
        <v>667-ERJ-3EKF2202V</v>
      </c>
      <c r="M377" s="51" t="str">
        <f>Parts1!Q86</f>
        <v/>
      </c>
      <c r="N377" s="58">
        <v>3.0</v>
      </c>
      <c r="O377" s="52" t="str">
        <f t="shared" si="2"/>
        <v>A</v>
      </c>
      <c r="P377" s="52">
        <f t="shared" si="5"/>
        <v>1</v>
      </c>
      <c r="Q377" s="52">
        <f t="shared" si="4"/>
        <v>2</v>
      </c>
      <c r="R377" s="52" t="b">
        <f t="shared" si="6"/>
        <v>0</v>
      </c>
    </row>
    <row r="378">
      <c r="B378" s="20" t="str">
        <f>IFERROR(__xludf.DUMMYFUNCTION("if(exact($E378, """"), """", iferror(regexextract($F378, ""^(?:- )?([A-Z]+)""), ""?""))"),"R")</f>
        <v>R</v>
      </c>
      <c r="C378" s="57" t="str">
        <f t="shared" si="3"/>
        <v>667ERJ3EKF2202V</v>
      </c>
      <c r="D378" t="str">
        <f>Parts1!H419</f>
        <v>Ripples v4.0</v>
      </c>
      <c r="E378" t="str">
        <f>Parts1!I419</f>
        <v>S</v>
      </c>
      <c r="F378" t="str">
        <f>Parts1!J419</f>
        <v>R16, R25</v>
      </c>
      <c r="G378">
        <f>Parts1!K419</f>
        <v>2</v>
      </c>
      <c r="H378" t="str">
        <f>Parts1!L419</f>
        <v>Resistor, 1%</v>
      </c>
      <c r="I378" t="str">
        <f>Parts1!M419</f>
        <v/>
      </c>
      <c r="J378" s="59" t="str">
        <f>Parts1!N419</f>
        <v>22k</v>
      </c>
      <c r="K378" s="59" t="str">
        <f>Parts1!O419</f>
        <v>0603</v>
      </c>
      <c r="L378" t="str">
        <f>Parts1!P419</f>
        <v>667-ERJ3EKF2202V</v>
      </c>
      <c r="M378" s="51" t="str">
        <f>Parts1!Q419</f>
        <v/>
      </c>
      <c r="N378" s="58">
        <v>11.0</v>
      </c>
      <c r="O378" s="52" t="str">
        <f t="shared" si="2"/>
        <v>A</v>
      </c>
      <c r="P378" s="52" t="str">
        <f t="shared" si="5"/>
        <v/>
      </c>
      <c r="Q378" s="52">
        <f t="shared" si="4"/>
        <v>1</v>
      </c>
      <c r="R378" s="52" t="b">
        <f t="shared" si="6"/>
        <v>0</v>
      </c>
    </row>
    <row r="379">
      <c r="B379" s="20" t="str">
        <f>IFERROR(__xludf.DUMMYFUNCTION("if(exact($E379, """"), """", iferror(regexextract($F379, ""^(?:- )?([A-Z]+)""), ""?""))"),"R")</f>
        <v>R</v>
      </c>
      <c r="C379" s="57" t="str">
        <f t="shared" si="3"/>
        <v>667ERJ3EKF2202V</v>
      </c>
      <c r="D379" t="str">
        <f>Parts1!H480</f>
        <v>Shelves v0.5</v>
      </c>
      <c r="E379" t="str">
        <f>Parts1!I480</f>
        <v>S</v>
      </c>
      <c r="F379" t="str">
        <f>Parts1!J480</f>
        <v>R60, R93, R116</v>
      </c>
      <c r="G379">
        <f>Parts1!K480</f>
        <v>3</v>
      </c>
      <c r="H379" t="str">
        <f>Parts1!L480</f>
        <v>Resistor, 1%</v>
      </c>
      <c r="I379" t="str">
        <f>Parts1!M480</f>
        <v/>
      </c>
      <c r="J379" t="str">
        <f>Parts1!N480</f>
        <v>22k</v>
      </c>
      <c r="K379" t="str">
        <f>Parts1!O480</f>
        <v>0603</v>
      </c>
      <c r="L379" t="str">
        <f>Parts1!P480</f>
        <v>667-ERJ-3EKF2202V</v>
      </c>
      <c r="M379" s="51" t="str">
        <f>Parts1!Q480</f>
        <v/>
      </c>
      <c r="N379" s="58">
        <v>13.0</v>
      </c>
      <c r="O379" s="52" t="str">
        <f t="shared" si="2"/>
        <v>A</v>
      </c>
      <c r="P379" s="52" t="str">
        <f t="shared" si="5"/>
        <v/>
      </c>
      <c r="Q379" s="52">
        <f t="shared" si="4"/>
        <v>0</v>
      </c>
      <c r="R379" s="52" t="b">
        <f t="shared" si="6"/>
        <v>0</v>
      </c>
    </row>
    <row r="380">
      <c r="B380" s="20" t="str">
        <f>IFERROR(__xludf.DUMMYFUNCTION("if(exact($E380, """"), """", iferror(regexextract($F380, ""^(?:- )?([A-Z]+)""), ""?""))"),"R")</f>
        <v>R</v>
      </c>
      <c r="C380" s="57" t="str">
        <f t="shared" si="3"/>
        <v>667ERJ3EKF2203V</v>
      </c>
      <c r="D380" t="str">
        <f>Parts1!H485</f>
        <v>Shelves v0.5</v>
      </c>
      <c r="E380" t="str">
        <f>Parts1!I485</f>
        <v>S</v>
      </c>
      <c r="F380" t="str">
        <f>Parts1!J485</f>
        <v>R119</v>
      </c>
      <c r="G380">
        <f>Parts1!K485</f>
        <v>1</v>
      </c>
      <c r="H380" t="str">
        <f>Parts1!L485</f>
        <v>Resistor, 1%</v>
      </c>
      <c r="I380" t="str">
        <f>Parts1!M485</f>
        <v/>
      </c>
      <c r="J380" t="str">
        <f>Parts1!N485</f>
        <v>220k</v>
      </c>
      <c r="K380" t="str">
        <f>Parts1!O485</f>
        <v>0603</v>
      </c>
      <c r="L380" t="str">
        <f>Parts1!P485</f>
        <v>667-ERJ-3EKF2203V</v>
      </c>
      <c r="M380" s="51" t="str">
        <f>Parts1!Q485</f>
        <v/>
      </c>
      <c r="N380" s="58">
        <v>13.0</v>
      </c>
      <c r="O380" s="52" t="str">
        <f t="shared" si="2"/>
        <v>A</v>
      </c>
      <c r="P380" s="52">
        <f t="shared" si="5"/>
        <v>1</v>
      </c>
      <c r="Q380" s="52">
        <f t="shared" si="4"/>
        <v>0</v>
      </c>
      <c r="R380" s="52" t="b">
        <f t="shared" si="6"/>
        <v>1</v>
      </c>
    </row>
    <row r="381">
      <c r="B381" s="20" t="str">
        <f>IFERROR(__xludf.DUMMYFUNCTION("if(exact($E381, """"), """", iferror(regexextract($F381, ""^(?:- )?([A-Z]+)""), ""?""))"),"R")</f>
        <v>R</v>
      </c>
      <c r="C381" s="57" t="str">
        <f t="shared" si="3"/>
        <v>667ERJ3EKF2492V</v>
      </c>
      <c r="D381" t="str">
        <f>Parts1!H11</f>
        <v>Braids v5.1</v>
      </c>
      <c r="E381" t="str">
        <f>Parts1!I11</f>
        <v>S</v>
      </c>
      <c r="F381" t="str">
        <f>Parts1!J11</f>
        <v>R30, R31, R34, R35, R41, R42, R43, R44, R50, R52, R53</v>
      </c>
      <c r="G381">
        <f>Parts1!K11</f>
        <v>11</v>
      </c>
      <c r="H381" t="str">
        <f>Parts1!L11</f>
        <v>Resistor, 1%</v>
      </c>
      <c r="I381" t="str">
        <f>Parts1!M11</f>
        <v/>
      </c>
      <c r="J381" t="str">
        <f>Parts1!N11</f>
        <v>24.9k</v>
      </c>
      <c r="K381" t="str">
        <f>Parts1!O11</f>
        <v>0603</v>
      </c>
      <c r="L381" t="str">
        <f>Parts1!P11</f>
        <v>667-ERJ3EKF2492V</v>
      </c>
      <c r="M381" s="51" t="str">
        <f>Parts1!Q11</f>
        <v/>
      </c>
      <c r="N381" s="58">
        <v>1.0</v>
      </c>
      <c r="O381" s="52" t="str">
        <f t="shared" si="2"/>
        <v>A</v>
      </c>
      <c r="P381" s="52">
        <f t="shared" si="5"/>
        <v>1</v>
      </c>
      <c r="Q381" s="52">
        <f t="shared" si="4"/>
        <v>2</v>
      </c>
      <c r="R381" s="52" t="b">
        <f t="shared" si="6"/>
        <v>0</v>
      </c>
    </row>
    <row r="382">
      <c r="B382" s="20" t="str">
        <f>IFERROR(__xludf.DUMMYFUNCTION("if(exact($E382, """"), """", iferror(regexextract($F382, ""^(?:- )?([A-Z]+)""), ""?""))"),"R")</f>
        <v>R</v>
      </c>
      <c r="C382" s="57" t="str">
        <f t="shared" si="3"/>
        <v>667ERJ3EKF2492V</v>
      </c>
      <c r="D382" t="str">
        <f>Parts1!H136</f>
        <v>Edges v2.0</v>
      </c>
      <c r="E382" t="str">
        <f>Parts1!I136</f>
        <v>S</v>
      </c>
      <c r="F382" t="str">
        <f>Parts1!J136</f>
        <v>R8, R12, R17, R23, R44, R47, R52, R58</v>
      </c>
      <c r="G382">
        <f>Parts1!K136</f>
        <v>8</v>
      </c>
      <c r="H382" t="str">
        <f>Parts1!L136</f>
        <v>Resistor, 1%</v>
      </c>
      <c r="I382" t="str">
        <f>Parts1!M136</f>
        <v/>
      </c>
      <c r="J382" t="str">
        <f>Parts1!N136</f>
        <v>24.9k</v>
      </c>
      <c r="K382" t="str">
        <f>Parts1!O136</f>
        <v>0603</v>
      </c>
      <c r="L382" t="str">
        <f>Parts1!P136</f>
        <v>667-ERJ3EKF2492V</v>
      </c>
      <c r="M382" s="51" t="str">
        <f>Parts1!Q136</f>
        <v/>
      </c>
      <c r="N382" s="58">
        <v>4.0</v>
      </c>
      <c r="O382" s="52" t="str">
        <f t="shared" si="2"/>
        <v>A</v>
      </c>
      <c r="P382" s="52" t="str">
        <f t="shared" si="5"/>
        <v/>
      </c>
      <c r="Q382" s="52">
        <f t="shared" si="4"/>
        <v>1</v>
      </c>
      <c r="R382" s="52" t="b">
        <f t="shared" si="6"/>
        <v>0</v>
      </c>
    </row>
    <row r="383">
      <c r="B383" s="20" t="str">
        <f>IFERROR(__xludf.DUMMYFUNCTION("if(exact($E383, """"), """", iferror(regexextract($F383, ""^(?:- )?([A-Z]+)""), ""?""))"),"R")</f>
        <v>R</v>
      </c>
      <c r="C383" s="57" t="str">
        <f t="shared" si="3"/>
        <v>667ERJ3EKF2492V</v>
      </c>
      <c r="D383" t="str">
        <f>Parts1!H526</f>
        <v>Streams v0.5</v>
      </c>
      <c r="E383" t="str">
        <f>Parts1!I526</f>
        <v>S</v>
      </c>
      <c r="F383" t="str">
        <f>Parts1!J526</f>
        <v>R60, R63</v>
      </c>
      <c r="G383">
        <f>Parts1!K526</f>
        <v>2</v>
      </c>
      <c r="H383" t="str">
        <f>Parts1!L526</f>
        <v>Resistor, 1%</v>
      </c>
      <c r="I383" t="str">
        <f>Parts1!M526</f>
        <v/>
      </c>
      <c r="J383" t="str">
        <f>Parts1!N526</f>
        <v>24.9k</v>
      </c>
      <c r="K383" t="str">
        <f>Parts1!O526</f>
        <v>0603</v>
      </c>
      <c r="L383" t="str">
        <f>Parts1!P526</f>
        <v>667-ERJ-3EKF2492V</v>
      </c>
      <c r="M383" s="51" t="str">
        <f>Parts1!Q526</f>
        <v/>
      </c>
      <c r="N383" s="58">
        <v>15.0</v>
      </c>
      <c r="O383" s="52" t="str">
        <f t="shared" si="2"/>
        <v>A</v>
      </c>
      <c r="P383" s="52" t="str">
        <f t="shared" si="5"/>
        <v/>
      </c>
      <c r="Q383" s="52">
        <f t="shared" si="4"/>
        <v>0</v>
      </c>
      <c r="R383" s="52" t="b">
        <f t="shared" si="6"/>
        <v>0</v>
      </c>
    </row>
    <row r="384">
      <c r="B384" s="20" t="str">
        <f>IFERROR(__xludf.DUMMYFUNCTION("if(exact($E384, """"), """", iferror(regexextract($F384, ""^(?:- )?([A-Z]+)""), ""?""))"),"R")</f>
        <v>R</v>
      </c>
      <c r="C384" s="57" t="str">
        <f t="shared" si="3"/>
        <v>667ERJ3EKF2702V</v>
      </c>
      <c r="D384" t="str">
        <f>Parts1!H420</f>
        <v>Ripples v4.0</v>
      </c>
      <c r="E384" t="str">
        <f>Parts1!I420</f>
        <v>S</v>
      </c>
      <c r="F384" t="str">
        <f>Parts1!J420</f>
        <v>R23</v>
      </c>
      <c r="G384">
        <f>Parts1!K420</f>
        <v>1</v>
      </c>
      <c r="H384" t="str">
        <f>Parts1!L420</f>
        <v>Resistor, 1%</v>
      </c>
      <c r="I384" t="str">
        <f>Parts1!M420</f>
        <v/>
      </c>
      <c r="J384" s="59" t="str">
        <f>Parts1!N420</f>
        <v>27k</v>
      </c>
      <c r="K384" s="59" t="str">
        <f>Parts1!O420</f>
        <v>0603</v>
      </c>
      <c r="L384" t="str">
        <f>Parts1!P420</f>
        <v>667-ERJ3EKF2702V</v>
      </c>
      <c r="M384" s="51" t="str">
        <f>Parts1!Q420</f>
        <v/>
      </c>
      <c r="N384" s="58">
        <v>11.0</v>
      </c>
      <c r="O384" s="52" t="str">
        <f t="shared" si="2"/>
        <v>A</v>
      </c>
      <c r="P384" s="52">
        <f t="shared" si="5"/>
        <v>1</v>
      </c>
      <c r="Q384" s="52">
        <f t="shared" si="4"/>
        <v>0</v>
      </c>
      <c r="R384" s="52" t="b">
        <f t="shared" si="6"/>
        <v>1</v>
      </c>
    </row>
    <row r="385">
      <c r="B385" s="20" t="str">
        <f>IFERROR(__xludf.DUMMYFUNCTION("if(exact($E385, """"), """", iferror(regexextract($F385, ""^(?:- )?([A-Z]+)""), ""?""))"),"R")</f>
        <v>R</v>
      </c>
      <c r="C385" s="57" t="str">
        <f t="shared" si="3"/>
        <v>667ERJ3EKF3000V</v>
      </c>
      <c r="D385" t="str">
        <f>Parts1!H132</f>
        <v>Edges v2.0</v>
      </c>
      <c r="E385" t="str">
        <f>Parts1!I132</f>
        <v>S</v>
      </c>
      <c r="F385" t="str">
        <f>Parts1!J132</f>
        <v>R3</v>
      </c>
      <c r="G385">
        <f>Parts1!K132</f>
        <v>1</v>
      </c>
      <c r="H385" t="str">
        <f>Parts1!L132</f>
        <v>Resistor, 1%</v>
      </c>
      <c r="I385" t="str">
        <f>Parts1!M132</f>
        <v/>
      </c>
      <c r="J385">
        <f>Parts1!N132</f>
        <v>300</v>
      </c>
      <c r="K385" t="str">
        <f>Parts1!O132</f>
        <v>0603</v>
      </c>
      <c r="L385" t="str">
        <f>Parts1!P132</f>
        <v>667-ERJ-3EKF3000V</v>
      </c>
      <c r="M385" s="51" t="str">
        <f>Parts1!Q132</f>
        <v/>
      </c>
      <c r="N385" s="58">
        <v>4.0</v>
      </c>
      <c r="O385" s="52" t="str">
        <f t="shared" si="2"/>
        <v>A</v>
      </c>
      <c r="P385" s="52">
        <f t="shared" si="5"/>
        <v>1</v>
      </c>
      <c r="Q385" s="52">
        <f t="shared" si="4"/>
        <v>0</v>
      </c>
      <c r="R385" s="52" t="b">
        <f t="shared" si="6"/>
        <v>0</v>
      </c>
    </row>
    <row r="386">
      <c r="B386" s="20" t="str">
        <f>IFERROR(__xludf.DUMMYFUNCTION("if(exact($E386, """"), """", iferror(regexextract($F386, ""^(?:- )?([A-Z]+)""), ""?""))"),"R")</f>
        <v>R</v>
      </c>
      <c r="C386" s="57" t="str">
        <f t="shared" si="3"/>
        <v>667ERJ3EKF3003V</v>
      </c>
      <c r="D386" t="str">
        <f>Parts1!H426</f>
        <v>Ripples v4.0</v>
      </c>
      <c r="E386" t="str">
        <f>Parts1!I426</f>
        <v>S</v>
      </c>
      <c r="F386" t="str">
        <f>Parts1!J426</f>
        <v>R15</v>
      </c>
      <c r="G386">
        <f>Parts1!K426</f>
        <v>1</v>
      </c>
      <c r="H386" t="str">
        <f>Parts1!L426</f>
        <v>Resistor, 1%</v>
      </c>
      <c r="I386" t="str">
        <f>Parts1!M426</f>
        <v/>
      </c>
      <c r="J386" s="59" t="str">
        <f>Parts1!N426</f>
        <v>300k</v>
      </c>
      <c r="K386" s="59" t="str">
        <f>Parts1!O426</f>
        <v>0603</v>
      </c>
      <c r="L386" t="str">
        <f>Parts1!P426</f>
        <v>667-ERJ3EKF3003V</v>
      </c>
      <c r="M386" s="51" t="str">
        <f>Parts1!Q426</f>
        <v/>
      </c>
      <c r="N386" s="58">
        <v>11.0</v>
      </c>
      <c r="O386" s="52" t="str">
        <f t="shared" si="2"/>
        <v>A</v>
      </c>
      <c r="P386" s="52">
        <f t="shared" si="5"/>
        <v>1</v>
      </c>
      <c r="Q386" s="52">
        <f t="shared" si="4"/>
        <v>0</v>
      </c>
      <c r="R386" s="52" t="b">
        <f t="shared" si="6"/>
        <v>1</v>
      </c>
    </row>
    <row r="387">
      <c r="B387" s="20" t="str">
        <f>IFERROR(__xludf.DUMMYFUNCTION("if(exact($E387, """"), """", iferror(regexextract($F387, ""^(?:- )?([A-Z]+)""), ""?""))"),"R")</f>
        <v>R</v>
      </c>
      <c r="C387" s="57" t="str">
        <f t="shared" si="3"/>
        <v>667ERJ3EKF3093V</v>
      </c>
      <c r="D387" t="str">
        <f>Parts1!H330</f>
        <v>Peaks v3.1</v>
      </c>
      <c r="E387" t="str">
        <f>Parts1!I330</f>
        <v>S</v>
      </c>
      <c r="F387" t="str">
        <f>Parts1!J330</f>
        <v>R19, R30</v>
      </c>
      <c r="G387">
        <f>Parts1!K330</f>
        <v>2</v>
      </c>
      <c r="H387" t="str">
        <f>Parts1!L330</f>
        <v>Resistor, 1%</v>
      </c>
      <c r="I387" t="str">
        <f>Parts1!M330</f>
        <v/>
      </c>
      <c r="J387" s="59" t="str">
        <f>Parts1!N330</f>
        <v>309k</v>
      </c>
      <c r="K387" t="str">
        <f>Parts1!O330</f>
        <v>0603</v>
      </c>
      <c r="L387" t="str">
        <f>Parts1!P330</f>
        <v>667-ERJ-3EKF3093V</v>
      </c>
      <c r="M387" s="51" t="str">
        <f>Parts1!Q330</f>
        <v/>
      </c>
      <c r="N387" s="58">
        <v>9.0</v>
      </c>
      <c r="O387" s="52" t="str">
        <f t="shared" si="2"/>
        <v>A</v>
      </c>
      <c r="P387" s="52">
        <f t="shared" si="5"/>
        <v>1</v>
      </c>
      <c r="Q387" s="52">
        <f t="shared" si="4"/>
        <v>0</v>
      </c>
      <c r="R387" s="52" t="b">
        <f t="shared" si="6"/>
        <v>0</v>
      </c>
    </row>
    <row r="388">
      <c r="B388" s="20" t="str">
        <f>IFERROR(__xludf.DUMMYFUNCTION("if(exact($E388, """"), """", iferror(regexextract($F388, ""^(?:- )?([A-Z]+)""), ""?""))"),"R")</f>
        <v>R</v>
      </c>
      <c r="C388" s="57" t="str">
        <f t="shared" si="3"/>
        <v>667ERJ3EKF3300V</v>
      </c>
      <c r="D388" t="str">
        <f>Parts1!H8</f>
        <v>Braids v5.1</v>
      </c>
      <c r="E388" t="str">
        <f>Parts1!I8</f>
        <v>S</v>
      </c>
      <c r="F388" t="str">
        <f>Parts1!J8</f>
        <v>R51</v>
      </c>
      <c r="G388">
        <f>Parts1!K8</f>
        <v>1</v>
      </c>
      <c r="H388" t="str">
        <f>Parts1!L8</f>
        <v>Resistor, 1%</v>
      </c>
      <c r="I388" t="str">
        <f>Parts1!M8</f>
        <v/>
      </c>
      <c r="J388">
        <f>Parts1!N8</f>
        <v>330</v>
      </c>
      <c r="K388" t="str">
        <f>Parts1!O8</f>
        <v>0603</v>
      </c>
      <c r="L388" t="str">
        <f>Parts1!P8</f>
        <v>667-ERJ3EKF3300V</v>
      </c>
      <c r="M388" s="51" t="str">
        <f>Parts1!Q8</f>
        <v/>
      </c>
      <c r="N388" s="58">
        <v>1.0</v>
      </c>
      <c r="O388" s="52" t="str">
        <f t="shared" si="2"/>
        <v>A</v>
      </c>
      <c r="P388" s="52">
        <f t="shared" si="5"/>
        <v>1</v>
      </c>
      <c r="Q388" s="52">
        <f t="shared" si="4"/>
        <v>0</v>
      </c>
      <c r="R388" s="52" t="b">
        <f t="shared" si="6"/>
        <v>1</v>
      </c>
    </row>
    <row r="389">
      <c r="B389" s="20" t="str">
        <f>IFERROR(__xludf.DUMMYFUNCTION("if(exact($E389, """"), """", iferror(regexextract($F389, ""^(?:- )?([A-Z]+)""), ""?""))"),"R")</f>
        <v>R</v>
      </c>
      <c r="C389" s="57" t="str">
        <f t="shared" si="3"/>
        <v>667ERJ3EKF3301V</v>
      </c>
      <c r="D389" t="str">
        <f>Parts1!H83</f>
        <v>Clouds v3.0</v>
      </c>
      <c r="E389" t="str">
        <f>Parts1!I83</f>
        <v>S</v>
      </c>
      <c r="F389" t="str">
        <f>Parts1!J83</f>
        <v>R46, R47</v>
      </c>
      <c r="G389">
        <f>Parts1!K83</f>
        <v>2</v>
      </c>
      <c r="H389" t="str">
        <f>Parts1!L83</f>
        <v>Resistor, 1%</v>
      </c>
      <c r="I389" t="str">
        <f>Parts1!M83</f>
        <v/>
      </c>
      <c r="J389" t="str">
        <f>Parts1!N83</f>
        <v>3.3k</v>
      </c>
      <c r="K389" s="59" t="str">
        <f>Parts1!O83</f>
        <v>0603</v>
      </c>
      <c r="L389" t="str">
        <f>Parts1!P83</f>
        <v>667-ERJ-3EKF3301V</v>
      </c>
      <c r="M389" s="51" t="str">
        <f>Parts1!Q83</f>
        <v/>
      </c>
      <c r="N389" s="58">
        <v>3.0</v>
      </c>
      <c r="O389" s="52" t="str">
        <f t="shared" si="2"/>
        <v>A</v>
      </c>
      <c r="P389" s="52">
        <f t="shared" si="5"/>
        <v>1</v>
      </c>
      <c r="Q389" s="52">
        <f t="shared" si="4"/>
        <v>2</v>
      </c>
      <c r="R389" s="52" t="b">
        <f t="shared" si="6"/>
        <v>0</v>
      </c>
    </row>
    <row r="390">
      <c r="B390" s="20" t="str">
        <f>IFERROR(__xludf.DUMMYFUNCTION("if(exact($E390, """"), """", iferror(regexextract($F390, ""^(?:- )?([A-Z]+)""), ""?""))"),"R")</f>
        <v>R</v>
      </c>
      <c r="C390" s="57" t="str">
        <f t="shared" si="3"/>
        <v>667ERJ3EKF3301V</v>
      </c>
      <c r="D390" t="str">
        <f>Parts1!H477</f>
        <v>Shelves v0.5</v>
      </c>
      <c r="E390" t="str">
        <f>Parts1!I477</f>
        <v>S</v>
      </c>
      <c r="F390" t="str">
        <f>Parts1!J477</f>
        <v>R1</v>
      </c>
      <c r="G390">
        <f>Parts1!K477</f>
        <v>1</v>
      </c>
      <c r="H390" t="str">
        <f>Parts1!L477</f>
        <v>Resistor, 1%</v>
      </c>
      <c r="I390" t="str">
        <f>Parts1!M477</f>
        <v/>
      </c>
      <c r="J390" t="str">
        <f>Parts1!N477</f>
        <v>3.3k</v>
      </c>
      <c r="K390" t="str">
        <f>Parts1!O477</f>
        <v>0603</v>
      </c>
      <c r="L390" t="str">
        <f>Parts1!P477</f>
        <v>667-ERJ-3EKF3301V</v>
      </c>
      <c r="M390" s="51" t="str">
        <f>Parts1!Q477</f>
        <v/>
      </c>
      <c r="N390" s="58">
        <v>13.0</v>
      </c>
      <c r="O390" s="52" t="str">
        <f t="shared" si="2"/>
        <v>A</v>
      </c>
      <c r="P390" s="52" t="str">
        <f t="shared" si="5"/>
        <v/>
      </c>
      <c r="Q390" s="52">
        <f t="shared" si="4"/>
        <v>1</v>
      </c>
      <c r="R390" s="52" t="b">
        <f t="shared" si="6"/>
        <v>0</v>
      </c>
    </row>
    <row r="391">
      <c r="B391" s="20" t="str">
        <f>IFERROR(__xludf.DUMMYFUNCTION("if(exact($E391, """"), """", iferror(regexextract($F391, ""^(?:- )?([A-Z]+)""), ""?""))"),"R")</f>
        <v>R</v>
      </c>
      <c r="C391" s="57" t="str">
        <f t="shared" si="3"/>
        <v>667ERJ3EKF3301V</v>
      </c>
      <c r="D391" t="str">
        <f>Parts1!H522</f>
        <v>Streams v0.5</v>
      </c>
      <c r="E391" t="str">
        <f>Parts1!I522</f>
        <v>S</v>
      </c>
      <c r="F391" t="str">
        <f>Parts1!J522</f>
        <v>R8, R57</v>
      </c>
      <c r="G391">
        <f>Parts1!K522</f>
        <v>2</v>
      </c>
      <c r="H391" t="str">
        <f>Parts1!L522</f>
        <v>Resistor, 1%</v>
      </c>
      <c r="I391" t="str">
        <f>Parts1!M522</f>
        <v/>
      </c>
      <c r="J391" t="str">
        <f>Parts1!N522</f>
        <v>3.3k</v>
      </c>
      <c r="K391" t="str">
        <f>Parts1!O522</f>
        <v>0603</v>
      </c>
      <c r="L391" t="str">
        <f>Parts1!P522</f>
        <v>667-ERJ-3EKF3301V</v>
      </c>
      <c r="M391" s="51" t="str">
        <f>Parts1!Q522</f>
        <v/>
      </c>
      <c r="N391" s="58">
        <v>15.0</v>
      </c>
      <c r="O391" s="52" t="str">
        <f t="shared" si="2"/>
        <v>A</v>
      </c>
      <c r="P391" s="52" t="str">
        <f t="shared" si="5"/>
        <v/>
      </c>
      <c r="Q391" s="52">
        <f t="shared" si="4"/>
        <v>0</v>
      </c>
      <c r="R391" s="52" t="b">
        <f t="shared" si="6"/>
        <v>0</v>
      </c>
    </row>
    <row r="392">
      <c r="B392" s="20" t="str">
        <f>IFERROR(__xludf.DUMMYFUNCTION("if(exact($E392, """"), """", iferror(regexextract($F392, ""^(?:- )?([A-Z]+)""), ""?""))"),"R")</f>
        <v>R</v>
      </c>
      <c r="C392" s="57" t="str">
        <f t="shared" si="3"/>
        <v>667ERJ3EKF3302V</v>
      </c>
      <c r="D392" t="str">
        <f>Parts1!H87</f>
        <v>Clouds v3.0</v>
      </c>
      <c r="E392" t="str">
        <f>Parts1!I87</f>
        <v>S</v>
      </c>
      <c r="F392" t="str">
        <f>Parts1!J87</f>
        <v>R25, R26, R35</v>
      </c>
      <c r="G392">
        <f>Parts1!K87</f>
        <v>3</v>
      </c>
      <c r="H392" t="str">
        <f>Parts1!L87</f>
        <v>Resistor, 1%</v>
      </c>
      <c r="I392" t="str">
        <f>Parts1!M87</f>
        <v/>
      </c>
      <c r="J392" t="str">
        <f>Parts1!N87</f>
        <v>33k</v>
      </c>
      <c r="K392" s="59" t="str">
        <f>Parts1!O87</f>
        <v>0603</v>
      </c>
      <c r="L392" t="str">
        <f>Parts1!P87</f>
        <v>667-ERJ-3EKF3302V</v>
      </c>
      <c r="M392" s="51" t="str">
        <f>Parts1!Q87</f>
        <v/>
      </c>
      <c r="N392" s="58">
        <v>3.0</v>
      </c>
      <c r="O392" s="52" t="str">
        <f t="shared" si="2"/>
        <v>A</v>
      </c>
      <c r="P392" s="52">
        <f t="shared" si="5"/>
        <v>1</v>
      </c>
      <c r="Q392" s="52">
        <f t="shared" si="4"/>
        <v>5</v>
      </c>
      <c r="R392" s="52" t="b">
        <f t="shared" si="6"/>
        <v>1</v>
      </c>
    </row>
    <row r="393">
      <c r="B393" s="20" t="str">
        <f>IFERROR(__xludf.DUMMYFUNCTION("if(exact($E393, """"), """", iferror(regexextract($F393, ""^(?:- )?([A-Z]+)""), ""?""))"),"R")</f>
        <v>R</v>
      </c>
      <c r="C393" s="57" t="str">
        <f t="shared" si="3"/>
        <v>667ERJ3EKF3302V</v>
      </c>
      <c r="D393" t="str">
        <f>Parts1!H137</f>
        <v>Edges v2.0</v>
      </c>
      <c r="E393" t="str">
        <f>Parts1!I137</f>
        <v>S</v>
      </c>
      <c r="F393" t="str">
        <f>Parts1!J137</f>
        <v>R11, R13, R35, R48</v>
      </c>
      <c r="G393">
        <f>Parts1!K137</f>
        <v>4</v>
      </c>
      <c r="H393" t="str">
        <f>Parts1!L137</f>
        <v>Resistor, 1%</v>
      </c>
      <c r="I393" t="str">
        <f>Parts1!M137</f>
        <v/>
      </c>
      <c r="J393" t="str">
        <f>Parts1!N137</f>
        <v>33k</v>
      </c>
      <c r="K393" t="str">
        <f>Parts1!O137</f>
        <v>0603</v>
      </c>
      <c r="L393" t="str">
        <f>Parts1!P137</f>
        <v>667-ERJ3EKF3302V</v>
      </c>
      <c r="M393" s="51" t="str">
        <f>Parts1!Q137</f>
        <v/>
      </c>
      <c r="N393" s="58">
        <v>4.0</v>
      </c>
      <c r="O393" s="52" t="str">
        <f t="shared" si="2"/>
        <v>A</v>
      </c>
      <c r="P393" s="52" t="str">
        <f t="shared" si="5"/>
        <v/>
      </c>
      <c r="Q393" s="52">
        <f t="shared" si="4"/>
        <v>4</v>
      </c>
      <c r="R393" s="52" t="b">
        <f t="shared" si="6"/>
        <v>1</v>
      </c>
    </row>
    <row r="394">
      <c r="B394" s="20" t="str">
        <f>IFERROR(__xludf.DUMMYFUNCTION("if(exact($E394, """"), """", iferror(regexextract($F394, ""^(?:- )?([A-Z]+)""), ""?""))"),"R")</f>
        <v>R</v>
      </c>
      <c r="C394" s="57" t="str">
        <f t="shared" si="3"/>
        <v>667ERJ3EKF3302V</v>
      </c>
      <c r="D394" t="str">
        <f>Parts1!H183</f>
        <v>Elements v0.21</v>
      </c>
      <c r="E394" t="str">
        <f>Parts1!I183</f>
        <v>S</v>
      </c>
      <c r="F394" t="str">
        <f>Parts1!J183</f>
        <v>R34</v>
      </c>
      <c r="G394">
        <f>Parts1!K183</f>
        <v>1</v>
      </c>
      <c r="H394" t="str">
        <f>Parts1!L183</f>
        <v>Resistor, 1%</v>
      </c>
      <c r="I394" t="str">
        <f>Parts1!M183</f>
        <v/>
      </c>
      <c r="J394" t="str">
        <f>Parts1!N183</f>
        <v>33k</v>
      </c>
      <c r="K394" t="str">
        <f>Parts1!O183</f>
        <v>0603</v>
      </c>
      <c r="L394" t="str">
        <f>Parts1!P183</f>
        <v>667-ERJ-3EKF3302V</v>
      </c>
      <c r="M394" s="51" t="str">
        <f>Parts1!Q183</f>
        <v/>
      </c>
      <c r="N394" s="58">
        <v>5.0</v>
      </c>
      <c r="O394" s="52" t="str">
        <f t="shared" si="2"/>
        <v>A</v>
      </c>
      <c r="P394" s="52" t="str">
        <f t="shared" si="5"/>
        <v/>
      </c>
      <c r="Q394" s="52">
        <f t="shared" si="4"/>
        <v>3</v>
      </c>
      <c r="R394" s="52" t="b">
        <f t="shared" si="6"/>
        <v>1</v>
      </c>
    </row>
    <row r="395">
      <c r="B395" s="20" t="str">
        <f>IFERROR(__xludf.DUMMYFUNCTION("if(exact($E395, """"), """", iferror(regexextract($F395, ""^(?:- )?([A-Z]+)""), ""?""))"),"R")</f>
        <v>R</v>
      </c>
      <c r="C395" s="57" t="str">
        <f t="shared" si="3"/>
        <v>667ERJ3EKF3302V</v>
      </c>
      <c r="D395" t="str">
        <f>Parts1!H304</f>
        <v>Links v4</v>
      </c>
      <c r="E395" t="str">
        <f>Parts1!I304</f>
        <v>S</v>
      </c>
      <c r="F395" t="str">
        <f>Parts1!J304</f>
        <v>R15</v>
      </c>
      <c r="G395">
        <f>Parts1!K304</f>
        <v>1</v>
      </c>
      <c r="H395" t="str">
        <f>Parts1!L304</f>
        <v>Resistor, 1%</v>
      </c>
      <c r="I395" t="str">
        <f>Parts1!M304</f>
        <v/>
      </c>
      <c r="J395" t="str">
        <f>Parts1!N304</f>
        <v>33k</v>
      </c>
      <c r="K395" t="str">
        <f>Parts1!O304</f>
        <v>0603</v>
      </c>
      <c r="L395" t="str">
        <f>Parts1!P304</f>
        <v>667-ERJ-3EKF3302V</v>
      </c>
      <c r="M395" s="51" t="str">
        <f>Parts1!Q304</f>
        <v/>
      </c>
      <c r="N395" s="58">
        <v>8.0</v>
      </c>
      <c r="O395" s="52" t="str">
        <f t="shared" si="2"/>
        <v>A</v>
      </c>
      <c r="P395" s="52" t="str">
        <f t="shared" si="5"/>
        <v/>
      </c>
      <c r="Q395" s="52">
        <f t="shared" si="4"/>
        <v>2</v>
      </c>
      <c r="R395" s="52" t="b">
        <f t="shared" si="6"/>
        <v>1</v>
      </c>
    </row>
    <row r="396">
      <c r="B396" s="20" t="str">
        <f>IFERROR(__xludf.DUMMYFUNCTION("if(exact($E396, """"), """", iferror(regexextract($F396, ""^(?:- )?([A-Z]+)""), ""?""))"),"R")</f>
        <v>R</v>
      </c>
      <c r="C396" s="57" t="str">
        <f t="shared" si="3"/>
        <v>667ERJ3EKF3302V</v>
      </c>
      <c r="D396" t="str">
        <f>Parts1!H421</f>
        <v>Ripples v4.0</v>
      </c>
      <c r="E396" t="str">
        <f>Parts1!I421</f>
        <v>S</v>
      </c>
      <c r="F396" t="str">
        <f>Parts1!J421</f>
        <v>R1, R2, R5, R6, R8, R12, R13, R43</v>
      </c>
      <c r="G396">
        <f>Parts1!K421</f>
        <v>8</v>
      </c>
      <c r="H396" t="str">
        <f>Parts1!L421</f>
        <v>Resistor, 1%</v>
      </c>
      <c r="I396" t="str">
        <f>Parts1!M421</f>
        <v/>
      </c>
      <c r="J396" s="59" t="str">
        <f>Parts1!N421</f>
        <v>33k</v>
      </c>
      <c r="K396" s="59" t="str">
        <f>Parts1!O421</f>
        <v>0603</v>
      </c>
      <c r="L396" t="str">
        <f>Parts1!P421</f>
        <v>667-ERJ3EKF3302V</v>
      </c>
      <c r="M396" s="51" t="str">
        <f>Parts1!Q421</f>
        <v/>
      </c>
      <c r="N396" s="58">
        <v>11.0</v>
      </c>
      <c r="O396" s="52" t="str">
        <f t="shared" si="2"/>
        <v>A</v>
      </c>
      <c r="P396" s="52" t="str">
        <f t="shared" si="5"/>
        <v/>
      </c>
      <c r="Q396" s="52">
        <f t="shared" si="4"/>
        <v>1</v>
      </c>
      <c r="R396" s="52" t="b">
        <f t="shared" si="6"/>
        <v>1</v>
      </c>
    </row>
    <row r="397">
      <c r="B397" s="20" t="str">
        <f>IFERROR(__xludf.DUMMYFUNCTION("if(exact($E397, """"), """", iferror(regexextract($F397, ""^(?:- )?([A-Z]+)""), ""?""))"),"R")</f>
        <v>R</v>
      </c>
      <c r="C397" s="57" t="str">
        <f t="shared" si="3"/>
        <v>667ERJ3EKF3302V</v>
      </c>
      <c r="D397" t="str">
        <f>Parts1!H638</f>
        <v>Warps v3.0</v>
      </c>
      <c r="E397" t="str">
        <f>Parts1!I638</f>
        <v>S</v>
      </c>
      <c r="F397" t="str">
        <f>Parts1!J638</f>
        <v>R15, R16</v>
      </c>
      <c r="G397">
        <f>Parts1!K638</f>
        <v>2</v>
      </c>
      <c r="H397" t="str">
        <f>Parts1!L638</f>
        <v>Resistor, 1%</v>
      </c>
      <c r="I397" t="str">
        <f>Parts1!M638</f>
        <v/>
      </c>
      <c r="J397" t="str">
        <f>Parts1!N638</f>
        <v>33k</v>
      </c>
      <c r="K397" t="str">
        <f>Parts1!O638</f>
        <v>0603</v>
      </c>
      <c r="L397" t="str">
        <f>Parts1!P638</f>
        <v>667-ERJ-3EKF3302V</v>
      </c>
      <c r="M397" s="51" t="str">
        <f>Parts1!Q638</f>
        <v/>
      </c>
      <c r="N397" s="58">
        <v>18.0</v>
      </c>
      <c r="O397" s="52" t="str">
        <f t="shared" si="2"/>
        <v>A</v>
      </c>
      <c r="P397" s="52" t="str">
        <f t="shared" si="5"/>
        <v/>
      </c>
      <c r="Q397" s="52">
        <f t="shared" si="4"/>
        <v>0</v>
      </c>
      <c r="R397" s="52" t="b">
        <f t="shared" si="6"/>
        <v>1</v>
      </c>
    </row>
    <row r="398">
      <c r="B398" s="20" t="str">
        <f>IFERROR(__xludf.DUMMYFUNCTION("if(exact($E398, """"), """", iferror(regexextract($F398, ""^(?:- )?([A-Z]+)""), ""?""))"),"R")</f>
        <v>R</v>
      </c>
      <c r="C398" s="57" t="str">
        <f t="shared" si="3"/>
        <v>667ERJ3EKF33R0V</v>
      </c>
      <c r="D398" t="str">
        <f>Parts1!H177</f>
        <v>Elements v0.21</v>
      </c>
      <c r="E398" t="str">
        <f>Parts1!I177</f>
        <v>S</v>
      </c>
      <c r="F398" t="str">
        <f>Parts1!J177</f>
        <v>R10</v>
      </c>
      <c r="G398">
        <f>Parts1!K177</f>
        <v>1</v>
      </c>
      <c r="H398" t="str">
        <f>Parts1!L177</f>
        <v>Resistor, 1%</v>
      </c>
      <c r="I398" t="str">
        <f>Parts1!M177</f>
        <v/>
      </c>
      <c r="J398">
        <f>Parts1!N177</f>
        <v>33</v>
      </c>
      <c r="K398" t="str">
        <f>Parts1!O177</f>
        <v>0603</v>
      </c>
      <c r="L398" t="str">
        <f>Parts1!P177</f>
        <v>667-ERJ-3EKF33R0V</v>
      </c>
      <c r="M398" s="51" t="str">
        <f>Parts1!Q177</f>
        <v/>
      </c>
      <c r="N398" s="58">
        <v>5.0</v>
      </c>
      <c r="O398" s="52" t="str">
        <f t="shared" si="2"/>
        <v>A</v>
      </c>
      <c r="P398" s="52">
        <f t="shared" si="5"/>
        <v>1</v>
      </c>
      <c r="Q398" s="52">
        <f t="shared" si="4"/>
        <v>0</v>
      </c>
      <c r="R398" s="52" t="b">
        <f t="shared" si="6"/>
        <v>0</v>
      </c>
    </row>
    <row r="399">
      <c r="B399" s="20" t="str">
        <f>IFERROR(__xludf.DUMMYFUNCTION("if(exact($E399, """"), """", iferror(regexextract($F399, ""^(?:- )?([A-Z]+)""), ""?""))"),"R")</f>
        <v>R</v>
      </c>
      <c r="C399" s="57" t="str">
        <f t="shared" si="3"/>
        <v>667ERJ3EKF3602V</v>
      </c>
      <c r="D399" t="str">
        <f>Parts1!H184</f>
        <v>Elements v0.21</v>
      </c>
      <c r="E399" t="str">
        <f>Parts1!I184</f>
        <v>S</v>
      </c>
      <c r="F399" t="str">
        <f>Parts1!J184</f>
        <v>R75, R86</v>
      </c>
      <c r="G399">
        <f>Parts1!K184</f>
        <v>2</v>
      </c>
      <c r="H399" t="str">
        <f>Parts1!L184</f>
        <v>Resistor, 1%</v>
      </c>
      <c r="I399" t="str">
        <f>Parts1!M184</f>
        <v/>
      </c>
      <c r="J399" t="str">
        <f>Parts1!N184</f>
        <v>36k</v>
      </c>
      <c r="K399" t="str">
        <f>Parts1!O184</f>
        <v>0603</v>
      </c>
      <c r="L399" t="str">
        <f>Parts1!P184</f>
        <v>667-ERJ-3EKF3602V</v>
      </c>
      <c r="M399" s="51" t="str">
        <f>Parts1!Q184</f>
        <v/>
      </c>
      <c r="N399" s="58">
        <v>5.0</v>
      </c>
      <c r="O399" s="52" t="str">
        <f t="shared" si="2"/>
        <v>A</v>
      </c>
      <c r="P399" s="52">
        <f t="shared" si="5"/>
        <v>1</v>
      </c>
      <c r="Q399" s="52">
        <f t="shared" si="4"/>
        <v>2</v>
      </c>
      <c r="R399" s="52" t="b">
        <f t="shared" si="6"/>
        <v>1</v>
      </c>
    </row>
    <row r="400">
      <c r="B400" s="20" t="str">
        <f>IFERROR(__xludf.DUMMYFUNCTION("if(exact($E400, """"), """", iferror(regexextract($F400, ""^(?:- )?([A-Z]+)""), ""?""))"),"R")</f>
        <v>R</v>
      </c>
      <c r="C400" s="57" t="str">
        <f t="shared" si="3"/>
        <v>667ERJ3EKF3602V</v>
      </c>
      <c r="D400" t="str">
        <f>Parts1!H369</f>
        <v>Rings v3.0</v>
      </c>
      <c r="E400" t="str">
        <f>Parts1!I369</f>
        <v>S</v>
      </c>
      <c r="F400" t="str">
        <f>Parts1!J369</f>
        <v>R27, R54</v>
      </c>
      <c r="G400">
        <f>Parts1!K369</f>
        <v>2</v>
      </c>
      <c r="H400" t="str">
        <f>Parts1!L369</f>
        <v>Resistor, 1%</v>
      </c>
      <c r="I400" t="str">
        <f>Parts1!M369</f>
        <v/>
      </c>
      <c r="J400" t="str">
        <f>Parts1!N369</f>
        <v>36k</v>
      </c>
      <c r="K400" s="59" t="str">
        <f>Parts1!O369</f>
        <v>0603</v>
      </c>
      <c r="L400" t="str">
        <f>Parts1!P369</f>
        <v>667-ERJ-3EKF3602V</v>
      </c>
      <c r="M400" s="51" t="str">
        <f>Parts1!Q369</f>
        <v/>
      </c>
      <c r="N400" s="58">
        <v>10.0</v>
      </c>
      <c r="O400" s="52" t="str">
        <f t="shared" si="2"/>
        <v>A</v>
      </c>
      <c r="P400" s="52" t="str">
        <f t="shared" si="5"/>
        <v/>
      </c>
      <c r="Q400" s="52">
        <f t="shared" si="4"/>
        <v>1</v>
      </c>
      <c r="R400" s="52" t="b">
        <f t="shared" si="6"/>
        <v>1</v>
      </c>
    </row>
    <row r="401">
      <c r="B401" s="20" t="str">
        <f>IFERROR(__xludf.DUMMYFUNCTION("if(exact($E401, """"), """", iferror(regexextract($F401, ""^(?:- )?([A-Z]+)""), ""?""))"),"R")</f>
        <v>R</v>
      </c>
      <c r="C401" s="57" t="str">
        <f t="shared" si="3"/>
        <v>667ERJ3EKF3602V</v>
      </c>
      <c r="D401" t="str">
        <f>Parts1!H639</f>
        <v>Warps v3.0</v>
      </c>
      <c r="E401" t="str">
        <f>Parts1!I639</f>
        <v>S</v>
      </c>
      <c r="F401" t="str">
        <f>Parts1!J639</f>
        <v>R12, R13, R37, R38</v>
      </c>
      <c r="G401">
        <f>Parts1!K639</f>
        <v>4</v>
      </c>
      <c r="H401" t="str">
        <f>Parts1!L639</f>
        <v>Resistor, 1%</v>
      </c>
      <c r="I401" t="str">
        <f>Parts1!M639</f>
        <v/>
      </c>
      <c r="J401" t="str">
        <f>Parts1!N639</f>
        <v>36k</v>
      </c>
      <c r="K401" t="str">
        <f>Parts1!O639</f>
        <v>0603</v>
      </c>
      <c r="L401" t="str">
        <f>Parts1!P639</f>
        <v>667-ERJ-3EKF3602V</v>
      </c>
      <c r="M401" s="51" t="str">
        <f>Parts1!Q639</f>
        <v/>
      </c>
      <c r="N401" s="58">
        <v>18.0</v>
      </c>
      <c r="O401" s="52" t="str">
        <f t="shared" si="2"/>
        <v>A</v>
      </c>
      <c r="P401" s="52" t="str">
        <f t="shared" si="5"/>
        <v/>
      </c>
      <c r="Q401" s="52">
        <f t="shared" si="4"/>
        <v>0</v>
      </c>
      <c r="R401" s="52" t="b">
        <f t="shared" si="6"/>
        <v>1</v>
      </c>
    </row>
    <row r="402">
      <c r="B402" s="20" t="str">
        <f>IFERROR(__xludf.DUMMYFUNCTION("if(exact($E402, """"), """", iferror(regexextract($F402, ""^(?:- )?([A-Z]+)""), ""?""))"),"R")</f>
        <v>R</v>
      </c>
      <c r="C402" s="57" t="str">
        <f t="shared" si="3"/>
        <v>667ERJ3EKF3902V</v>
      </c>
      <c r="D402" t="str">
        <f>Parts1!H12</f>
        <v>Braids v5.1</v>
      </c>
      <c r="E402" t="str">
        <f>Parts1!I12</f>
        <v>S</v>
      </c>
      <c r="F402" t="str">
        <f>Parts1!J12</f>
        <v>R45, R46</v>
      </c>
      <c r="G402">
        <f>Parts1!K12</f>
        <v>2</v>
      </c>
      <c r="H402" t="str">
        <f>Parts1!L12</f>
        <v>Resistor, 1%</v>
      </c>
      <c r="I402" t="str">
        <f>Parts1!M12</f>
        <v/>
      </c>
      <c r="J402" t="str">
        <f>Parts1!N12</f>
        <v>39k</v>
      </c>
      <c r="K402" t="str">
        <f>Parts1!O12</f>
        <v>0603</v>
      </c>
      <c r="L402" t="str">
        <f>Parts1!P12</f>
        <v>667-ERJ3EKF3902V</v>
      </c>
      <c r="M402" s="51" t="str">
        <f>Parts1!Q12</f>
        <v/>
      </c>
      <c r="N402" s="58">
        <v>1.0</v>
      </c>
      <c r="O402" s="52" t="str">
        <f t="shared" si="2"/>
        <v>A</v>
      </c>
      <c r="P402" s="52">
        <f t="shared" si="5"/>
        <v>1</v>
      </c>
      <c r="Q402" s="52">
        <f t="shared" si="4"/>
        <v>3</v>
      </c>
      <c r="R402" s="52" t="b">
        <f t="shared" si="6"/>
        <v>0</v>
      </c>
    </row>
    <row r="403">
      <c r="B403" s="20" t="str">
        <f>IFERROR(__xludf.DUMMYFUNCTION("if(exact($E403, """"), """", iferror(regexextract($F403, ""^(?:- )?([A-Z]+)""), ""?""))"),"R")</f>
        <v>R</v>
      </c>
      <c r="C403" s="57" t="str">
        <f t="shared" si="3"/>
        <v>667ERJ3EKF3902V</v>
      </c>
      <c r="D403" t="str">
        <f>Parts1!H88</f>
        <v>Clouds v3.0</v>
      </c>
      <c r="E403" t="str">
        <f>Parts1!I88</f>
        <v>S</v>
      </c>
      <c r="F403" t="str">
        <f>Parts1!J88</f>
        <v>R48, R49, R50, R59</v>
      </c>
      <c r="G403">
        <f>Parts1!K88</f>
        <v>4</v>
      </c>
      <c r="H403" t="str">
        <f>Parts1!L88</f>
        <v>Resistor, 1%</v>
      </c>
      <c r="I403" t="str">
        <f>Parts1!M88</f>
        <v/>
      </c>
      <c r="J403" t="str">
        <f>Parts1!N88</f>
        <v>39k</v>
      </c>
      <c r="K403" s="59" t="str">
        <f>Parts1!O88</f>
        <v>0603</v>
      </c>
      <c r="L403" t="str">
        <f>Parts1!P88</f>
        <v>667-ERJ-3EKF3902V</v>
      </c>
      <c r="M403" s="51" t="str">
        <f>Parts1!Q88</f>
        <v/>
      </c>
      <c r="N403" s="58">
        <v>3.0</v>
      </c>
      <c r="O403" s="52" t="str">
        <f t="shared" si="2"/>
        <v>A</v>
      </c>
      <c r="P403" s="52" t="str">
        <f t="shared" si="5"/>
        <v/>
      </c>
      <c r="Q403" s="52">
        <f t="shared" si="4"/>
        <v>2</v>
      </c>
      <c r="R403" s="52" t="b">
        <f t="shared" si="6"/>
        <v>0</v>
      </c>
    </row>
    <row r="404">
      <c r="B404" s="20" t="str">
        <f>IFERROR(__xludf.DUMMYFUNCTION("if(exact($E404, """"), """", iferror(regexextract($F404, ""^(?:- )?([A-Z]+)""), ""?""))"),"R")</f>
        <v>R</v>
      </c>
      <c r="C404" s="57" t="str">
        <f t="shared" si="3"/>
        <v>667ERJ3EKF3902V</v>
      </c>
      <c r="D404" t="str">
        <f>Parts1!H138</f>
        <v>Edges v2.0</v>
      </c>
      <c r="E404" t="str">
        <f>Parts1!I138</f>
        <v>S</v>
      </c>
      <c r="F404" t="str">
        <f>Parts1!J138</f>
        <v>R39, R70</v>
      </c>
      <c r="G404">
        <f>Parts1!K138</f>
        <v>2</v>
      </c>
      <c r="H404" t="str">
        <f>Parts1!L138</f>
        <v>Resistor, 1%</v>
      </c>
      <c r="I404" t="str">
        <f>Parts1!M138</f>
        <v/>
      </c>
      <c r="J404" t="str">
        <f>Parts1!N138</f>
        <v>39k</v>
      </c>
      <c r="K404" t="str">
        <f>Parts1!O138</f>
        <v>0603</v>
      </c>
      <c r="L404" t="str">
        <f>Parts1!P138</f>
        <v>667-ERJ3EKF3902V</v>
      </c>
      <c r="M404" s="51" t="str">
        <f>Parts1!Q138</f>
        <v/>
      </c>
      <c r="N404" s="58">
        <v>4.0</v>
      </c>
      <c r="O404" s="52" t="str">
        <f t="shared" si="2"/>
        <v>A</v>
      </c>
      <c r="P404" s="52" t="str">
        <f t="shared" si="5"/>
        <v/>
      </c>
      <c r="Q404" s="52">
        <f t="shared" si="4"/>
        <v>1</v>
      </c>
      <c r="R404" s="52" t="b">
        <f t="shared" si="6"/>
        <v>0</v>
      </c>
    </row>
    <row r="405">
      <c r="B405" s="20" t="str">
        <f>IFERROR(__xludf.DUMMYFUNCTION("if(exact($E405, """"), """", iferror(regexextract($F405, ""^(?:- )?([A-Z]+)""), ""?""))"),"R")</f>
        <v>R</v>
      </c>
      <c r="C405" s="57" t="str">
        <f t="shared" si="3"/>
        <v>667ERJ3EKF3902V</v>
      </c>
      <c r="D405" t="str">
        <f>Parts1!H422</f>
        <v>Ripples v4.0</v>
      </c>
      <c r="E405" t="str">
        <f>Parts1!I422</f>
        <v>S</v>
      </c>
      <c r="F405" t="str">
        <f>Parts1!J422</f>
        <v>R27, R30, R44</v>
      </c>
      <c r="G405">
        <f>Parts1!K422</f>
        <v>3</v>
      </c>
      <c r="H405" t="str">
        <f>Parts1!L422</f>
        <v>Resistor, 1%</v>
      </c>
      <c r="I405" t="str">
        <f>Parts1!M422</f>
        <v/>
      </c>
      <c r="J405" s="59" t="str">
        <f>Parts1!N422</f>
        <v>39k</v>
      </c>
      <c r="K405" s="59" t="str">
        <f>Parts1!O422</f>
        <v>0603</v>
      </c>
      <c r="L405" t="str">
        <f>Parts1!P422</f>
        <v>667-ERJ3EKF3902V</v>
      </c>
      <c r="M405" s="51" t="str">
        <f>Parts1!Q422</f>
        <v/>
      </c>
      <c r="N405" s="58">
        <v>11.0</v>
      </c>
      <c r="O405" s="52" t="str">
        <f t="shared" si="2"/>
        <v>A</v>
      </c>
      <c r="P405" s="52" t="str">
        <f t="shared" si="5"/>
        <v/>
      </c>
      <c r="Q405" s="52">
        <f t="shared" si="4"/>
        <v>0</v>
      </c>
      <c r="R405" s="52" t="b">
        <f t="shared" si="6"/>
        <v>0</v>
      </c>
    </row>
    <row r="406">
      <c r="B406" s="20" t="str">
        <f>IFERROR(__xludf.DUMMYFUNCTION("if(exact($E406, """"), """", iferror(regexextract($F406, ""^(?:- )?([A-Z]+)""), ""?""))"),"R")</f>
        <v>R</v>
      </c>
      <c r="C406" s="57" t="str">
        <f t="shared" si="3"/>
        <v>667ERJ3EKF4700V</v>
      </c>
      <c r="D406" t="str">
        <f>Parts1!H80</f>
        <v>Clouds v3.0</v>
      </c>
      <c r="E406" t="str">
        <f>Parts1!I80</f>
        <v>S</v>
      </c>
      <c r="F406" t="str">
        <f>Parts1!J80</f>
        <v>R30</v>
      </c>
      <c r="G406">
        <f>Parts1!K80</f>
        <v>1</v>
      </c>
      <c r="H406" t="str">
        <f>Parts1!L80</f>
        <v>Resistor, 1%</v>
      </c>
      <c r="I406" t="str">
        <f>Parts1!M80</f>
        <v/>
      </c>
      <c r="J406">
        <f>Parts1!N80</f>
        <v>470</v>
      </c>
      <c r="K406" s="59" t="str">
        <f>Parts1!O80</f>
        <v>0603</v>
      </c>
      <c r="L406" t="str">
        <f>Parts1!P80</f>
        <v>667-ERJ-3EKF4700V</v>
      </c>
      <c r="M406" s="51" t="str">
        <f>Parts1!Q80</f>
        <v/>
      </c>
      <c r="N406" s="58">
        <v>3.0</v>
      </c>
      <c r="O406" s="52" t="str">
        <f t="shared" si="2"/>
        <v>A</v>
      </c>
      <c r="P406" s="52">
        <f t="shared" si="5"/>
        <v>1</v>
      </c>
      <c r="Q406" s="52">
        <f t="shared" si="4"/>
        <v>0</v>
      </c>
      <c r="R406" s="52" t="b">
        <f t="shared" si="6"/>
        <v>1</v>
      </c>
    </row>
    <row r="407">
      <c r="B407" s="20" t="str">
        <f>IFERROR(__xludf.DUMMYFUNCTION("if(exact($E407, """"), """", iferror(regexextract($F407, ""^(?:- )?([A-Z]+)""), ""?""))"),"R")</f>
        <v>R</v>
      </c>
      <c r="C407" s="57" t="str">
        <f t="shared" si="3"/>
        <v>667ERJ3EKF4701V</v>
      </c>
      <c r="D407" t="str">
        <f>Parts1!H635</f>
        <v>Warps v3.0</v>
      </c>
      <c r="E407" t="str">
        <f>Parts1!I635</f>
        <v>S</v>
      </c>
      <c r="F407" t="str">
        <f>Parts1!J635</f>
        <v>R6</v>
      </c>
      <c r="G407">
        <f>Parts1!K635</f>
        <v>1</v>
      </c>
      <c r="H407" t="str">
        <f>Parts1!L635</f>
        <v>Resistor, 1%</v>
      </c>
      <c r="I407" t="str">
        <f>Parts1!M635</f>
        <v/>
      </c>
      <c r="J407" t="str">
        <f>Parts1!N635</f>
        <v>4.7k</v>
      </c>
      <c r="K407" t="str">
        <f>Parts1!O635</f>
        <v>0603</v>
      </c>
      <c r="L407" t="str">
        <f>Parts1!P635</f>
        <v>667-ERJ-3EKF4701V</v>
      </c>
      <c r="M407" s="51" t="str">
        <f>Parts1!Q635</f>
        <v/>
      </c>
      <c r="N407" s="58">
        <v>18.0</v>
      </c>
      <c r="O407" s="52" t="str">
        <f t="shared" si="2"/>
        <v>A</v>
      </c>
      <c r="P407" s="52">
        <f t="shared" si="5"/>
        <v>1</v>
      </c>
      <c r="Q407" s="52">
        <f t="shared" si="4"/>
        <v>0</v>
      </c>
      <c r="R407" s="52" t="b">
        <f t="shared" si="6"/>
        <v>0</v>
      </c>
    </row>
    <row r="408">
      <c r="B408" s="20" t="str">
        <f>IFERROR(__xludf.DUMMYFUNCTION("if(exact($E408, """"), """", iferror(regexextract($F408, ""^(?:- )?([A-Z]+)""), ""?""))"),"R")</f>
        <v>R</v>
      </c>
      <c r="C408" s="57" t="str">
        <f t="shared" si="3"/>
        <v>667ERJ3EKF4702V</v>
      </c>
      <c r="D408" t="str">
        <f>Parts1!H89</f>
        <v>Clouds v3.0</v>
      </c>
      <c r="E408" t="str">
        <f>Parts1!I89</f>
        <v>S</v>
      </c>
      <c r="F408" t="str">
        <f>Parts1!J89</f>
        <v>R34</v>
      </c>
      <c r="G408">
        <f>Parts1!K89</f>
        <v>1</v>
      </c>
      <c r="H408" t="str">
        <f>Parts1!L89</f>
        <v>Resistor, 1%</v>
      </c>
      <c r="I408" t="str">
        <f>Parts1!M89</f>
        <v/>
      </c>
      <c r="J408" t="str">
        <f>Parts1!N89</f>
        <v>47k</v>
      </c>
      <c r="K408" s="59" t="str">
        <f>Parts1!O89</f>
        <v>0603</v>
      </c>
      <c r="L408" t="str">
        <f>Parts1!P89</f>
        <v>667-ERJ-3EKF4702V</v>
      </c>
      <c r="M408" s="51" t="str">
        <f>Parts1!Q89</f>
        <v/>
      </c>
      <c r="N408" s="58">
        <v>3.0</v>
      </c>
      <c r="O408" s="52" t="str">
        <f t="shared" si="2"/>
        <v>A</v>
      </c>
      <c r="P408" s="52">
        <f t="shared" si="5"/>
        <v>1</v>
      </c>
      <c r="Q408" s="52">
        <f t="shared" si="4"/>
        <v>3</v>
      </c>
      <c r="R408" s="52" t="b">
        <f t="shared" si="6"/>
        <v>1</v>
      </c>
    </row>
    <row r="409">
      <c r="B409" s="20" t="str">
        <f>IFERROR(__xludf.DUMMYFUNCTION("if(exact($E409, """"), """", iferror(regexextract($F409, ""^(?:- )?([A-Z]+)""), ""?""))"),"R")</f>
        <v>R</v>
      </c>
      <c r="C409" s="57" t="str">
        <f t="shared" si="3"/>
        <v>667ERJ3EKF4702V</v>
      </c>
      <c r="D409" t="str">
        <f>Parts1!H185</f>
        <v>Elements v0.21</v>
      </c>
      <c r="E409" t="str">
        <f>Parts1!I185</f>
        <v>S</v>
      </c>
      <c r="F409" t="str">
        <f>Parts1!J185</f>
        <v>R27, R51, R59, R69, R72</v>
      </c>
      <c r="G409">
        <f>Parts1!K185</f>
        <v>5</v>
      </c>
      <c r="H409" t="str">
        <f>Parts1!L185</f>
        <v>Resistor, 1%</v>
      </c>
      <c r="I409" t="str">
        <f>Parts1!M185</f>
        <v/>
      </c>
      <c r="J409" t="str">
        <f>Parts1!N185</f>
        <v>47k</v>
      </c>
      <c r="K409" t="str">
        <f>Parts1!O185</f>
        <v>0603</v>
      </c>
      <c r="L409" t="str">
        <f>Parts1!P185</f>
        <v>667-ERJ-3EKF4702V</v>
      </c>
      <c r="M409" s="51" t="str">
        <f>Parts1!Q185</f>
        <v/>
      </c>
      <c r="N409" s="58">
        <v>5.0</v>
      </c>
      <c r="O409" s="52" t="str">
        <f t="shared" si="2"/>
        <v>A</v>
      </c>
      <c r="P409" s="52" t="str">
        <f t="shared" si="5"/>
        <v/>
      </c>
      <c r="Q409" s="52">
        <f t="shared" si="4"/>
        <v>2</v>
      </c>
      <c r="R409" s="52" t="b">
        <f t="shared" si="6"/>
        <v>1</v>
      </c>
    </row>
    <row r="410">
      <c r="B410" s="20" t="str">
        <f>IFERROR(__xludf.DUMMYFUNCTION("if(exact($E410, """"), """", iferror(regexextract($F410, ""^(?:- )?([A-Z]+)""), ""?""))"),"R")</f>
        <v>R</v>
      </c>
      <c r="C410" s="57" t="str">
        <f t="shared" si="3"/>
        <v>667ERJ3EKF4702V</v>
      </c>
      <c r="D410" t="str">
        <f>Parts1!H370</f>
        <v>Rings v3.0</v>
      </c>
      <c r="E410" t="str">
        <f>Parts1!I370</f>
        <v>S</v>
      </c>
      <c r="F410" t="str">
        <f>Parts1!J370</f>
        <v>R13, R33, R38, R39, R41, R42, R44</v>
      </c>
      <c r="G410">
        <f>Parts1!K370</f>
        <v>7</v>
      </c>
      <c r="H410" t="str">
        <f>Parts1!L370</f>
        <v>Resistor, 1%</v>
      </c>
      <c r="I410" t="str">
        <f>Parts1!M370</f>
        <v/>
      </c>
      <c r="J410" t="str">
        <f>Parts1!N370</f>
        <v>47k</v>
      </c>
      <c r="K410" s="59" t="str">
        <f>Parts1!O370</f>
        <v>0603</v>
      </c>
      <c r="L410" t="str">
        <f>Parts1!P370</f>
        <v>667-ERJ-3EKF4702V</v>
      </c>
      <c r="M410" s="51" t="str">
        <f>Parts1!Q370</f>
        <v/>
      </c>
      <c r="N410" s="58">
        <v>10.0</v>
      </c>
      <c r="O410" s="52" t="str">
        <f t="shared" si="2"/>
        <v>A</v>
      </c>
      <c r="P410" s="52" t="str">
        <f t="shared" si="5"/>
        <v/>
      </c>
      <c r="Q410" s="52">
        <f t="shared" si="4"/>
        <v>1</v>
      </c>
      <c r="R410" s="52" t="b">
        <f t="shared" si="6"/>
        <v>1</v>
      </c>
    </row>
    <row r="411">
      <c r="B411" s="20" t="str">
        <f>IFERROR(__xludf.DUMMYFUNCTION("if(exact($E411, """"), """", iferror(regexextract($F411, ""^(?:- )?([A-Z]+)""), ""?""))"),"R")</f>
        <v>R</v>
      </c>
      <c r="C411" s="57" t="str">
        <f t="shared" si="3"/>
        <v>667ERJ3EKF4702V</v>
      </c>
      <c r="D411" t="str">
        <f>Parts1!H640</f>
        <v>Warps v3.0</v>
      </c>
      <c r="E411" t="str">
        <f>Parts1!I640</f>
        <v>S</v>
      </c>
      <c r="F411" t="str">
        <f>Parts1!J640</f>
        <v>R28, R30, R31, R33</v>
      </c>
      <c r="G411">
        <f>Parts1!K640</f>
        <v>4</v>
      </c>
      <c r="H411" t="str">
        <f>Parts1!L640</f>
        <v>Resistor, 1%</v>
      </c>
      <c r="I411" t="str">
        <f>Parts1!M640</f>
        <v/>
      </c>
      <c r="J411" t="str">
        <f>Parts1!N640</f>
        <v>47k</v>
      </c>
      <c r="K411" t="str">
        <f>Parts1!O640</f>
        <v>0603</v>
      </c>
      <c r="L411" t="str">
        <f>Parts1!P640</f>
        <v>667-ERJ-3EKF4702V</v>
      </c>
      <c r="M411" s="51" t="str">
        <f>Parts1!Q640</f>
        <v/>
      </c>
      <c r="N411" s="58">
        <v>18.0</v>
      </c>
      <c r="O411" s="52" t="str">
        <f t="shared" si="2"/>
        <v>A</v>
      </c>
      <c r="P411" s="52" t="str">
        <f t="shared" si="5"/>
        <v/>
      </c>
      <c r="Q411" s="52">
        <f t="shared" si="4"/>
        <v>0</v>
      </c>
      <c r="R411" s="52" t="b">
        <f t="shared" si="6"/>
        <v>1</v>
      </c>
    </row>
    <row r="412">
      <c r="B412" s="20" t="str">
        <f>IFERROR(__xludf.DUMMYFUNCTION("if(exact($E412, """"), """", iferror(regexextract($F412, ""^(?:- )?([A-Z]+)""), ""?""))"),"R")</f>
        <v>R</v>
      </c>
      <c r="C412" s="57" t="str">
        <f t="shared" si="3"/>
        <v>667ERJ3EKF4703V</v>
      </c>
      <c r="D412" t="str">
        <f>Parts1!H374</f>
        <v>Rings v3.0</v>
      </c>
      <c r="E412" t="str">
        <f>Parts1!I374</f>
        <v>S</v>
      </c>
      <c r="F412" t="str">
        <f>Parts1!J374</f>
        <v>R57</v>
      </c>
      <c r="G412">
        <f>Parts1!K374</f>
        <v>1</v>
      </c>
      <c r="H412" t="str">
        <f>Parts1!L374</f>
        <v>Resistor, 1%</v>
      </c>
      <c r="I412" t="str">
        <f>Parts1!M374</f>
        <v/>
      </c>
      <c r="J412" t="str">
        <f>Parts1!N374</f>
        <v>470k</v>
      </c>
      <c r="K412" s="59" t="str">
        <f>Parts1!O374</f>
        <v>0603</v>
      </c>
      <c r="L412" t="str">
        <f>Parts1!P374</f>
        <v>667-ERJ-3EKF4703V</v>
      </c>
      <c r="M412" s="51" t="str">
        <f>Parts1!Q374</f>
        <v/>
      </c>
      <c r="N412" s="58">
        <v>10.0</v>
      </c>
      <c r="O412" s="52" t="str">
        <f t="shared" si="2"/>
        <v>A</v>
      </c>
      <c r="P412" s="52">
        <f t="shared" si="5"/>
        <v>1</v>
      </c>
      <c r="Q412" s="52">
        <f t="shared" si="4"/>
        <v>0</v>
      </c>
      <c r="R412" s="52" t="b">
        <f t="shared" si="6"/>
        <v>0</v>
      </c>
    </row>
    <row r="413">
      <c r="B413" s="20" t="str">
        <f>IFERROR(__xludf.DUMMYFUNCTION("if(exact($E413, """"), """", iferror(regexextract($F413, ""^(?:- )?([A-Z]+)""), ""?""))"),"R")</f>
        <v>R</v>
      </c>
      <c r="C413" s="57" t="str">
        <f t="shared" si="3"/>
        <v>667ERJ3EKF4992V</v>
      </c>
      <c r="D413" t="str">
        <f>Parts1!H13</f>
        <v>Braids v5.1</v>
      </c>
      <c r="E413" t="str">
        <f>Parts1!I13</f>
        <v>S</v>
      </c>
      <c r="F413" t="str">
        <f>Parts1!J13</f>
        <v>R25, R26</v>
      </c>
      <c r="G413">
        <f>Parts1!K13</f>
        <v>2</v>
      </c>
      <c r="H413" t="str">
        <f>Parts1!L13</f>
        <v>Resistor, 1%</v>
      </c>
      <c r="I413" t="str">
        <f>Parts1!M13</f>
        <v/>
      </c>
      <c r="J413" t="str">
        <f>Parts1!N13</f>
        <v>49.9k</v>
      </c>
      <c r="K413" t="str">
        <f>Parts1!O13</f>
        <v>0603</v>
      </c>
      <c r="L413" t="str">
        <f>Parts1!P13</f>
        <v>667-ERJ3EKF4992V</v>
      </c>
      <c r="M413" s="51" t="str">
        <f>Parts1!Q13</f>
        <v/>
      </c>
      <c r="N413" s="58">
        <v>1.0</v>
      </c>
      <c r="O413" s="52" t="str">
        <f t="shared" si="2"/>
        <v>A</v>
      </c>
      <c r="P413" s="52">
        <f t="shared" si="5"/>
        <v>1</v>
      </c>
      <c r="Q413" s="52">
        <f t="shared" si="4"/>
        <v>0</v>
      </c>
      <c r="R413" s="52" t="b">
        <f t="shared" si="6"/>
        <v>1</v>
      </c>
    </row>
    <row r="414">
      <c r="B414" s="20" t="str">
        <f>IFERROR(__xludf.DUMMYFUNCTION("if(exact($E414, """"), """", iferror(regexextract($F414, ""^(?:- )?([A-Z]+)""), ""?""))"),"R")</f>
        <v>R</v>
      </c>
      <c r="C414" s="57" t="str">
        <f t="shared" si="3"/>
        <v>667ERJ3EKF5100V</v>
      </c>
      <c r="D414" t="str">
        <f>Parts1!H415</f>
        <v>Ripples v4.0</v>
      </c>
      <c r="E414" t="str">
        <f>Parts1!I415</f>
        <v>S</v>
      </c>
      <c r="F414" t="str">
        <f>Parts1!J415</f>
        <v>R3, R4, R10, R11</v>
      </c>
      <c r="G414">
        <f>Parts1!K415</f>
        <v>4</v>
      </c>
      <c r="H414" t="str">
        <f>Parts1!L415</f>
        <v>Resistor, 1%</v>
      </c>
      <c r="I414" t="str">
        <f>Parts1!M415</f>
        <v/>
      </c>
      <c r="J414" s="59" t="str">
        <f>Parts1!N415</f>
        <v>510</v>
      </c>
      <c r="K414" s="59" t="str">
        <f>Parts1!O415</f>
        <v>0603</v>
      </c>
      <c r="L414" t="str">
        <f>Parts1!P415</f>
        <v>667-ERJ3EKF5100V</v>
      </c>
      <c r="M414" s="51" t="str">
        <f>Parts1!Q415</f>
        <v/>
      </c>
      <c r="N414" s="58">
        <v>11.0</v>
      </c>
      <c r="O414" s="52" t="str">
        <f t="shared" si="2"/>
        <v>A</v>
      </c>
      <c r="P414" s="52">
        <f t="shared" si="5"/>
        <v>1</v>
      </c>
      <c r="Q414" s="52">
        <f t="shared" si="4"/>
        <v>2</v>
      </c>
      <c r="R414" s="52" t="b">
        <f t="shared" si="6"/>
        <v>0</v>
      </c>
    </row>
    <row r="415">
      <c r="B415" s="20" t="str">
        <f>IFERROR(__xludf.DUMMYFUNCTION("if(exact($E415, """"), """", iferror(regexextract($F415, ""^(?:- )?([A-Z]+)""), ""?""))"),"R")</f>
        <v>R</v>
      </c>
      <c r="C415" s="57" t="str">
        <f t="shared" si="3"/>
        <v>667ERJ3EKF5100V</v>
      </c>
      <c r="D415" t="str">
        <f>Parts1!H475</f>
        <v>Shelves v0.5</v>
      </c>
      <c r="E415" t="str">
        <f>Parts1!I475</f>
        <v>S</v>
      </c>
      <c r="F415" t="str">
        <f>Parts1!J475</f>
        <v>R20, R21, R24, R25, R56, R57, R61, R64, R89, R90, R94, R97</v>
      </c>
      <c r="G415">
        <f>Parts1!K475</f>
        <v>12</v>
      </c>
      <c r="H415" t="str">
        <f>Parts1!L475</f>
        <v>Resistor, 1%</v>
      </c>
      <c r="I415" t="str">
        <f>Parts1!M475</f>
        <v/>
      </c>
      <c r="J415">
        <f>Parts1!N475</f>
        <v>510</v>
      </c>
      <c r="K415" t="str">
        <f>Parts1!O475</f>
        <v>0603</v>
      </c>
      <c r="L415" t="str">
        <f>Parts1!P475</f>
        <v>667-ERJ3EKF5100V</v>
      </c>
      <c r="M415" s="51" t="str">
        <f>Parts1!Q475</f>
        <v/>
      </c>
      <c r="N415" s="58"/>
      <c r="O415" s="52" t="str">
        <f t="shared" si="2"/>
        <v>A</v>
      </c>
      <c r="P415" s="52" t="str">
        <f t="shared" si="5"/>
        <v/>
      </c>
      <c r="Q415" s="52">
        <f t="shared" si="4"/>
        <v>1</v>
      </c>
      <c r="R415" s="52" t="b">
        <f t="shared" si="6"/>
        <v>0</v>
      </c>
    </row>
    <row r="416">
      <c r="B416" s="20" t="str">
        <f>IFERROR(__xludf.DUMMYFUNCTION("if(exact($E416, """"), """", iferror(regexextract($F416, ""^(?:- )?([A-Z]+)""), ""?""))"),"R")</f>
        <v>R</v>
      </c>
      <c r="C416" s="57" t="str">
        <f t="shared" si="3"/>
        <v>667ERJ3EKF5100V</v>
      </c>
      <c r="D416" t="str">
        <f>Parts1!H519</f>
        <v>Streams v0.5</v>
      </c>
      <c r="E416" t="str">
        <f>Parts1!I519</f>
        <v>S</v>
      </c>
      <c r="F416" t="str">
        <f>Parts1!J519</f>
        <v>R31, R38, R40, R41, R43, R45, R47, R48, R50, R55</v>
      </c>
      <c r="G416">
        <f>Parts1!K519</f>
        <v>10</v>
      </c>
      <c r="H416" t="str">
        <f>Parts1!L519</f>
        <v>Resistor, 1%</v>
      </c>
      <c r="I416" t="str">
        <f>Parts1!M519</f>
        <v/>
      </c>
      <c r="J416">
        <f>Parts1!N519</f>
        <v>510</v>
      </c>
      <c r="K416" t="str">
        <f>Parts1!O519</f>
        <v>0603</v>
      </c>
      <c r="L416" t="str">
        <f>Parts1!P519</f>
        <v>667-ERJ-3EKF5100V</v>
      </c>
      <c r="M416" s="51" t="str">
        <f>Parts1!Q519</f>
        <v/>
      </c>
      <c r="N416" s="58">
        <v>15.0</v>
      </c>
      <c r="O416" s="52" t="str">
        <f t="shared" si="2"/>
        <v>A</v>
      </c>
      <c r="P416" s="52" t="str">
        <f t="shared" si="5"/>
        <v/>
      </c>
      <c r="Q416" s="52">
        <f t="shared" si="4"/>
        <v>0</v>
      </c>
      <c r="R416" s="52" t="b">
        <f t="shared" si="6"/>
        <v>0</v>
      </c>
    </row>
    <row r="417">
      <c r="B417" s="20" t="str">
        <f>IFERROR(__xludf.DUMMYFUNCTION("if(exact($E417, """"), """", iferror(regexextract($F417, ""^(?:- )?([A-Z]+)""), ""?""))"),"R")</f>
        <v>R</v>
      </c>
      <c r="C417" s="57" t="str">
        <f t="shared" si="3"/>
        <v>667ERJ3EKF51R0V</v>
      </c>
      <c r="D417" t="str">
        <f>Parts1!H302</f>
        <v>Links v4</v>
      </c>
      <c r="E417" t="str">
        <f>Parts1!I302</f>
        <v>S</v>
      </c>
      <c r="F417" t="str">
        <f>Parts1!J302</f>
        <v>R2, R4, R5, R12, R13, R21</v>
      </c>
      <c r="G417">
        <f>Parts1!K302</f>
        <v>6</v>
      </c>
      <c r="H417" t="str">
        <f>Parts1!L302</f>
        <v>Resistor, 1%</v>
      </c>
      <c r="I417" t="str">
        <f>Parts1!M302</f>
        <v/>
      </c>
      <c r="J417">
        <f>Parts1!N302</f>
        <v>51</v>
      </c>
      <c r="K417" t="str">
        <f>Parts1!O302</f>
        <v>0603</v>
      </c>
      <c r="L417" t="str">
        <f>Parts1!P302</f>
        <v>667-ERJ-3EKF51R0V</v>
      </c>
      <c r="M417" s="51" t="str">
        <f>Parts1!Q302</f>
        <v/>
      </c>
      <c r="N417" s="58">
        <v>8.0</v>
      </c>
      <c r="O417" s="52" t="str">
        <f t="shared" si="2"/>
        <v>A</v>
      </c>
      <c r="P417" s="52">
        <f t="shared" si="5"/>
        <v>1</v>
      </c>
      <c r="Q417" s="52">
        <f t="shared" si="4"/>
        <v>0</v>
      </c>
      <c r="R417" s="52" t="b">
        <f t="shared" si="6"/>
        <v>1</v>
      </c>
    </row>
    <row r="418">
      <c r="B418" s="20" t="str">
        <f>IFERROR(__xludf.DUMMYFUNCTION("if(exact($E418, """"), """", iferror(regexextract($F418, ""^(?:- )?([A-Z]+)""), ""?""))"),"R")</f>
        <v>R</v>
      </c>
      <c r="C418" s="57" t="str">
        <f t="shared" si="3"/>
        <v>667ERJ3EKF5601V</v>
      </c>
      <c r="D418" t="str">
        <f>Parts1!H84</f>
        <v>Clouds v3.0</v>
      </c>
      <c r="E418" t="str">
        <f>Parts1!I84</f>
        <v>S</v>
      </c>
      <c r="F418" t="str">
        <f>Parts1!J84</f>
        <v>R51, R52, R53, R54, R55, R56</v>
      </c>
      <c r="G418">
        <f>Parts1!K84</f>
        <v>6</v>
      </c>
      <c r="H418" t="str">
        <f>Parts1!L84</f>
        <v>Resistor, 1%</v>
      </c>
      <c r="I418" t="str">
        <f>Parts1!M84</f>
        <v/>
      </c>
      <c r="J418" t="str">
        <f>Parts1!N84</f>
        <v>5.6k</v>
      </c>
      <c r="K418" s="59" t="str">
        <f>Parts1!O84</f>
        <v>0603</v>
      </c>
      <c r="L418" t="str">
        <f>Parts1!P84</f>
        <v>667-ERJ-3EKF5601V</v>
      </c>
      <c r="M418" s="51" t="str">
        <f>Parts1!Q84</f>
        <v/>
      </c>
      <c r="N418" s="58">
        <v>3.0</v>
      </c>
      <c r="O418" s="52" t="str">
        <f t="shared" si="2"/>
        <v>A</v>
      </c>
      <c r="P418" s="52">
        <f t="shared" si="5"/>
        <v>1</v>
      </c>
      <c r="Q418" s="52">
        <f t="shared" si="4"/>
        <v>0</v>
      </c>
      <c r="R418" s="52" t="b">
        <f t="shared" si="6"/>
        <v>0</v>
      </c>
    </row>
    <row r="419">
      <c r="B419" s="20" t="str">
        <f>IFERROR(__xludf.DUMMYFUNCTION("if(exact($E419, """"), """", iferror(regexextract($F419, ""^(?:- )?([A-Z]+)""), ""?""))"),"R")</f>
        <v>R</v>
      </c>
      <c r="C419" s="57" t="str">
        <f t="shared" si="3"/>
        <v>667ERJ3EKF6652V</v>
      </c>
      <c r="D419" t="str">
        <f>Parts1!H90</f>
        <v>Clouds v3.0</v>
      </c>
      <c r="E419" t="str">
        <f>Parts1!I90</f>
        <v>S</v>
      </c>
      <c r="F419" t="str">
        <f>Parts1!J90</f>
        <v>R27, R31</v>
      </c>
      <c r="G419">
        <f>Parts1!K90</f>
        <v>2</v>
      </c>
      <c r="H419" t="str">
        <f>Parts1!L90</f>
        <v>Resistor, 1%</v>
      </c>
      <c r="I419" t="str">
        <f>Parts1!M90</f>
        <v/>
      </c>
      <c r="J419" t="str">
        <f>Parts1!N90</f>
        <v>66.5k</v>
      </c>
      <c r="K419" s="59" t="str">
        <f>Parts1!O90</f>
        <v>0603</v>
      </c>
      <c r="L419" t="str">
        <f>Parts1!P90</f>
        <v>667-ERJ-3EKF6652V</v>
      </c>
      <c r="M419" s="51" t="str">
        <f>Parts1!Q90</f>
        <v/>
      </c>
      <c r="N419" s="58">
        <v>3.0</v>
      </c>
      <c r="O419" s="52" t="str">
        <f t="shared" si="2"/>
        <v>A</v>
      </c>
      <c r="P419" s="52">
        <f t="shared" si="5"/>
        <v>1</v>
      </c>
      <c r="Q419" s="52">
        <f t="shared" si="4"/>
        <v>0</v>
      </c>
      <c r="R419" s="52" t="b">
        <f t="shared" si="6"/>
        <v>1</v>
      </c>
    </row>
    <row r="420">
      <c r="B420" s="20" t="str">
        <f>IFERROR(__xludf.DUMMYFUNCTION("if(exact($E420, """"), """", iferror(regexextract($F420, ""^(?:- )?([A-Z]+)""), ""?""))"),"R")</f>
        <v>R</v>
      </c>
      <c r="C420" s="57" t="str">
        <f t="shared" si="3"/>
        <v>667ERJ3EKF6801V</v>
      </c>
      <c r="D420" t="str">
        <f>Parts1!H180</f>
        <v>Elements v0.21</v>
      </c>
      <c r="E420" t="str">
        <f>Parts1!I180</f>
        <v>S</v>
      </c>
      <c r="F420" t="str">
        <f>Parts1!J180</f>
        <v>R58, R68, R74, R87</v>
      </c>
      <c r="G420">
        <f>Parts1!K180</f>
        <v>4</v>
      </c>
      <c r="H420" t="str">
        <f>Parts1!L180</f>
        <v>Resistor, 1%</v>
      </c>
      <c r="I420" t="str">
        <f>Parts1!M180</f>
        <v/>
      </c>
      <c r="J420" t="str">
        <f>Parts1!N180</f>
        <v>6.8k</v>
      </c>
      <c r="K420" t="str">
        <f>Parts1!O180</f>
        <v>0603</v>
      </c>
      <c r="L420" t="str">
        <f>Parts1!P180</f>
        <v>667-ERJ-3EKF6801V</v>
      </c>
      <c r="M420" s="51" t="str">
        <f>Parts1!Q180</f>
        <v/>
      </c>
      <c r="N420" s="58">
        <v>5.0</v>
      </c>
      <c r="O420" s="52" t="str">
        <f t="shared" si="2"/>
        <v>A</v>
      </c>
      <c r="P420" s="52">
        <f t="shared" si="5"/>
        <v>1</v>
      </c>
      <c r="Q420" s="52">
        <f t="shared" si="4"/>
        <v>3</v>
      </c>
      <c r="R420" s="52" t="b">
        <f t="shared" si="6"/>
        <v>0</v>
      </c>
    </row>
    <row r="421">
      <c r="B421" s="20" t="str">
        <f>IFERROR(__xludf.DUMMYFUNCTION("if(exact($E421, """"), """", iferror(regexextract($F421, ""^(?:- )?([A-Z]+)""), ""?""))"),"R")</f>
        <v>R</v>
      </c>
      <c r="C421" s="57" t="str">
        <f t="shared" si="3"/>
        <v>667ERJ3EKF6801V</v>
      </c>
      <c r="D421" t="str">
        <f>Parts1!H366</f>
        <v>Rings v3.0</v>
      </c>
      <c r="E421" t="str">
        <f>Parts1!I366</f>
        <v>S</v>
      </c>
      <c r="F421" t="str">
        <f>Parts1!J366</f>
        <v>R40, R43, R51</v>
      </c>
      <c r="G421">
        <f>Parts1!K366</f>
        <v>3</v>
      </c>
      <c r="H421" t="str">
        <f>Parts1!L366</f>
        <v>Resistor, 1%</v>
      </c>
      <c r="I421" t="str">
        <f>Parts1!M366</f>
        <v/>
      </c>
      <c r="J421" t="str">
        <f>Parts1!N366</f>
        <v>6.8k</v>
      </c>
      <c r="K421" s="59" t="str">
        <f>Parts1!O366</f>
        <v>0603</v>
      </c>
      <c r="L421" t="str">
        <f>Parts1!P366</f>
        <v>667-ERJ-3EKF6801V</v>
      </c>
      <c r="M421" s="51" t="str">
        <f>Parts1!Q366</f>
        <v/>
      </c>
      <c r="N421" s="58">
        <v>10.0</v>
      </c>
      <c r="O421" s="52" t="str">
        <f t="shared" si="2"/>
        <v>A</v>
      </c>
      <c r="P421" s="52" t="str">
        <f t="shared" si="5"/>
        <v/>
      </c>
      <c r="Q421" s="52">
        <f t="shared" si="4"/>
        <v>2</v>
      </c>
      <c r="R421" s="52" t="b">
        <f t="shared" si="6"/>
        <v>0</v>
      </c>
    </row>
    <row r="422">
      <c r="B422" s="20" t="str">
        <f>IFERROR(__xludf.DUMMYFUNCTION("if(exact($E422, """"), """", iferror(regexextract($F422, ""^(?:- )?([A-Z]+)""), ""?""))"),"R")</f>
        <v>R</v>
      </c>
      <c r="C422" s="57" t="str">
        <f t="shared" si="3"/>
        <v>667ERJ3EKF6801V</v>
      </c>
      <c r="D422" t="str">
        <f>Parts1!H417</f>
        <v>Ripples v4.0</v>
      </c>
      <c r="E422" t="str">
        <f>Parts1!I417</f>
        <v>S</v>
      </c>
      <c r="F422" t="str">
        <f>Parts1!J417</f>
        <v>R39</v>
      </c>
      <c r="G422">
        <f>Parts1!K417</f>
        <v>1</v>
      </c>
      <c r="H422" t="str">
        <f>Parts1!L417</f>
        <v>Resistor, 1%</v>
      </c>
      <c r="I422" t="str">
        <f>Parts1!M417</f>
        <v/>
      </c>
      <c r="J422" s="59" t="str">
        <f>Parts1!N417</f>
        <v>6.8k</v>
      </c>
      <c r="K422" s="59" t="str">
        <f>Parts1!O417</f>
        <v>0603</v>
      </c>
      <c r="L422" t="str">
        <f>Parts1!P417</f>
        <v>667-ERJ-3EKF6801V</v>
      </c>
      <c r="M422" s="51" t="str">
        <f>Parts1!Q417</f>
        <v/>
      </c>
      <c r="N422" s="58">
        <v>11.0</v>
      </c>
      <c r="O422" s="52" t="str">
        <f t="shared" si="2"/>
        <v>A</v>
      </c>
      <c r="P422" s="52" t="str">
        <f t="shared" si="5"/>
        <v/>
      </c>
      <c r="Q422" s="52">
        <f t="shared" si="4"/>
        <v>1</v>
      </c>
      <c r="R422" s="52" t="b">
        <f t="shared" si="6"/>
        <v>0</v>
      </c>
    </row>
    <row r="423">
      <c r="B423" s="20" t="str">
        <f>IFERROR(__xludf.DUMMYFUNCTION("if(exact($E423, """"), """", iferror(regexextract($F423, ""^(?:- )?([A-Z]+)""), ""?""))"),"R")</f>
        <v>R</v>
      </c>
      <c r="C423" s="57" t="str">
        <f t="shared" si="3"/>
        <v>667ERJ3EKF6801V</v>
      </c>
      <c r="D423" t="str">
        <f>Parts1!H636</f>
        <v>Warps v3.0</v>
      </c>
      <c r="E423" t="str">
        <f>Parts1!I636</f>
        <v>S</v>
      </c>
      <c r="F423" t="str">
        <f>Parts1!J636</f>
        <v>R29, R34, R36, R39</v>
      </c>
      <c r="G423">
        <f>Parts1!K636</f>
        <v>4</v>
      </c>
      <c r="H423" t="str">
        <f>Parts1!L636</f>
        <v>Resistor, 1%</v>
      </c>
      <c r="I423" t="str">
        <f>Parts1!M636</f>
        <v/>
      </c>
      <c r="J423" t="str">
        <f>Parts1!N636</f>
        <v>6.8k</v>
      </c>
      <c r="K423" t="str">
        <f>Parts1!O636</f>
        <v>0603</v>
      </c>
      <c r="L423" t="str">
        <f>Parts1!P636</f>
        <v>667-ERJ-3EKF6801V</v>
      </c>
      <c r="M423" s="51" t="str">
        <f>Parts1!Q636</f>
        <v/>
      </c>
      <c r="N423" s="58">
        <v>18.0</v>
      </c>
      <c r="O423" s="52" t="str">
        <f t="shared" si="2"/>
        <v>A</v>
      </c>
      <c r="P423" s="52" t="str">
        <f t="shared" si="5"/>
        <v/>
      </c>
      <c r="Q423" s="52">
        <f t="shared" si="4"/>
        <v>0</v>
      </c>
      <c r="R423" s="52" t="b">
        <f t="shared" si="6"/>
        <v>0</v>
      </c>
    </row>
    <row r="424">
      <c r="B424" s="20" t="str">
        <f>IFERROR(__xludf.DUMMYFUNCTION("if(exact($E424, """"), """", iferror(regexextract($F424, ""^(?:- )?([A-Z]+)""), ""?""))"),"R")</f>
        <v>R</v>
      </c>
      <c r="C424" s="57" t="str">
        <f t="shared" si="3"/>
        <v>667ERJ3EKF68R1V</v>
      </c>
      <c r="D424" t="str">
        <f>Parts1!H79</f>
        <v>Clouds v3.0</v>
      </c>
      <c r="E424" t="str">
        <f>Parts1!I79</f>
        <v>S</v>
      </c>
      <c r="F424" t="str">
        <f>Parts1!J79</f>
        <v>R1, R2, R3, R4, R5, R6, R7, R8, R9, R10</v>
      </c>
      <c r="G424">
        <f>Parts1!K79</f>
        <v>10</v>
      </c>
      <c r="H424" t="str">
        <f>Parts1!L79</f>
        <v>Resistor, 1%</v>
      </c>
      <c r="I424" t="str">
        <f>Parts1!M79</f>
        <v/>
      </c>
      <c r="J424">
        <f>Parts1!N79</f>
        <v>68.1</v>
      </c>
      <c r="K424" s="59" t="str">
        <f>Parts1!O79</f>
        <v>0603</v>
      </c>
      <c r="L424" t="str">
        <f>Parts1!P79</f>
        <v>667-ERJ-3EKF68R1V</v>
      </c>
      <c r="M424" s="51" t="str">
        <f>Parts1!Q79</f>
        <v/>
      </c>
      <c r="N424" s="58">
        <v>3.0</v>
      </c>
      <c r="O424" s="52" t="str">
        <f t="shared" si="2"/>
        <v>A</v>
      </c>
      <c r="P424" s="52">
        <f t="shared" si="5"/>
        <v>1</v>
      </c>
      <c r="Q424" s="52">
        <f t="shared" si="4"/>
        <v>0</v>
      </c>
      <c r="R424" s="52" t="b">
        <f t="shared" si="6"/>
        <v>1</v>
      </c>
    </row>
    <row r="425">
      <c r="B425" s="20" t="str">
        <f>IFERROR(__xludf.DUMMYFUNCTION("if(exact($E425, """"), """", iferror(regexextract($F425, ""^(?:- )?([A-Z]+)""), ""?""))"),"R")</f>
        <v>R</v>
      </c>
      <c r="C425" s="57" t="str">
        <f t="shared" si="3"/>
        <v>667ERJ3GEYJ335V</v>
      </c>
      <c r="D425" t="str">
        <f>Parts1!H376</f>
        <v>Rings v3.0</v>
      </c>
      <c r="E425" t="str">
        <f>Parts1!I376</f>
        <v>S</v>
      </c>
      <c r="F425" t="str">
        <f>Parts1!J376</f>
        <v>R50</v>
      </c>
      <c r="G425">
        <f>Parts1!K376</f>
        <v>1</v>
      </c>
      <c r="H425" t="str">
        <f>Parts1!L376</f>
        <v>Resistor, &lt;=5%</v>
      </c>
      <c r="I425" t="str">
        <f>Parts1!M376</f>
        <v/>
      </c>
      <c r="J425" t="str">
        <f>Parts1!N376</f>
        <v>3.3M</v>
      </c>
      <c r="K425" s="59" t="str">
        <f>Parts1!O376</f>
        <v>0603</v>
      </c>
      <c r="L425" t="str">
        <f>Parts1!P376</f>
        <v>667-ERJ-3GEYJ335V</v>
      </c>
      <c r="M425" s="51" t="str">
        <f>Parts1!Q376</f>
        <v/>
      </c>
      <c r="N425" s="58">
        <v>10.0</v>
      </c>
      <c r="O425" s="52" t="str">
        <f t="shared" si="2"/>
        <v>A</v>
      </c>
      <c r="P425" s="52">
        <f t="shared" si="5"/>
        <v>1</v>
      </c>
      <c r="Q425" s="52">
        <f t="shared" si="4"/>
        <v>0</v>
      </c>
      <c r="R425" s="52" t="b">
        <f t="shared" si="6"/>
        <v>0</v>
      </c>
    </row>
    <row r="426">
      <c r="B426" s="20" t="str">
        <f>IFERROR(__xludf.DUMMYFUNCTION("if(exact($E426, """"), """", iferror(regexextract($F426, ""^(?:- )?([A-Z]+)""), ""?""))"),"R")</f>
        <v>R</v>
      </c>
      <c r="C426" s="57" t="str">
        <f t="shared" si="3"/>
        <v>667ERJ8GEYJ4R7V</v>
      </c>
      <c r="D426" t="str">
        <f>Parts1!H6</f>
        <v>Braids v5.1</v>
      </c>
      <c r="E426" t="str">
        <f>Parts1!I6</f>
        <v>S</v>
      </c>
      <c r="F426" t="str">
        <f>Parts1!J6</f>
        <v>R49</v>
      </c>
      <c r="G426">
        <f>Parts1!K6</f>
        <v>1</v>
      </c>
      <c r="H426" t="str">
        <f>Parts1!L6</f>
        <v>Resistor, 5%, 250mW</v>
      </c>
      <c r="I426" t="str">
        <f>Parts1!M6</f>
        <v/>
      </c>
      <c r="J426">
        <f>Parts1!N6</f>
        <v>4.7</v>
      </c>
      <c r="K426" t="str">
        <f>Parts1!O6</f>
        <v>1206</v>
      </c>
      <c r="L426" t="str">
        <f>Parts1!P6</f>
        <v>667-ERJ-8GEYJ4R7V</v>
      </c>
      <c r="M426" s="51" t="str">
        <f>Parts1!Q6</f>
        <v/>
      </c>
      <c r="N426" s="58">
        <v>1.0</v>
      </c>
      <c r="O426" s="52" t="str">
        <f t="shared" si="2"/>
        <v>A</v>
      </c>
      <c r="P426" s="52">
        <f t="shared" si="5"/>
        <v>1</v>
      </c>
      <c r="Q426" s="52">
        <f t="shared" si="4"/>
        <v>4</v>
      </c>
      <c r="R426" s="52" t="b">
        <f t="shared" si="6"/>
        <v>1</v>
      </c>
    </row>
    <row r="427">
      <c r="B427" s="20" t="str">
        <f>IFERROR(__xludf.DUMMYFUNCTION("if(exact($E427, """"), """", iferror(regexextract($F427, ""^(?:- )?([A-Z]+)""), ""?""))"),"R")</f>
        <v>R</v>
      </c>
      <c r="C427" s="57" t="str">
        <f t="shared" si="3"/>
        <v>667ERJ8GEYJ4R7V</v>
      </c>
      <c r="D427" t="str">
        <f>Parts1!H78</f>
        <v>Clouds v3.0</v>
      </c>
      <c r="E427" t="str">
        <f>Parts1!I78</f>
        <v>S</v>
      </c>
      <c r="F427" t="str">
        <f>Parts1!J78</f>
        <v>R11</v>
      </c>
      <c r="G427">
        <f>Parts1!K78</f>
        <v>1</v>
      </c>
      <c r="H427" t="str">
        <f>Parts1!L78</f>
        <v>Resistor, 5%, 250mW</v>
      </c>
      <c r="I427" t="str">
        <f>Parts1!M78</f>
        <v/>
      </c>
      <c r="J427">
        <f>Parts1!N78</f>
        <v>4.7</v>
      </c>
      <c r="K427" s="59" t="str">
        <f>Parts1!O78</f>
        <v>1206</v>
      </c>
      <c r="L427" t="str">
        <f>Parts1!P78</f>
        <v>667-ERJ-8GEYJ4R7V</v>
      </c>
      <c r="M427" s="51" t="str">
        <f>Parts1!Q78</f>
        <v/>
      </c>
      <c r="N427" s="58">
        <v>3.0</v>
      </c>
      <c r="O427" s="52" t="str">
        <f t="shared" si="2"/>
        <v>A</v>
      </c>
      <c r="P427" s="52" t="str">
        <f t="shared" si="5"/>
        <v/>
      </c>
      <c r="Q427" s="52">
        <f t="shared" si="4"/>
        <v>3</v>
      </c>
      <c r="R427" s="52" t="b">
        <f t="shared" si="6"/>
        <v>1</v>
      </c>
    </row>
    <row r="428">
      <c r="B428" s="20" t="str">
        <f>IFERROR(__xludf.DUMMYFUNCTION("if(exact($E428, """"), """", iferror(regexextract($F428, ""^(?:- )?([A-Z]+)""), ""?""))"),"R")</f>
        <v>R</v>
      </c>
      <c r="C428" s="57" t="str">
        <f t="shared" si="3"/>
        <v>667ERJ8GEYJ4R7V</v>
      </c>
      <c r="D428" t="str">
        <f>Parts1!H362</f>
        <v>Rings v3.0</v>
      </c>
      <c r="E428" t="str">
        <f>Parts1!I362</f>
        <v>S</v>
      </c>
      <c r="F428" t="str">
        <f>Parts1!J362</f>
        <v>R2</v>
      </c>
      <c r="G428">
        <f>Parts1!K362</f>
        <v>1</v>
      </c>
      <c r="H428" t="str">
        <f>Parts1!L362</f>
        <v>Resistor, 5%, 250mW</v>
      </c>
      <c r="I428" t="str">
        <f>Parts1!M362</f>
        <v/>
      </c>
      <c r="J428">
        <f>Parts1!N362</f>
        <v>4.7</v>
      </c>
      <c r="K428" s="59" t="str">
        <f>Parts1!O362</f>
        <v>1206</v>
      </c>
      <c r="L428" t="str">
        <f>Parts1!P362</f>
        <v>667-ERJ-8GEYJ4R7V</v>
      </c>
      <c r="M428" s="51" t="str">
        <f>Parts1!Q362</f>
        <v/>
      </c>
      <c r="N428" s="58">
        <v>10.0</v>
      </c>
      <c r="O428" s="52" t="str">
        <f t="shared" si="2"/>
        <v>A</v>
      </c>
      <c r="P428" s="52" t="str">
        <f t="shared" si="5"/>
        <v/>
      </c>
      <c r="Q428" s="52">
        <f t="shared" si="4"/>
        <v>2</v>
      </c>
      <c r="R428" s="52" t="b">
        <f t="shared" si="6"/>
        <v>1</v>
      </c>
    </row>
    <row r="429">
      <c r="B429" s="20" t="str">
        <f>IFERROR(__xludf.DUMMYFUNCTION("if(exact($E429, """"), """", iferror(regexextract($F429, ""^(?:- )?([A-Z]+)""), ""?""))"),"R")</f>
        <v>R</v>
      </c>
      <c r="C429" s="57" t="str">
        <f t="shared" si="3"/>
        <v>667ERJ8GEYJ4R7V</v>
      </c>
      <c r="D429" t="str">
        <f>Parts1!H518</f>
        <v>Streams v0.5</v>
      </c>
      <c r="E429" t="str">
        <f>Parts1!I518</f>
        <v>S</v>
      </c>
      <c r="F429" t="str">
        <f>Parts1!J518</f>
        <v>R11</v>
      </c>
      <c r="G429">
        <f>Parts1!K518</f>
        <v>1</v>
      </c>
      <c r="H429" t="str">
        <f>Parts1!L518</f>
        <v>Resistor, 5%, 250mW</v>
      </c>
      <c r="I429" t="str">
        <f>Parts1!M518</f>
        <v/>
      </c>
      <c r="J429">
        <f>Parts1!N518</f>
        <v>4.7</v>
      </c>
      <c r="K429" t="str">
        <f>Parts1!O518</f>
        <v>1206</v>
      </c>
      <c r="L429" t="str">
        <f>Parts1!P518</f>
        <v>667-ERJ-8GEYJ4R7V</v>
      </c>
      <c r="M429" s="51" t="str">
        <f>Parts1!Q518</f>
        <v/>
      </c>
      <c r="N429" s="58">
        <v>15.0</v>
      </c>
      <c r="O429" s="52" t="str">
        <f t="shared" si="2"/>
        <v>A</v>
      </c>
      <c r="P429" s="52" t="str">
        <f t="shared" si="5"/>
        <v/>
      </c>
      <c r="Q429" s="52">
        <f t="shared" si="4"/>
        <v>1</v>
      </c>
      <c r="R429" s="52" t="b">
        <f t="shared" si="6"/>
        <v>1</v>
      </c>
    </row>
    <row r="430">
      <c r="B430" s="20" t="str">
        <f>IFERROR(__xludf.DUMMYFUNCTION("if(exact($E430, """"), """", iferror(regexextract($F430, ""^(?:- )?([A-Z]+)""), ""?""))"),"R")</f>
        <v>R</v>
      </c>
      <c r="C430" s="57" t="str">
        <f t="shared" si="3"/>
        <v>667ERJ8GEYJ4R7V</v>
      </c>
      <c r="D430" t="str">
        <f>Parts1!H630</f>
        <v>Warps v3.0</v>
      </c>
      <c r="E430" t="str">
        <f>Parts1!I630</f>
        <v>S</v>
      </c>
      <c r="F430" t="str">
        <f>Parts1!J630</f>
        <v>R1</v>
      </c>
      <c r="G430">
        <f>Parts1!K630</f>
        <v>1</v>
      </c>
      <c r="H430" t="str">
        <f>Parts1!L630</f>
        <v>Resistor, 5%, 250mW</v>
      </c>
      <c r="I430" t="str">
        <f>Parts1!M630</f>
        <v/>
      </c>
      <c r="J430">
        <f>Parts1!N630</f>
        <v>4.7</v>
      </c>
      <c r="K430" t="str">
        <f>Parts1!O630</f>
        <v>1206</v>
      </c>
      <c r="L430" t="str">
        <f>Parts1!P630</f>
        <v>667-ERJ-8GEYJ4R7V</v>
      </c>
      <c r="M430" s="51" t="str">
        <f>Parts1!Q630</f>
        <v/>
      </c>
      <c r="N430" s="58">
        <v>18.0</v>
      </c>
      <c r="O430" s="52" t="str">
        <f t="shared" si="2"/>
        <v>A</v>
      </c>
      <c r="P430" s="52" t="str">
        <f t="shared" si="5"/>
        <v/>
      </c>
      <c r="Q430" s="52">
        <f t="shared" si="4"/>
        <v>0</v>
      </c>
      <c r="R430" s="52" t="b">
        <f t="shared" si="6"/>
        <v>1</v>
      </c>
    </row>
    <row r="431">
      <c r="B431" s="20" t="str">
        <f>IFERROR(__xludf.DUMMYFUNCTION("if(exact($E431, """"), """", iferror(regexextract($F431, ""^(?:- )?([A-Z]+)""), ""?""))"),"R")</f>
        <v>R</v>
      </c>
      <c r="C431" s="57" t="str">
        <f t="shared" si="3"/>
        <v>667ERJP03F4702V</v>
      </c>
      <c r="D431" t="str">
        <f>Parts1!H423</f>
        <v>Ripples v4.0</v>
      </c>
      <c r="E431" t="str">
        <f>Parts1!I423</f>
        <v>S</v>
      </c>
      <c r="F431" t="str">
        <f>Parts1!J423</f>
        <v>R22, R26, R34</v>
      </c>
      <c r="G431">
        <f>Parts1!K423</f>
        <v>3</v>
      </c>
      <c r="H431" t="str">
        <f>Parts1!L423</f>
        <v>Resistor, 1%</v>
      </c>
      <c r="I431" t="str">
        <f>Parts1!M423</f>
        <v/>
      </c>
      <c r="J431" s="59" t="str">
        <f>Parts1!N423</f>
        <v>47k</v>
      </c>
      <c r="K431" s="59" t="str">
        <f>Parts1!O423</f>
        <v>0603</v>
      </c>
      <c r="L431" t="str">
        <f>Parts1!P423</f>
        <v>667-ERJ-P03F4702V</v>
      </c>
      <c r="M431" s="51" t="str">
        <f>Parts1!Q423</f>
        <v/>
      </c>
      <c r="N431" s="58">
        <v>11.0</v>
      </c>
      <c r="O431" s="52" t="str">
        <f t="shared" si="2"/>
        <v>A</v>
      </c>
      <c r="P431" s="52">
        <f t="shared" si="5"/>
        <v>1</v>
      </c>
      <c r="Q431" s="52">
        <f t="shared" si="4"/>
        <v>0</v>
      </c>
      <c r="R431" s="52" t="b">
        <f t="shared" si="6"/>
        <v>0</v>
      </c>
    </row>
    <row r="432">
      <c r="B432" s="20" t="str">
        <f>IFERROR(__xludf.DUMMYFUNCTION("if(exact($E432, """"), """", iferror(regexextract($F432, ""^(?:- )?([A-Z]+)""), ""?""))"),"R")</f>
        <v>R</v>
      </c>
      <c r="C432" s="57" t="str">
        <f t="shared" si="3"/>
        <v>667ERJP03F6202V</v>
      </c>
      <c r="D432" t="str">
        <f>Parts1!H424</f>
        <v>Ripples v4.0</v>
      </c>
      <c r="E432" t="str">
        <f>Parts1!I424</f>
        <v>S</v>
      </c>
      <c r="F432" t="str">
        <f>Parts1!J424</f>
        <v>R24</v>
      </c>
      <c r="G432">
        <f>Parts1!K424</f>
        <v>1</v>
      </c>
      <c r="H432" t="str">
        <f>Parts1!L424</f>
        <v>Resistor, 1%</v>
      </c>
      <c r="I432" t="str">
        <f>Parts1!M424</f>
        <v/>
      </c>
      <c r="J432" s="59" t="str">
        <f>Parts1!N424</f>
        <v>62k</v>
      </c>
      <c r="K432" s="59" t="str">
        <f>Parts1!O424</f>
        <v>0603</v>
      </c>
      <c r="L432" t="str">
        <f>Parts1!P424</f>
        <v>667-ERJ-P03F6202V</v>
      </c>
      <c r="M432" s="51" t="str">
        <f>Parts1!Q424</f>
        <v/>
      </c>
      <c r="N432" s="58">
        <v>11.0</v>
      </c>
      <c r="O432" s="52" t="str">
        <f t="shared" si="2"/>
        <v>A</v>
      </c>
      <c r="P432" s="52">
        <f t="shared" si="5"/>
        <v>1</v>
      </c>
      <c r="Q432" s="52">
        <f t="shared" si="4"/>
        <v>0</v>
      </c>
      <c r="R432" s="52" t="b">
        <f t="shared" si="6"/>
        <v>1</v>
      </c>
    </row>
    <row r="433">
      <c r="B433" s="20" t="str">
        <f>IFERROR(__xludf.DUMMYFUNCTION("if(exact($E433, """"), """", iferror(regexextract($F433, ""^(?:- )?([A-Z]+)""), ""?""))"),"LED")</f>
        <v>LED</v>
      </c>
      <c r="C433" s="57" t="str">
        <f t="shared" si="3"/>
        <v>696-SSL-LX5093PC</v>
      </c>
      <c r="D433" t="str">
        <f>Parts1!H216</f>
        <v>Elements v0.21</v>
      </c>
      <c r="E433" t="str">
        <f>Parts1!I216</f>
        <v>U</v>
      </c>
      <c r="F433" t="str">
        <f>Parts1!J216</f>
        <v>LED2</v>
      </c>
      <c r="G433">
        <f>Parts1!K216</f>
        <v>1</v>
      </c>
      <c r="H433" t="str">
        <f>Parts1!L216</f>
        <v>LED, rose fuschia</v>
      </c>
      <c r="I433" t="str">
        <f>Parts1!M216</f>
        <v/>
      </c>
      <c r="J433" t="str">
        <f>Parts1!N216</f>
        <v/>
      </c>
      <c r="K433" t="str">
        <f>Parts1!O216</f>
        <v/>
      </c>
      <c r="L433" t="str">
        <f>Parts1!P216</f>
        <v>696-SSL-LX5093PC</v>
      </c>
      <c r="M433" s="51" t="str">
        <f>Parts1!Q216</f>
        <v>Lumex SSL-LX5093PC</v>
      </c>
      <c r="N433" s="58">
        <v>5.0</v>
      </c>
      <c r="O433" s="52" t="str">
        <f t="shared" si="2"/>
        <v>B</v>
      </c>
      <c r="P433" s="52">
        <f t="shared" si="5"/>
        <v>1</v>
      </c>
      <c r="Q433" s="52">
        <f t="shared" si="4"/>
        <v>0</v>
      </c>
      <c r="R433" s="52" t="b">
        <f t="shared" si="6"/>
        <v>0</v>
      </c>
    </row>
    <row r="434">
      <c r="B434" s="20" t="str">
        <f>IFERROR(__xludf.DUMMYFUNCTION("if(exact($E434, """"), """", iferror(regexextract($F434, ""^(?:- )?([A-Z]+)""), ""?""))"),"LED")</f>
        <v>LED</v>
      </c>
      <c r="C434" s="57" t="str">
        <f t="shared" si="3"/>
        <v>696-SSL-LX5093TC</v>
      </c>
      <c r="D434" t="str">
        <f>Parts1!H215</f>
        <v>Elements v0.21</v>
      </c>
      <c r="E434" t="str">
        <f>Parts1!I215</f>
        <v>U</v>
      </c>
      <c r="F434" t="str">
        <f>Parts1!J215</f>
        <v>LED1</v>
      </c>
      <c r="G434">
        <f>Parts1!K215</f>
        <v>1</v>
      </c>
      <c r="H434" t="str">
        <f>Parts1!L215</f>
        <v>LED, turquoise</v>
      </c>
      <c r="I434" t="str">
        <f>Parts1!M215</f>
        <v/>
      </c>
      <c r="J434" t="str">
        <f>Parts1!N215</f>
        <v/>
      </c>
      <c r="K434" t="str">
        <f>Parts1!O215</f>
        <v/>
      </c>
      <c r="L434" t="str">
        <f>Parts1!P215</f>
        <v>696-SSL-LX5093TC</v>
      </c>
      <c r="M434" s="51" t="str">
        <f>Parts1!Q215</f>
        <v>Lumex SSL-LX5093TC</v>
      </c>
      <c r="N434" s="58">
        <v>5.0</v>
      </c>
      <c r="O434" s="52" t="str">
        <f t="shared" si="2"/>
        <v>B</v>
      </c>
      <c r="P434" s="52">
        <f t="shared" si="5"/>
        <v>1</v>
      </c>
      <c r="Q434" s="52">
        <f t="shared" si="4"/>
        <v>0</v>
      </c>
      <c r="R434" s="52" t="b">
        <f t="shared" si="6"/>
        <v>1</v>
      </c>
    </row>
    <row r="435">
      <c r="B435" s="20" t="str">
        <f>IFERROR(__xludf.DUMMYFUNCTION("if(exact($E435, """"), """", iferror(regexextract($F435, ""^(?:- )?([A-Z]+)""), ""?""))"),"L")</f>
        <v>L</v>
      </c>
      <c r="C435" s="57" t="str">
        <f t="shared" si="3"/>
        <v>710-742792642</v>
      </c>
      <c r="D435" t="str">
        <f>Parts1!H59</f>
        <v>Branches v4.0</v>
      </c>
      <c r="E435" t="str">
        <f>Parts1!I59</f>
        <v>S</v>
      </c>
      <c r="F435" t="str">
        <f>Parts1!J59</f>
        <v>L1</v>
      </c>
      <c r="G435" s="65">
        <f>Parts1!K59</f>
        <v>1</v>
      </c>
      <c r="H435" t="str">
        <f>Parts1!L59</f>
        <v>Ferrite bead</v>
      </c>
      <c r="I435" t="str">
        <f>Parts1!M59</f>
        <v>Z@100M &gt; 200</v>
      </c>
      <c r="J435" t="str">
        <f>Parts1!N59</f>
        <v/>
      </c>
      <c r="K435" t="str">
        <f>Parts1!O59</f>
        <v>0603</v>
      </c>
      <c r="L435" t="str">
        <f>Parts1!P59</f>
        <v>710-742792642</v>
      </c>
      <c r="M435" s="51" t="str">
        <f>Parts1!Q59</f>
        <v>WE 742792642</v>
      </c>
      <c r="N435" s="58">
        <v>2.0</v>
      </c>
      <c r="O435" s="52" t="str">
        <f t="shared" si="2"/>
        <v>A</v>
      </c>
      <c r="P435" s="52">
        <f t="shared" si="5"/>
        <v>1</v>
      </c>
      <c r="Q435" s="52">
        <f t="shared" si="4"/>
        <v>2</v>
      </c>
      <c r="R435" s="52" t="b">
        <f t="shared" si="6"/>
        <v>0</v>
      </c>
    </row>
    <row r="436">
      <c r="B436" s="20" t="str">
        <f>IFERROR(__xludf.DUMMYFUNCTION("if(exact($E436, """"), """", iferror(regexextract($F436, ""^(?:- )?([A-Z]+)""), ""?""))"),"L")</f>
        <v>L</v>
      </c>
      <c r="C436" s="57" t="str">
        <f t="shared" si="3"/>
        <v>710-742792642</v>
      </c>
      <c r="D436" t="str">
        <f>Parts1!H150</f>
        <v>Edges v2.0</v>
      </c>
      <c r="E436" t="str">
        <f>Parts1!I150</f>
        <v>S</v>
      </c>
      <c r="F436" t="str">
        <f>Parts1!J150</f>
        <v>L1</v>
      </c>
      <c r="G436">
        <f>Parts1!K150</f>
        <v>1</v>
      </c>
      <c r="H436" t="str">
        <f>Parts1!L150</f>
        <v>Ferrite bead</v>
      </c>
      <c r="I436" t="str">
        <f>Parts1!M150</f>
        <v>Z@100M &gt; 200</v>
      </c>
      <c r="J436" t="str">
        <f>Parts1!N150</f>
        <v/>
      </c>
      <c r="K436" t="str">
        <f>Parts1!O150</f>
        <v>0603</v>
      </c>
      <c r="L436" t="str">
        <f>Parts1!P150</f>
        <v>710-742792642</v>
      </c>
      <c r="M436" s="51" t="str">
        <f>Parts1!Q150</f>
        <v>WE 742792642</v>
      </c>
      <c r="N436" s="58">
        <v>4.0</v>
      </c>
      <c r="O436" s="52" t="str">
        <f t="shared" si="2"/>
        <v>A</v>
      </c>
      <c r="P436" s="52" t="str">
        <f t="shared" si="5"/>
        <v/>
      </c>
      <c r="Q436" s="52">
        <f t="shared" si="4"/>
        <v>1</v>
      </c>
      <c r="R436" s="52" t="b">
        <f t="shared" si="6"/>
        <v>0</v>
      </c>
    </row>
    <row r="437">
      <c r="B437" s="20" t="str">
        <f>IFERROR(__xludf.DUMMYFUNCTION("if(exact($E437, """"), """", iferror(regexextract($F437, ""^(?:- )?([A-Z]+)""), ""?""))"),"L")</f>
        <v>L</v>
      </c>
      <c r="C437" s="57" t="str">
        <f t="shared" si="3"/>
        <v>710-742792642</v>
      </c>
      <c r="D437" t="str">
        <f>Parts1!H282</f>
        <v>Grids v0.2</v>
      </c>
      <c r="E437" t="str">
        <f>Parts1!I282</f>
        <v>S</v>
      </c>
      <c r="F437" t="str">
        <f>Parts1!J282</f>
        <v>L1</v>
      </c>
      <c r="G437" s="65">
        <f>Parts1!K282</f>
        <v>1</v>
      </c>
      <c r="H437" t="str">
        <f>Parts1!L282</f>
        <v>Ferrite bead</v>
      </c>
      <c r="I437" t="str">
        <f>Parts1!M282</f>
        <v>Z@100M &gt; 200</v>
      </c>
      <c r="J437" t="str">
        <f>Parts1!N282</f>
        <v/>
      </c>
      <c r="K437" s="59" t="str">
        <f>Parts1!O282</f>
        <v>0603</v>
      </c>
      <c r="L437" t="str">
        <f>Parts1!P282</f>
        <v>710-742792642</v>
      </c>
      <c r="M437" s="51" t="str">
        <f>Parts1!Q282</f>
        <v>WE 742792642</v>
      </c>
      <c r="N437" s="58">
        <v>7.0</v>
      </c>
      <c r="O437" s="52" t="str">
        <f t="shared" si="2"/>
        <v>A</v>
      </c>
      <c r="P437" s="52" t="str">
        <f t="shared" si="5"/>
        <v/>
      </c>
      <c r="Q437" s="52">
        <f t="shared" si="4"/>
        <v>0</v>
      </c>
      <c r="R437" s="52" t="b">
        <f t="shared" si="6"/>
        <v>0</v>
      </c>
    </row>
    <row r="438">
      <c r="B438" s="20" t="str">
        <f>IFERROR(__xludf.DUMMYFUNCTION("if(exact($E438, """"), """", iferror(regexextract($F438, ""^(?:- )?([A-Z]+)""), ""?""))"),"L")</f>
        <v>L</v>
      </c>
      <c r="C438" s="57" t="str">
        <f t="shared" si="3"/>
        <v>710-742792664</v>
      </c>
      <c r="D438" t="str">
        <f>Parts1!H400</f>
        <v>Rings v3.0</v>
      </c>
      <c r="E438" t="str">
        <f>Parts1!I400</f>
        <v>S</v>
      </c>
      <c r="F438" t="str">
        <f>Parts1!J400</f>
        <v>L1, L2, L3</v>
      </c>
      <c r="G438">
        <f>Parts1!K400</f>
        <v>3</v>
      </c>
      <c r="H438" t="str">
        <f>Parts1!L400</f>
        <v>EMI Filter Bead</v>
      </c>
      <c r="I438" t="str">
        <f>Parts1!M400</f>
        <v>&gt;= 1k ohm, 300mA</v>
      </c>
      <c r="J438" t="str">
        <f>Parts1!N400</f>
        <v/>
      </c>
      <c r="K438" t="str">
        <f>Parts1!O400</f>
        <v>0603</v>
      </c>
      <c r="L438" t="str">
        <f>Parts1!P400</f>
        <v>710-742792664</v>
      </c>
      <c r="M438" s="51" t="str">
        <f>Parts1!Q400</f>
        <v>Wurth Electronics 742792664</v>
      </c>
      <c r="N438" s="58">
        <v>10.0</v>
      </c>
      <c r="O438" s="52" t="str">
        <f t="shared" si="2"/>
        <v>A</v>
      </c>
      <c r="P438" s="52">
        <f t="shared" si="5"/>
        <v>1</v>
      </c>
      <c r="Q438" s="52">
        <f t="shared" si="4"/>
        <v>1</v>
      </c>
      <c r="R438" s="52" t="b">
        <f t="shared" si="6"/>
        <v>1</v>
      </c>
    </row>
    <row r="439">
      <c r="B439" s="20" t="str">
        <f>IFERROR(__xludf.DUMMYFUNCTION("if(exact($E439, """"), """", iferror(regexextract($F439, ""^(?:- )?([A-Z]+)""), ""?""))"),"L")</f>
        <v>L</v>
      </c>
      <c r="C439" s="57" t="str">
        <f t="shared" si="3"/>
        <v>710-742792664</v>
      </c>
      <c r="D439" t="str">
        <f>Parts1!H663</f>
        <v>Warps v3.0</v>
      </c>
      <c r="E439" t="str">
        <f>Parts1!I663</f>
        <v>S</v>
      </c>
      <c r="F439" t="str">
        <f>Parts1!J663</f>
        <v>L1, L2, L3</v>
      </c>
      <c r="G439">
        <f>Parts1!K663</f>
        <v>3</v>
      </c>
      <c r="H439" t="str">
        <f>Parts1!L663</f>
        <v>EMI Filter Bead</v>
      </c>
      <c r="I439" t="str">
        <f>Parts1!M663</f>
        <v>&gt;= 1k ohm, 300mA</v>
      </c>
      <c r="J439" t="str">
        <f>Parts1!N663</f>
        <v/>
      </c>
      <c r="K439" t="str">
        <f>Parts1!O663</f>
        <v>0603</v>
      </c>
      <c r="L439" t="str">
        <f>Parts1!P663</f>
        <v>710-742792664</v>
      </c>
      <c r="M439" s="51" t="str">
        <f>Parts1!Q663</f>
        <v>Wurth Electronics 742792664</v>
      </c>
      <c r="N439" s="58">
        <v>18.0</v>
      </c>
      <c r="O439" s="52" t="str">
        <f t="shared" si="2"/>
        <v>A</v>
      </c>
      <c r="P439" s="52" t="str">
        <f t="shared" si="5"/>
        <v/>
      </c>
      <c r="Q439" s="52">
        <f t="shared" si="4"/>
        <v>0</v>
      </c>
      <c r="R439" s="52" t="b">
        <f t="shared" si="6"/>
        <v>1</v>
      </c>
    </row>
    <row r="440">
      <c r="B440" s="20" t="str">
        <f>IFERROR(__xludf.DUMMYFUNCTION("if(exact($E440, """"), """", iferror(regexextract($F440, ""^(?:- )?([A-Z]+)""), ""?""))"),"L")</f>
        <v>L</v>
      </c>
      <c r="C440" s="57" t="str">
        <f t="shared" si="3"/>
        <v>710-742792693</v>
      </c>
      <c r="D440" t="str">
        <f>Parts1!H208</f>
        <v>Elements v0.21</v>
      </c>
      <c r="E440" t="str">
        <f>Parts1!I208</f>
        <v>S</v>
      </c>
      <c r="F440" t="str">
        <f>Parts1!J208</f>
        <v>L1, L2</v>
      </c>
      <c r="G440">
        <f>Parts1!K208</f>
        <v>2</v>
      </c>
      <c r="H440" t="str">
        <f>Parts1!L208</f>
        <v>EMI Filter Bead</v>
      </c>
      <c r="I440" t="str">
        <f>Parts1!M208</f>
        <v>&gt;= 2200 ohm</v>
      </c>
      <c r="J440" t="str">
        <f>Parts1!N208</f>
        <v/>
      </c>
      <c r="K440" t="str">
        <f>Parts1!O208</f>
        <v>0603</v>
      </c>
      <c r="L440" t="str">
        <f>Parts1!P208</f>
        <v>710-742792693</v>
      </c>
      <c r="M440" s="51" t="str">
        <f>Parts1!Q208</f>
        <v>Wurth Electronics 742792693</v>
      </c>
      <c r="N440" s="58">
        <v>5.0</v>
      </c>
      <c r="O440" s="52" t="str">
        <f t="shared" si="2"/>
        <v>A</v>
      </c>
      <c r="P440" s="52">
        <f t="shared" si="5"/>
        <v>1</v>
      </c>
      <c r="Q440" s="52">
        <f t="shared" si="4"/>
        <v>2</v>
      </c>
      <c r="R440" s="52" t="b">
        <f t="shared" si="6"/>
        <v>0</v>
      </c>
    </row>
    <row r="441">
      <c r="B441" s="20" t="str">
        <f>IFERROR(__xludf.DUMMYFUNCTION("if(exact($E441, """"), """", iferror(regexextract($F441, ""^(?:- )?([A-Z]+)""), ""?""))"),"L")</f>
        <v>L</v>
      </c>
      <c r="C441" s="57" t="str">
        <f t="shared" si="3"/>
        <v>710-742792693</v>
      </c>
      <c r="D441" t="str">
        <f>Parts1!H337</f>
        <v>Peaks v3.1</v>
      </c>
      <c r="E441" t="str">
        <f>Parts1!I337</f>
        <v>S</v>
      </c>
      <c r="F441" t="str">
        <f>Parts1!J337</f>
        <v>L1</v>
      </c>
      <c r="G441">
        <f>Parts1!K337</f>
        <v>1</v>
      </c>
      <c r="H441" t="str">
        <f>Parts1!L337</f>
        <v>EMI Filter Bead</v>
      </c>
      <c r="I441" t="str">
        <f>Parts1!M337</f>
        <v>&gt;= 2200 ohm</v>
      </c>
      <c r="J441" t="str">
        <f>Parts1!N337</f>
        <v/>
      </c>
      <c r="K441" t="str">
        <f>Parts1!O337</f>
        <v>0603</v>
      </c>
      <c r="L441" t="str">
        <f>Parts1!P337</f>
        <v>710-742792693</v>
      </c>
      <c r="M441" s="51" t="str">
        <f>Parts1!Q337</f>
        <v>Wurth Electronics 742792693</v>
      </c>
      <c r="N441" s="58">
        <v>9.0</v>
      </c>
      <c r="O441" s="52" t="str">
        <f t="shared" si="2"/>
        <v>A</v>
      </c>
      <c r="P441" s="52" t="str">
        <f t="shared" si="5"/>
        <v/>
      </c>
      <c r="Q441" s="52">
        <f t="shared" si="4"/>
        <v>1</v>
      </c>
      <c r="R441" s="52" t="b">
        <f t="shared" si="6"/>
        <v>0</v>
      </c>
    </row>
    <row r="442">
      <c r="B442" s="20" t="str">
        <f>IFERROR(__xludf.DUMMYFUNCTION("if(exact($E442, """"), """", iferror(regexextract($F442, ""^(?:- )?([A-Z]+)""), ""?""))"),"L")</f>
        <v>L</v>
      </c>
      <c r="C442" s="57" t="str">
        <f t="shared" si="3"/>
        <v>710-742792693</v>
      </c>
      <c r="D442" t="str">
        <f>Parts1!H553</f>
        <v>Streams v0.5</v>
      </c>
      <c r="E442" t="str">
        <f>Parts1!I553</f>
        <v>S</v>
      </c>
      <c r="F442" t="str">
        <f>Parts1!J553</f>
        <v>L1</v>
      </c>
      <c r="G442">
        <f>Parts1!K553</f>
        <v>1</v>
      </c>
      <c r="H442" t="str">
        <f>Parts1!L553</f>
        <v>EMI Filter Bead</v>
      </c>
      <c r="I442" t="str">
        <f>Parts1!M553</f>
        <v>&gt;= 2200 ohm</v>
      </c>
      <c r="J442" t="str">
        <f>Parts1!N553</f>
        <v/>
      </c>
      <c r="K442" t="str">
        <f>Parts1!O553</f>
        <v>0603</v>
      </c>
      <c r="L442" t="str">
        <f>Parts1!P553</f>
        <v>710-742792693</v>
      </c>
      <c r="M442" s="51" t="str">
        <f>Parts1!Q553</f>
        <v>Wurth Electronics 742792693</v>
      </c>
      <c r="N442" s="58">
        <v>15.0</v>
      </c>
      <c r="O442" s="52" t="str">
        <f t="shared" si="2"/>
        <v>A</v>
      </c>
      <c r="P442" s="52" t="str">
        <f t="shared" si="5"/>
        <v/>
      </c>
      <c r="Q442" s="52">
        <f t="shared" si="4"/>
        <v>0</v>
      </c>
      <c r="R442" s="52" t="b">
        <f t="shared" si="6"/>
        <v>0</v>
      </c>
    </row>
    <row r="443">
      <c r="B443" s="20" t="str">
        <f>IFERROR(__xludf.DUMMYFUNCTION("if(exact($E443, """"), """", iferror(regexextract($F443, ""^(?:- )?([A-Z]+)""), ""?""))"),"R")</f>
        <v>R</v>
      </c>
      <c r="C443" s="57" t="str">
        <f t="shared" si="3"/>
        <v>71CRCW060310ME3</v>
      </c>
      <c r="D443" t="str">
        <f>Parts1!H530</f>
        <v>Streams v0.5</v>
      </c>
      <c r="E443" t="str">
        <f>Parts1!I530</f>
        <v>S</v>
      </c>
      <c r="F443" t="str">
        <f>Parts1!J530</f>
        <v>R64, R65</v>
      </c>
      <c r="G443">
        <f>Parts1!K530</f>
        <v>2</v>
      </c>
      <c r="H443" t="str">
        <f>Parts1!L530</f>
        <v>Resistor, 1%</v>
      </c>
      <c r="I443" t="str">
        <f>Parts1!M530</f>
        <v/>
      </c>
      <c r="J443" t="str">
        <f>Parts1!N530</f>
        <v>10M</v>
      </c>
      <c r="K443" t="str">
        <f>Parts1!O530</f>
        <v>0603</v>
      </c>
      <c r="L443" t="str">
        <f>Parts1!P530</f>
        <v>71-CRCW0603-10M-E3</v>
      </c>
      <c r="M443" s="51" t="str">
        <f>Parts1!Q530</f>
        <v/>
      </c>
      <c r="N443" s="58">
        <v>15.0</v>
      </c>
      <c r="O443" s="52" t="str">
        <f t="shared" si="2"/>
        <v>A</v>
      </c>
      <c r="P443" s="52">
        <f t="shared" si="5"/>
        <v>1</v>
      </c>
      <c r="Q443" s="52">
        <f t="shared" si="4"/>
        <v>0</v>
      </c>
      <c r="R443" s="52" t="b">
        <f t="shared" si="6"/>
        <v>1</v>
      </c>
    </row>
    <row r="444">
      <c r="B444" s="20" t="str">
        <f>IFERROR(__xludf.DUMMYFUNCTION("if(exact($E444, """"), """", iferror(regexextract($F444, ""^(?:- )?([A-Z]+)""), ""?""))"),"R")</f>
        <v>R</v>
      </c>
      <c r="C444" s="57" t="str">
        <f t="shared" si="3"/>
        <v>71CRCW06033M30FKEA</v>
      </c>
      <c r="D444" t="str">
        <f>Parts1!H595</f>
        <v>Tides v4.0</v>
      </c>
      <c r="E444" t="str">
        <f>Parts1!I595</f>
        <v>S</v>
      </c>
      <c r="F444" t="str">
        <f>Parts1!J595</f>
        <v>R46</v>
      </c>
      <c r="G444">
        <f>Parts1!K595</f>
        <v>1</v>
      </c>
      <c r="H444" t="str">
        <f>Parts1!L595</f>
        <v>Resistor, 1%</v>
      </c>
      <c r="I444" t="str">
        <f>Parts1!M595</f>
        <v/>
      </c>
      <c r="J444" s="59" t="str">
        <f>Parts1!N595</f>
        <v>3.3M</v>
      </c>
      <c r="K444" s="59" t="str">
        <f>Parts1!O595</f>
        <v>0603</v>
      </c>
      <c r="L444" t="str">
        <f>Parts1!P595</f>
        <v>71-CRCW06033M30FKEA</v>
      </c>
      <c r="M444" s="51" t="str">
        <f>Parts1!Q595</f>
        <v/>
      </c>
      <c r="N444" s="58">
        <v>17.0</v>
      </c>
      <c r="O444" s="52" t="str">
        <f t="shared" si="2"/>
        <v>A</v>
      </c>
      <c r="P444" s="52">
        <f t="shared" si="5"/>
        <v>1</v>
      </c>
      <c r="Q444" s="52">
        <f t="shared" si="4"/>
        <v>0</v>
      </c>
      <c r="R444" s="52" t="b">
        <f t="shared" si="6"/>
        <v>0</v>
      </c>
    </row>
    <row r="445">
      <c r="B445" s="20" t="str">
        <f>IFERROR(__xludf.DUMMYFUNCTION("if(exact($E445, """"), """", iferror(regexextract($F445, ""^(?:- )?([A-Z]+)""), ""?""))"),"X")</f>
        <v>X</v>
      </c>
      <c r="C445" s="68" t="str">
        <f t="shared" si="3"/>
        <v>737-DJN-005-B</v>
      </c>
      <c r="D445" t="str">
        <f>Parts1!H720</f>
        <v>Yarns v0.3</v>
      </c>
      <c r="E445" t="str">
        <f>Parts1!I720</f>
        <v>D</v>
      </c>
      <c r="F445" s="64" t="str">
        <f>Parts1!J720</f>
        <v>X1, X2</v>
      </c>
      <c r="G445" s="65">
        <f>Parts1!K720</f>
        <v>2</v>
      </c>
      <c r="H445" s="64" t="str">
        <f>Parts1!L720</f>
        <v>DIN Connector, vertical</v>
      </c>
      <c r="I445" s="64" t="str">
        <f>Parts1!M720</f>
        <v/>
      </c>
      <c r="J445" s="64" t="str">
        <f>Parts1!N720</f>
        <v/>
      </c>
      <c r="K445" t="str">
        <f>Parts1!O720</f>
        <v/>
      </c>
      <c r="L445" s="64" t="str">
        <f>Parts1!P720</f>
        <v>737-DJN-005-B</v>
      </c>
      <c r="M445" s="67" t="str">
        <f>Parts1!Q720</f>
        <v>Adam Tech DJN-005-B ; CUI-SD-50BV (Digikey PN CP-3150-ND)</v>
      </c>
      <c r="N445" s="58">
        <v>19.0</v>
      </c>
      <c r="O445" s="52" t="str">
        <f t="shared" si="2"/>
        <v>C</v>
      </c>
      <c r="P445" s="52">
        <f t="shared" si="5"/>
        <v>1</v>
      </c>
      <c r="Q445" s="52">
        <f t="shared" si="4"/>
        <v>0</v>
      </c>
      <c r="R445" s="52" t="b">
        <f t="shared" si="6"/>
        <v>1</v>
      </c>
    </row>
    <row r="446">
      <c r="B446" s="20" t="str">
        <f>IFERROR(__xludf.DUMMYFUNCTION("if(exact($E446, """"), """", iferror(regexextract($F446, ""^(?:- )?([A-Z]+)""), ""?""))"),"Q")</f>
        <v>Q</v>
      </c>
      <c r="C446" s="57" t="str">
        <f t="shared" si="3"/>
        <v>771-MMBT3906T/R</v>
      </c>
      <c r="D446" t="str">
        <f>Parts1!H443</f>
        <v>Ripples v4.0</v>
      </c>
      <c r="E446" t="str">
        <f>Parts1!I443</f>
        <v>S</v>
      </c>
      <c r="F446" t="str">
        <f>Parts1!J443</f>
        <v>Q1, Q2</v>
      </c>
      <c r="G446">
        <f>Parts1!K443</f>
        <v>2</v>
      </c>
      <c r="H446" t="str">
        <f>Parts1!L443</f>
        <v>PNP transistor MMBT3906</v>
      </c>
      <c r="I446" t="str">
        <f>Parts1!M443</f>
        <v/>
      </c>
      <c r="J446" s="59" t="str">
        <f>Parts1!N443</f>
        <v/>
      </c>
      <c r="K446" s="59" t="str">
        <f>Parts1!O443</f>
        <v>SOT23-BEC</v>
      </c>
      <c r="L446" t="str">
        <f>Parts1!P443</f>
        <v>771-MMBT3906T/R</v>
      </c>
      <c r="M446" s="51" t="str">
        <f>Parts1!Q443</f>
        <v>NXP MMBT3906,215</v>
      </c>
      <c r="N446" s="58">
        <v>11.0</v>
      </c>
      <c r="O446" s="52" t="str">
        <f t="shared" si="2"/>
        <v>A</v>
      </c>
      <c r="P446" s="52">
        <f t="shared" si="5"/>
        <v>1</v>
      </c>
      <c r="Q446" s="52">
        <f t="shared" si="4"/>
        <v>0</v>
      </c>
      <c r="R446" s="52" t="b">
        <f t="shared" si="6"/>
        <v>0</v>
      </c>
    </row>
    <row r="447">
      <c r="B447" s="20" t="str">
        <f>IFERROR(__xludf.DUMMYFUNCTION("if(exact($E447, """"), """", iferror(regexextract($F447, ""^(?:- )?([A-Z]+)""), ""?""))"),"C")</f>
        <v>C</v>
      </c>
      <c r="C447" s="57" t="str">
        <f t="shared" si="3"/>
        <v>81-GRM185C1E561JA01D</v>
      </c>
      <c r="D447" t="str">
        <f>Parts1!H235</f>
        <v>Frames v0.3</v>
      </c>
      <c r="E447" t="str">
        <f>Parts1!I235</f>
        <v>S</v>
      </c>
      <c r="F447" t="str">
        <f>Parts1!J235</f>
        <v>C22, C27, C31, C42, C43</v>
      </c>
      <c r="G447">
        <f>Parts1!K235</f>
        <v>5</v>
      </c>
      <c r="H447" t="str">
        <f>Parts1!L235</f>
        <v>Capacitor, ceramic</v>
      </c>
      <c r="I447" t="str">
        <f>Parts1!M235</f>
        <v>&gt;= 16V</v>
      </c>
      <c r="J447" s="59" t="str">
        <f>Parts1!N235</f>
        <v>560p</v>
      </c>
      <c r="K447" s="59" t="str">
        <f>Parts1!O235</f>
        <v>0603</v>
      </c>
      <c r="L447" t="str">
        <f>Parts1!P235</f>
        <v>81-GRM185C1E561JA01D</v>
      </c>
      <c r="M447" s="51" t="str">
        <f>Parts1!Q235</f>
        <v>Murata GRM1885C1E561JA01D</v>
      </c>
      <c r="N447" s="58">
        <v>6.0</v>
      </c>
      <c r="O447" s="52" t="str">
        <f t="shared" si="2"/>
        <v>A</v>
      </c>
      <c r="P447" s="52">
        <f t="shared" si="5"/>
        <v>1</v>
      </c>
      <c r="Q447" s="52">
        <f t="shared" si="4"/>
        <v>3</v>
      </c>
      <c r="R447" s="52" t="b">
        <f t="shared" si="6"/>
        <v>1</v>
      </c>
    </row>
    <row r="448">
      <c r="B448" s="20" t="str">
        <f>IFERROR(__xludf.DUMMYFUNCTION("if(exact($E448, """"), """", iferror(regexextract($F448, ""^(?:- )?([A-Z]+)""), ""?""))"),"C")</f>
        <v>C</v>
      </c>
      <c r="C448" s="57" t="str">
        <f t="shared" si="3"/>
        <v>81-GRM185C1E561JA01D</v>
      </c>
      <c r="D448" t="str">
        <f>Parts1!H429</f>
        <v>Ripples v4.0</v>
      </c>
      <c r="E448" t="str">
        <f>Parts1!I429</f>
        <v>S</v>
      </c>
      <c r="F448" t="str">
        <f>Parts1!J429</f>
        <v>C2, C3, C7, C8, C17, C18, C24</v>
      </c>
      <c r="G448">
        <f>Parts1!K429</f>
        <v>7</v>
      </c>
      <c r="H448" t="str">
        <f>Parts1!L429</f>
        <v>Capacitor, ceramic</v>
      </c>
      <c r="I448" t="str">
        <f>Parts1!M429</f>
        <v>&gt;= 16V</v>
      </c>
      <c r="J448" s="59" t="str">
        <f>Parts1!N429</f>
        <v>560p</v>
      </c>
      <c r="K448" s="59" t="str">
        <f>Parts1!O429</f>
        <v>0603</v>
      </c>
      <c r="L448" t="str">
        <f>Parts1!P429</f>
        <v>81-GRM185C1E561JA01D</v>
      </c>
      <c r="M448" s="51" t="str">
        <f>Parts1!Q429</f>
        <v>Murata GRM1885C1E561JA01D</v>
      </c>
      <c r="N448" s="58">
        <v>11.0</v>
      </c>
      <c r="O448" s="52" t="str">
        <f t="shared" si="2"/>
        <v>A</v>
      </c>
      <c r="P448" s="52" t="str">
        <f t="shared" si="5"/>
        <v/>
      </c>
      <c r="Q448" s="52">
        <f t="shared" si="4"/>
        <v>2</v>
      </c>
      <c r="R448" s="52" t="b">
        <f t="shared" si="6"/>
        <v>1</v>
      </c>
    </row>
    <row r="449">
      <c r="B449" s="20" t="str">
        <f>IFERROR(__xludf.DUMMYFUNCTION("if(exact($E449, """"), """", iferror(regexextract($F449, ""^(?:- )?([A-Z]+)""), ""?""))"),"C")</f>
        <v>C</v>
      </c>
      <c r="C449" s="57" t="str">
        <f t="shared" si="3"/>
        <v>81-GRM185C1E561JA01D</v>
      </c>
      <c r="D449" t="str">
        <f>Parts1!H488</f>
        <v>Shelves v0.5</v>
      </c>
      <c r="E449" t="str">
        <f>Parts1!I488</f>
        <v>S</v>
      </c>
      <c r="F449" t="str">
        <f>Parts1!J488</f>
        <v>C10, C11, C14, C15, C16, C17, C18, C19, C23, C24, C29, C30, C32, C33, C34, C38, C39, C45, C46, C47, C48, C49</v>
      </c>
      <c r="G449">
        <f>Parts1!K488</f>
        <v>22</v>
      </c>
      <c r="H449" t="str">
        <f>Parts1!L488</f>
        <v>Capacitor, ceramic</v>
      </c>
      <c r="I449" t="str">
        <f>Parts1!M488</f>
        <v>&gt;= 25V</v>
      </c>
      <c r="J449" t="str">
        <f>Parts1!N488</f>
        <v>560p</v>
      </c>
      <c r="K449" t="str">
        <f>Parts1!O488</f>
        <v>0603</v>
      </c>
      <c r="L449" t="str">
        <f>Parts1!P488</f>
        <v>81-GRM185C1E561JA01D</v>
      </c>
      <c r="M449" s="51" t="str">
        <f>Parts1!Q488</f>
        <v>Murata GRM1885C1E561JA01D</v>
      </c>
      <c r="N449" s="58">
        <v>13.0</v>
      </c>
      <c r="O449" s="52" t="str">
        <f t="shared" si="2"/>
        <v>A</v>
      </c>
      <c r="P449" s="52" t="str">
        <f t="shared" si="5"/>
        <v/>
      </c>
      <c r="Q449" s="52">
        <f t="shared" si="4"/>
        <v>1</v>
      </c>
      <c r="R449" s="52" t="b">
        <f t="shared" si="6"/>
        <v>1</v>
      </c>
    </row>
    <row r="450">
      <c r="B450" s="20" t="str">
        <f>IFERROR(__xludf.DUMMYFUNCTION("if(exact($E450, """"), """", iferror(regexextract($F450, ""^(?:- )?([A-Z]+)""), ""?""))"),"C")</f>
        <v>C</v>
      </c>
      <c r="C450" s="57" t="str">
        <f t="shared" si="3"/>
        <v>81-GRM185C1E561JA01D</v>
      </c>
      <c r="D450" t="str">
        <f>Parts1!H533</f>
        <v>Streams v0.5</v>
      </c>
      <c r="E450" t="str">
        <f>Parts1!I533</f>
        <v>S</v>
      </c>
      <c r="F450" t="str">
        <f>Parts1!J533</f>
        <v>C36, C37, C38, C42, C50, C51, C54, C55</v>
      </c>
      <c r="G450">
        <f>Parts1!K533</f>
        <v>8</v>
      </c>
      <c r="H450" t="str">
        <f>Parts1!L533</f>
        <v>Capacitor, ceramic</v>
      </c>
      <c r="I450" t="str">
        <f>Parts1!M533</f>
        <v>&gt;= 16V</v>
      </c>
      <c r="J450" t="str">
        <f>Parts1!N533</f>
        <v>560p</v>
      </c>
      <c r="K450" t="str">
        <f>Parts1!O533</f>
        <v>0603</v>
      </c>
      <c r="L450" t="str">
        <f>Parts1!P533</f>
        <v>81-GRM185C1E561JA01D</v>
      </c>
      <c r="M450" s="51" t="str">
        <f>Parts1!Q533</f>
        <v>Murata GRM1885C1E561JA01D</v>
      </c>
      <c r="N450" s="58">
        <v>15.0</v>
      </c>
      <c r="O450" s="52" t="str">
        <f t="shared" si="2"/>
        <v>A</v>
      </c>
      <c r="P450" s="52" t="str">
        <f t="shared" si="5"/>
        <v/>
      </c>
      <c r="Q450" s="52">
        <f t="shared" si="4"/>
        <v>0</v>
      </c>
      <c r="R450" s="52" t="b">
        <f t="shared" si="6"/>
        <v>1</v>
      </c>
    </row>
    <row r="451">
      <c r="B451" s="20" t="str">
        <f>IFERROR(__xludf.DUMMYFUNCTION("if(exact($E451, """"), """", iferror(regexextract($F451, ""^(?:- )?([A-Z]+)""), ""?""))"),"C")</f>
        <v>C</v>
      </c>
      <c r="C451" s="57" t="str">
        <f t="shared" si="3"/>
        <v>81-GRM185C1H100JA01J</v>
      </c>
      <c r="D451" t="str">
        <f>Parts1!H307</f>
        <v>Links v4</v>
      </c>
      <c r="E451" t="str">
        <f>Parts1!I307</f>
        <v>S</v>
      </c>
      <c r="F451" t="str">
        <f>Parts1!J307</f>
        <v>C6, C9</v>
      </c>
      <c r="G451">
        <f>Parts1!K307</f>
        <v>2</v>
      </c>
      <c r="H451" t="str">
        <f>Parts1!L307</f>
        <v>Capacitor, ceramic</v>
      </c>
      <c r="I451" t="str">
        <f>Parts1!M307</f>
        <v>&gt;= 16V, &lt;= 5%, C0G</v>
      </c>
      <c r="J451" t="str">
        <f>Parts1!N307</f>
        <v>10p</v>
      </c>
      <c r="K451" t="str">
        <f>Parts1!O307</f>
        <v>0603</v>
      </c>
      <c r="L451" t="str">
        <f>Parts1!P307</f>
        <v>81-GRM185C1H100JA01J</v>
      </c>
      <c r="M451" s="51" t="str">
        <f>Parts1!Q307</f>
        <v/>
      </c>
      <c r="N451" s="58">
        <v>8.0</v>
      </c>
      <c r="O451" s="52" t="str">
        <f t="shared" si="2"/>
        <v>A</v>
      </c>
      <c r="P451" s="52">
        <f t="shared" si="5"/>
        <v>1</v>
      </c>
      <c r="Q451" s="52">
        <f t="shared" si="4"/>
        <v>0</v>
      </c>
      <c r="R451" s="52" t="b">
        <f t="shared" si="6"/>
        <v>0</v>
      </c>
    </row>
    <row r="452">
      <c r="B452" s="20" t="str">
        <f>IFERROR(__xludf.DUMMYFUNCTION("if(exact($E452, """"), """", iferror(regexextract($F452, ""^(?:- )?([A-Z]+)""), ""?""))"),"C")</f>
        <v>C</v>
      </c>
      <c r="C452" s="57" t="str">
        <f t="shared" si="3"/>
        <v>81-GRM185C1H180JA01J</v>
      </c>
      <c r="D452" t="str">
        <f>Parts1!H17</f>
        <v>Braids v5.1</v>
      </c>
      <c r="E452" t="str">
        <f>Parts1!I17</f>
        <v>S</v>
      </c>
      <c r="F452" t="str">
        <f>Parts1!J17</f>
        <v>C9, C10</v>
      </c>
      <c r="G452">
        <f>Parts1!K17</f>
        <v>2</v>
      </c>
      <c r="H452" t="str">
        <f>Parts1!L17</f>
        <v>Capacitor, ceramic</v>
      </c>
      <c r="I452" t="str">
        <f>Parts1!M17</f>
        <v/>
      </c>
      <c r="J452" t="str">
        <f>Parts1!N17</f>
        <v>18p</v>
      </c>
      <c r="K452" t="str">
        <f>Parts1!O17</f>
        <v>0603</v>
      </c>
      <c r="L452" t="str">
        <f>Parts1!P17</f>
        <v>81-GRM185C1H180JA01J</v>
      </c>
      <c r="M452" s="51" t="str">
        <f>Parts1!Q17</f>
        <v/>
      </c>
      <c r="N452" s="58">
        <v>1.0</v>
      </c>
      <c r="O452" s="52" t="str">
        <f t="shared" si="2"/>
        <v>A</v>
      </c>
      <c r="P452" s="52">
        <f t="shared" si="5"/>
        <v>1</v>
      </c>
      <c r="Q452" s="52">
        <f t="shared" si="4"/>
        <v>11</v>
      </c>
      <c r="R452" s="52" t="b">
        <f t="shared" si="6"/>
        <v>1</v>
      </c>
    </row>
    <row r="453">
      <c r="B453" s="20" t="str">
        <f>IFERROR(__xludf.DUMMYFUNCTION("if(exact($E453, """"), """", iferror(regexextract($F453, ""^(?:- )?([A-Z]+)""), ""?""))"),"C")</f>
        <v>C</v>
      </c>
      <c r="C453" s="57" t="str">
        <f t="shared" si="3"/>
        <v>81-GRM185C1H180JA01J</v>
      </c>
      <c r="D453" t="str">
        <f>Parts1!H94</f>
        <v>Clouds v3.0</v>
      </c>
      <c r="E453" t="str">
        <f>Parts1!I94</f>
        <v>S</v>
      </c>
      <c r="F453" t="str">
        <f>Parts1!J94</f>
        <v>C6, C7, C40, C42, C47, C48</v>
      </c>
      <c r="G453">
        <f>Parts1!K94</f>
        <v>6</v>
      </c>
      <c r="H453" t="str">
        <f>Parts1!L94</f>
        <v>Capacitor, ceramic</v>
      </c>
      <c r="I453" t="str">
        <f>Parts1!M94</f>
        <v/>
      </c>
      <c r="J453" t="str">
        <f>Parts1!N94</f>
        <v>18p</v>
      </c>
      <c r="K453" s="59" t="str">
        <f>Parts1!O94</f>
        <v>0603</v>
      </c>
      <c r="L453" t="str">
        <f>Parts1!P94</f>
        <v>81-GRM185C1H180JA01J</v>
      </c>
      <c r="M453" s="51" t="str">
        <f>Parts1!Q94</f>
        <v>Murata GRM1885C1H180JA01J</v>
      </c>
      <c r="N453" s="58">
        <v>3.0</v>
      </c>
      <c r="O453" s="52" t="str">
        <f t="shared" si="2"/>
        <v>A</v>
      </c>
      <c r="P453" s="52" t="str">
        <f t="shared" si="5"/>
        <v/>
      </c>
      <c r="Q453" s="52">
        <f t="shared" si="4"/>
        <v>10</v>
      </c>
      <c r="R453" s="52" t="b">
        <f t="shared" si="6"/>
        <v>1</v>
      </c>
    </row>
    <row r="454">
      <c r="B454" s="20" t="str">
        <f>IFERROR(__xludf.DUMMYFUNCTION("if(exact($E454, """"), """", iferror(regexextract($F454, ""^(?:- )?([A-Z]+)""), ""?""))"),"C")</f>
        <v>C</v>
      </c>
      <c r="C454" s="57" t="str">
        <f t="shared" si="3"/>
        <v>81-GRM185C1H180JA01J</v>
      </c>
      <c r="D454" t="str">
        <f>Parts1!H142</f>
        <v>Edges v2.0</v>
      </c>
      <c r="E454" t="str">
        <f>Parts1!I142</f>
        <v>S</v>
      </c>
      <c r="F454" t="str">
        <f>Parts1!J142</f>
        <v>C16, C17, C42, C44</v>
      </c>
      <c r="G454">
        <f>Parts1!K142</f>
        <v>4</v>
      </c>
      <c r="H454" t="str">
        <f>Parts1!L142</f>
        <v>Capacitor, ceramic</v>
      </c>
      <c r="I454" t="str">
        <f>Parts1!M142</f>
        <v/>
      </c>
      <c r="J454" t="str">
        <f>Parts1!N142</f>
        <v>18p</v>
      </c>
      <c r="K454" t="str">
        <f>Parts1!O142</f>
        <v>0603</v>
      </c>
      <c r="L454" t="str">
        <f>Parts1!P142</f>
        <v>81-GRM185C1H180JA01J</v>
      </c>
      <c r="M454" s="51" t="str">
        <f>Parts1!Q142</f>
        <v/>
      </c>
      <c r="N454" s="58">
        <v>4.0</v>
      </c>
      <c r="O454" s="52" t="str">
        <f t="shared" si="2"/>
        <v>A</v>
      </c>
      <c r="P454" s="52" t="str">
        <f t="shared" si="5"/>
        <v/>
      </c>
      <c r="Q454" s="52">
        <f t="shared" si="4"/>
        <v>9</v>
      </c>
      <c r="R454" s="52" t="b">
        <f t="shared" si="6"/>
        <v>1</v>
      </c>
    </row>
    <row r="455">
      <c r="B455" s="20" t="str">
        <f>IFERROR(__xludf.DUMMYFUNCTION("if(exact($E455, """"), """", iferror(regexextract($F455, ""^(?:- )?([A-Z]+)""), ""?""))"),"C")</f>
        <v>C</v>
      </c>
      <c r="C455" s="57" t="str">
        <f t="shared" si="3"/>
        <v>81-GRM185C1H180JA01J</v>
      </c>
      <c r="D455" t="str">
        <f>Parts1!H190</f>
        <v>Elements v0.21</v>
      </c>
      <c r="E455" t="str">
        <f>Parts1!I190</f>
        <v>S</v>
      </c>
      <c r="F455" t="str">
        <f>Parts1!J190</f>
        <v>C11, C12, C43, C49</v>
      </c>
      <c r="G455">
        <f>Parts1!K190</f>
        <v>4</v>
      </c>
      <c r="H455" t="str">
        <f>Parts1!L190</f>
        <v>Capacitor, ceramic</v>
      </c>
      <c r="I455" t="str">
        <f>Parts1!M190</f>
        <v/>
      </c>
      <c r="J455" t="str">
        <f>Parts1!N190</f>
        <v>18p</v>
      </c>
      <c r="K455" t="str">
        <f>Parts1!O190</f>
        <v>0603</v>
      </c>
      <c r="L455" t="str">
        <f>Parts1!P190</f>
        <v>81-GRM185C1H180JA01J</v>
      </c>
      <c r="M455" s="51" t="str">
        <f>Parts1!Q190</f>
        <v>Murata GRM1885C1H180JA01J</v>
      </c>
      <c r="N455" s="58">
        <v>5.0</v>
      </c>
      <c r="O455" s="52" t="str">
        <f t="shared" si="2"/>
        <v>A</v>
      </c>
      <c r="P455" s="52" t="str">
        <f t="shared" si="5"/>
        <v/>
      </c>
      <c r="Q455" s="52">
        <f t="shared" si="4"/>
        <v>8</v>
      </c>
      <c r="R455" s="52" t="b">
        <f t="shared" si="6"/>
        <v>1</v>
      </c>
    </row>
    <row r="456">
      <c r="B456" s="20" t="str">
        <f>IFERROR(__xludf.DUMMYFUNCTION("if(exact($E456, """"), """", iferror(regexextract($F456, ""^(?:- )?([A-Z]+)""), ""?""))"),"C")</f>
        <v>C</v>
      </c>
      <c r="C456" s="61" t="str">
        <f t="shared" si="3"/>
        <v>81-GRM185C1H180JA01J</v>
      </c>
      <c r="D456" t="str">
        <f>Parts1!H234</f>
        <v>Frames v0.3</v>
      </c>
      <c r="E456" t="str">
        <f>Parts1!I234</f>
        <v>S</v>
      </c>
      <c r="F456" t="str">
        <f>Parts1!J234</f>
        <v>C1, C9, C23, C38, C39, C40, C44, C46</v>
      </c>
      <c r="G456">
        <f>Parts1!K234</f>
        <v>8</v>
      </c>
      <c r="H456" t="str">
        <f>Parts1!L234</f>
        <v>Capacitor, ceramic</v>
      </c>
      <c r="I456" t="str">
        <f>Parts1!M234</f>
        <v/>
      </c>
      <c r="J456" s="59" t="str">
        <f>Parts1!N234</f>
        <v>18p</v>
      </c>
      <c r="K456" s="59" t="str">
        <f>Parts1!O234</f>
        <v>0603</v>
      </c>
      <c r="L456" s="62" t="str">
        <f>Parts1!P234</f>
        <v>81-GRM185C1H180JA01J</v>
      </c>
      <c r="M456" s="51" t="str">
        <f>Parts1!Q234</f>
        <v>Murata GRM1885C1H180JA01J</v>
      </c>
      <c r="N456" s="58">
        <v>6.0</v>
      </c>
      <c r="O456" s="52" t="str">
        <f t="shared" si="2"/>
        <v>A</v>
      </c>
      <c r="P456" s="52" t="str">
        <f t="shared" si="5"/>
        <v/>
      </c>
      <c r="Q456" s="52">
        <f t="shared" si="4"/>
        <v>7</v>
      </c>
      <c r="R456" s="52" t="b">
        <f t="shared" si="6"/>
        <v>1</v>
      </c>
    </row>
    <row r="457">
      <c r="B457" s="20" t="str">
        <f>IFERROR(__xludf.DUMMYFUNCTION("if(exact($E457, """"), """", iferror(regexextract($F457, ""^(?:- )?([A-Z]+)""), ""?""))"),"C")</f>
        <v>C</v>
      </c>
      <c r="C457" s="57" t="str">
        <f t="shared" si="3"/>
        <v>81-GRM185C1H180JA01J</v>
      </c>
      <c r="D457" t="str">
        <f>Parts1!H277</f>
        <v>Grids v0.2</v>
      </c>
      <c r="E457" t="str">
        <f>Parts1!I277</f>
        <v>S</v>
      </c>
      <c r="F457" t="str">
        <f>Parts1!J277</f>
        <v>C2, C7</v>
      </c>
      <c r="G457" s="65">
        <f>Parts1!K277</f>
        <v>2</v>
      </c>
      <c r="H457" t="str">
        <f>Parts1!L277</f>
        <v>Capacitor, ceramic</v>
      </c>
      <c r="I457" t="str">
        <f>Parts1!M277</f>
        <v/>
      </c>
      <c r="J457" t="str">
        <f>Parts1!N277</f>
        <v>18p</v>
      </c>
      <c r="K457" s="59" t="str">
        <f>Parts1!O277</f>
        <v>0603</v>
      </c>
      <c r="L457" t="str">
        <f>Parts1!P277</f>
        <v>81-GRM185C1H180JA01J</v>
      </c>
      <c r="M457" s="51" t="str">
        <f>Parts1!Q277</f>
        <v/>
      </c>
      <c r="N457" s="58">
        <v>7.0</v>
      </c>
      <c r="O457" s="52" t="str">
        <f t="shared" si="2"/>
        <v>A</v>
      </c>
      <c r="P457" s="52" t="str">
        <f t="shared" si="5"/>
        <v/>
      </c>
      <c r="Q457" s="52">
        <f t="shared" si="4"/>
        <v>6</v>
      </c>
      <c r="R457" s="52" t="b">
        <f t="shared" si="6"/>
        <v>1</v>
      </c>
    </row>
    <row r="458">
      <c r="B458" s="20" t="str">
        <f>IFERROR(__xludf.DUMMYFUNCTION("if(exact($E458, """"), """", iferror(regexextract($F458, ""^(?:- )?([A-Z]+)""), ""?""))"),"C")</f>
        <v>C</v>
      </c>
      <c r="C458" s="61" t="str">
        <f t="shared" si="3"/>
        <v>81-GRM185C1H180JA01J</v>
      </c>
      <c r="D458" t="str">
        <f>Parts1!H331</f>
        <v>Peaks v3.1</v>
      </c>
      <c r="E458" t="str">
        <f>Parts1!I331</f>
        <v>S</v>
      </c>
      <c r="F458" t="str">
        <f>Parts1!J331</f>
        <v>C6, C7, C17, C23</v>
      </c>
      <c r="G458">
        <f>Parts1!K331</f>
        <v>4</v>
      </c>
      <c r="H458" t="str">
        <f>Parts1!L331</f>
        <v>Capacitor, ceramic</v>
      </c>
      <c r="I458" t="str">
        <f>Parts1!M331</f>
        <v/>
      </c>
      <c r="J458" s="59" t="str">
        <f>Parts1!N331</f>
        <v>18p</v>
      </c>
      <c r="K458" t="str">
        <f>Parts1!O331</f>
        <v>0603</v>
      </c>
      <c r="L458" s="62" t="str">
        <f>Parts1!P331</f>
        <v>81-GRM185C1H180JA01J</v>
      </c>
      <c r="M458" s="51" t="str">
        <f>Parts1!Q331</f>
        <v/>
      </c>
      <c r="N458" s="58">
        <v>9.0</v>
      </c>
      <c r="O458" s="52" t="str">
        <f t="shared" si="2"/>
        <v>A</v>
      </c>
      <c r="P458" s="52" t="str">
        <f t="shared" si="5"/>
        <v/>
      </c>
      <c r="Q458" s="52">
        <f t="shared" si="4"/>
        <v>5</v>
      </c>
      <c r="R458" s="52" t="b">
        <f t="shared" si="6"/>
        <v>1</v>
      </c>
    </row>
    <row r="459">
      <c r="B459" s="20" t="str">
        <f>IFERROR(__xludf.DUMMYFUNCTION("if(exact($E459, """"), """", iferror(regexextract($F459, ""^(?:- )?([A-Z]+)""), ""?""))"),"C")</f>
        <v>C</v>
      </c>
      <c r="C459" s="57" t="str">
        <f t="shared" si="3"/>
        <v>81-GRM185C1H180JA01J</v>
      </c>
      <c r="D459" t="str">
        <f>Parts1!H377</f>
        <v>Rings v3.0</v>
      </c>
      <c r="E459" t="str">
        <f>Parts1!I377</f>
        <v>S</v>
      </c>
      <c r="F459" t="str">
        <f>Parts1!J377</f>
        <v>C4, C5, C23, C24, C42, C43</v>
      </c>
      <c r="G459">
        <f>Parts1!K377</f>
        <v>6</v>
      </c>
      <c r="H459" t="str">
        <f>Parts1!L377</f>
        <v>Capacitor, ceramic</v>
      </c>
      <c r="I459" t="str">
        <f>Parts1!M377</f>
        <v/>
      </c>
      <c r="J459" t="str">
        <f>Parts1!N377</f>
        <v>18p</v>
      </c>
      <c r="K459" s="59" t="str">
        <f>Parts1!O377</f>
        <v>0603</v>
      </c>
      <c r="L459" t="str">
        <f>Parts1!P377</f>
        <v>81-GRM185C1H180JA01J</v>
      </c>
      <c r="M459" s="51" t="str">
        <f>Parts1!Q377</f>
        <v>Murata GRM1885C1H180JA01J</v>
      </c>
      <c r="N459" s="58">
        <v>10.0</v>
      </c>
      <c r="O459" s="52" t="str">
        <f t="shared" si="2"/>
        <v>A</v>
      </c>
      <c r="P459" s="52" t="str">
        <f t="shared" si="5"/>
        <v/>
      </c>
      <c r="Q459" s="52">
        <f t="shared" si="4"/>
        <v>4</v>
      </c>
      <c r="R459" s="52" t="b">
        <f t="shared" si="6"/>
        <v>1</v>
      </c>
    </row>
    <row r="460">
      <c r="B460" s="20" t="str">
        <f>IFERROR(__xludf.DUMMYFUNCTION("if(exact($E460, """"), """", iferror(regexextract($F460, ""^(?:- )?([A-Z]+)""), ""?""))"),"C")</f>
        <v>C</v>
      </c>
      <c r="C460" s="57" t="str">
        <f t="shared" si="3"/>
        <v>81-GRM185C1H180JA01J</v>
      </c>
      <c r="D460" t="str">
        <f>Parts1!H531</f>
        <v>Streams v0.5</v>
      </c>
      <c r="E460" t="str">
        <f>Parts1!I531</f>
        <v>S</v>
      </c>
      <c r="F460" t="str">
        <f>Parts1!J531</f>
        <v>C5, C12</v>
      </c>
      <c r="G460">
        <f>Parts1!K531</f>
        <v>2</v>
      </c>
      <c r="H460" t="str">
        <f>Parts1!L531</f>
        <v>Capacitor, ceramic</v>
      </c>
      <c r="I460" t="str">
        <f>Parts1!M531</f>
        <v/>
      </c>
      <c r="J460" t="str">
        <f>Parts1!N531</f>
        <v>18p</v>
      </c>
      <c r="K460" t="str">
        <f>Parts1!O531</f>
        <v>0603</v>
      </c>
      <c r="L460" t="str">
        <f>Parts1!P531</f>
        <v>81-GRM185C1H180JA01J</v>
      </c>
      <c r="M460" s="51" t="str">
        <f>Parts1!Q531</f>
        <v>Murata GRM1885C1H180JA01J</v>
      </c>
      <c r="N460" s="58">
        <v>15.0</v>
      </c>
      <c r="O460" s="52" t="str">
        <f t="shared" si="2"/>
        <v>A</v>
      </c>
      <c r="P460" s="52" t="str">
        <f t="shared" si="5"/>
        <v/>
      </c>
      <c r="Q460" s="52">
        <f t="shared" si="4"/>
        <v>3</v>
      </c>
      <c r="R460" s="52" t="b">
        <f t="shared" si="6"/>
        <v>1</v>
      </c>
    </row>
    <row r="461">
      <c r="B461" s="20" t="str">
        <f>IFERROR(__xludf.DUMMYFUNCTION("if(exact($E461, """"), """", iferror(regexextract($F461, ""^(?:- )?([A-Z]+)""), ""?""))"),"C")</f>
        <v>C</v>
      </c>
      <c r="C461" s="61" t="str">
        <f t="shared" si="3"/>
        <v>81-GRM185C1H180JA01J</v>
      </c>
      <c r="D461" t="str">
        <f>Parts1!H596</f>
        <v>Tides v4.0</v>
      </c>
      <c r="E461" t="str">
        <f>Parts1!I596</f>
        <v>S</v>
      </c>
      <c r="F461" t="str">
        <f>Parts1!J596</f>
        <v>C2, C17</v>
      </c>
      <c r="G461">
        <f>Parts1!K596</f>
        <v>2</v>
      </c>
      <c r="H461" t="str">
        <f>Parts1!L596</f>
        <v>Capacitor, ceramic</v>
      </c>
      <c r="I461" t="str">
        <f>Parts1!M596</f>
        <v/>
      </c>
      <c r="J461" s="59" t="str">
        <f>Parts1!N596</f>
        <v>18p</v>
      </c>
      <c r="K461" s="59" t="str">
        <f>Parts1!O596</f>
        <v>0603</v>
      </c>
      <c r="L461" s="62" t="str">
        <f>Parts1!P596</f>
        <v>81-GRM185C1H180JA01J</v>
      </c>
      <c r="M461" s="51" t="str">
        <f>Parts1!Q596</f>
        <v/>
      </c>
      <c r="N461" s="58">
        <v>17.0</v>
      </c>
      <c r="O461" s="52" t="str">
        <f t="shared" si="2"/>
        <v>A</v>
      </c>
      <c r="P461" s="52" t="str">
        <f t="shared" si="5"/>
        <v/>
      </c>
      <c r="Q461" s="52">
        <f t="shared" si="4"/>
        <v>2</v>
      </c>
      <c r="R461" s="52" t="b">
        <f t="shared" si="6"/>
        <v>1</v>
      </c>
    </row>
    <row r="462">
      <c r="B462" s="20" t="str">
        <f>IFERROR(__xludf.DUMMYFUNCTION("if(exact($E462, """"), """", iferror(regexextract($F462, ""^(?:- )?([A-Z]+)""), ""?""))"),"C")</f>
        <v>C</v>
      </c>
      <c r="C462" s="57" t="str">
        <f t="shared" si="3"/>
        <v>81-GRM185C1H180JA01J</v>
      </c>
      <c r="D462" t="str">
        <f>Parts1!H645</f>
        <v>Warps v3.0</v>
      </c>
      <c r="E462" t="str">
        <f>Parts1!I645</f>
        <v>S</v>
      </c>
      <c r="F462" t="str">
        <f>Parts1!J645</f>
        <v>C10, C11, C26, C35, C38, C41</v>
      </c>
      <c r="G462">
        <f>Parts1!K645</f>
        <v>6</v>
      </c>
      <c r="H462" t="str">
        <f>Parts1!L645</f>
        <v>Capacitor, ceramic</v>
      </c>
      <c r="I462" t="str">
        <f>Parts1!M645</f>
        <v/>
      </c>
      <c r="J462" t="str">
        <f>Parts1!N645</f>
        <v>18p</v>
      </c>
      <c r="K462" t="str">
        <f>Parts1!O645</f>
        <v>0603</v>
      </c>
      <c r="L462" t="str">
        <f>Parts1!P645</f>
        <v>81-GRM185C1H180JA01J</v>
      </c>
      <c r="M462" s="51" t="str">
        <f>Parts1!Q645</f>
        <v>Murata GRM1885C1H180JA01J</v>
      </c>
      <c r="N462" s="58">
        <v>18.0</v>
      </c>
      <c r="O462" s="52" t="str">
        <f t="shared" si="2"/>
        <v>A</v>
      </c>
      <c r="P462" s="52" t="str">
        <f t="shared" si="5"/>
        <v/>
      </c>
      <c r="Q462" s="52">
        <f t="shared" si="4"/>
        <v>1</v>
      </c>
      <c r="R462" s="52" t="b">
        <f t="shared" si="6"/>
        <v>1</v>
      </c>
    </row>
    <row r="463">
      <c r="B463" s="20" t="str">
        <f>IFERROR(__xludf.DUMMYFUNCTION("if(exact($E463, """"), """", iferror(regexextract($F463, ""^(?:- )?([A-Z]+)""), ""?""))"),"C")</f>
        <v>C</v>
      </c>
      <c r="C463" s="68" t="str">
        <f t="shared" si="3"/>
        <v>81-GRM185C1H180JA01J</v>
      </c>
      <c r="D463" t="str">
        <f>Parts1!H685</f>
        <v>Yarns v0.3</v>
      </c>
      <c r="E463" t="str">
        <f>Parts1!I685</f>
        <v>S</v>
      </c>
      <c r="F463" s="64" t="str">
        <f>Parts1!J685</f>
        <v>C7, C10</v>
      </c>
      <c r="G463" s="65">
        <f>Parts1!K685</f>
        <v>2</v>
      </c>
      <c r="H463" s="64" t="str">
        <f>Parts1!L685</f>
        <v>Capacitor, ceramic</v>
      </c>
      <c r="I463" s="64" t="str">
        <f>Parts1!M685</f>
        <v/>
      </c>
      <c r="J463" s="64" t="str">
        <f>Parts1!N685</f>
        <v>18p</v>
      </c>
      <c r="K463" s="64" t="str">
        <f>Parts1!O685</f>
        <v>0603</v>
      </c>
      <c r="L463" s="64" t="str">
        <f>Parts1!P685</f>
        <v>81-GRM185C1H180JA01J</v>
      </c>
      <c r="M463" s="67" t="str">
        <f>Parts1!Q685</f>
        <v/>
      </c>
      <c r="N463" s="58">
        <v>19.0</v>
      </c>
      <c r="O463" s="52" t="str">
        <f t="shared" si="2"/>
        <v>A</v>
      </c>
      <c r="P463" s="52" t="str">
        <f t="shared" si="5"/>
        <v/>
      </c>
      <c r="Q463" s="52">
        <f t="shared" si="4"/>
        <v>0</v>
      </c>
      <c r="R463" s="52" t="b">
        <f t="shared" si="6"/>
        <v>1</v>
      </c>
    </row>
    <row r="464">
      <c r="B464" s="20" t="str">
        <f>IFERROR(__xludf.DUMMYFUNCTION("if(exact($E464, """"), """", iferror(regexextract($F464, ""^(?:- )?([A-Z]+)""), ""?""))"),"C")</f>
        <v>C</v>
      </c>
      <c r="C464" s="57" t="str">
        <f t="shared" si="3"/>
        <v>81-GRM185C1H221GA01D</v>
      </c>
      <c r="D464" t="str">
        <f>Parts1!H95</f>
        <v>Clouds v3.0</v>
      </c>
      <c r="E464" t="str">
        <f>Parts1!I95</f>
        <v>S</v>
      </c>
      <c r="F464" t="str">
        <f>Parts1!J95</f>
        <v>C43, C44</v>
      </c>
      <c r="G464">
        <f>Parts1!K95</f>
        <v>2</v>
      </c>
      <c r="H464" t="str">
        <f>Parts1!L95</f>
        <v>Capacitor, ceramic</v>
      </c>
      <c r="I464" t="str">
        <f>Parts1!M95</f>
        <v>&gt;= 16V, &lt;= 2%</v>
      </c>
      <c r="J464" t="str">
        <f>Parts1!N95</f>
        <v>220p</v>
      </c>
      <c r="K464" s="59" t="str">
        <f>Parts1!O95</f>
        <v>0603</v>
      </c>
      <c r="L464" t="str">
        <f>Parts1!P95</f>
        <v>81-GRM185C1H221GA01D</v>
      </c>
      <c r="M464" s="51" t="str">
        <f>Parts1!Q95</f>
        <v>Murata GRM1885C1H221GA01D</v>
      </c>
      <c r="N464" s="58">
        <v>3.0</v>
      </c>
      <c r="O464" s="52" t="str">
        <f t="shared" si="2"/>
        <v>A</v>
      </c>
      <c r="P464" s="52">
        <f t="shared" si="5"/>
        <v>1</v>
      </c>
      <c r="Q464" s="52">
        <f t="shared" si="4"/>
        <v>6</v>
      </c>
      <c r="R464" s="52" t="b">
        <f t="shared" si="6"/>
        <v>0</v>
      </c>
    </row>
    <row r="465">
      <c r="B465" s="20" t="str">
        <f>IFERROR(__xludf.DUMMYFUNCTION("if(exact($E465, """"), """", iferror(regexextract($F465, ""^(?:- )?([A-Z]+)""), ""?""))"),"C")</f>
        <v>C</v>
      </c>
      <c r="C465" s="57" t="str">
        <f t="shared" si="3"/>
        <v>81-GRM185C1H221GA01D</v>
      </c>
      <c r="D465" t="str">
        <f>Parts1!H191</f>
        <v>Elements v0.21</v>
      </c>
      <c r="E465" t="str">
        <f>Parts1!I191</f>
        <v>S</v>
      </c>
      <c r="F465" t="str">
        <f>Parts1!J191</f>
        <v>C54, C57</v>
      </c>
      <c r="G465">
        <f>Parts1!K191</f>
        <v>2</v>
      </c>
      <c r="H465" t="str">
        <f>Parts1!L191</f>
        <v>Capacitor, ceramic</v>
      </c>
      <c r="I465" t="str">
        <f>Parts1!M191</f>
        <v>&gt;= 16V, &lt;= 2%</v>
      </c>
      <c r="J465" t="str">
        <f>Parts1!N191</f>
        <v>220p</v>
      </c>
      <c r="K465" t="str">
        <f>Parts1!O191</f>
        <v>0603</v>
      </c>
      <c r="L465" t="str">
        <f>Parts1!P191</f>
        <v>81-GRM185C1H221GA01D</v>
      </c>
      <c r="M465" s="51" t="str">
        <f>Parts1!Q191</f>
        <v>Murata GRM185C1H221GA01D</v>
      </c>
      <c r="N465" s="58">
        <v>5.0</v>
      </c>
      <c r="O465" s="52" t="str">
        <f t="shared" si="2"/>
        <v>A</v>
      </c>
      <c r="P465" s="52" t="str">
        <f t="shared" si="5"/>
        <v/>
      </c>
      <c r="Q465" s="52">
        <f t="shared" si="4"/>
        <v>5</v>
      </c>
      <c r="R465" s="52" t="b">
        <f t="shared" si="6"/>
        <v>0</v>
      </c>
    </row>
    <row r="466">
      <c r="B466" s="20" t="str">
        <f>IFERROR(__xludf.DUMMYFUNCTION("if(exact($E466, """"), """", iferror(regexextract($F466, ""^(?:- )?([A-Z]+)""), ""?""))"),"C")</f>
        <v>C</v>
      </c>
      <c r="C466" s="57" t="str">
        <f t="shared" si="3"/>
        <v>81-GRM185C1H221GA01D</v>
      </c>
      <c r="D466" t="str">
        <f>Parts1!H332</f>
        <v>Peaks v3.1</v>
      </c>
      <c r="E466" t="str">
        <f>Parts1!I332</f>
        <v>S</v>
      </c>
      <c r="F466" t="str">
        <f>Parts1!J332</f>
        <v>C14, C15, C19, C20</v>
      </c>
      <c r="G466">
        <f>Parts1!K332</f>
        <v>4</v>
      </c>
      <c r="H466" t="str">
        <f>Parts1!L332</f>
        <v>Capacitor, ceramic</v>
      </c>
      <c r="I466" t="str">
        <f>Parts1!M332</f>
        <v>&gt;= 16V, &lt;= 2%, C0G</v>
      </c>
      <c r="J466" s="59" t="str">
        <f>Parts1!N332</f>
        <v>220p</v>
      </c>
      <c r="K466" t="str">
        <f>Parts1!O332</f>
        <v>0603</v>
      </c>
      <c r="L466" t="str">
        <f>Parts1!P332</f>
        <v>81-GRM185C1H221GA01D</v>
      </c>
      <c r="M466" s="51" t="str">
        <f>Parts1!Q332</f>
        <v/>
      </c>
      <c r="N466" s="58">
        <v>9.0</v>
      </c>
      <c r="O466" s="52" t="str">
        <f t="shared" si="2"/>
        <v>A</v>
      </c>
      <c r="P466" s="52" t="str">
        <f t="shared" si="5"/>
        <v/>
      </c>
      <c r="Q466" s="52">
        <f t="shared" si="4"/>
        <v>4</v>
      </c>
      <c r="R466" s="52" t="b">
        <f t="shared" si="6"/>
        <v>0</v>
      </c>
    </row>
    <row r="467">
      <c r="B467" s="20" t="str">
        <f>IFERROR(__xludf.DUMMYFUNCTION("if(exact($E467, """"), """", iferror(regexextract($F467, ""^(?:- )?([A-Z]+)""), ""?""))"),"C")</f>
        <v>C</v>
      </c>
      <c r="C467" s="57" t="str">
        <f t="shared" si="3"/>
        <v>81-GRM185C1H221GA01D</v>
      </c>
      <c r="D467" t="str">
        <f>Parts1!H378</f>
        <v>Rings v3.0</v>
      </c>
      <c r="E467" t="str">
        <f>Parts1!I378</f>
        <v>S</v>
      </c>
      <c r="F467" t="str">
        <f>Parts1!J378</f>
        <v>C49</v>
      </c>
      <c r="G467">
        <f>Parts1!K378</f>
        <v>1</v>
      </c>
      <c r="H467" t="str">
        <f>Parts1!L378</f>
        <v>Capacitor, ceramic</v>
      </c>
      <c r="I467" t="str">
        <f>Parts1!M378</f>
        <v>&gt;= 16V, &lt;= 2%</v>
      </c>
      <c r="J467" t="str">
        <f>Parts1!N378</f>
        <v>220p</v>
      </c>
      <c r="K467" s="59" t="str">
        <f>Parts1!O378</f>
        <v>0603</v>
      </c>
      <c r="L467" t="str">
        <f>Parts1!P378</f>
        <v>81-GRM185C1H221GA01D</v>
      </c>
      <c r="M467" s="51" t="str">
        <f>Parts1!Q378</f>
        <v>Murata GRM185C1H221GA01D</v>
      </c>
      <c r="N467" s="58">
        <v>10.0</v>
      </c>
      <c r="O467" s="52" t="str">
        <f t="shared" si="2"/>
        <v>A</v>
      </c>
      <c r="P467" s="52" t="str">
        <f t="shared" si="5"/>
        <v/>
      </c>
      <c r="Q467" s="52">
        <f t="shared" si="4"/>
        <v>3</v>
      </c>
      <c r="R467" s="52" t="b">
        <f t="shared" si="6"/>
        <v>0</v>
      </c>
    </row>
    <row r="468">
      <c r="B468" s="20" t="str">
        <f>IFERROR(__xludf.DUMMYFUNCTION("if(exact($E468, """"), """", iferror(regexextract($F468, ""^(?:- )?([A-Z]+)""), ""?""))"),"C")</f>
        <v>C</v>
      </c>
      <c r="C468" s="57" t="str">
        <f t="shared" si="3"/>
        <v>81-GRM185C1H221GA01D</v>
      </c>
      <c r="D468" t="str">
        <f>Parts1!H428</f>
        <v>Ripples v4.0</v>
      </c>
      <c r="E468" t="str">
        <f>Parts1!I428</f>
        <v>S</v>
      </c>
      <c r="F468" t="str">
        <f>Parts1!J428</f>
        <v>C1, C4, C6, C9</v>
      </c>
      <c r="G468">
        <f>Parts1!K428</f>
        <v>4</v>
      </c>
      <c r="H468" t="str">
        <f>Parts1!L428</f>
        <v>Capacitor, ceramic</v>
      </c>
      <c r="I468" t="str">
        <f>Parts1!M428</f>
        <v>&gt;= 16V, Tol &lt; 2%</v>
      </c>
      <c r="J468" s="59" t="str">
        <f>Parts1!N428</f>
        <v>220p</v>
      </c>
      <c r="K468" s="59" t="str">
        <f>Parts1!O428</f>
        <v>0603</v>
      </c>
      <c r="L468" t="str">
        <f>Parts1!P428</f>
        <v>81-GRM185C1H221GA01D</v>
      </c>
      <c r="M468" s="51" t="str">
        <f>Parts1!Q428</f>
        <v>Murata GRM1885C1H221GA01D</v>
      </c>
      <c r="N468" s="58">
        <v>11.0</v>
      </c>
      <c r="O468" s="52" t="str">
        <f t="shared" si="2"/>
        <v>A</v>
      </c>
      <c r="P468" s="52" t="str">
        <f t="shared" si="5"/>
        <v/>
      </c>
      <c r="Q468" s="52">
        <f t="shared" si="4"/>
        <v>2</v>
      </c>
      <c r="R468" s="52" t="b">
        <f t="shared" si="6"/>
        <v>0</v>
      </c>
    </row>
    <row r="469">
      <c r="B469" s="20" t="str">
        <f>IFERROR(__xludf.DUMMYFUNCTION("if(exact($E469, """"), """", iferror(regexextract($F469, ""^(?:- )?([A-Z]+)""), ""?""))"),"C")</f>
        <v>C</v>
      </c>
      <c r="C469" s="57" t="str">
        <f t="shared" si="3"/>
        <v>81-GRM185C1H221GA01D</v>
      </c>
      <c r="D469" t="str">
        <f>Parts1!H597</f>
        <v>Tides v4.0</v>
      </c>
      <c r="E469" t="str">
        <f>Parts1!I597</f>
        <v>S</v>
      </c>
      <c r="F469" t="str">
        <f>Parts1!J597</f>
        <v>C19, C21, C22, C23</v>
      </c>
      <c r="G469">
        <f>Parts1!K597</f>
        <v>4</v>
      </c>
      <c r="H469" t="str">
        <f>Parts1!L597</f>
        <v>Capacitor, ceramic</v>
      </c>
      <c r="I469" t="str">
        <f>Parts1!M597</f>
        <v>&gt;= 16V, &lt;= 2%, C0G</v>
      </c>
      <c r="J469" s="59" t="str">
        <f>Parts1!N597</f>
        <v>220p</v>
      </c>
      <c r="K469" s="59" t="str">
        <f>Parts1!O597</f>
        <v>0603</v>
      </c>
      <c r="L469" t="str">
        <f>Parts1!P597</f>
        <v>81-GRM185C1H221GA01D</v>
      </c>
      <c r="M469" s="51" t="str">
        <f>Parts1!Q597</f>
        <v/>
      </c>
      <c r="N469" s="58">
        <v>17.0</v>
      </c>
      <c r="O469" s="52" t="str">
        <f t="shared" si="2"/>
        <v>A</v>
      </c>
      <c r="P469" s="52" t="str">
        <f t="shared" si="5"/>
        <v/>
      </c>
      <c r="Q469" s="52">
        <f t="shared" si="4"/>
        <v>1</v>
      </c>
      <c r="R469" s="52" t="b">
        <f t="shared" si="6"/>
        <v>0</v>
      </c>
    </row>
    <row r="470">
      <c r="B470" s="20" t="str">
        <f>IFERROR(__xludf.DUMMYFUNCTION("if(exact($E470, """"), """", iferror(regexextract($F470, ""^(?:- )?([A-Z]+)""), ""?""))"),"C")</f>
        <v>C</v>
      </c>
      <c r="C470" s="57" t="str">
        <f t="shared" si="3"/>
        <v>81-GRM185C1H221GA01D</v>
      </c>
      <c r="D470" t="str">
        <f>Parts1!H646</f>
        <v>Warps v3.0</v>
      </c>
      <c r="E470" t="str">
        <f>Parts1!I646</f>
        <v>S</v>
      </c>
      <c r="F470" t="str">
        <f>Parts1!J646</f>
        <v>C44, C45</v>
      </c>
      <c r="G470">
        <f>Parts1!K646</f>
        <v>2</v>
      </c>
      <c r="H470" t="str">
        <f>Parts1!L646</f>
        <v>Capacitor, ceramic</v>
      </c>
      <c r="I470" t="str">
        <f>Parts1!M646</f>
        <v>&gt;= 16V, &lt;= 2%</v>
      </c>
      <c r="J470" t="str">
        <f>Parts1!N646</f>
        <v>220p</v>
      </c>
      <c r="K470" t="str">
        <f>Parts1!O646</f>
        <v>0603</v>
      </c>
      <c r="L470" t="str">
        <f>Parts1!P646</f>
        <v>81-GRM185C1H221GA01D</v>
      </c>
      <c r="M470" s="51" t="str">
        <f>Parts1!Q646</f>
        <v>Murata GRM185C1H221GA01D</v>
      </c>
      <c r="N470" s="58">
        <v>18.0</v>
      </c>
      <c r="O470" s="52" t="str">
        <f t="shared" si="2"/>
        <v>A</v>
      </c>
      <c r="P470" s="52" t="str">
        <f t="shared" si="5"/>
        <v/>
      </c>
      <c r="Q470" s="52">
        <f t="shared" si="4"/>
        <v>0</v>
      </c>
      <c r="R470" s="52" t="b">
        <f t="shared" si="6"/>
        <v>0</v>
      </c>
    </row>
    <row r="471">
      <c r="B471" s="20" t="str">
        <f>IFERROR(__xludf.DUMMYFUNCTION("if(exact($E471, """"), """", iferror(regexextract($F471, ""^(?:- )?([A-Z]+)""), ""?""))"),"C")</f>
        <v>C</v>
      </c>
      <c r="C471" s="57" t="str">
        <f t="shared" si="3"/>
        <v>81-GRM185C1H470GA01J</v>
      </c>
      <c r="D471" t="str">
        <f>Parts1!H18</f>
        <v>Braids v5.1</v>
      </c>
      <c r="E471" t="str">
        <f>Parts1!I18</f>
        <v>S</v>
      </c>
      <c r="F471" t="str">
        <f>Parts1!J18</f>
        <v>C29</v>
      </c>
      <c r="G471">
        <f>Parts1!K18</f>
        <v>1</v>
      </c>
      <c r="H471" t="str">
        <f>Parts1!L18</f>
        <v>Capacitor, ceramic</v>
      </c>
      <c r="I471" t="str">
        <f>Parts1!M18</f>
        <v>&gt;= 50V, &lt;= 2%, C0G</v>
      </c>
      <c r="J471" t="str">
        <f>Parts1!N18</f>
        <v>47p</v>
      </c>
      <c r="K471" t="str">
        <f>Parts1!O18</f>
        <v>0603</v>
      </c>
      <c r="L471" t="str">
        <f>Parts1!P18</f>
        <v>81-GRM185C1H470GA01J</v>
      </c>
      <c r="M471" s="51" t="str">
        <f>Parts1!Q18</f>
        <v/>
      </c>
      <c r="N471" s="58">
        <v>1.0</v>
      </c>
      <c r="O471" s="52" t="str">
        <f t="shared" si="2"/>
        <v>A</v>
      </c>
      <c r="P471" s="52">
        <f t="shared" si="5"/>
        <v>1</v>
      </c>
      <c r="Q471" s="52">
        <f t="shared" si="4"/>
        <v>1</v>
      </c>
      <c r="R471" s="52" t="b">
        <f t="shared" si="6"/>
        <v>1</v>
      </c>
    </row>
    <row r="472">
      <c r="B472" s="20" t="str">
        <f>IFERROR(__xludf.DUMMYFUNCTION("if(exact($E472, """"), """", iferror(regexextract($F472, ""^(?:- )?([A-Z]+)""), ""?""))"),"C")</f>
        <v>C</v>
      </c>
      <c r="C472" s="57" t="str">
        <f t="shared" si="3"/>
        <v>81-GRM185C1H470GA01J</v>
      </c>
      <c r="D472" t="str">
        <f>Parts1!H427</f>
        <v>Ripples v4.0</v>
      </c>
      <c r="E472" t="str">
        <f>Parts1!I427</f>
        <v>S</v>
      </c>
      <c r="F472" t="str">
        <f>Parts1!J427</f>
        <v>C22, C23, C26, C27</v>
      </c>
      <c r="G472">
        <f>Parts1!K427</f>
        <v>4</v>
      </c>
      <c r="H472" t="str">
        <f>Parts1!L427</f>
        <v>Capacitor, ceramic</v>
      </c>
      <c r="I472" t="str">
        <f>Parts1!M427</f>
        <v>&gt;= 16V</v>
      </c>
      <c r="J472" s="59" t="str">
        <f>Parts1!N427</f>
        <v>47p</v>
      </c>
      <c r="K472" s="59" t="str">
        <f>Parts1!O427</f>
        <v>0603</v>
      </c>
      <c r="L472" t="str">
        <f>Parts1!P427</f>
        <v>81-GRM185C1H470GA01J</v>
      </c>
      <c r="M472" s="51" t="str">
        <f>Parts1!Q427</f>
        <v>Murata GRM1885C1H470GA01J</v>
      </c>
      <c r="N472" s="58">
        <v>11.0</v>
      </c>
      <c r="O472" s="52" t="str">
        <f t="shared" si="2"/>
        <v>A</v>
      </c>
      <c r="P472" s="52" t="str">
        <f t="shared" si="5"/>
        <v/>
      </c>
      <c r="Q472" s="52">
        <f t="shared" si="4"/>
        <v>0</v>
      </c>
      <c r="R472" s="52" t="b">
        <f t="shared" si="6"/>
        <v>1</v>
      </c>
    </row>
    <row r="473">
      <c r="B473" s="20" t="str">
        <f>IFERROR(__xludf.DUMMYFUNCTION("if(exact($E473, """"), """", iferror(regexextract($F473, ""^(?:- )?([A-Z]+)""), ""?""))"),"C")</f>
        <v>C</v>
      </c>
      <c r="C473" s="57" t="str">
        <f t="shared" si="3"/>
        <v>81-GRM185C1H680FA01J</v>
      </c>
      <c r="D473" t="str">
        <f>Parts1!H487</f>
        <v>Shelves v0.5</v>
      </c>
      <c r="E473" t="str">
        <f>Parts1!I487</f>
        <v>S</v>
      </c>
      <c r="F473" t="str">
        <f>Parts1!J487</f>
        <v>C6, C7, C25, C26, C40, C41</v>
      </c>
      <c r="G473">
        <f>Parts1!K487</f>
        <v>6</v>
      </c>
      <c r="H473" t="str">
        <f>Parts1!L487</f>
        <v>Capacitor, ceramic</v>
      </c>
      <c r="I473" t="str">
        <f>Parts1!M487</f>
        <v>&gt;= 50V, 1%</v>
      </c>
      <c r="J473" t="str">
        <f>Parts1!N487</f>
        <v>68p</v>
      </c>
      <c r="K473" t="str">
        <f>Parts1!O487</f>
        <v>0603</v>
      </c>
      <c r="L473" t="str">
        <f>Parts1!P487</f>
        <v>81-GRM185C1H680FA01J</v>
      </c>
      <c r="M473" s="51" t="str">
        <f>Parts1!Q487</f>
        <v>Murata GRM1885C1H680FA01J</v>
      </c>
      <c r="N473" s="58">
        <v>13.0</v>
      </c>
      <c r="O473" s="52" t="str">
        <f t="shared" si="2"/>
        <v>A</v>
      </c>
      <c r="P473" s="52">
        <f t="shared" si="5"/>
        <v>1</v>
      </c>
      <c r="Q473" s="52">
        <f t="shared" si="4"/>
        <v>0</v>
      </c>
      <c r="R473" s="52" t="b">
        <f t="shared" si="6"/>
        <v>0</v>
      </c>
    </row>
    <row r="474">
      <c r="B474" s="20" t="str">
        <f>IFERROR(__xludf.DUMMYFUNCTION("if(exact($E474, """"), """", iferror(regexextract($F474, ""^(?:- )?([A-Z]+)""), ""?""))"),"C")</f>
        <v>C</v>
      </c>
      <c r="C474" s="57" t="str">
        <f t="shared" si="3"/>
        <v>81-GRM185C81A105KE6D</v>
      </c>
      <c r="D474" t="str">
        <f>Parts1!H238</f>
        <v>Frames v0.3</v>
      </c>
      <c r="E474" t="str">
        <f>Parts1!I238</f>
        <v>S</v>
      </c>
      <c r="F474" t="str">
        <f>Parts1!J238</f>
        <v>C17, C18, C19, C20</v>
      </c>
      <c r="G474">
        <f>Parts1!K238</f>
        <v>4</v>
      </c>
      <c r="H474" t="str">
        <f>Parts1!L238</f>
        <v>Capacitor, ceramic</v>
      </c>
      <c r="I474" t="str">
        <f>Parts1!M238</f>
        <v>&gt;= 6.3V, &lt;= 10%</v>
      </c>
      <c r="J474" s="59" t="str">
        <f>Parts1!N238</f>
        <v>1u</v>
      </c>
      <c r="K474" s="59" t="str">
        <f>Parts1!O238</f>
        <v>0603</v>
      </c>
      <c r="L474" t="str">
        <f>Parts1!P238</f>
        <v>81-GRM185C81A105KE6D</v>
      </c>
      <c r="M474" s="51" t="str">
        <f>Parts1!Q238</f>
        <v>GRM185C81A105KE36D</v>
      </c>
      <c r="N474" s="58">
        <v>6.0</v>
      </c>
      <c r="O474" s="52" t="str">
        <f t="shared" si="2"/>
        <v>A</v>
      </c>
      <c r="P474" s="52">
        <f t="shared" si="5"/>
        <v>1</v>
      </c>
      <c r="Q474" s="52">
        <f t="shared" si="4"/>
        <v>0</v>
      </c>
      <c r="R474" s="52" t="b">
        <f t="shared" si="6"/>
        <v>1</v>
      </c>
    </row>
    <row r="475">
      <c r="B475" s="20" t="str">
        <f>IFERROR(__xludf.DUMMYFUNCTION("if(exact($E475, """"), """", iferror(regexextract($F475, ""^(?:- )?([A-Z]+)""), ""?""))"),"C")</f>
        <v>C</v>
      </c>
      <c r="C475" s="57" t="str">
        <f t="shared" si="3"/>
        <v>81-GRM1885C1H101GA1J</v>
      </c>
      <c r="D475" t="str">
        <f>Parts1!H143</f>
        <v>Edges v2.0</v>
      </c>
      <c r="E475" t="str">
        <f>Parts1!I143</f>
        <v>S</v>
      </c>
      <c r="F475" t="str">
        <f>Parts1!J143</f>
        <v>C4, C6, C10, C12, C23, C26, C29, C31</v>
      </c>
      <c r="G475">
        <f>Parts1!K143</f>
        <v>8</v>
      </c>
      <c r="H475" t="str">
        <f>Parts1!L143</f>
        <v>Capacitor, ceramic</v>
      </c>
      <c r="I475" t="str">
        <f>Parts1!M143</f>
        <v>&gt;= 50V, &lt;= 2%, C0G</v>
      </c>
      <c r="J475" t="str">
        <f>Parts1!N143</f>
        <v>100p</v>
      </c>
      <c r="K475" t="str">
        <f>Parts1!O143</f>
        <v>0603</v>
      </c>
      <c r="L475" t="str">
        <f>Parts1!P143</f>
        <v>81-GRM1885C1H101GA1J</v>
      </c>
      <c r="M475" s="51" t="str">
        <f>Parts1!Q143</f>
        <v>Was 81-GRM1885C1H101GA01J.</v>
      </c>
      <c r="N475" s="58">
        <v>4.0</v>
      </c>
      <c r="O475" s="52" t="str">
        <f t="shared" si="2"/>
        <v>A</v>
      </c>
      <c r="P475" s="52">
        <f t="shared" si="5"/>
        <v>1</v>
      </c>
      <c r="Q475" s="52">
        <f t="shared" si="4"/>
        <v>1</v>
      </c>
      <c r="R475" s="52" t="b">
        <f t="shared" si="6"/>
        <v>0</v>
      </c>
    </row>
    <row r="476">
      <c r="B476" s="20" t="str">
        <f>IFERROR(__xludf.DUMMYFUNCTION("if(exact($E476, """"), """", iferror(regexextract($F476, ""^(?:- )?([A-Z]+)""), ""?""))"),"C")</f>
        <v>C</v>
      </c>
      <c r="C476" s="57" t="str">
        <f t="shared" si="3"/>
        <v>81-GRM1885C1H101GA1J</v>
      </c>
      <c r="D476" t="str">
        <f>Parts1!H19</f>
        <v>Braids v5.1</v>
      </c>
      <c r="E476" t="str">
        <f>Parts1!I19</f>
        <v>S</v>
      </c>
      <c r="F476" t="str">
        <f>Parts1!J19</f>
        <v>C21, C22</v>
      </c>
      <c r="G476">
        <f>Parts1!K19</f>
        <v>2</v>
      </c>
      <c r="H476" t="str">
        <f>Parts1!L19</f>
        <v>Capacitor, ceramic</v>
      </c>
      <c r="I476" t="str">
        <f>Parts1!M19</f>
        <v>&gt;= 50V, &lt;= 2%, C0G</v>
      </c>
      <c r="J476" t="str">
        <f>Parts1!N19</f>
        <v>100p</v>
      </c>
      <c r="K476" t="str">
        <f>Parts1!O19</f>
        <v>0603</v>
      </c>
      <c r="L476" t="str">
        <f>Parts1!P19</f>
        <v>81-GRM1885C1H101GA1J</v>
      </c>
      <c r="M476" s="51" t="str">
        <f>Parts1!Q19</f>
        <v/>
      </c>
      <c r="N476" s="58">
        <v>1.0</v>
      </c>
      <c r="O476" s="52" t="str">
        <f t="shared" si="2"/>
        <v>A</v>
      </c>
      <c r="P476" s="52" t="str">
        <f t="shared" si="5"/>
        <v/>
      </c>
      <c r="Q476" s="52">
        <f t="shared" si="4"/>
        <v>0</v>
      </c>
      <c r="R476" s="52" t="b">
        <f t="shared" si="6"/>
        <v>0</v>
      </c>
    </row>
    <row r="477">
      <c r="B477" s="20" t="str">
        <f>IFERROR(__xludf.DUMMYFUNCTION("if(exact($E477, """"), """", iferror(regexextract($F477, ""^(?:- )?([A-Z]+)""), ""?""))"),"C")</f>
        <v>C</v>
      </c>
      <c r="C477" s="57" t="str">
        <f t="shared" si="3"/>
        <v>81-GRM1885C1H102FA1J</v>
      </c>
      <c r="D477" t="str">
        <f>Parts1!H20</f>
        <v>Braids v5.1</v>
      </c>
      <c r="E477" t="str">
        <f>Parts1!I20</f>
        <v>S</v>
      </c>
      <c r="F477" t="str">
        <f>Parts1!J20</f>
        <v>C13, C14, C16, C17</v>
      </c>
      <c r="G477">
        <f>Parts1!K20</f>
        <v>4</v>
      </c>
      <c r="H477" t="str">
        <f>Parts1!L20</f>
        <v>Capacitor, ceramic</v>
      </c>
      <c r="I477" t="str">
        <f>Parts1!M20</f>
        <v>&gt;= 50V, &lt;= 2%, C0G</v>
      </c>
      <c r="J477" t="str">
        <f>Parts1!N20</f>
        <v>1n</v>
      </c>
      <c r="K477" t="str">
        <f>Parts1!O20</f>
        <v>0603</v>
      </c>
      <c r="L477" t="str">
        <f>Parts1!P20</f>
        <v>81-GRM1885C1H102FA1J</v>
      </c>
      <c r="M477" s="51" t="str">
        <f>Parts1!Q20</f>
        <v/>
      </c>
      <c r="N477" s="58">
        <v>1.0</v>
      </c>
      <c r="O477" s="52" t="str">
        <f t="shared" si="2"/>
        <v>A</v>
      </c>
      <c r="P477" s="52">
        <f t="shared" si="5"/>
        <v>1</v>
      </c>
      <c r="Q477" s="52">
        <f t="shared" si="4"/>
        <v>4</v>
      </c>
      <c r="R477" s="52" t="b">
        <f t="shared" si="6"/>
        <v>1</v>
      </c>
    </row>
    <row r="478">
      <c r="B478" s="20" t="str">
        <f>IFERROR(__xludf.DUMMYFUNCTION("if(exact($E478, """"), """", iferror(regexextract($F478, ""^(?:- )?([A-Z]+)""), ""?""))"),"C")</f>
        <v>C</v>
      </c>
      <c r="C478" s="63" t="str">
        <f t="shared" si="3"/>
        <v>81-GRM1885C1H102FA1J</v>
      </c>
      <c r="D478" t="str">
        <f>Parts1!H56</f>
        <v>Branches v4.0</v>
      </c>
      <c r="E478" t="str">
        <f>Parts1!I56</f>
        <v>S</v>
      </c>
      <c r="F478" t="str">
        <f>Parts1!J56</f>
        <v>C2, C5</v>
      </c>
      <c r="G478" s="65">
        <f>Parts1!K56</f>
        <v>2</v>
      </c>
      <c r="H478" t="str">
        <f>Parts1!L56</f>
        <v>Capacitor, ceramic</v>
      </c>
      <c r="I478" t="str">
        <f>Parts1!M56</f>
        <v/>
      </c>
      <c r="J478" s="59" t="str">
        <f>Parts1!N56</f>
        <v>1n</v>
      </c>
      <c r="K478" t="str">
        <f>Parts1!O56</f>
        <v>0603</v>
      </c>
      <c r="L478" s="66" t="str">
        <f>Parts1!P56</f>
        <v>81-GRM1885C1H102FA1J</v>
      </c>
      <c r="M478" s="51" t="str">
        <f>Parts1!Q56</f>
        <v/>
      </c>
      <c r="N478" s="58">
        <v>2.0</v>
      </c>
      <c r="O478" s="52" t="str">
        <f t="shared" si="2"/>
        <v>A</v>
      </c>
      <c r="P478" s="52" t="str">
        <f t="shared" si="5"/>
        <v/>
      </c>
      <c r="Q478" s="52">
        <f t="shared" si="4"/>
        <v>3</v>
      </c>
      <c r="R478" s="52" t="b">
        <f t="shared" si="6"/>
        <v>1</v>
      </c>
    </row>
    <row r="479">
      <c r="B479" s="20" t="str">
        <f>IFERROR(__xludf.DUMMYFUNCTION("if(exact($E479, """"), """", iferror(regexextract($F479, ""^(?:- )?([A-Z]+)""), ""?""))"),"C")</f>
        <v>C</v>
      </c>
      <c r="C479" s="57" t="str">
        <f t="shared" si="3"/>
        <v>81-GRM1885C1H102FA1J</v>
      </c>
      <c r="D479" t="str">
        <f>Parts1!H96</f>
        <v>Clouds v3.0</v>
      </c>
      <c r="E479" t="str">
        <f>Parts1!I96</f>
        <v>S</v>
      </c>
      <c r="F479" t="str">
        <f>Parts1!J96</f>
        <v>C9, C10, C11, C20, C21, C22</v>
      </c>
      <c r="G479">
        <f>Parts1!K96</f>
        <v>6</v>
      </c>
      <c r="H479" t="str">
        <f>Parts1!L96</f>
        <v>Capacitor, ceramic</v>
      </c>
      <c r="I479" t="str">
        <f>Parts1!M96</f>
        <v>&gt;= 50V, &lt;= 2%</v>
      </c>
      <c r="J479" t="str">
        <f>Parts1!N96</f>
        <v>1n</v>
      </c>
      <c r="K479" s="59" t="str">
        <f>Parts1!O96</f>
        <v>0603</v>
      </c>
      <c r="L479" t="str">
        <f>Parts1!P96</f>
        <v>81-GRM1885C1H102FA1J</v>
      </c>
      <c r="M479" s="51" t="str">
        <f>Parts1!Q96</f>
        <v>Murata GRM1885C1H102FA1J</v>
      </c>
      <c r="N479" s="58">
        <v>3.0</v>
      </c>
      <c r="O479" s="52" t="str">
        <f t="shared" si="2"/>
        <v>A</v>
      </c>
      <c r="P479" s="52" t="str">
        <f t="shared" si="5"/>
        <v/>
      </c>
      <c r="Q479" s="52">
        <f t="shared" si="4"/>
        <v>2</v>
      </c>
      <c r="R479" s="52" t="b">
        <f t="shared" si="6"/>
        <v>1</v>
      </c>
    </row>
    <row r="480">
      <c r="B480" s="20" t="str">
        <f>IFERROR(__xludf.DUMMYFUNCTION("if(exact($E480, """"), """", iferror(regexextract($F480, ""^(?:- )?([A-Z]+)""), ""?""))"),"C")</f>
        <v>C</v>
      </c>
      <c r="C480" s="57" t="str">
        <f t="shared" si="3"/>
        <v>81-GRM1885C1H102FA1J</v>
      </c>
      <c r="D480" t="str">
        <f>Parts1!H534</f>
        <v>Streams v0.5</v>
      </c>
      <c r="E480" t="str">
        <f>Parts1!I534</f>
        <v>S</v>
      </c>
      <c r="F480" t="str">
        <f>Parts1!J534</f>
        <v>C18, C19, C22, C23, C26, C27</v>
      </c>
      <c r="G480">
        <f>Parts1!K534</f>
        <v>6</v>
      </c>
      <c r="H480" t="str">
        <f>Parts1!L534</f>
        <v>Capacitor, ceramic</v>
      </c>
      <c r="I480" t="str">
        <f>Parts1!M534</f>
        <v>&gt;= 50V, &lt;= 2%</v>
      </c>
      <c r="J480" t="str">
        <f>Parts1!N534</f>
        <v>1n</v>
      </c>
      <c r="K480" t="str">
        <f>Parts1!O534</f>
        <v>0603</v>
      </c>
      <c r="L480" t="str">
        <f>Parts1!P534</f>
        <v>81-GRM1885C1H102FA1J</v>
      </c>
      <c r="M480" s="51" t="str">
        <f>Parts1!Q534</f>
        <v>Murata GRM1885C1H102FA1J</v>
      </c>
      <c r="N480" s="58">
        <v>15.0</v>
      </c>
      <c r="O480" s="52" t="str">
        <f t="shared" si="2"/>
        <v>A</v>
      </c>
      <c r="P480" s="52" t="str">
        <f t="shared" si="5"/>
        <v/>
      </c>
      <c r="Q480" s="52">
        <f t="shared" si="4"/>
        <v>1</v>
      </c>
      <c r="R480" s="52" t="b">
        <f t="shared" si="6"/>
        <v>1</v>
      </c>
    </row>
    <row r="481">
      <c r="B481" s="20" t="str">
        <f>IFERROR(__xludf.DUMMYFUNCTION("if(exact($E481, """"), """", iferror(regexextract($F481, ""^(?:- )?([A-Z]+)""), ""?""))"),"C")</f>
        <v>C</v>
      </c>
      <c r="C481" s="61" t="str">
        <f t="shared" si="3"/>
        <v>81-GRM1885C1H102FA1J</v>
      </c>
      <c r="D481" t="str">
        <f>Parts1!H598</f>
        <v>Tides v4.0</v>
      </c>
      <c r="E481" t="str">
        <f>Parts1!I598</f>
        <v>S</v>
      </c>
      <c r="F481" t="str">
        <f>Parts1!J598</f>
        <v>C27, C31, C34</v>
      </c>
      <c r="G481">
        <f>Parts1!K598</f>
        <v>3</v>
      </c>
      <c r="H481" t="str">
        <f>Parts1!L598</f>
        <v>Capacitor, ceramic</v>
      </c>
      <c r="I481" t="str">
        <f>Parts1!M598</f>
        <v>&gt;= 50V, &lt;= 2%, C0G</v>
      </c>
      <c r="J481" s="59" t="str">
        <f>Parts1!N598</f>
        <v>1n</v>
      </c>
      <c r="K481" s="59" t="str">
        <f>Parts1!O598</f>
        <v>0603</v>
      </c>
      <c r="L481" s="62" t="str">
        <f>Parts1!P598</f>
        <v>81-GRM1885C1H102FA1J</v>
      </c>
      <c r="M481" s="51" t="str">
        <f>Parts1!Q598</f>
        <v/>
      </c>
      <c r="N481" s="58">
        <v>17.0</v>
      </c>
      <c r="O481" s="52" t="str">
        <f t="shared" si="2"/>
        <v>A</v>
      </c>
      <c r="P481" s="52" t="str">
        <f t="shared" si="5"/>
        <v/>
      </c>
      <c r="Q481" s="52">
        <f t="shared" si="4"/>
        <v>0</v>
      </c>
      <c r="R481" s="52" t="b">
        <f t="shared" si="6"/>
        <v>1</v>
      </c>
    </row>
    <row r="482">
      <c r="B482" s="20" t="str">
        <f>IFERROR(__xludf.DUMMYFUNCTION("if(exact($E482, """"), """", iferror(regexextract($F482, ""^(?:- )?([A-Z]+)""), ""?""))"),"C")</f>
        <v>C</v>
      </c>
      <c r="C482" s="68" t="str">
        <f t="shared" si="3"/>
        <v>81-GRM1885C1H180GA</v>
      </c>
      <c r="D482" t="str">
        <f>Parts1!H686</f>
        <v>Yarns v0.3</v>
      </c>
      <c r="E482" t="str">
        <f>Parts1!I686</f>
        <v>S</v>
      </c>
      <c r="F482" s="64" t="str">
        <f>Parts1!J686</f>
        <v>C14, C16, C21, C22</v>
      </c>
      <c r="G482" s="65">
        <f>Parts1!K686</f>
        <v>4</v>
      </c>
      <c r="H482" s="64" t="str">
        <f>Parts1!L686</f>
        <v>Capacitor, ceramic</v>
      </c>
      <c r="I482" s="64" t="str">
        <f>Parts1!M686</f>
        <v>&gt;= 50V, &lt;= 2%, C0G</v>
      </c>
      <c r="J482" s="64" t="str">
        <f>Parts1!N686</f>
        <v>18p</v>
      </c>
      <c r="K482" s="64" t="str">
        <f>Parts1!O686</f>
        <v>0603</v>
      </c>
      <c r="L482" s="64" t="str">
        <f>Parts1!P686</f>
        <v>81-GRM1885C1H180GA</v>
      </c>
      <c r="M482" s="67" t="str">
        <f>Parts1!Q686</f>
        <v/>
      </c>
      <c r="N482" s="58">
        <v>19.0</v>
      </c>
      <c r="O482" s="52" t="str">
        <f t="shared" si="2"/>
        <v>A</v>
      </c>
      <c r="P482" s="52">
        <f t="shared" si="5"/>
        <v>1</v>
      </c>
      <c r="Q482" s="52">
        <f t="shared" si="4"/>
        <v>0</v>
      </c>
      <c r="R482" s="52" t="b">
        <f t="shared" si="6"/>
        <v>0</v>
      </c>
    </row>
    <row r="483">
      <c r="B483" s="20" t="str">
        <f>IFERROR(__xludf.DUMMYFUNCTION("if(exact($E483, """"), """", iferror(regexextract($F483, ""^(?:- )?([A-Z]+)""), ""?""))"),"C")</f>
        <v>C</v>
      </c>
      <c r="C483" s="63" t="str">
        <f t="shared" si="3"/>
        <v>81-GRM1885C1H220GA1J</v>
      </c>
      <c r="D483" t="str">
        <f>Parts1!H455</f>
        <v>Shades v3.1</v>
      </c>
      <c r="E483" t="str">
        <f>Parts1!I455</f>
        <v>S</v>
      </c>
      <c r="F483" t="str">
        <f>Parts1!J455</f>
        <v>C5, C8, C14</v>
      </c>
      <c r="G483">
        <f>Parts1!K455</f>
        <v>3</v>
      </c>
      <c r="H483" t="str">
        <f>Parts1!L455</f>
        <v>Capacitor, ceramic</v>
      </c>
      <c r="I483" t="str">
        <f>Parts1!M455</f>
        <v>&lt;= 2%, &gt;= 25V</v>
      </c>
      <c r="J483" s="59" t="str">
        <f>Parts1!N455</f>
        <v>22p</v>
      </c>
      <c r="K483" t="str">
        <f>Parts1!O455</f>
        <v>0603</v>
      </c>
      <c r="L483" s="66" t="str">
        <f>Parts1!P455</f>
        <v>81-GRM1885C1H220GA1J</v>
      </c>
      <c r="M483" s="51" t="str">
        <f>Parts1!Q455</f>
        <v>Murata GRM1885C1H220GA01J</v>
      </c>
      <c r="N483" s="58">
        <v>12.0</v>
      </c>
      <c r="O483" s="52" t="str">
        <f t="shared" si="2"/>
        <v>A</v>
      </c>
      <c r="P483" s="52">
        <f t="shared" si="5"/>
        <v>1</v>
      </c>
      <c r="Q483" s="52">
        <f t="shared" si="4"/>
        <v>0</v>
      </c>
      <c r="R483" s="52" t="b">
        <f t="shared" si="6"/>
        <v>1</v>
      </c>
    </row>
    <row r="484">
      <c r="B484" s="20" t="str">
        <f>IFERROR(__xludf.DUMMYFUNCTION("if(exact($E484, """"), """", iferror(regexextract($F484, ""^(?:- )?([A-Z]+)""), ""?""))"),"C")</f>
        <v>C</v>
      </c>
      <c r="C484" s="57" t="str">
        <f t="shared" si="3"/>
        <v>81-GRM1885C1H222JA1J</v>
      </c>
      <c r="D484" t="str">
        <f>Parts1!H379</f>
        <v>Rings v3.0</v>
      </c>
      <c r="E484" t="str">
        <f>Parts1!I379</f>
        <v>S</v>
      </c>
      <c r="F484" t="str">
        <f>Parts1!J379</f>
        <v>C14, C29</v>
      </c>
      <c r="G484">
        <f>Parts1!K379</f>
        <v>2</v>
      </c>
      <c r="H484" t="str">
        <f>Parts1!L379</f>
        <v>Capacitor, ceramic</v>
      </c>
      <c r="I484" t="str">
        <f>Parts1!M379</f>
        <v>&gt;= 50V, &lt;= 5%</v>
      </c>
      <c r="J484" t="str">
        <f>Parts1!N379</f>
        <v>2.2n</v>
      </c>
      <c r="K484" s="59" t="str">
        <f>Parts1!O379</f>
        <v>0603</v>
      </c>
      <c r="L484" t="str">
        <f>Parts1!P379</f>
        <v>81-GRM1885C1H222JA1J</v>
      </c>
      <c r="M484" s="51" t="str">
        <f>Parts1!Q379</f>
        <v>Murata GRM1885C1H222JA01J</v>
      </c>
      <c r="N484" s="58">
        <v>10.0</v>
      </c>
      <c r="O484" s="52" t="str">
        <f t="shared" si="2"/>
        <v>A</v>
      </c>
      <c r="P484" s="52">
        <f t="shared" si="5"/>
        <v>1</v>
      </c>
      <c r="Q484" s="52">
        <f t="shared" si="4"/>
        <v>0</v>
      </c>
      <c r="R484" s="52" t="b">
        <f t="shared" si="6"/>
        <v>0</v>
      </c>
    </row>
    <row r="485">
      <c r="B485" s="20" t="str">
        <f>IFERROR(__xludf.DUMMYFUNCTION("if(exact($E485, """"), """", iferror(regexextract($F485, ""^(?:- )?([A-Z]+)""), ""?""))"),"C")</f>
        <v>C</v>
      </c>
      <c r="C485" s="57" t="str">
        <f t="shared" si="3"/>
        <v>81-GRM1885C1H332JA1D</v>
      </c>
      <c r="D485" t="str">
        <f>Parts1!H192</f>
        <v>Elements v0.21</v>
      </c>
      <c r="E485" t="str">
        <f>Parts1!I192</f>
        <v>S</v>
      </c>
      <c r="F485" t="str">
        <f>Parts1!J192</f>
        <v>C14, C15, C19, C20, C24, C25, C26, C27, C28, C30, C41, C42, C50</v>
      </c>
      <c r="G485">
        <f>Parts1!K192</f>
        <v>13</v>
      </c>
      <c r="H485" t="str">
        <f>Parts1!L192</f>
        <v>Capacitor, ceramic</v>
      </c>
      <c r="I485" t="str">
        <f>Parts1!M192</f>
        <v>&gt;= 50V, &lt;= 5%</v>
      </c>
      <c r="J485" t="str">
        <f>Parts1!N192</f>
        <v>3.3n</v>
      </c>
      <c r="K485" t="str">
        <f>Parts1!O192</f>
        <v>0603</v>
      </c>
      <c r="L485" t="str">
        <f>Parts1!P192</f>
        <v>81-GRM1885C1H332JA1D</v>
      </c>
      <c r="M485" s="51" t="str">
        <f>Parts1!Q192</f>
        <v/>
      </c>
      <c r="N485" s="58">
        <v>5.0</v>
      </c>
      <c r="O485" s="52" t="str">
        <f t="shared" si="2"/>
        <v>A</v>
      </c>
      <c r="P485" s="52">
        <f t="shared" si="5"/>
        <v>1</v>
      </c>
      <c r="Q485" s="52">
        <f t="shared" si="4"/>
        <v>0</v>
      </c>
      <c r="R485" s="52" t="b">
        <f t="shared" si="6"/>
        <v>1</v>
      </c>
    </row>
    <row r="486">
      <c r="B486" s="20" t="str">
        <f>IFERROR(__xludf.DUMMYFUNCTION("if(exact($E486, """"), """", iferror(regexextract($F486, ""^(?:- )?([A-Z]+)""), ""?""))"),"C")</f>
        <v>C</v>
      </c>
      <c r="C486" s="57" t="str">
        <f t="shared" si="3"/>
        <v>81-GRM1885C1H472JA1D</v>
      </c>
      <c r="D486" t="str">
        <f>Parts1!H647</f>
        <v>Warps v3.0</v>
      </c>
      <c r="E486" t="str">
        <f>Parts1!I647</f>
        <v>S</v>
      </c>
      <c r="F486" t="str">
        <f>Parts1!J647</f>
        <v>C7, C8, C12, C14</v>
      </c>
      <c r="G486">
        <f>Parts1!K647</f>
        <v>4</v>
      </c>
      <c r="H486" t="str">
        <f>Parts1!L647</f>
        <v>Capacitor, ceramic</v>
      </c>
      <c r="I486" t="str">
        <f>Parts1!M647</f>
        <v>&gt;= 50V, &lt;= 5%</v>
      </c>
      <c r="J486" t="str">
        <f>Parts1!N647</f>
        <v>4.7n</v>
      </c>
      <c r="K486" t="str">
        <f>Parts1!O647</f>
        <v>0603</v>
      </c>
      <c r="L486" t="str">
        <f>Parts1!P647</f>
        <v>81-GRM1885C1H472JA1D</v>
      </c>
      <c r="M486" s="51" t="str">
        <f>Parts1!Q647</f>
        <v>Murata GRM1885C1H472JA01D</v>
      </c>
      <c r="N486" s="58">
        <v>18.0</v>
      </c>
      <c r="O486" s="52" t="str">
        <f t="shared" si="2"/>
        <v>A</v>
      </c>
      <c r="P486" s="52">
        <f t="shared" si="5"/>
        <v>1</v>
      </c>
      <c r="Q486" s="52">
        <f t="shared" si="4"/>
        <v>0</v>
      </c>
      <c r="R486" s="52" t="b">
        <f t="shared" si="6"/>
        <v>0</v>
      </c>
    </row>
    <row r="487">
      <c r="B487" s="20" t="str">
        <f>IFERROR(__xludf.DUMMYFUNCTION("if(exact($E487, """"), """", iferror(regexextract($F487, ""^(?:- )?([A-Z]+)""), ""?""))"),"C")</f>
        <v>C</v>
      </c>
      <c r="C487" s="57" t="str">
        <f t="shared" si="3"/>
        <v>81-GRM18F51C474ZA01J</v>
      </c>
      <c r="D487" t="str">
        <f>Parts1!H145</f>
        <v>Edges v2.0</v>
      </c>
      <c r="E487" t="str">
        <f>Parts1!I145</f>
        <v>S</v>
      </c>
      <c r="F487" t="str">
        <f>Parts1!J145</f>
        <v>C1, C2, C32</v>
      </c>
      <c r="G487">
        <f>Parts1!K145</f>
        <v>3</v>
      </c>
      <c r="H487" t="str">
        <f>Parts1!L145</f>
        <v>Capacitor, ceramic</v>
      </c>
      <c r="I487" t="str">
        <f>Parts1!M145</f>
        <v>&gt;= 16V</v>
      </c>
      <c r="J487" t="str">
        <f>Parts1!N145</f>
        <v>470n</v>
      </c>
      <c r="K487" t="str">
        <f>Parts1!O145</f>
        <v>0603</v>
      </c>
      <c r="L487" t="str">
        <f>Parts1!P145</f>
        <v>81-GRM18F51C474ZA01J</v>
      </c>
      <c r="M487" s="51" t="str">
        <f>Parts1!Q145</f>
        <v>Was 81-GRM188F51C474ZA01J.</v>
      </c>
      <c r="N487" s="58">
        <v>4.0</v>
      </c>
      <c r="O487" s="52" t="str">
        <f t="shared" si="2"/>
        <v>A</v>
      </c>
      <c r="P487" s="52">
        <f t="shared" si="5"/>
        <v>1</v>
      </c>
      <c r="Q487" s="52">
        <f t="shared" si="4"/>
        <v>0</v>
      </c>
      <c r="R487" s="52" t="b">
        <f t="shared" si="6"/>
        <v>1</v>
      </c>
    </row>
    <row r="488">
      <c r="B488" s="20" t="str">
        <f>IFERROR(__xludf.DUMMYFUNCTION("if(exact($E488, """"), """", iferror(regexextract($F488, ""^(?:- )?([A-Z]+)""), ""?""))"),"C")</f>
        <v>C</v>
      </c>
      <c r="C488" s="57" t="str">
        <f t="shared" si="3"/>
        <v>81-GRM18R61A105KA61J</v>
      </c>
      <c r="D488" t="str">
        <f>Parts1!H146</f>
        <v>Edges v2.0</v>
      </c>
      <c r="E488" t="str">
        <f>Parts1!I146</f>
        <v>S</v>
      </c>
      <c r="F488" t="str">
        <f>Parts1!J146</f>
        <v>C33, C35</v>
      </c>
      <c r="G488">
        <f>Parts1!K146</f>
        <v>2</v>
      </c>
      <c r="H488" t="str">
        <f>Parts1!L146</f>
        <v>Capacitor, ceramic</v>
      </c>
      <c r="I488" t="str">
        <f>Parts1!M146</f>
        <v>&gt;= 10V</v>
      </c>
      <c r="J488" t="str">
        <f>Parts1!N146</f>
        <v>1u</v>
      </c>
      <c r="K488" t="str">
        <f>Parts1!O146</f>
        <v>0603</v>
      </c>
      <c r="L488" t="str">
        <f>Parts1!P146</f>
        <v>81-GRM18R61A105KA61J</v>
      </c>
      <c r="M488" s="51" t="str">
        <f>Parts1!Q146</f>
        <v>Was 81-GRM188R61A105KA61J.</v>
      </c>
      <c r="N488" s="58">
        <v>4.0</v>
      </c>
      <c r="O488" s="52" t="str">
        <f t="shared" si="2"/>
        <v>A</v>
      </c>
      <c r="P488" s="52">
        <f t="shared" si="5"/>
        <v>1</v>
      </c>
      <c r="Q488" s="52">
        <f t="shared" si="4"/>
        <v>0</v>
      </c>
      <c r="R488" s="52" t="b">
        <f t="shared" si="6"/>
        <v>0</v>
      </c>
    </row>
    <row r="489">
      <c r="B489" s="20" t="str">
        <f>IFERROR(__xludf.DUMMYFUNCTION("if(exact($E489, """"), """", iferror(regexextract($F489, ""^(?:- )?([A-Z]+)""), ""?""))"),"C")</f>
        <v>C</v>
      </c>
      <c r="C489" s="57" t="str">
        <f t="shared" si="3"/>
        <v>81-GRM188R61A335KE5D</v>
      </c>
      <c r="D489" t="str">
        <f>Parts1!H239</f>
        <v>Frames v0.3</v>
      </c>
      <c r="E489" t="str">
        <f>Parts1!I239</f>
        <v>S</v>
      </c>
      <c r="F489" t="str">
        <f>Parts1!J239</f>
        <v>C8, C14</v>
      </c>
      <c r="G489">
        <f>Parts1!K239</f>
        <v>2</v>
      </c>
      <c r="H489" t="str">
        <f>Parts1!L239</f>
        <v>Capacitor, ceramic</v>
      </c>
      <c r="I489" t="str">
        <f>Parts1!M239</f>
        <v>&gt;= 6.3V</v>
      </c>
      <c r="J489" t="str">
        <f>Parts1!N239</f>
        <v>3.3u</v>
      </c>
      <c r="K489" s="59" t="str">
        <f>Parts1!O239</f>
        <v>0603</v>
      </c>
      <c r="L489" t="str">
        <f>Parts1!P239</f>
        <v>81-GRM188R61A335KE5D</v>
      </c>
      <c r="M489" s="51" t="str">
        <f>Parts1!Q239</f>
        <v>Murata GRM188R61A335KE15D</v>
      </c>
      <c r="N489" s="58">
        <v>6.0</v>
      </c>
      <c r="O489" s="52" t="str">
        <f t="shared" si="2"/>
        <v>A</v>
      </c>
      <c r="P489" s="52">
        <f t="shared" si="5"/>
        <v>1</v>
      </c>
      <c r="Q489" s="52">
        <f t="shared" si="4"/>
        <v>5</v>
      </c>
      <c r="R489" s="52" t="b">
        <f t="shared" si="6"/>
        <v>1</v>
      </c>
    </row>
    <row r="490">
      <c r="B490" s="20" t="str">
        <f>IFERROR(__xludf.DUMMYFUNCTION("if(exact($E490, """"), """", iferror(regexextract($F490, ""^(?:- )?([A-Z]+)""), ""?""))"),"C")</f>
        <v>C</v>
      </c>
      <c r="C490" s="57" t="str">
        <f t="shared" si="3"/>
        <v>81-GRM188R61A335KE5D</v>
      </c>
      <c r="D490" t="str">
        <f>Parts1!H335</f>
        <v>Peaks v3.1</v>
      </c>
      <c r="E490" t="str">
        <f>Parts1!I335</f>
        <v>S</v>
      </c>
      <c r="F490" t="str">
        <f>Parts1!J335</f>
        <v>C13</v>
      </c>
      <c r="G490">
        <f>Parts1!K335</f>
        <v>1</v>
      </c>
      <c r="H490" t="str">
        <f>Parts1!L335</f>
        <v>Capacitor, ceramic</v>
      </c>
      <c r="I490" t="str">
        <f>Parts1!M335</f>
        <v>&gt;= 6.3V</v>
      </c>
      <c r="J490" t="str">
        <f>Parts1!N335</f>
        <v>3.3u</v>
      </c>
      <c r="K490" t="str">
        <f>Parts1!O335</f>
        <v>0603</v>
      </c>
      <c r="L490" t="str">
        <f>Parts1!P335</f>
        <v>81-GRM188R61A335KE5D</v>
      </c>
      <c r="M490" s="51" t="str">
        <f>Parts1!Q335</f>
        <v/>
      </c>
      <c r="N490" s="58">
        <v>9.0</v>
      </c>
      <c r="O490" s="52" t="str">
        <f t="shared" si="2"/>
        <v>A</v>
      </c>
      <c r="P490" s="52" t="str">
        <f t="shared" si="5"/>
        <v/>
      </c>
      <c r="Q490" s="52">
        <f t="shared" si="4"/>
        <v>4</v>
      </c>
      <c r="R490" s="52" t="b">
        <f t="shared" si="6"/>
        <v>1</v>
      </c>
    </row>
    <row r="491">
      <c r="B491" s="20" t="str">
        <f>IFERROR(__xludf.DUMMYFUNCTION("if(exact($E491, """"), """", iferror(regexextract($F491, ""^(?:- )?([A-Z]+)""), ""?""))"),"C")</f>
        <v>C</v>
      </c>
      <c r="C491" s="57" t="str">
        <f t="shared" si="3"/>
        <v>81-GRM188R61A335KE5D</v>
      </c>
      <c r="D491" t="str">
        <f>Parts1!H573</f>
        <v>Streams Bargraph v0.2</v>
      </c>
      <c r="E491" t="str">
        <f>Parts1!I573</f>
        <v>S</v>
      </c>
      <c r="F491" t="str">
        <f>Parts1!J573</f>
        <v>C2, C3, C4</v>
      </c>
      <c r="G491">
        <f>Parts1!K573</f>
        <v>3</v>
      </c>
      <c r="H491" t="str">
        <f>Parts1!L573</f>
        <v>Capacitor, ceramic</v>
      </c>
      <c r="I491" t="str">
        <f>Parts1!M573</f>
        <v>&gt;= 6.3V</v>
      </c>
      <c r="J491" t="str">
        <f>Parts1!N573</f>
        <v>3.3u</v>
      </c>
      <c r="K491" t="str">
        <f>Parts1!O573</f>
        <v>0603</v>
      </c>
      <c r="L491" t="str">
        <f>Parts1!P573</f>
        <v>81-GRM188R61A335KE5D</v>
      </c>
      <c r="M491" s="51" t="str">
        <f>Parts1!Q573</f>
        <v/>
      </c>
      <c r="N491" s="58">
        <v>16.0</v>
      </c>
      <c r="O491" s="52" t="str">
        <f t="shared" si="2"/>
        <v>A</v>
      </c>
      <c r="P491" s="52" t="str">
        <f t="shared" si="5"/>
        <v/>
      </c>
      <c r="Q491" s="52">
        <f t="shared" si="4"/>
        <v>3</v>
      </c>
      <c r="R491" s="52" t="b">
        <f t="shared" si="6"/>
        <v>1</v>
      </c>
    </row>
    <row r="492">
      <c r="B492" s="20" t="str">
        <f>IFERROR(__xludf.DUMMYFUNCTION("if(exact($E492, """"), """", iferror(regexextract($F492, ""^(?:- )?([A-Z]+)""), ""?""))"),"C")</f>
        <v>C</v>
      </c>
      <c r="C492" s="57" t="str">
        <f t="shared" si="3"/>
        <v>81-GRM188R61A335KE5D</v>
      </c>
      <c r="D492" t="str">
        <f>Parts1!H538</f>
        <v>Streams v0.5</v>
      </c>
      <c r="E492" t="str">
        <f>Parts1!I538</f>
        <v>S</v>
      </c>
      <c r="F492" t="str">
        <f>Parts1!J538</f>
        <v>C9, C15</v>
      </c>
      <c r="G492">
        <f>Parts1!K538</f>
        <v>2</v>
      </c>
      <c r="H492" t="str">
        <f>Parts1!L538</f>
        <v>Capacitor, ceramic</v>
      </c>
      <c r="I492" t="str">
        <f>Parts1!M538</f>
        <v>&gt;= 6.3V</v>
      </c>
      <c r="J492" t="str">
        <f>Parts1!N538</f>
        <v>3.3u</v>
      </c>
      <c r="K492" t="str">
        <f>Parts1!O538</f>
        <v>0603</v>
      </c>
      <c r="L492" t="str">
        <f>Parts1!P538</f>
        <v>81-GRM188R61A335KE5D</v>
      </c>
      <c r="M492" s="51" t="str">
        <f>Parts1!Q538</f>
        <v/>
      </c>
      <c r="N492" s="58">
        <v>15.0</v>
      </c>
      <c r="O492" s="52" t="str">
        <f t="shared" si="2"/>
        <v>A</v>
      </c>
      <c r="P492" s="52" t="str">
        <f t="shared" si="5"/>
        <v/>
      </c>
      <c r="Q492" s="52">
        <f t="shared" si="4"/>
        <v>2</v>
      </c>
      <c r="R492" s="52" t="b">
        <f t="shared" si="6"/>
        <v>1</v>
      </c>
    </row>
    <row r="493">
      <c r="B493" s="20" t="str">
        <f>IFERROR(__xludf.DUMMYFUNCTION("if(exact($E493, """"), """", iferror(regexextract($F493, ""^(?:- )?([A-Z]+)""), ""?""))"),"C")</f>
        <v>C</v>
      </c>
      <c r="C493" s="57" t="str">
        <f t="shared" si="3"/>
        <v>81-GRM188R61A335KE5D</v>
      </c>
      <c r="D493" t="str">
        <f>Parts1!H602</f>
        <v>Tides v4.0</v>
      </c>
      <c r="E493" t="str">
        <f>Parts1!I602</f>
        <v>S</v>
      </c>
      <c r="F493" t="str">
        <f>Parts1!J602</f>
        <v>C11, C15</v>
      </c>
      <c r="G493">
        <f>Parts1!K602</f>
        <v>2</v>
      </c>
      <c r="H493" t="str">
        <f>Parts1!L602</f>
        <v>Capacitor, ceramic</v>
      </c>
      <c r="I493" t="str">
        <f>Parts1!M602</f>
        <v>&gt;= 6.3V</v>
      </c>
      <c r="J493" t="str">
        <f>Parts1!N602</f>
        <v>3.3u</v>
      </c>
      <c r="K493" s="59" t="str">
        <f>Parts1!O602</f>
        <v>0603</v>
      </c>
      <c r="L493" t="str">
        <f>Parts1!P602</f>
        <v>81-GRM188R61A335KE5D</v>
      </c>
      <c r="M493" s="51" t="str">
        <f>Parts1!Q602</f>
        <v/>
      </c>
      <c r="N493" s="58">
        <v>17.0</v>
      </c>
      <c r="O493" s="52" t="str">
        <f t="shared" si="2"/>
        <v>A</v>
      </c>
      <c r="P493" s="52" t="str">
        <f t="shared" si="5"/>
        <v/>
      </c>
      <c r="Q493" s="52">
        <f t="shared" si="4"/>
        <v>1</v>
      </c>
      <c r="R493" s="52" t="b">
        <f t="shared" si="6"/>
        <v>1</v>
      </c>
    </row>
    <row r="494">
      <c r="B494" s="20" t="str">
        <f>IFERROR(__xludf.DUMMYFUNCTION("if(exact($E494, """"), """", iferror(regexextract($F494, ""^(?:- )?([A-Z]+)""), ""?""))"),"C")</f>
        <v>C</v>
      </c>
      <c r="C494" s="68" t="str">
        <f t="shared" si="3"/>
        <v>81-GRM188R61A335KE5D</v>
      </c>
      <c r="D494" t="str">
        <f>Parts1!H690</f>
        <v>Yarns v0.3</v>
      </c>
      <c r="E494" t="str">
        <f>Parts1!I690</f>
        <v>S</v>
      </c>
      <c r="F494" s="64" t="str">
        <f>Parts1!J690</f>
        <v>C15</v>
      </c>
      <c r="G494" s="65">
        <f>Parts1!K690</f>
        <v>1</v>
      </c>
      <c r="H494" s="64" t="str">
        <f>Parts1!L690</f>
        <v>Capacitor, ceramic</v>
      </c>
      <c r="I494" s="64" t="str">
        <f>Parts1!M690</f>
        <v>&gt;= 10V</v>
      </c>
      <c r="J494" s="64" t="str">
        <f>Parts1!N690</f>
        <v>3.3u</v>
      </c>
      <c r="K494" s="64" t="str">
        <f>Parts1!O690</f>
        <v>0603</v>
      </c>
      <c r="L494" s="64" t="str">
        <f>Parts1!P690</f>
        <v>81-GRM188R61A335KE5D</v>
      </c>
      <c r="M494" s="67" t="str">
        <f>Parts1!Q690</f>
        <v/>
      </c>
      <c r="N494" s="58">
        <v>19.0</v>
      </c>
      <c r="O494" s="52" t="str">
        <f t="shared" si="2"/>
        <v>A</v>
      </c>
      <c r="P494" s="52" t="str">
        <f t="shared" si="5"/>
        <v/>
      </c>
      <c r="Q494" s="52">
        <f t="shared" si="4"/>
        <v>0</v>
      </c>
      <c r="R494" s="52" t="b">
        <f t="shared" si="6"/>
        <v>1</v>
      </c>
    </row>
    <row r="495">
      <c r="B495" s="20" t="str">
        <f>IFERROR(__xludf.DUMMYFUNCTION("if(exact($E495, """"), """", iferror(regexextract($F495, ""^(?:- )?([A-Z]+)""), ""?""))"),"C")</f>
        <v>C</v>
      </c>
      <c r="C495" s="57" t="str">
        <f t="shared" si="3"/>
        <v>81-GRM188R61C104KA1D</v>
      </c>
      <c r="D495" t="str">
        <f>Parts1!H144</f>
        <v>Edges v2.0</v>
      </c>
      <c r="E495" t="str">
        <f>Parts1!I144</f>
        <v>S</v>
      </c>
      <c r="F495" t="str">
        <f>Parts1!J144</f>
        <v>C3, C5, C7, C11, C13, C14, C15, C20, C21, C22, C24, C27, C30, C34, C36, C37, C40, C41, C43, C45</v>
      </c>
      <c r="G495">
        <f>Parts1!K144</f>
        <v>20</v>
      </c>
      <c r="H495" t="str">
        <f>Parts1!L144</f>
        <v>Capacitor, ceramic</v>
      </c>
      <c r="I495" t="str">
        <f>Parts1!M144</f>
        <v>&gt;= 16V</v>
      </c>
      <c r="J495" t="str">
        <f>Parts1!N144</f>
        <v>100n</v>
      </c>
      <c r="K495" t="str">
        <f>Parts1!O144</f>
        <v>0603</v>
      </c>
      <c r="L495" t="str">
        <f>Parts1!P144</f>
        <v>81-GRM188R61C104KA1D</v>
      </c>
      <c r="M495" s="51" t="str">
        <f>Parts1!Q144</f>
        <v>Was 81-GRM188R61C104KA01D.</v>
      </c>
      <c r="N495" s="58">
        <v>4.0</v>
      </c>
      <c r="O495" s="52" t="str">
        <f t="shared" si="2"/>
        <v>A</v>
      </c>
      <c r="P495" s="52">
        <f t="shared" si="5"/>
        <v>1</v>
      </c>
      <c r="Q495" s="52">
        <f t="shared" si="4"/>
        <v>3</v>
      </c>
      <c r="R495" s="52" t="b">
        <f t="shared" si="6"/>
        <v>0</v>
      </c>
    </row>
    <row r="496">
      <c r="B496" s="20" t="str">
        <f>IFERROR(__xludf.DUMMYFUNCTION("if(exact($E496, """"), """", iferror(regexextract($F496, ""^(?:- )?([A-Z]+)""), ""?""))"),"C")</f>
        <v>C</v>
      </c>
      <c r="C496" s="57" t="str">
        <f t="shared" si="3"/>
        <v>81-GRM188R61C104KA1D</v>
      </c>
      <c r="D496" t="str">
        <f>Parts1!H21</f>
        <v>Braids v5.1</v>
      </c>
      <c r="E496" t="str">
        <f>Parts1!I21</f>
        <v>S</v>
      </c>
      <c r="F496" t="str">
        <f>Parts1!J21</f>
        <v>C1, C2, C3, C4, C5, C7, C11, C18, C20, C23, C26, C27, C28, C31</v>
      </c>
      <c r="G496">
        <f>Parts1!K21</f>
        <v>14</v>
      </c>
      <c r="H496" t="str">
        <f>Parts1!L21</f>
        <v>Capacitor, ceramic</v>
      </c>
      <c r="I496" t="str">
        <f>Parts1!M21</f>
        <v>&gt;= 16V</v>
      </c>
      <c r="J496" t="str">
        <f>Parts1!N21</f>
        <v>100n</v>
      </c>
      <c r="K496" t="str">
        <f>Parts1!O21</f>
        <v>0603</v>
      </c>
      <c r="L496" t="str">
        <f>Parts1!P21</f>
        <v>81-GRM188R61C104KA1D</v>
      </c>
      <c r="M496" s="51" t="str">
        <f>Parts1!Q21</f>
        <v/>
      </c>
      <c r="N496" s="58">
        <v>1.0</v>
      </c>
      <c r="O496" s="52" t="str">
        <f t="shared" si="2"/>
        <v>A</v>
      </c>
      <c r="P496" s="52" t="str">
        <f t="shared" si="5"/>
        <v/>
      </c>
      <c r="Q496" s="52">
        <f t="shared" si="4"/>
        <v>2</v>
      </c>
      <c r="R496" s="52" t="b">
        <f t="shared" si="6"/>
        <v>0</v>
      </c>
    </row>
    <row r="497">
      <c r="B497" s="20" t="str">
        <f>IFERROR(__xludf.DUMMYFUNCTION("if(exact($E497, """"), """", iferror(regexextract($F497, ""^(?:- )?([A-Z]+)""), ""?""))"),"C")</f>
        <v>C</v>
      </c>
      <c r="C497" s="57" t="str">
        <f t="shared" si="3"/>
        <v>81-GRM188R61C104KA1D</v>
      </c>
      <c r="D497" t="str">
        <f>Parts1!H57</f>
        <v>Branches v4.0</v>
      </c>
      <c r="E497" t="str">
        <f>Parts1!I57</f>
        <v>S</v>
      </c>
      <c r="F497" t="str">
        <f>Parts1!J57</f>
        <v>C1, C4, C6, C7, C8</v>
      </c>
      <c r="G497" s="65">
        <f>Parts1!K57</f>
        <v>5</v>
      </c>
      <c r="H497" t="str">
        <f>Parts1!L57</f>
        <v>Capacitor, ceramic</v>
      </c>
      <c r="I497" t="str">
        <f>Parts1!M57</f>
        <v>&gt;= 16V</v>
      </c>
      <c r="J497" t="str">
        <f>Parts1!N57</f>
        <v>100n</v>
      </c>
      <c r="K497" t="str">
        <f>Parts1!O57</f>
        <v>0603</v>
      </c>
      <c r="L497" t="str">
        <f>Parts1!P57</f>
        <v>81-GRM188R61C104KA1D</v>
      </c>
      <c r="M497" s="51" t="str">
        <f>Parts1!Q57</f>
        <v/>
      </c>
      <c r="N497" s="58">
        <v>2.0</v>
      </c>
      <c r="O497" s="52" t="str">
        <f t="shared" si="2"/>
        <v>A</v>
      </c>
      <c r="P497" s="52" t="str">
        <f t="shared" si="5"/>
        <v/>
      </c>
      <c r="Q497" s="52">
        <f t="shared" si="4"/>
        <v>1</v>
      </c>
      <c r="R497" s="52" t="b">
        <f t="shared" si="6"/>
        <v>0</v>
      </c>
    </row>
    <row r="498">
      <c r="B498" s="20" t="str">
        <f>IFERROR(__xludf.DUMMYFUNCTION("if(exact($E498, """"), """", iferror(regexextract($F498, ""^(?:- )?([A-Z]+)""), ""?""))"),"C")</f>
        <v>C</v>
      </c>
      <c r="C498" s="57" t="str">
        <f t="shared" si="3"/>
        <v>81-GRM188R61C104KA1D</v>
      </c>
      <c r="D498" t="str">
        <f>Parts1!H279</f>
        <v>Grids v0.2</v>
      </c>
      <c r="E498" t="str">
        <f>Parts1!I279</f>
        <v>S</v>
      </c>
      <c r="F498" t="str">
        <f>Parts1!J279</f>
        <v>C3, C4, C5, C6, C9, C11, C13, C18</v>
      </c>
      <c r="G498" s="65">
        <f>Parts1!K279</f>
        <v>8</v>
      </c>
      <c r="H498" t="str">
        <f>Parts1!L279</f>
        <v>Capacitor, ceramic</v>
      </c>
      <c r="I498" t="str">
        <f>Parts1!M279</f>
        <v>&gt;= 16V</v>
      </c>
      <c r="J498" t="str">
        <f>Parts1!N279</f>
        <v>100n</v>
      </c>
      <c r="K498" s="59" t="str">
        <f>Parts1!O279</f>
        <v>0603</v>
      </c>
      <c r="L498" t="str">
        <f>Parts1!P279</f>
        <v>81-GRM188R61C104KA1D</v>
      </c>
      <c r="M498" s="51" t="str">
        <f>Parts1!Q279</f>
        <v/>
      </c>
      <c r="N498" s="58">
        <v>7.0</v>
      </c>
      <c r="O498" s="52" t="str">
        <f t="shared" si="2"/>
        <v>A</v>
      </c>
      <c r="P498" s="52" t="str">
        <f t="shared" si="5"/>
        <v/>
      </c>
      <c r="Q498" s="52">
        <f t="shared" si="4"/>
        <v>0</v>
      </c>
      <c r="R498" s="52" t="b">
        <f t="shared" si="6"/>
        <v>0</v>
      </c>
    </row>
    <row r="499">
      <c r="B499" s="20" t="str">
        <f>IFERROR(__xludf.DUMMYFUNCTION("if(exact($E499, """"), """", iferror(regexextract($F499, ""^(?:- )?([A-Z]+)""), ""?""))"),"C")</f>
        <v>C</v>
      </c>
      <c r="C499" s="63" t="str">
        <f t="shared" si="3"/>
        <v>81-GRM188R61E105KA2J</v>
      </c>
      <c r="D499" t="str">
        <f>Parts1!H689</f>
        <v>Yarns v0.3</v>
      </c>
      <c r="E499" t="str">
        <f>Parts1!I689</f>
        <v>S</v>
      </c>
      <c r="F499" s="64" t="str">
        <f>Parts1!J689</f>
        <v>C25, C26</v>
      </c>
      <c r="G499" s="65">
        <f>Parts1!K689</f>
        <v>2</v>
      </c>
      <c r="H499" s="64" t="str">
        <f>Parts1!L689</f>
        <v>Capacitor, ceramic</v>
      </c>
      <c r="I499" s="64" t="str">
        <f>Parts1!M689</f>
        <v>&gt;= 25V</v>
      </c>
      <c r="J499" s="64" t="str">
        <f>Parts1!N689</f>
        <v>1u</v>
      </c>
      <c r="K499" s="64" t="str">
        <f>Parts1!O689</f>
        <v>0603</v>
      </c>
      <c r="L499" s="66" t="str">
        <f>Parts1!P689</f>
        <v>81-GRM188R61E105KA2J</v>
      </c>
      <c r="M499" s="67" t="str">
        <f>Parts1!Q689</f>
        <v/>
      </c>
      <c r="N499" s="58">
        <v>19.0</v>
      </c>
      <c r="O499" s="52" t="str">
        <f t="shared" si="2"/>
        <v>A</v>
      </c>
      <c r="P499" s="52">
        <f t="shared" si="5"/>
        <v>1</v>
      </c>
      <c r="Q499" s="52">
        <f t="shared" si="4"/>
        <v>0</v>
      </c>
      <c r="R499" s="52" t="b">
        <f t="shared" si="6"/>
        <v>1</v>
      </c>
    </row>
    <row r="500">
      <c r="B500" s="20" t="str">
        <f>IFERROR(__xludf.DUMMYFUNCTION("if(exact($E500, """"), """", iferror(regexextract($F500, ""^(?:- )?([A-Z]+)""), ""?""))"),"C")</f>
        <v>C</v>
      </c>
      <c r="C500" s="57" t="str">
        <f t="shared" si="3"/>
        <v>81-GRM188R71A684KA1D</v>
      </c>
      <c r="D500" t="str">
        <f>Parts1!H537</f>
        <v>Streams v0.5</v>
      </c>
      <c r="E500" t="str">
        <f>Parts1!I537</f>
        <v>S</v>
      </c>
      <c r="F500" t="str">
        <f>Parts1!J537</f>
        <v>C6, C7</v>
      </c>
      <c r="G500">
        <f>Parts1!K537</f>
        <v>2</v>
      </c>
      <c r="H500" t="str">
        <f>Parts1!L537</f>
        <v>Capacitor, ceramic</v>
      </c>
      <c r="I500" t="str">
        <f>Parts1!M537</f>
        <v>&lt;= 10%, X5R</v>
      </c>
      <c r="J500" t="str">
        <f>Parts1!N537</f>
        <v>680n</v>
      </c>
      <c r="K500" t="str">
        <f>Parts1!O537</f>
        <v>0603</v>
      </c>
      <c r="L500" t="str">
        <f>Parts1!P537</f>
        <v>81-GRM188R71A684KA1D</v>
      </c>
      <c r="M500" s="51" t="str">
        <f>Parts1!Q537</f>
        <v>Murata GRM188R71A684KA61D</v>
      </c>
      <c r="N500" s="58">
        <v>15.0</v>
      </c>
      <c r="O500" s="52" t="str">
        <f t="shared" si="2"/>
        <v>A</v>
      </c>
      <c r="P500" s="52">
        <f t="shared" si="5"/>
        <v>1</v>
      </c>
      <c r="Q500" s="52">
        <f t="shared" si="4"/>
        <v>0</v>
      </c>
      <c r="R500" s="52" t="b">
        <f t="shared" si="6"/>
        <v>0</v>
      </c>
    </row>
    <row r="501">
      <c r="B501" s="20" t="str">
        <f>IFERROR(__xludf.DUMMYFUNCTION("if(exact($E501, """"), """", iferror(regexextract($F501, ""^(?:- )?([A-Z]+)""), ""?""))"),"C")</f>
        <v>C</v>
      </c>
      <c r="C501" s="57" t="str">
        <f t="shared" si="3"/>
        <v>81-GRM188R71C224KA1J</v>
      </c>
      <c r="D501" t="str">
        <f>Parts1!H431</f>
        <v>Ripples v4.0</v>
      </c>
      <c r="E501" t="str">
        <f>Parts1!I431</f>
        <v>S</v>
      </c>
      <c r="F501" t="str">
        <f>Parts1!J431</f>
        <v>C11, C25</v>
      </c>
      <c r="G501">
        <f>Parts1!K431</f>
        <v>2</v>
      </c>
      <c r="H501" t="str">
        <f>Parts1!L431</f>
        <v>Capacitor, ceramic</v>
      </c>
      <c r="I501" t="str">
        <f>Parts1!M431</f>
        <v>&gt;= 16V</v>
      </c>
      <c r="J501" s="59" t="str">
        <f>Parts1!N431</f>
        <v>220n</v>
      </c>
      <c r="K501" s="59" t="str">
        <f>Parts1!O431</f>
        <v>0603</v>
      </c>
      <c r="L501" t="str">
        <f>Parts1!P431</f>
        <v>81-GRM188R71C224KA1J</v>
      </c>
      <c r="M501" s="51" t="str">
        <f>Parts1!Q431</f>
        <v>Murata GRM188R71C224KA01J</v>
      </c>
      <c r="N501" s="58">
        <v>11.0</v>
      </c>
      <c r="O501" s="52" t="str">
        <f t="shared" si="2"/>
        <v>A</v>
      </c>
      <c r="P501" s="52">
        <f t="shared" si="5"/>
        <v>1</v>
      </c>
      <c r="Q501" s="52">
        <f t="shared" si="4"/>
        <v>1</v>
      </c>
      <c r="R501" s="52" t="b">
        <f t="shared" si="6"/>
        <v>1</v>
      </c>
    </row>
    <row r="502">
      <c r="B502" s="20" t="str">
        <f>IFERROR(__xludf.DUMMYFUNCTION("if(exact($E502, """"), """", iferror(regexextract($F502, ""^(?:- )?([A-Z]+)""), ""?""))"),"C")</f>
        <v>C</v>
      </c>
      <c r="C502" s="68" t="str">
        <f t="shared" si="3"/>
        <v>81-GRM188R71C224KA1J</v>
      </c>
      <c r="D502" t="str">
        <f>Parts1!H688</f>
        <v>Yarns v0.3</v>
      </c>
      <c r="E502" t="str">
        <f>Parts1!I688</f>
        <v>S</v>
      </c>
      <c r="F502" s="64" t="str">
        <f>Parts1!J688</f>
        <v>C17</v>
      </c>
      <c r="G502" s="65">
        <f>Parts1!K688</f>
        <v>1</v>
      </c>
      <c r="H502" s="64" t="str">
        <f>Parts1!L688</f>
        <v>Capacitor, ceramic</v>
      </c>
      <c r="I502" s="64" t="str">
        <f>Parts1!M688</f>
        <v>&gt;= 16V</v>
      </c>
      <c r="J502" s="64" t="str">
        <f>Parts1!N688</f>
        <v>220n</v>
      </c>
      <c r="K502" s="64" t="str">
        <f>Parts1!O688</f>
        <v>603</v>
      </c>
      <c r="L502" s="64" t="str">
        <f>Parts1!P688</f>
        <v>81-GRM188R71C224KA1J</v>
      </c>
      <c r="M502" s="67" t="str">
        <f>Parts1!Q688</f>
        <v/>
      </c>
      <c r="N502" s="58">
        <v>19.0</v>
      </c>
      <c r="O502" s="52" t="str">
        <f t="shared" si="2"/>
        <v>A</v>
      </c>
      <c r="P502" s="52" t="str">
        <f t="shared" si="5"/>
        <v/>
      </c>
      <c r="Q502" s="52">
        <f t="shared" si="4"/>
        <v>0</v>
      </c>
      <c r="R502" s="52" t="b">
        <f t="shared" si="6"/>
        <v>1</v>
      </c>
    </row>
    <row r="503">
      <c r="B503" s="20" t="str">
        <f>IFERROR(__xludf.DUMMYFUNCTION("if(exact($E503, """"), """", iferror(regexextract($F503, ""^(?:- )?([A-Z]+)""), ""?""))"),"C")</f>
        <v>C</v>
      </c>
      <c r="C503" s="57" t="str">
        <f t="shared" si="3"/>
        <v>81-GRM188R71E104JA1J</v>
      </c>
      <c r="D503" t="str">
        <f>Parts1!H97</f>
        <v>Clouds v3.0</v>
      </c>
      <c r="E503" t="str">
        <f>Parts1!I97</f>
        <v>S</v>
      </c>
      <c r="F503" t="str">
        <f>Parts1!J97</f>
        <v>C3, C5, C8, C14, C15, C16, C17, C18, C23, C25, C26, C29, C30, C32, C34, C38, C39, C45, C46</v>
      </c>
      <c r="G503">
        <f>Parts1!K97</f>
        <v>19</v>
      </c>
      <c r="H503" t="str">
        <f>Parts1!L97</f>
        <v>Capacitor, ceramic</v>
      </c>
      <c r="I503" t="str">
        <f>Parts1!M97</f>
        <v>&gt;= 16V</v>
      </c>
      <c r="J503" t="str">
        <f>Parts1!N97</f>
        <v>100n</v>
      </c>
      <c r="K503" s="59" t="str">
        <f>Parts1!O97</f>
        <v>0603</v>
      </c>
      <c r="L503" t="str">
        <f>Parts1!P97</f>
        <v>81-GRM188R71E104JA1J</v>
      </c>
      <c r="M503" s="51" t="str">
        <f>Parts1!Q97</f>
        <v>Murata GRM188R71E104JA01J</v>
      </c>
      <c r="N503" s="58">
        <v>3.0</v>
      </c>
      <c r="O503" s="52" t="str">
        <f t="shared" si="2"/>
        <v>A</v>
      </c>
      <c r="P503" s="52">
        <f t="shared" si="5"/>
        <v>1</v>
      </c>
      <c r="Q503" s="52">
        <f t="shared" si="4"/>
        <v>14</v>
      </c>
      <c r="R503" s="52" t="b">
        <f t="shared" si="6"/>
        <v>0</v>
      </c>
    </row>
    <row r="504">
      <c r="B504" s="20" t="str">
        <f>IFERROR(__xludf.DUMMYFUNCTION("if(exact($E504, """"), """", iferror(regexextract($F504, ""^(?:- )?([A-Z]+)""), ""?""))"),"C")</f>
        <v>C</v>
      </c>
      <c r="C504" s="57" t="str">
        <f t="shared" si="3"/>
        <v>81-GRM188R71E104JA1J</v>
      </c>
      <c r="D504" t="str">
        <f>Parts1!H193</f>
        <v>Elements v0.21</v>
      </c>
      <c r="E504" t="str">
        <f>Parts1!I193</f>
        <v>S</v>
      </c>
      <c r="F504" t="str">
        <f>Parts1!J193</f>
        <v>C2, C4, C5, C6, C7, C8, C13, C16, C18, C21, C22, C23, C29, C32, C33, C34, C37, C38, C39, C44, C45, C46, C47, C51</v>
      </c>
      <c r="G504">
        <f>Parts1!K193</f>
        <v>24</v>
      </c>
      <c r="H504" t="str">
        <f>Parts1!L193</f>
        <v>Capacitor, ceramic</v>
      </c>
      <c r="I504" t="str">
        <f>Parts1!M193</f>
        <v>&gt;= 16V</v>
      </c>
      <c r="J504" t="str">
        <f>Parts1!N193</f>
        <v>100n</v>
      </c>
      <c r="K504" t="str">
        <f>Parts1!O193</f>
        <v>0603</v>
      </c>
      <c r="L504" t="str">
        <f>Parts1!P193</f>
        <v>81-GRM188R71E104JA1J</v>
      </c>
      <c r="M504" s="51" t="str">
        <f>Parts1!Q193</f>
        <v>Murata GRM188R71E104JA01J</v>
      </c>
      <c r="N504" s="58">
        <v>5.0</v>
      </c>
      <c r="O504" s="52" t="str">
        <f t="shared" si="2"/>
        <v>A</v>
      </c>
      <c r="P504" s="52" t="str">
        <f t="shared" si="5"/>
        <v/>
      </c>
      <c r="Q504" s="52">
        <f t="shared" si="4"/>
        <v>13</v>
      </c>
      <c r="R504" s="52" t="b">
        <f t="shared" si="6"/>
        <v>0</v>
      </c>
    </row>
    <row r="505">
      <c r="B505" s="20" t="str">
        <f>IFERROR(__xludf.DUMMYFUNCTION("if(exact($E505, """"), """", iferror(regexextract($F505, ""^(?:- )?([A-Z]+)""), ""?""))"),"C")</f>
        <v>C</v>
      </c>
      <c r="C505" s="57" t="str">
        <f t="shared" si="3"/>
        <v>81-GRM188R71E104JA1J</v>
      </c>
      <c r="D505" t="str">
        <f>Parts1!H236</f>
        <v>Frames v0.3</v>
      </c>
      <c r="E505" t="str">
        <f>Parts1!I236</f>
        <v>S</v>
      </c>
      <c r="F505" t="str">
        <f>Parts1!J236</f>
        <v>C2, C3, C6, C7, C10, C13, C16, C24, C25, C26, C28, C29, C30, C34, C35, C36, C37, C41, C45, C47, C48</v>
      </c>
      <c r="G505">
        <f>Parts1!K236</f>
        <v>21</v>
      </c>
      <c r="H505" t="str">
        <f>Parts1!L236</f>
        <v>Capacitor, ceramic</v>
      </c>
      <c r="I505" t="str">
        <f>Parts1!M236</f>
        <v>&gt;= 16V</v>
      </c>
      <c r="J505" t="str">
        <f>Parts1!N236</f>
        <v>100n</v>
      </c>
      <c r="K505" s="59" t="str">
        <f>Parts1!O236</f>
        <v>0603</v>
      </c>
      <c r="L505" t="str">
        <f>Parts1!P236</f>
        <v>81-GRM188R71E104JA1J</v>
      </c>
      <c r="M505" s="51" t="str">
        <f>Parts1!Q236</f>
        <v>Murata GRM188R71E104JA01J</v>
      </c>
      <c r="N505" s="58">
        <v>6.0</v>
      </c>
      <c r="O505" s="52" t="str">
        <f t="shared" si="2"/>
        <v>A</v>
      </c>
      <c r="P505" s="52" t="str">
        <f t="shared" si="5"/>
        <v/>
      </c>
      <c r="Q505" s="52">
        <f t="shared" si="4"/>
        <v>12</v>
      </c>
      <c r="R505" s="52" t="b">
        <f t="shared" si="6"/>
        <v>0</v>
      </c>
    </row>
    <row r="506">
      <c r="B506" s="20" t="str">
        <f>IFERROR(__xludf.DUMMYFUNCTION("if(exact($E506, """"), """", iferror(regexextract($F506, ""^(?:- )?([A-Z]+)""), ""?""))"),"C")</f>
        <v>C</v>
      </c>
      <c r="C506" s="57" t="str">
        <f t="shared" si="3"/>
        <v>81-GRM188R71E104JA1J</v>
      </c>
      <c r="D506" t="str">
        <f>Parts1!H308</f>
        <v>Links v4</v>
      </c>
      <c r="E506" t="str">
        <f>Parts1!I308</f>
        <v>S</v>
      </c>
      <c r="F506" t="str">
        <f>Parts1!J308</f>
        <v>C3, C4, C5, C7, C8, C10</v>
      </c>
      <c r="G506">
        <f>Parts1!K308</f>
        <v>6</v>
      </c>
      <c r="H506" t="str">
        <f>Parts1!L308</f>
        <v>Capacitor, ceramic</v>
      </c>
      <c r="I506" t="str">
        <f>Parts1!M308</f>
        <v>&gt;= 16V</v>
      </c>
      <c r="J506" t="str">
        <f>Parts1!N308</f>
        <v>100n</v>
      </c>
      <c r="K506" t="str">
        <f>Parts1!O308</f>
        <v>0603</v>
      </c>
      <c r="L506" t="str">
        <f>Parts1!P308</f>
        <v>81-GRM188R71E104JA1J</v>
      </c>
      <c r="M506" s="51" t="str">
        <f>Parts1!Q308</f>
        <v/>
      </c>
      <c r="N506" s="58">
        <v>8.0</v>
      </c>
      <c r="O506" s="52" t="str">
        <f t="shared" si="2"/>
        <v>A</v>
      </c>
      <c r="P506" s="52" t="str">
        <f t="shared" si="5"/>
        <v/>
      </c>
      <c r="Q506" s="52">
        <f t="shared" si="4"/>
        <v>11</v>
      </c>
      <c r="R506" s="52" t="b">
        <f t="shared" si="6"/>
        <v>0</v>
      </c>
    </row>
    <row r="507">
      <c r="B507" s="20" t="str">
        <f>IFERROR(__xludf.DUMMYFUNCTION("if(exact($E507, """"), """", iferror(regexextract($F507, ""^(?:- )?([A-Z]+)""), ""?""))"),"C")</f>
        <v>C</v>
      </c>
      <c r="C507" s="57" t="str">
        <f t="shared" si="3"/>
        <v>81-GRM188R71E104JA1J</v>
      </c>
      <c r="D507" t="str">
        <f>Parts1!H333</f>
        <v>Peaks v3.1</v>
      </c>
      <c r="E507" t="str">
        <f>Parts1!I333</f>
        <v>S</v>
      </c>
      <c r="F507" t="str">
        <f>Parts1!J333</f>
        <v>C3, C5, C8, C9, C10, C12, C16, C18, C21, C24</v>
      </c>
      <c r="G507">
        <f>Parts1!K333</f>
        <v>10</v>
      </c>
      <c r="H507" t="str">
        <f>Parts1!L333</f>
        <v>Capacitor, ceramic</v>
      </c>
      <c r="I507" t="str">
        <f>Parts1!M333</f>
        <v>&gt;= 16V</v>
      </c>
      <c r="J507" t="str">
        <f>Parts1!N333</f>
        <v>100n</v>
      </c>
      <c r="K507" t="str">
        <f>Parts1!O333</f>
        <v>0603</v>
      </c>
      <c r="L507" t="str">
        <f>Parts1!P333</f>
        <v>81-GRM188R71E104JA1J</v>
      </c>
      <c r="M507" s="51" t="str">
        <f>Parts1!Q333</f>
        <v/>
      </c>
      <c r="N507" s="58">
        <v>9.0</v>
      </c>
      <c r="O507" s="52" t="str">
        <f t="shared" si="2"/>
        <v>A</v>
      </c>
      <c r="P507" s="52" t="str">
        <f t="shared" si="5"/>
        <v/>
      </c>
      <c r="Q507" s="52">
        <f t="shared" si="4"/>
        <v>10</v>
      </c>
      <c r="R507" s="52" t="b">
        <f t="shared" si="6"/>
        <v>0</v>
      </c>
    </row>
    <row r="508">
      <c r="B508" s="20" t="str">
        <f>IFERROR(__xludf.DUMMYFUNCTION("if(exact($E508, """"), """", iferror(regexextract($F508, ""^(?:- )?([A-Z]+)""), ""?""))"),"C")</f>
        <v>C</v>
      </c>
      <c r="C508" s="57" t="str">
        <f t="shared" si="3"/>
        <v>81-GRM188R71E104JA1J</v>
      </c>
      <c r="D508" t="str">
        <f>Parts1!H381</f>
        <v>Rings v3.0</v>
      </c>
      <c r="E508" t="str">
        <f>Parts1!I381</f>
        <v>S</v>
      </c>
      <c r="F508" t="str">
        <f>Parts1!J381</f>
        <v>C6, C9, C10, C11, C13, C15, C17, C19, C20, C25, C27, C31, C35, C37, C39, C44, C45, C47, C48</v>
      </c>
      <c r="G508">
        <f>Parts1!K381</f>
        <v>19</v>
      </c>
      <c r="H508" t="str">
        <f>Parts1!L381</f>
        <v>Capacitor, ceramic</v>
      </c>
      <c r="I508" t="str">
        <f>Parts1!M381</f>
        <v>&gt;= 16V</v>
      </c>
      <c r="J508" t="str">
        <f>Parts1!N381</f>
        <v>100n</v>
      </c>
      <c r="K508" s="59" t="str">
        <f>Parts1!O381</f>
        <v>0603</v>
      </c>
      <c r="L508" t="str">
        <f>Parts1!P381</f>
        <v>81-GRM188R71E104JA1J</v>
      </c>
      <c r="M508" s="51" t="str">
        <f>Parts1!Q381</f>
        <v>Murata GRM188R71E104JA01J</v>
      </c>
      <c r="N508" s="58">
        <v>10.0</v>
      </c>
      <c r="O508" s="52" t="str">
        <f t="shared" si="2"/>
        <v>A</v>
      </c>
      <c r="P508" s="52" t="str">
        <f t="shared" si="5"/>
        <v/>
      </c>
      <c r="Q508" s="52">
        <f t="shared" si="4"/>
        <v>9</v>
      </c>
      <c r="R508" s="52" t="b">
        <f t="shared" si="6"/>
        <v>0</v>
      </c>
    </row>
    <row r="509">
      <c r="B509" s="20" t="str">
        <f>IFERROR(__xludf.DUMMYFUNCTION("if(exact($E509, """"), """", iferror(regexextract($F509, ""^(?:- )?([A-Z]+)""), ""?""))"),"C")</f>
        <v>C</v>
      </c>
      <c r="C509" s="57" t="str">
        <f t="shared" si="3"/>
        <v>81-GRM188R71E104JA1J</v>
      </c>
      <c r="D509" t="str">
        <f>Parts1!H430</f>
        <v>Ripples v4.0</v>
      </c>
      <c r="E509" t="str">
        <f>Parts1!I430</f>
        <v>S</v>
      </c>
      <c r="F509" t="str">
        <f>Parts1!J430</f>
        <v>C5, C10, C13, C15, C19, C20, C21, C28</v>
      </c>
      <c r="G509">
        <f>Parts1!K430</f>
        <v>8</v>
      </c>
      <c r="H509" t="str">
        <f>Parts1!L430</f>
        <v>Capacitor, ceramic</v>
      </c>
      <c r="I509" t="str">
        <f>Parts1!M430</f>
        <v>&gt;= 16V</v>
      </c>
      <c r="J509" t="str">
        <f>Parts1!N430</f>
        <v>100n</v>
      </c>
      <c r="K509" s="59" t="str">
        <f>Parts1!O430</f>
        <v>0603</v>
      </c>
      <c r="L509" t="str">
        <f>Parts1!P430</f>
        <v>81-GRM188R71E104JA1J</v>
      </c>
      <c r="M509" s="51" t="str">
        <f>Parts1!Q430</f>
        <v>Murata GRM188R71E104JA01J</v>
      </c>
      <c r="N509" s="58">
        <v>11.0</v>
      </c>
      <c r="O509" s="52" t="str">
        <f t="shared" si="2"/>
        <v>A</v>
      </c>
      <c r="P509" s="52" t="str">
        <f t="shared" si="5"/>
        <v/>
      </c>
      <c r="Q509" s="52">
        <f t="shared" si="4"/>
        <v>8</v>
      </c>
      <c r="R509" s="52" t="b">
        <f t="shared" si="6"/>
        <v>0</v>
      </c>
    </row>
    <row r="510">
      <c r="B510" s="20" t="str">
        <f>IFERROR(__xludf.DUMMYFUNCTION("if(exact($E510, """"), """", iferror(regexextract($F510, ""^(?:- )?([A-Z]+)""), ""?""))"),"C")</f>
        <v>C</v>
      </c>
      <c r="C510" s="57" t="str">
        <f t="shared" si="3"/>
        <v>81-GRM188R71E104JA1J</v>
      </c>
      <c r="D510" t="str">
        <f>Parts1!H456</f>
        <v>Shades v3.1</v>
      </c>
      <c r="E510" t="str">
        <f>Parts1!I456</f>
        <v>S</v>
      </c>
      <c r="F510" t="str">
        <f>Parts1!J456</f>
        <v>C3, C4, C6, C7, C9, C10, C11, C12, C13, C15</v>
      </c>
      <c r="G510">
        <f>Parts1!K456</f>
        <v>10</v>
      </c>
      <c r="H510" t="str">
        <f>Parts1!L456</f>
        <v>Capacitor, ceramic</v>
      </c>
      <c r="I510" t="str">
        <f>Parts1!M456</f>
        <v>&gt;= 16V</v>
      </c>
      <c r="J510" t="str">
        <f>Parts1!N456</f>
        <v>100n</v>
      </c>
      <c r="K510" t="str">
        <f>Parts1!O456</f>
        <v>0603</v>
      </c>
      <c r="L510" t="str">
        <f>Parts1!P456</f>
        <v>81-GRM188R71E104JA1J</v>
      </c>
      <c r="M510" s="51" t="str">
        <f>Parts1!Q456</f>
        <v>Murata GRM188R71E104JA01J</v>
      </c>
      <c r="N510" s="58">
        <v>12.0</v>
      </c>
      <c r="O510" s="52" t="str">
        <f t="shared" si="2"/>
        <v>A</v>
      </c>
      <c r="P510" s="52" t="str">
        <f t="shared" si="5"/>
        <v/>
      </c>
      <c r="Q510" s="52">
        <f t="shared" si="4"/>
        <v>7</v>
      </c>
      <c r="R510" s="52" t="b">
        <f t="shared" si="6"/>
        <v>0</v>
      </c>
    </row>
    <row r="511">
      <c r="B511" s="20" t="str">
        <f>IFERROR(__xludf.DUMMYFUNCTION("if(exact($E511, """"), """", iferror(regexextract($F511, ""^(?:- )?([A-Z]+)""), ""?""))"),"C")</f>
        <v>C</v>
      </c>
      <c r="C511" s="57" t="str">
        <f t="shared" si="3"/>
        <v>81-GRM188R71E104JA1J</v>
      </c>
      <c r="D511" t="str">
        <f>Parts1!H489</f>
        <v>Shelves v0.5</v>
      </c>
      <c r="E511" t="str">
        <f>Parts1!I489</f>
        <v>S</v>
      </c>
      <c r="F511" t="str">
        <f>Parts1!J489</f>
        <v>C3, C4, C5, C8, C9, C12, C13, C20, C21, C22, C27, C28, C31, C35, C36, C37, C42, C43, C44, C50, C51, C52, C53, C54, C55, C56, C57</v>
      </c>
      <c r="G511">
        <f>Parts1!K489</f>
        <v>27</v>
      </c>
      <c r="H511" t="str">
        <f>Parts1!L489</f>
        <v>Capacitor, ceramic</v>
      </c>
      <c r="I511" t="str">
        <f>Parts1!M489</f>
        <v>&gt;= 16V</v>
      </c>
      <c r="J511" t="str">
        <f>Parts1!N489</f>
        <v>100n</v>
      </c>
      <c r="K511" t="str">
        <f>Parts1!O489</f>
        <v>0603</v>
      </c>
      <c r="L511" t="str">
        <f>Parts1!P489</f>
        <v>81-GRM188R71E104JA1J</v>
      </c>
      <c r="M511" s="51" t="str">
        <f>Parts1!Q489</f>
        <v>Murata GRM188R71E104JA01J</v>
      </c>
      <c r="N511" s="58">
        <v>13.0</v>
      </c>
      <c r="O511" s="52" t="str">
        <f t="shared" si="2"/>
        <v>A</v>
      </c>
      <c r="P511" s="52" t="str">
        <f t="shared" si="5"/>
        <v/>
      </c>
      <c r="Q511" s="52">
        <f t="shared" si="4"/>
        <v>6</v>
      </c>
      <c r="R511" s="52" t="b">
        <f t="shared" si="6"/>
        <v>0</v>
      </c>
    </row>
    <row r="512">
      <c r="B512" s="20" t="str">
        <f>IFERROR(__xludf.DUMMYFUNCTION("if(exact($E512, """"), """", iferror(regexextract($F512, ""^(?:- )?([A-Z]+)""), ""?""))"),"C")</f>
        <v>C</v>
      </c>
      <c r="C512" s="57" t="str">
        <f t="shared" si="3"/>
        <v>81-GRM188R71E104JA1J</v>
      </c>
      <c r="D512" t="str">
        <f>Parts1!H572</f>
        <v>Streams Bargraph v0.2</v>
      </c>
      <c r="E512" t="str">
        <f>Parts1!I572</f>
        <v>S</v>
      </c>
      <c r="F512" t="str">
        <f>Parts1!J572</f>
        <v>C1</v>
      </c>
      <c r="G512">
        <f>Parts1!K572</f>
        <v>1</v>
      </c>
      <c r="H512" t="str">
        <f>Parts1!L572</f>
        <v>Capacitor, ceramic</v>
      </c>
      <c r="I512" t="str">
        <f>Parts1!M572</f>
        <v>&gt;= 16V</v>
      </c>
      <c r="J512" t="str">
        <f>Parts1!N572</f>
        <v>100n</v>
      </c>
      <c r="K512" t="str">
        <f>Parts1!O572</f>
        <v>0603</v>
      </c>
      <c r="L512" t="str">
        <f>Parts1!P572</f>
        <v>81-GRM188R71E104JA1J</v>
      </c>
      <c r="M512" s="51" t="str">
        <f>Parts1!Q572</f>
        <v/>
      </c>
      <c r="N512" s="58">
        <v>16.0</v>
      </c>
      <c r="O512" s="52" t="str">
        <f t="shared" si="2"/>
        <v>A</v>
      </c>
      <c r="P512" s="52" t="str">
        <f t="shared" si="5"/>
        <v/>
      </c>
      <c r="Q512" s="52">
        <f t="shared" si="4"/>
        <v>5</v>
      </c>
      <c r="R512" s="52" t="b">
        <f t="shared" si="6"/>
        <v>0</v>
      </c>
    </row>
    <row r="513">
      <c r="B513" s="20" t="str">
        <f>IFERROR(__xludf.DUMMYFUNCTION("if(exact($E513, """"), """", iferror(regexextract($F513, ""^(?:- )?([A-Z]+)""), ""?""))"),"C")</f>
        <v>C</v>
      </c>
      <c r="C513" s="57" t="str">
        <f t="shared" si="3"/>
        <v>81-GRM188R71E104JA1J</v>
      </c>
      <c r="D513" t="str">
        <f>Parts1!H536</f>
        <v>Streams v0.5</v>
      </c>
      <c r="E513" t="str">
        <f>Parts1!I536</f>
        <v>S</v>
      </c>
      <c r="F513" t="str">
        <f>Parts1!J536</f>
        <v>C1, C3, C4, C8, C10, C13, C14, C17, C25, C29, C32, C33, C34, C35, C39, C41, C44, C45, C46, C47, C48, C49, C56</v>
      </c>
      <c r="G513">
        <f>Parts1!K536</f>
        <v>23</v>
      </c>
      <c r="H513" t="str">
        <f>Parts1!L536</f>
        <v>Capacitor, ceramic</v>
      </c>
      <c r="I513" t="str">
        <f>Parts1!M536</f>
        <v>&gt;= 16V</v>
      </c>
      <c r="J513" t="str">
        <f>Parts1!N536</f>
        <v>100n</v>
      </c>
      <c r="K513" t="str">
        <f>Parts1!O536</f>
        <v>0603</v>
      </c>
      <c r="L513" t="str">
        <f>Parts1!P536</f>
        <v>81-GRM188R71E104JA1J</v>
      </c>
      <c r="M513" s="51" t="str">
        <f>Parts1!Q536</f>
        <v>Murata GRM188R71E104JA01J</v>
      </c>
      <c r="N513" s="58">
        <v>15.0</v>
      </c>
      <c r="O513" s="52" t="str">
        <f t="shared" si="2"/>
        <v>A</v>
      </c>
      <c r="P513" s="52" t="str">
        <f t="shared" si="5"/>
        <v/>
      </c>
      <c r="Q513" s="52">
        <f t="shared" si="4"/>
        <v>4</v>
      </c>
      <c r="R513" s="52" t="b">
        <f t="shared" si="6"/>
        <v>0</v>
      </c>
    </row>
    <row r="514">
      <c r="B514" s="20" t="str">
        <f>IFERROR(__xludf.DUMMYFUNCTION("if(exact($E514, """"), """", iferror(regexextract($F514, ""^(?:- )?([A-Z]+)""), ""?""))"),"C")</f>
        <v>C</v>
      </c>
      <c r="C514" s="57" t="str">
        <f t="shared" si="3"/>
        <v>81-GRM188R71E104JA1J</v>
      </c>
      <c r="D514" t="str">
        <f>Parts1!H600</f>
        <v>Tides v4.0</v>
      </c>
      <c r="E514" t="str">
        <f>Parts1!I600</f>
        <v>S</v>
      </c>
      <c r="F514" t="str">
        <f>Parts1!J600</f>
        <v>C4, C5, C6, C7, C12, C14, C16, C18, C20, C24, C25, C30, C33</v>
      </c>
      <c r="G514">
        <f>Parts1!K600</f>
        <v>13</v>
      </c>
      <c r="H514" t="str">
        <f>Parts1!L600</f>
        <v>Capacitor, ceramic</v>
      </c>
      <c r="I514" t="str">
        <f>Parts1!M600</f>
        <v>&gt;= 16V</v>
      </c>
      <c r="J514" t="str">
        <f>Parts1!N600</f>
        <v>100n</v>
      </c>
      <c r="K514" s="59" t="str">
        <f>Parts1!O600</f>
        <v>0603</v>
      </c>
      <c r="L514" t="str">
        <f>Parts1!P600</f>
        <v>81-GRM188R71E104JA1J</v>
      </c>
      <c r="M514" s="51" t="str">
        <f>Parts1!Q600</f>
        <v/>
      </c>
      <c r="N514" s="58">
        <v>17.0</v>
      </c>
      <c r="O514" s="52" t="str">
        <f t="shared" si="2"/>
        <v>A</v>
      </c>
      <c r="P514" s="52" t="str">
        <f t="shared" si="5"/>
        <v/>
      </c>
      <c r="Q514" s="52">
        <f t="shared" si="4"/>
        <v>3</v>
      </c>
      <c r="R514" s="52" t="b">
        <f t="shared" si="6"/>
        <v>0</v>
      </c>
    </row>
    <row r="515">
      <c r="B515" s="20" t="str">
        <f>IFERROR(__xludf.DUMMYFUNCTION("if(exact($E515, """"), """", iferror(regexextract($F515, ""^(?:- )?([A-Z]+)""), ""?""))"),"C")</f>
        <v>C</v>
      </c>
      <c r="C515" s="57" t="str">
        <f t="shared" si="3"/>
        <v>81-GRM188R71E104JA1J</v>
      </c>
      <c r="D515" t="str">
        <f>Parts1!H648</f>
        <v>Warps v3.0</v>
      </c>
      <c r="E515" t="str">
        <f>Parts1!I648</f>
        <v>S</v>
      </c>
      <c r="F515" t="str">
        <f>Parts1!J648</f>
        <v>C5, C6, C9, C13, C16, C17, C18, C20, C21, C24, C25, C28, C30, C31, C33, C34, C40, C42</v>
      </c>
      <c r="G515">
        <f>Parts1!K648</f>
        <v>18</v>
      </c>
      <c r="H515" t="str">
        <f>Parts1!L648</f>
        <v>Capacitor, ceramic</v>
      </c>
      <c r="I515" t="str">
        <f>Parts1!M648</f>
        <v>&gt;= 16V</v>
      </c>
      <c r="J515" t="str">
        <f>Parts1!N648</f>
        <v>100n</v>
      </c>
      <c r="K515" t="str">
        <f>Parts1!O648</f>
        <v>0603</v>
      </c>
      <c r="L515" t="str">
        <f>Parts1!P648</f>
        <v>81-GRM188R71E104JA1J</v>
      </c>
      <c r="M515" s="51" t="str">
        <f>Parts1!Q648</f>
        <v>Murata GRM188R71E104JA01J</v>
      </c>
      <c r="N515" s="58">
        <v>18.0</v>
      </c>
      <c r="O515" s="52" t="str">
        <f t="shared" si="2"/>
        <v>A</v>
      </c>
      <c r="P515" s="52" t="str">
        <f t="shared" si="5"/>
        <v/>
      </c>
      <c r="Q515" s="52">
        <f t="shared" si="4"/>
        <v>2</v>
      </c>
      <c r="R515" s="52" t="b">
        <f t="shared" si="6"/>
        <v>0</v>
      </c>
    </row>
    <row r="516">
      <c r="B516" s="20" t="str">
        <f>IFERROR(__xludf.DUMMYFUNCTION("if(exact($E516, """"), """", iferror(regexextract($F516, ""^(?:- )?([A-Z]+)""), ""?""))"),"C")</f>
        <v>C</v>
      </c>
      <c r="C516" s="68" t="str">
        <f t="shared" si="3"/>
        <v>81-GRM188R71E104JA1J</v>
      </c>
      <c r="D516" t="str">
        <f>Parts1!H687</f>
        <v>Yarns v0.3</v>
      </c>
      <c r="E516" t="str">
        <f>Parts1!I687</f>
        <v>S</v>
      </c>
      <c r="F516" s="64" t="str">
        <f>Parts1!J687</f>
        <v>C2, C5, C6, C8, C9, C11, C13, C18, C19, C20, C23, C27</v>
      </c>
      <c r="G516" s="65">
        <f>Parts1!K687</f>
        <v>12</v>
      </c>
      <c r="H516" s="64" t="str">
        <f>Parts1!L687</f>
        <v>Capacitor, ceramic</v>
      </c>
      <c r="I516" s="64" t="str">
        <f>Parts1!M687</f>
        <v>&gt;= 16V</v>
      </c>
      <c r="J516" s="64" t="str">
        <f>Parts1!N687</f>
        <v>100n</v>
      </c>
      <c r="K516" s="64" t="str">
        <f>Parts1!O687</f>
        <v>0603</v>
      </c>
      <c r="L516" s="64" t="str">
        <f>Parts1!P687</f>
        <v>81-GRM188R71E104JA1J</v>
      </c>
      <c r="M516" s="67" t="str">
        <f>Parts1!Q687</f>
        <v/>
      </c>
      <c r="N516" s="58">
        <v>19.0</v>
      </c>
      <c r="O516" s="52" t="str">
        <f t="shared" si="2"/>
        <v>A</v>
      </c>
      <c r="P516" s="52" t="str">
        <f t="shared" si="5"/>
        <v/>
      </c>
      <c r="Q516" s="52">
        <f t="shared" si="4"/>
        <v>1</v>
      </c>
      <c r="R516" s="52" t="b">
        <f t="shared" si="6"/>
        <v>0</v>
      </c>
    </row>
    <row r="517">
      <c r="B517" s="20" t="str">
        <f>IFERROR(__xludf.DUMMYFUNCTION("if(exact($E517, """"), """", iferror(regexextract($F517, ""^(?:- )?([A-Z]+)""), ""?""))"),"C")</f>
        <v>C</v>
      </c>
      <c r="C517" s="68" t="str">
        <f t="shared" si="3"/>
        <v>81-GRM188R71E104JA1J</v>
      </c>
      <c r="D517" t="str">
        <f>Parts1!H704</f>
        <v>Yarns v0.3</v>
      </c>
      <c r="E517" t="str">
        <f>Parts1!I704</f>
        <v>S</v>
      </c>
      <c r="F517" s="64" t="str">
        <f>Parts1!J704</f>
        <v>C24</v>
      </c>
      <c r="G517" s="65">
        <f>Parts1!K704</f>
        <v>1</v>
      </c>
      <c r="H517" s="64" t="str">
        <f>Parts1!L704</f>
        <v>Capacitor, ceramic</v>
      </c>
      <c r="I517" s="64" t="str">
        <f>Parts1!M704</f>
        <v>&gt;= 16V</v>
      </c>
      <c r="J517" s="64" t="str">
        <f>Parts1!N704</f>
        <v>100n</v>
      </c>
      <c r="K517" s="64" t="str">
        <f>Parts1!O704</f>
        <v>0603</v>
      </c>
      <c r="L517" s="64" t="str">
        <f>Parts1!P704</f>
        <v>81-GRM188R71E104JA1J</v>
      </c>
      <c r="M517" s="67" t="str">
        <f>Parts1!Q704</f>
        <v/>
      </c>
      <c r="N517" s="58">
        <v>19.0</v>
      </c>
      <c r="O517" s="52" t="str">
        <f t="shared" si="2"/>
        <v>A</v>
      </c>
      <c r="P517" s="52" t="str">
        <f t="shared" si="5"/>
        <v/>
      </c>
      <c r="Q517" s="52">
        <f t="shared" si="4"/>
        <v>0</v>
      </c>
      <c r="R517" s="52" t="b">
        <f t="shared" si="6"/>
        <v>0</v>
      </c>
    </row>
    <row r="518">
      <c r="B518" s="20" t="str">
        <f>IFERROR(__xludf.DUMMYFUNCTION("if(exact($E518, """"), """", iferror(regexextract($F518, ""^(?:- )?([A-Z]+)""), ""?""))"),"C")</f>
        <v>C</v>
      </c>
      <c r="C518" s="57" t="str">
        <f t="shared" si="3"/>
        <v>81-GRM18F51C474ZA01J</v>
      </c>
      <c r="D518" t="str">
        <f>Parts1!H22</f>
        <v>Braids v5.1</v>
      </c>
      <c r="E518" t="str">
        <f>Parts1!I22</f>
        <v>S</v>
      </c>
      <c r="F518" t="str">
        <f>Parts1!J22</f>
        <v>C8</v>
      </c>
      <c r="G518">
        <f>Parts1!K22</f>
        <v>1</v>
      </c>
      <c r="H518" t="str">
        <f>Parts1!L22</f>
        <v>Capacitor, ceramic</v>
      </c>
      <c r="I518" t="str">
        <f>Parts1!M22</f>
        <v>&gt;= 6.3V</v>
      </c>
      <c r="J518" t="str">
        <f>Parts1!N22</f>
        <v>470n</v>
      </c>
      <c r="K518" t="str">
        <f>Parts1!O22</f>
        <v>0603</v>
      </c>
      <c r="L518" t="str">
        <f>Parts1!P22</f>
        <v>81-GRM18F51C474ZA01J</v>
      </c>
      <c r="M518" s="51" t="str">
        <f>Parts1!Q22</f>
        <v/>
      </c>
      <c r="N518" s="58">
        <v>1.0</v>
      </c>
      <c r="O518" s="52" t="str">
        <f t="shared" si="2"/>
        <v>A</v>
      </c>
      <c r="P518" s="52">
        <f t="shared" si="5"/>
        <v>1</v>
      </c>
      <c r="Q518" s="52">
        <f t="shared" si="4"/>
        <v>4</v>
      </c>
      <c r="R518" s="52" t="b">
        <f t="shared" si="6"/>
        <v>1</v>
      </c>
    </row>
    <row r="519">
      <c r="B519" s="20" t="str">
        <f>IFERROR(__xludf.DUMMYFUNCTION("if(exact($E519, """"), """", iferror(regexextract($F519, ""^(?:- )?([A-Z]+)""), ""?""))"),"C")</f>
        <v>C</v>
      </c>
      <c r="C519" s="57" t="str">
        <f t="shared" si="3"/>
        <v>81-GRM18F51C474ZA01J</v>
      </c>
      <c r="D519" t="str">
        <f>Parts1!H237</f>
        <v>Frames v0.3</v>
      </c>
      <c r="E519" t="str">
        <f>Parts1!I237</f>
        <v>S</v>
      </c>
      <c r="F519" t="str">
        <f>Parts1!J237</f>
        <v>C12</v>
      </c>
      <c r="G519">
        <f>Parts1!K237</f>
        <v>1</v>
      </c>
      <c r="H519" t="str">
        <f>Parts1!L237</f>
        <v>Capacitor, ceramic</v>
      </c>
      <c r="I519" t="str">
        <f>Parts1!M237</f>
        <v>&gt;= 16V</v>
      </c>
      <c r="J519" t="str">
        <f>Parts1!N237</f>
        <v>470n</v>
      </c>
      <c r="K519" s="59" t="str">
        <f>Parts1!O237</f>
        <v>0603</v>
      </c>
      <c r="L519" t="str">
        <f>Parts1!P237</f>
        <v>81-GRM18F51C474ZA01J</v>
      </c>
      <c r="M519" s="51" t="str">
        <f>Parts1!Q237</f>
        <v/>
      </c>
      <c r="N519" s="58">
        <v>6.0</v>
      </c>
      <c r="O519" s="52" t="str">
        <f t="shared" si="2"/>
        <v>A</v>
      </c>
      <c r="P519" s="52" t="str">
        <f t="shared" si="5"/>
        <v/>
      </c>
      <c r="Q519" s="52">
        <f t="shared" si="4"/>
        <v>3</v>
      </c>
      <c r="R519" s="52" t="b">
        <f t="shared" si="6"/>
        <v>1</v>
      </c>
    </row>
    <row r="520">
      <c r="B520" s="20" t="str">
        <f>IFERROR(__xludf.DUMMYFUNCTION("if(exact($E520, """"), """", iferror(regexextract($F520, ""^(?:- )?([A-Z]+)""), ""?""))"),"C")</f>
        <v>C</v>
      </c>
      <c r="C520" s="57" t="str">
        <f t="shared" si="3"/>
        <v>81-GRM18F51C474ZA01J</v>
      </c>
      <c r="D520" t="str">
        <f>Parts1!H280</f>
        <v>Grids v0.2</v>
      </c>
      <c r="E520" t="str">
        <f>Parts1!I280</f>
        <v>S</v>
      </c>
      <c r="F520" t="str">
        <f>Parts1!J280</f>
        <v>C8</v>
      </c>
      <c r="G520" s="65">
        <f>Parts1!K280</f>
        <v>1</v>
      </c>
      <c r="H520" t="str">
        <f>Parts1!L280</f>
        <v>Capacitor, ceramic</v>
      </c>
      <c r="I520" t="str">
        <f>Parts1!M280</f>
        <v>&gt;= 6.3V</v>
      </c>
      <c r="J520" t="str">
        <f>Parts1!N280</f>
        <v>470n</v>
      </c>
      <c r="K520" s="59" t="str">
        <f>Parts1!O280</f>
        <v>0603</v>
      </c>
      <c r="L520" t="str">
        <f>Parts1!P280</f>
        <v>81-GRM18F51C474ZA01J</v>
      </c>
      <c r="M520" s="51" t="str">
        <f>Parts1!Q280</f>
        <v/>
      </c>
      <c r="N520" s="58">
        <v>7.0</v>
      </c>
      <c r="O520" s="52" t="str">
        <f t="shared" si="2"/>
        <v>A</v>
      </c>
      <c r="P520" s="52" t="str">
        <f t="shared" si="5"/>
        <v/>
      </c>
      <c r="Q520" s="52">
        <f t="shared" si="4"/>
        <v>2</v>
      </c>
      <c r="R520" s="52" t="b">
        <f t="shared" si="6"/>
        <v>1</v>
      </c>
    </row>
    <row r="521">
      <c r="B521" s="20" t="str">
        <f>IFERROR(__xludf.DUMMYFUNCTION("if(exact($E521, """"), """", iferror(regexextract($F521, ""^(?:- )?([A-Z]+)""), ""?""))"),"C")</f>
        <v>C</v>
      </c>
      <c r="C521" s="57" t="str">
        <f t="shared" si="3"/>
        <v>81-GRM18F51C474ZA01J</v>
      </c>
      <c r="D521" t="str">
        <f>Parts1!H334</f>
        <v>Peaks v3.1</v>
      </c>
      <c r="E521" t="str">
        <f>Parts1!I334</f>
        <v>S</v>
      </c>
      <c r="F521" t="str">
        <f>Parts1!J334</f>
        <v>C11, C22</v>
      </c>
      <c r="G521">
        <f>Parts1!K334</f>
        <v>2</v>
      </c>
      <c r="H521" t="str">
        <f>Parts1!L334</f>
        <v>Capacitor, ceramic</v>
      </c>
      <c r="I521" t="str">
        <f>Parts1!M334</f>
        <v>&gt;= 16V</v>
      </c>
      <c r="J521" t="str">
        <f>Parts1!N334</f>
        <v>470n</v>
      </c>
      <c r="K521" t="str">
        <f>Parts1!O334</f>
        <v>0603</v>
      </c>
      <c r="L521" t="str">
        <f>Parts1!P334</f>
        <v>81-GRM18F51C474ZA01J</v>
      </c>
      <c r="M521" s="51" t="str">
        <f>Parts1!Q334</f>
        <v/>
      </c>
      <c r="N521" s="58">
        <v>9.0</v>
      </c>
      <c r="O521" s="52" t="str">
        <f t="shared" si="2"/>
        <v>A</v>
      </c>
      <c r="P521" s="52" t="str">
        <f t="shared" si="5"/>
        <v/>
      </c>
      <c r="Q521" s="52">
        <f t="shared" si="4"/>
        <v>1</v>
      </c>
      <c r="R521" s="52" t="b">
        <f t="shared" si="6"/>
        <v>1</v>
      </c>
    </row>
    <row r="522">
      <c r="B522" s="20" t="str">
        <f>IFERROR(__xludf.DUMMYFUNCTION("if(exact($E522, """"), """", iferror(regexextract($F522, ""^(?:- )?([A-Z]+)""), ""?""))"),"C")</f>
        <v>C</v>
      </c>
      <c r="C522" s="57" t="str">
        <f t="shared" si="3"/>
        <v>81-GRM18F51C474ZA01J</v>
      </c>
      <c r="D522" t="str">
        <f>Parts1!H601</f>
        <v>Tides v4.0</v>
      </c>
      <c r="E522" t="str">
        <f>Parts1!I601</f>
        <v>S</v>
      </c>
      <c r="F522" t="str">
        <f>Parts1!J601</f>
        <v>C13, C26</v>
      </c>
      <c r="G522">
        <f>Parts1!K601</f>
        <v>2</v>
      </c>
      <c r="H522" t="str">
        <f>Parts1!L601</f>
        <v>Capacitor, ceramic</v>
      </c>
      <c r="I522" t="str">
        <f>Parts1!M601</f>
        <v>&gt;= 16V</v>
      </c>
      <c r="J522" t="str">
        <f>Parts1!N601</f>
        <v>470n</v>
      </c>
      <c r="K522" s="59" t="str">
        <f>Parts1!O601</f>
        <v>0603</v>
      </c>
      <c r="L522" t="str">
        <f>Parts1!P601</f>
        <v>81-GRM18F51C474ZA01J</v>
      </c>
      <c r="M522" s="51" t="str">
        <f>Parts1!Q601</f>
        <v/>
      </c>
      <c r="N522" s="58">
        <v>17.0</v>
      </c>
      <c r="O522" s="52" t="str">
        <f t="shared" si="2"/>
        <v>A</v>
      </c>
      <c r="P522" s="52" t="str">
        <f t="shared" si="5"/>
        <v/>
      </c>
      <c r="Q522" s="52">
        <f t="shared" si="4"/>
        <v>0</v>
      </c>
      <c r="R522" s="52" t="b">
        <f t="shared" si="6"/>
        <v>1</v>
      </c>
    </row>
    <row r="523">
      <c r="B523" s="20" t="str">
        <f>IFERROR(__xludf.DUMMYFUNCTION("if(exact($E523, """"), """", iferror(regexextract($F523, ""^(?:- )?([A-Z]+)""), ""?""))"),"C")</f>
        <v>C</v>
      </c>
      <c r="C523" s="57" t="str">
        <f t="shared" si="3"/>
        <v>81-GRM18R61A105KA61J</v>
      </c>
      <c r="D523" t="str">
        <f>Parts1!H23</f>
        <v>Braids v5.1</v>
      </c>
      <c r="E523" t="str">
        <f>Parts1!I23</f>
        <v>S</v>
      </c>
      <c r="F523" t="str">
        <f>Parts1!J23</f>
        <v>C6, C12</v>
      </c>
      <c r="G523">
        <f>Parts1!K23</f>
        <v>2</v>
      </c>
      <c r="H523" t="str">
        <f>Parts1!L23</f>
        <v>Capacitor, ceramic</v>
      </c>
      <c r="I523" t="str">
        <f>Parts1!M23</f>
        <v>&gt;= 10V</v>
      </c>
      <c r="J523" t="str">
        <f>Parts1!N23</f>
        <v>1u</v>
      </c>
      <c r="K523" t="str">
        <f>Parts1!O23</f>
        <v>0603</v>
      </c>
      <c r="L523" t="str">
        <f>Parts1!P23</f>
        <v>81-GRM18R61A105KA61J</v>
      </c>
      <c r="M523" s="51" t="str">
        <f>Parts1!Q23</f>
        <v/>
      </c>
      <c r="N523" s="58">
        <v>1.0</v>
      </c>
      <c r="O523" s="52" t="str">
        <f t="shared" si="2"/>
        <v>A</v>
      </c>
      <c r="P523" s="52">
        <f t="shared" si="5"/>
        <v>1</v>
      </c>
      <c r="Q523" s="52">
        <f t="shared" si="4"/>
        <v>4</v>
      </c>
      <c r="R523" s="52" t="b">
        <f t="shared" si="6"/>
        <v>0</v>
      </c>
    </row>
    <row r="524">
      <c r="B524" s="20" t="str">
        <f>IFERROR(__xludf.DUMMYFUNCTION("if(exact($E524, """"), """", iferror(regexextract($F524, ""^(?:- )?([A-Z]+)""), ""?""))"),"C")</f>
        <v>C</v>
      </c>
      <c r="C524" s="57" t="str">
        <f t="shared" si="3"/>
        <v>81-GRM18R61A105KA61J</v>
      </c>
      <c r="D524" t="str">
        <f>Parts1!H98</f>
        <v>Clouds v3.0</v>
      </c>
      <c r="E524" t="str">
        <f>Parts1!I98</f>
        <v>S</v>
      </c>
      <c r="F524" t="str">
        <f>Parts1!J98</f>
        <v>C12, C50</v>
      </c>
      <c r="G524">
        <f>Parts1!K98</f>
        <v>2</v>
      </c>
      <c r="H524" t="str">
        <f>Parts1!L98</f>
        <v>Capacitor, ceramic</v>
      </c>
      <c r="I524" t="str">
        <f>Parts1!M98</f>
        <v>&gt;= 10V</v>
      </c>
      <c r="J524" t="str">
        <f>Parts1!N98</f>
        <v>1u</v>
      </c>
      <c r="K524" s="59" t="str">
        <f>Parts1!O98</f>
        <v>0603</v>
      </c>
      <c r="L524" t="str">
        <f>Parts1!P98</f>
        <v>81-GRM18R61A105KA61J</v>
      </c>
      <c r="M524" s="51" t="str">
        <f>Parts1!Q98</f>
        <v>Murata GRM18R61A105KA61J</v>
      </c>
      <c r="N524" s="58">
        <v>3.0</v>
      </c>
      <c r="O524" s="52" t="str">
        <f t="shared" si="2"/>
        <v>A</v>
      </c>
      <c r="P524" s="52" t="str">
        <f t="shared" si="5"/>
        <v/>
      </c>
      <c r="Q524" s="52">
        <f t="shared" si="4"/>
        <v>3</v>
      </c>
      <c r="R524" s="52" t="b">
        <f t="shared" si="6"/>
        <v>0</v>
      </c>
    </row>
    <row r="525">
      <c r="B525" s="20" t="str">
        <f>IFERROR(__xludf.DUMMYFUNCTION("if(exact($E525, """"), """", iferror(regexextract($F525, ""^(?:- )?([A-Z]+)""), ""?""))"),"C")</f>
        <v>C</v>
      </c>
      <c r="C525" s="57" t="str">
        <f t="shared" si="3"/>
        <v>81-GRM18R61A105KA61J</v>
      </c>
      <c r="D525" t="str">
        <f>Parts1!H194</f>
        <v>Elements v0.21</v>
      </c>
      <c r="E525" t="str">
        <f>Parts1!I194</f>
        <v>S</v>
      </c>
      <c r="F525" t="str">
        <f>Parts1!J194</f>
        <v>C17, C36, C48</v>
      </c>
      <c r="G525">
        <f>Parts1!K194</f>
        <v>3</v>
      </c>
      <c r="H525" t="str">
        <f>Parts1!L194</f>
        <v>Capacitor, ceramic</v>
      </c>
      <c r="I525" t="str">
        <f>Parts1!M194</f>
        <v>&gt;= 10V</v>
      </c>
      <c r="J525" t="str">
        <f>Parts1!N194</f>
        <v>1u</v>
      </c>
      <c r="K525" t="str">
        <f>Parts1!O194</f>
        <v>0603</v>
      </c>
      <c r="L525" t="str">
        <f>Parts1!P194</f>
        <v>81-GRM18R61A105KA61J</v>
      </c>
      <c r="M525" s="51" t="str">
        <f>Parts1!Q194</f>
        <v>Murata GRM18R61A105KA61J</v>
      </c>
      <c r="N525" s="58">
        <v>5.0</v>
      </c>
      <c r="O525" s="52" t="str">
        <f t="shared" si="2"/>
        <v>A</v>
      </c>
      <c r="P525" s="52" t="str">
        <f t="shared" si="5"/>
        <v/>
      </c>
      <c r="Q525" s="52">
        <f t="shared" si="4"/>
        <v>2</v>
      </c>
      <c r="R525" s="52" t="b">
        <f t="shared" si="6"/>
        <v>0</v>
      </c>
    </row>
    <row r="526">
      <c r="B526" s="20" t="str">
        <f>IFERROR(__xludf.DUMMYFUNCTION("if(exact($E526, """"), """", iferror(regexextract($F526, ""^(?:- )?([A-Z]+)""), ""?""))"),"C")</f>
        <v>C</v>
      </c>
      <c r="C526" s="57" t="str">
        <f t="shared" si="3"/>
        <v>81-GRM18R61A105KA61J</v>
      </c>
      <c r="D526" t="str">
        <f>Parts1!H382</f>
        <v>Rings v3.0</v>
      </c>
      <c r="E526" t="str">
        <f>Parts1!I382</f>
        <v>S</v>
      </c>
      <c r="F526" t="str">
        <f>Parts1!J382</f>
        <v>C7, C18, C30</v>
      </c>
      <c r="G526">
        <f>Parts1!K382</f>
        <v>3</v>
      </c>
      <c r="H526" t="str">
        <f>Parts1!L382</f>
        <v>Capacitor, ceramic</v>
      </c>
      <c r="I526" t="str">
        <f>Parts1!M382</f>
        <v>&gt;= 10V</v>
      </c>
      <c r="J526" t="str">
        <f>Parts1!N382</f>
        <v>1u</v>
      </c>
      <c r="K526" s="59" t="str">
        <f>Parts1!O382</f>
        <v>0603</v>
      </c>
      <c r="L526" t="str">
        <f>Parts1!P382</f>
        <v>81-GRM18R61A105KA61J</v>
      </c>
      <c r="M526" s="51" t="str">
        <f>Parts1!Q382</f>
        <v>Murata GRM18R61A105KA61J</v>
      </c>
      <c r="N526" s="58">
        <v>10.0</v>
      </c>
      <c r="O526" s="52" t="str">
        <f t="shared" si="2"/>
        <v>A</v>
      </c>
      <c r="P526" s="52" t="str">
        <f t="shared" si="5"/>
        <v/>
      </c>
      <c r="Q526" s="52">
        <f t="shared" si="4"/>
        <v>1</v>
      </c>
      <c r="R526" s="52" t="b">
        <f t="shared" si="6"/>
        <v>0</v>
      </c>
    </row>
    <row r="527">
      <c r="B527" s="20" t="str">
        <f>IFERROR(__xludf.DUMMYFUNCTION("if(exact($E527, """"), """", iferror(regexextract($F527, ""^(?:- )?([A-Z]+)""), ""?""))"),"C")</f>
        <v>C</v>
      </c>
      <c r="C527" s="57" t="str">
        <f t="shared" si="3"/>
        <v>81-GRM18R61A105KA61J</v>
      </c>
      <c r="D527" t="str">
        <f>Parts1!H649</f>
        <v>Warps v3.0</v>
      </c>
      <c r="E527" t="str">
        <f>Parts1!I649</f>
        <v>S</v>
      </c>
      <c r="F527" t="str">
        <f>Parts1!J649</f>
        <v>C15, C27</v>
      </c>
      <c r="G527">
        <f>Parts1!K649</f>
        <v>2</v>
      </c>
      <c r="H527" t="str">
        <f>Parts1!L649</f>
        <v>Capacitor, ceramic</v>
      </c>
      <c r="I527" t="str">
        <f>Parts1!M649</f>
        <v>&gt;= 10V</v>
      </c>
      <c r="J527" t="str">
        <f>Parts1!N649</f>
        <v>1u</v>
      </c>
      <c r="K527" t="str">
        <f>Parts1!O649</f>
        <v>0603</v>
      </c>
      <c r="L527" t="str">
        <f>Parts1!P649</f>
        <v>81-GRM18R61A105KA61J</v>
      </c>
      <c r="M527" s="51" t="str">
        <f>Parts1!Q649</f>
        <v>Murata GRM18R61A105KA61J</v>
      </c>
      <c r="N527" s="58">
        <v>18.0</v>
      </c>
      <c r="O527" s="52" t="str">
        <f t="shared" si="2"/>
        <v>A</v>
      </c>
      <c r="P527" s="52" t="str">
        <f t="shared" si="5"/>
        <v/>
      </c>
      <c r="Q527" s="52">
        <f t="shared" si="4"/>
        <v>0</v>
      </c>
      <c r="R527" s="52" t="b">
        <f t="shared" si="6"/>
        <v>0</v>
      </c>
    </row>
    <row r="528">
      <c r="B528" s="20" t="str">
        <f>IFERROR(__xludf.DUMMYFUNCTION("if(exact($E528, """"), """", iferror(regexextract($F528, ""^(?:- )?([A-Z]+)""), ""?""))"),"C")</f>
        <v>C</v>
      </c>
      <c r="C528" s="57" t="str">
        <f t="shared" si="3"/>
        <v>81-GRM18R71E103JA01D</v>
      </c>
      <c r="D528" t="str">
        <f>Parts1!H535</f>
        <v>Streams v0.5</v>
      </c>
      <c r="E528" t="str">
        <f>Parts1!I535</f>
        <v>S</v>
      </c>
      <c r="F528" t="str">
        <f>Parts1!J535</f>
        <v>C20, C21</v>
      </c>
      <c r="G528">
        <f>Parts1!K535</f>
        <v>2</v>
      </c>
      <c r="H528" t="str">
        <f>Parts1!L535</f>
        <v>Capacitor, ceramic</v>
      </c>
      <c r="I528" t="str">
        <f>Parts1!M535</f>
        <v>&gt;= 25V, &lt;= 5%</v>
      </c>
      <c r="J528" t="str">
        <f>Parts1!N535</f>
        <v>10n</v>
      </c>
      <c r="K528" t="str">
        <f>Parts1!O535</f>
        <v>0603</v>
      </c>
      <c r="L528" t="str">
        <f>Parts1!P535</f>
        <v>81-GRM18R71E103JA01D</v>
      </c>
      <c r="M528" s="51" t="str">
        <f>Parts1!Q535</f>
        <v>Murata GRM18R71E103JA01D</v>
      </c>
      <c r="N528" s="58">
        <v>15.0</v>
      </c>
      <c r="O528" s="52" t="str">
        <f t="shared" si="2"/>
        <v>A</v>
      </c>
      <c r="P528" s="52">
        <f t="shared" si="5"/>
        <v>1</v>
      </c>
      <c r="Q528" s="52">
        <f t="shared" si="4"/>
        <v>0</v>
      </c>
      <c r="R528" s="52" t="b">
        <f t="shared" si="6"/>
        <v>1</v>
      </c>
    </row>
    <row r="529">
      <c r="B529" s="20" t="str">
        <f>IFERROR(__xludf.DUMMYFUNCTION("if(exact($E529, """"), """", iferror(regexextract($F529, ""^(?:- )?([A-Z]+)""), ""?""))"),"C")</f>
        <v>C</v>
      </c>
      <c r="C529" s="61" t="str">
        <f t="shared" si="3"/>
        <v>81-GRM18R71H103JA01D</v>
      </c>
      <c r="D529" t="str">
        <f>Parts1!H278</f>
        <v>Grids v0.2</v>
      </c>
      <c r="E529" t="str">
        <f>Parts1!I278</f>
        <v>S</v>
      </c>
      <c r="F529" t="str">
        <f>Parts1!J278</f>
        <v>C10, C12, C14, C15, C16, C17</v>
      </c>
      <c r="G529" s="65">
        <f>Parts1!K278</f>
        <v>6</v>
      </c>
      <c r="H529" t="str">
        <f>Parts1!L278</f>
        <v>Capacitor, ceramic</v>
      </c>
      <c r="I529" t="str">
        <f>Parts1!M278</f>
        <v/>
      </c>
      <c r="J529" s="59" t="str">
        <f>Parts1!N278</f>
        <v>10n</v>
      </c>
      <c r="K529" s="59" t="str">
        <f>Parts1!O278</f>
        <v>0603</v>
      </c>
      <c r="L529" s="62" t="str">
        <f>Parts1!P278</f>
        <v>81-GRM18R71H103JA01D</v>
      </c>
      <c r="M529" s="51" t="str">
        <f>Parts1!Q278</f>
        <v/>
      </c>
      <c r="N529" s="58">
        <v>7.0</v>
      </c>
      <c r="O529" s="52" t="str">
        <f t="shared" si="2"/>
        <v>A</v>
      </c>
      <c r="P529" s="52">
        <f t="shared" si="5"/>
        <v>1</v>
      </c>
      <c r="Q529" s="52">
        <f t="shared" si="4"/>
        <v>2</v>
      </c>
      <c r="R529" s="52" t="b">
        <f t="shared" si="6"/>
        <v>0</v>
      </c>
    </row>
    <row r="530">
      <c r="B530" s="20" t="str">
        <f>IFERROR(__xludf.DUMMYFUNCTION("if(exact($E530, """"), """", iferror(regexextract($F530, ""^(?:- )?([A-Z]+)""), ""?""))"),"C")</f>
        <v>C</v>
      </c>
      <c r="C530" s="57" t="str">
        <f t="shared" si="3"/>
        <v>81-GRM18R71H103JA01D</v>
      </c>
      <c r="D530" t="str">
        <f>Parts1!H380</f>
        <v>Rings v3.0</v>
      </c>
      <c r="E530" t="str">
        <f>Parts1!I380</f>
        <v>S</v>
      </c>
      <c r="F530" t="str">
        <f>Parts1!J380</f>
        <v>C26, C28, C36, C38</v>
      </c>
      <c r="G530">
        <f>Parts1!K380</f>
        <v>4</v>
      </c>
      <c r="H530" t="str">
        <f>Parts1!L380</f>
        <v>Capacitor, ceramic</v>
      </c>
      <c r="I530" t="str">
        <f>Parts1!M380</f>
        <v>&gt;= 50V, &lt;= 5%</v>
      </c>
      <c r="J530" t="str">
        <f>Parts1!N380</f>
        <v>10n</v>
      </c>
      <c r="K530" s="59" t="str">
        <f>Parts1!O380</f>
        <v>0603</v>
      </c>
      <c r="L530" t="str">
        <f>Parts1!P380</f>
        <v>81-GRM18R71H103JA01D</v>
      </c>
      <c r="M530" s="51" t="str">
        <f>Parts1!Q380</f>
        <v>Murata GRM188R71H103JA01D</v>
      </c>
      <c r="N530" s="58">
        <v>10.0</v>
      </c>
      <c r="O530" s="52" t="str">
        <f t="shared" si="2"/>
        <v>A</v>
      </c>
      <c r="P530" s="52" t="str">
        <f t="shared" si="5"/>
        <v/>
      </c>
      <c r="Q530" s="52">
        <f t="shared" si="4"/>
        <v>1</v>
      </c>
      <c r="R530" s="52" t="b">
        <f t="shared" si="6"/>
        <v>0</v>
      </c>
    </row>
    <row r="531">
      <c r="B531" s="20" t="str">
        <f>IFERROR(__xludf.DUMMYFUNCTION("if(exact($E531, """"), """", iferror(regexextract($F531, ""^(?:- )?([A-Z]+)""), ""?""))"),"C")</f>
        <v>C</v>
      </c>
      <c r="C531" s="61" t="str">
        <f t="shared" si="3"/>
        <v>81-GRM18R71H103JA01D</v>
      </c>
      <c r="D531" t="str">
        <f>Parts1!H599</f>
        <v>Tides v4.0</v>
      </c>
      <c r="E531" t="str">
        <f>Parts1!I599</f>
        <v>S</v>
      </c>
      <c r="F531" t="str">
        <f>Parts1!J599</f>
        <v>C28, C29, C32</v>
      </c>
      <c r="G531">
        <f>Parts1!K599</f>
        <v>3</v>
      </c>
      <c r="H531" t="str">
        <f>Parts1!L599</f>
        <v>Capacitor, ceramic</v>
      </c>
      <c r="I531" t="str">
        <f>Parts1!M599</f>
        <v>&gt;= 50V, &lt;= 5%</v>
      </c>
      <c r="J531" s="59" t="str">
        <f>Parts1!N599</f>
        <v>10n</v>
      </c>
      <c r="K531" s="59" t="str">
        <f>Parts1!O599</f>
        <v>0603</v>
      </c>
      <c r="L531" s="62" t="str">
        <f>Parts1!P599</f>
        <v>81-GRM18R71H103JA01D</v>
      </c>
      <c r="M531" s="51" t="str">
        <f>Parts1!Q599</f>
        <v/>
      </c>
      <c r="N531" s="58">
        <v>17.0</v>
      </c>
      <c r="O531" s="52" t="str">
        <f t="shared" si="2"/>
        <v>A</v>
      </c>
      <c r="P531" s="52" t="str">
        <f t="shared" si="5"/>
        <v/>
      </c>
      <c r="Q531" s="52">
        <f t="shared" si="4"/>
        <v>0</v>
      </c>
      <c r="R531" s="52" t="b">
        <f t="shared" si="6"/>
        <v>0</v>
      </c>
    </row>
    <row r="532">
      <c r="B532" s="20" t="str">
        <f>IFERROR(__xludf.DUMMYFUNCTION("if(exact($E532, """"), """", iferror(regexextract($F532, ""^(?:- )?([A-Z]+)""), ""?""))"),"C")</f>
        <v>C</v>
      </c>
      <c r="C532" s="57" t="str">
        <f t="shared" si="3"/>
        <v>81-GRM39C330G50</v>
      </c>
      <c r="D532" t="str">
        <f>Parts1!H532</f>
        <v>Streams v0.5</v>
      </c>
      <c r="E532" t="str">
        <f>Parts1!I532</f>
        <v>S</v>
      </c>
      <c r="F532" t="str">
        <f>Parts1!J532</f>
        <v>C30, C31, C40, C43, C52, C53</v>
      </c>
      <c r="G532">
        <f>Parts1!K532</f>
        <v>6</v>
      </c>
      <c r="H532" t="str">
        <f>Parts1!L532</f>
        <v>Capacitor, ceramic</v>
      </c>
      <c r="I532" t="str">
        <f>Parts1!M532</f>
        <v>&gt;= 50V, &lt;= 2%</v>
      </c>
      <c r="J532" t="str">
        <f>Parts1!N532</f>
        <v>33p</v>
      </c>
      <c r="K532" t="str">
        <f>Parts1!O532</f>
        <v>0603</v>
      </c>
      <c r="L532" t="str">
        <f>Parts1!P532</f>
        <v>81-GRM39C330G50</v>
      </c>
      <c r="M532" s="51" t="str">
        <f>Parts1!Q532</f>
        <v>Murata GRM1885C1H330GA01D</v>
      </c>
      <c r="N532" s="58">
        <v>15.0</v>
      </c>
      <c r="O532" s="52" t="str">
        <f t="shared" si="2"/>
        <v>A</v>
      </c>
      <c r="P532" s="52">
        <f t="shared" si="5"/>
        <v>1</v>
      </c>
      <c r="Q532" s="52">
        <f t="shared" si="4"/>
        <v>0</v>
      </c>
      <c r="R532" s="52" t="b">
        <f t="shared" si="6"/>
        <v>1</v>
      </c>
    </row>
    <row r="533">
      <c r="B533" s="20" t="str">
        <f>IFERROR(__xludf.DUMMYFUNCTION("if(exact($E533, """"), """", iferror(regexextract($F533, ""^(?:- )?([A-Z]+)""), ""?""))"),"C")</f>
        <v>C</v>
      </c>
      <c r="C533" s="57" t="str">
        <f t="shared" si="3"/>
        <v>810-C2012X5R1A225K-2</v>
      </c>
      <c r="D533" t="str">
        <f>Parts1!H99</f>
        <v>Clouds v3.0</v>
      </c>
      <c r="E533" t="str">
        <f>Parts1!I99</f>
        <v>S</v>
      </c>
      <c r="F533" t="str">
        <f>Parts1!J99</f>
        <v>C19, C24</v>
      </c>
      <c r="G533">
        <f>Parts1!K99</f>
        <v>2</v>
      </c>
      <c r="H533" t="str">
        <f>Parts1!L99</f>
        <v>Capacitor, ceramic</v>
      </c>
      <c r="I533" t="str">
        <f>Parts1!M99</f>
        <v>&gt;= 10V</v>
      </c>
      <c r="J533" t="str">
        <f>Parts1!N99</f>
        <v>2.2u</v>
      </c>
      <c r="K533" s="59" t="str">
        <f>Parts1!O99</f>
        <v>0805</v>
      </c>
      <c r="L533" t="str">
        <f>Parts1!P99</f>
        <v>810-C2012X5R1A225K-2</v>
      </c>
      <c r="M533" s="51" t="str">
        <f>Parts1!Q99</f>
        <v>TDK C2012X5R1A225K085AA</v>
      </c>
      <c r="N533" s="58">
        <v>3.0</v>
      </c>
      <c r="O533" s="52" t="str">
        <f t="shared" si="2"/>
        <v>A</v>
      </c>
      <c r="P533" s="52">
        <f t="shared" si="5"/>
        <v>1</v>
      </c>
      <c r="Q533" s="52">
        <f t="shared" si="4"/>
        <v>3</v>
      </c>
      <c r="R533" s="52" t="b">
        <f t="shared" si="6"/>
        <v>0</v>
      </c>
    </row>
    <row r="534">
      <c r="B534" s="20" t="str">
        <f>IFERROR(__xludf.DUMMYFUNCTION("if(exact($E534, """"), """", iferror(regexextract($F534, ""^(?:- )?([A-Z]+)""), ""?""))"),"C")</f>
        <v>C</v>
      </c>
      <c r="C534" s="57" t="str">
        <f t="shared" si="3"/>
        <v>810-C2012X5R1A225K-2</v>
      </c>
      <c r="D534" t="str">
        <f>Parts1!H195</f>
        <v>Elements v0.21</v>
      </c>
      <c r="E534" t="str">
        <f>Parts1!I195</f>
        <v>S</v>
      </c>
      <c r="F534" t="str">
        <f>Parts1!J195</f>
        <v>C31, C35</v>
      </c>
      <c r="G534">
        <f>Parts1!K195</f>
        <v>2</v>
      </c>
      <c r="H534" t="str">
        <f>Parts1!L195</f>
        <v>Capacitor, ceramic</v>
      </c>
      <c r="I534" t="str">
        <f>Parts1!M195</f>
        <v>&gt;= 10V</v>
      </c>
      <c r="J534" t="str">
        <f>Parts1!N195</f>
        <v>2.2u</v>
      </c>
      <c r="K534" t="str">
        <f>Parts1!O195</f>
        <v>0805</v>
      </c>
      <c r="L534" t="str">
        <f>Parts1!P195</f>
        <v>810-C2012X5R1A225K-2</v>
      </c>
      <c r="M534" s="51" t="str">
        <f>Parts1!Q195</f>
        <v>TDK C2012X5R1A225K085AA</v>
      </c>
      <c r="N534" s="58">
        <v>5.0</v>
      </c>
      <c r="O534" s="52" t="str">
        <f t="shared" si="2"/>
        <v>A</v>
      </c>
      <c r="P534" s="52" t="str">
        <f t="shared" si="5"/>
        <v/>
      </c>
      <c r="Q534" s="52">
        <f t="shared" si="4"/>
        <v>2</v>
      </c>
      <c r="R534" s="52" t="b">
        <f t="shared" si="6"/>
        <v>0</v>
      </c>
    </row>
    <row r="535">
      <c r="B535" s="20" t="str">
        <f>IFERROR(__xludf.DUMMYFUNCTION("if(exact($E535, """"), """", iferror(regexextract($F535, ""^(?:- )?([A-Z]+)""), ""?""))"),"C")</f>
        <v>C</v>
      </c>
      <c r="C535" s="57" t="str">
        <f t="shared" si="3"/>
        <v>810-C2012X5R1A225K-2</v>
      </c>
      <c r="D535" t="str">
        <f>Parts1!H383</f>
        <v>Rings v3.0</v>
      </c>
      <c r="E535" t="str">
        <f>Parts1!I383</f>
        <v>S</v>
      </c>
      <c r="F535" t="str">
        <f>Parts1!J383</f>
        <v>C16, C22</v>
      </c>
      <c r="G535">
        <f>Parts1!K383</f>
        <v>2</v>
      </c>
      <c r="H535" t="str">
        <f>Parts1!L383</f>
        <v>Capacitor, ceramic</v>
      </c>
      <c r="I535" t="str">
        <f>Parts1!M383</f>
        <v>&gt;= 10V</v>
      </c>
      <c r="J535" t="str">
        <f>Parts1!N383</f>
        <v>2.2u</v>
      </c>
      <c r="K535" s="59" t="str">
        <f>Parts1!O383</f>
        <v>0805</v>
      </c>
      <c r="L535" t="str">
        <f>Parts1!P383</f>
        <v>810-C2012X5R1A225K-2</v>
      </c>
      <c r="M535" s="51" t="str">
        <f>Parts1!Q383</f>
        <v>TDK C2012X5R1A225K085AA</v>
      </c>
      <c r="N535" s="58">
        <v>10.0</v>
      </c>
      <c r="O535" s="52" t="str">
        <f t="shared" si="2"/>
        <v>A</v>
      </c>
      <c r="P535" s="52" t="str">
        <f t="shared" si="5"/>
        <v/>
      </c>
      <c r="Q535" s="52">
        <f t="shared" si="4"/>
        <v>1</v>
      </c>
      <c r="R535" s="52" t="b">
        <f t="shared" si="6"/>
        <v>0</v>
      </c>
    </row>
    <row r="536">
      <c r="B536" s="20" t="str">
        <f>IFERROR(__xludf.DUMMYFUNCTION("if(exact($E536, """"), """", iferror(regexextract($F536, ""^(?:- )?([A-Z]+)""), ""?""))"),"C")</f>
        <v>C</v>
      </c>
      <c r="C536" s="57" t="str">
        <f t="shared" si="3"/>
        <v>810-C2012X5R1A225K-2</v>
      </c>
      <c r="D536" t="str">
        <f>Parts1!H650</f>
        <v>Warps v3.0</v>
      </c>
      <c r="E536" t="str">
        <f>Parts1!I650</f>
        <v>S</v>
      </c>
      <c r="F536" t="str">
        <f>Parts1!J650</f>
        <v>C19, C22</v>
      </c>
      <c r="G536">
        <f>Parts1!K650</f>
        <v>2</v>
      </c>
      <c r="H536" t="str">
        <f>Parts1!L650</f>
        <v>Capacitor, ceramic</v>
      </c>
      <c r="I536" t="str">
        <f>Parts1!M650</f>
        <v>&gt;= 10V</v>
      </c>
      <c r="J536" t="str">
        <f>Parts1!N650</f>
        <v>2.2u</v>
      </c>
      <c r="K536" t="str">
        <f>Parts1!O650</f>
        <v>0603</v>
      </c>
      <c r="L536" t="str">
        <f>Parts1!P650</f>
        <v>810-C2012X5R1A225K-2</v>
      </c>
      <c r="M536" s="51" t="str">
        <f>Parts1!Q650</f>
        <v>TDK C2012X5R1A225K085AA</v>
      </c>
      <c r="N536" s="58">
        <v>18.0</v>
      </c>
      <c r="O536" s="52" t="str">
        <f t="shared" si="2"/>
        <v>A</v>
      </c>
      <c r="P536" s="52" t="str">
        <f t="shared" si="5"/>
        <v/>
      </c>
      <c r="Q536" s="52">
        <f t="shared" si="4"/>
        <v>0</v>
      </c>
      <c r="R536" s="52" t="b">
        <f t="shared" si="6"/>
        <v>0</v>
      </c>
    </row>
    <row r="537">
      <c r="B537" s="20" t="str">
        <f>IFERROR(__xludf.DUMMYFUNCTION("if(exact($E537, """"), """", iferror(regexextract($F537, ""^(?:- )?([A-Z]+)""), ""?""))"),"Q")</f>
        <v>Q</v>
      </c>
      <c r="C537" s="57" t="str">
        <f t="shared" si="3"/>
        <v>815-ABL-8-B2</v>
      </c>
      <c r="D537" t="str">
        <f>Parts1!H166</f>
        <v>Edges v2.0</v>
      </c>
      <c r="E537" t="str">
        <f>Parts1!I166</f>
        <v>U</v>
      </c>
      <c r="F537" t="str">
        <f>Parts1!J166</f>
        <v>Q5</v>
      </c>
      <c r="G537">
        <f>Parts1!K166</f>
        <v>1</v>
      </c>
      <c r="H537" t="str">
        <f>Parts1!L166</f>
        <v>8 MHz quartz</v>
      </c>
      <c r="I537" t="str">
        <f>Parts1!M166</f>
        <v/>
      </c>
      <c r="J537" t="str">
        <f>Parts1!N166</f>
        <v/>
      </c>
      <c r="K537" t="str">
        <f>Parts1!O166</f>
        <v>HC49</v>
      </c>
      <c r="L537" t="str">
        <f>Parts1!P166</f>
        <v>815-ABL-8-B2</v>
      </c>
      <c r="M537" s="51" t="str">
        <f>Parts1!Q166</f>
        <v/>
      </c>
      <c r="N537" s="58">
        <v>4.0</v>
      </c>
      <c r="O537" s="52" t="str">
        <f t="shared" si="2"/>
        <v>B</v>
      </c>
      <c r="P537" s="52">
        <f t="shared" si="5"/>
        <v>1</v>
      </c>
      <c r="Q537" s="52">
        <f t="shared" si="4"/>
        <v>0</v>
      </c>
      <c r="R537" s="52" t="b">
        <f t="shared" si="6"/>
        <v>1</v>
      </c>
    </row>
    <row r="538">
      <c r="B538" s="20" t="str">
        <f>IFERROR(__xludf.DUMMYFUNCTION("if(exact($E538, """"), """", iferror(regexextract($F538, ""^(?:- )?([A-Z]+)""), ""?""))"),"Q")</f>
        <v>Q</v>
      </c>
      <c r="C538" s="57" t="str">
        <f t="shared" si="3"/>
        <v>815-ABLS2-12.2-D4Y-T</v>
      </c>
      <c r="D538" t="str">
        <f>Parts1!H115</f>
        <v>Clouds v3.0</v>
      </c>
      <c r="E538" t="str">
        <f>Parts1!I115</f>
        <v>S</v>
      </c>
      <c r="F538" t="str">
        <f>Parts1!J115</f>
        <v>Q4</v>
      </c>
      <c r="G538">
        <f>Parts1!K115</f>
        <v>1</v>
      </c>
      <c r="H538" t="str">
        <f>Parts1!L115</f>
        <v>12.288 MHz quartz</v>
      </c>
      <c r="I538" t="str">
        <f>Parts1!M115</f>
        <v/>
      </c>
      <c r="J538" t="str">
        <f>Parts1!N115</f>
        <v/>
      </c>
      <c r="K538" s="59" t="str">
        <f>Parts1!O115</f>
        <v>HC49</v>
      </c>
      <c r="L538" t="str">
        <f>Parts1!P115</f>
        <v>815-ABLS2-12.2-D4Y-T</v>
      </c>
      <c r="M538" s="51" t="str">
        <f>Parts1!Q115</f>
        <v>Abracon ABLS2-12.288MHZ-D4Y-T</v>
      </c>
      <c r="N538" s="58">
        <v>3.0</v>
      </c>
      <c r="O538" s="52" t="str">
        <f t="shared" si="2"/>
        <v>A</v>
      </c>
      <c r="P538" s="52">
        <f t="shared" si="5"/>
        <v>1</v>
      </c>
      <c r="Q538" s="52">
        <f t="shared" si="4"/>
        <v>2</v>
      </c>
      <c r="R538" s="52" t="b">
        <f t="shared" si="6"/>
        <v>0</v>
      </c>
    </row>
    <row r="539">
      <c r="B539" s="20" t="str">
        <f>IFERROR(__xludf.DUMMYFUNCTION("if(exact($E539, """"), """", iferror(regexextract($F539, ""^(?:- )?([A-Z]+)""), ""?""))"),"Q")</f>
        <v>Q</v>
      </c>
      <c r="C539" s="57" t="str">
        <f t="shared" si="3"/>
        <v>815-ABLS2-12.2-D4Y-T</v>
      </c>
      <c r="D539" t="str">
        <f>Parts1!H399</f>
        <v>Rings v3.0</v>
      </c>
      <c r="E539" t="str">
        <f>Parts1!I399</f>
        <v>S</v>
      </c>
      <c r="F539" t="str">
        <f>Parts1!J399</f>
        <v>Q3</v>
      </c>
      <c r="G539">
        <f>Parts1!K399</f>
        <v>1</v>
      </c>
      <c r="H539" t="str">
        <f>Parts1!L399</f>
        <v>12.288 MHz quartz</v>
      </c>
      <c r="I539" t="str">
        <f>Parts1!M399</f>
        <v>Capa 18pF</v>
      </c>
      <c r="J539" t="str">
        <f>Parts1!N399</f>
        <v/>
      </c>
      <c r="K539" t="str">
        <f>Parts1!O399</f>
        <v>HC49</v>
      </c>
      <c r="L539" t="str">
        <f>Parts1!P399</f>
        <v>815-ABLS2-12.2-D4Y-T</v>
      </c>
      <c r="M539" s="51" t="str">
        <f>Parts1!Q399</f>
        <v>Abracon ABLS2-12.288MHZ-D4Y-T</v>
      </c>
      <c r="N539" s="58">
        <v>10.0</v>
      </c>
      <c r="O539" s="52" t="str">
        <f t="shared" si="2"/>
        <v>A</v>
      </c>
      <c r="P539" s="52" t="str">
        <f t="shared" si="5"/>
        <v/>
      </c>
      <c r="Q539" s="52">
        <f t="shared" si="4"/>
        <v>1</v>
      </c>
      <c r="R539" s="52" t="b">
        <f t="shared" si="6"/>
        <v>0</v>
      </c>
    </row>
    <row r="540">
      <c r="B540" s="20" t="str">
        <f>IFERROR(__xludf.DUMMYFUNCTION("if(exact($E540, """"), """", iferror(regexextract($F540, ""^(?:- )?([A-Z]+)""), ""?""))"),"Q")</f>
        <v>Q</v>
      </c>
      <c r="C540" s="57" t="str">
        <f t="shared" si="3"/>
        <v>815-ABLS2-12.2-D4Y-T</v>
      </c>
      <c r="D540" t="str">
        <f>Parts1!H662</f>
        <v>Warps v3.0</v>
      </c>
      <c r="E540" t="str">
        <f>Parts1!I662</f>
        <v>S</v>
      </c>
      <c r="F540" t="str">
        <f>Parts1!J662</f>
        <v>Q2</v>
      </c>
      <c r="G540">
        <f>Parts1!K662</f>
        <v>1</v>
      </c>
      <c r="H540" t="str">
        <f>Parts1!L662</f>
        <v>12.288 MHz quartz</v>
      </c>
      <c r="I540" t="str">
        <f>Parts1!M662</f>
        <v>Capa 18pF</v>
      </c>
      <c r="J540" t="str">
        <f>Parts1!N662</f>
        <v/>
      </c>
      <c r="K540" t="str">
        <f>Parts1!O662</f>
        <v>HC49</v>
      </c>
      <c r="L540" t="str">
        <f>Parts1!P662</f>
        <v>815-ABLS2-12.2-D4Y-T</v>
      </c>
      <c r="M540" s="51" t="str">
        <f>Parts1!Q662</f>
        <v>Abracon ABLS2-12.288MHZ-D4Y-T</v>
      </c>
      <c r="N540" s="58">
        <v>18.0</v>
      </c>
      <c r="O540" s="52" t="str">
        <f t="shared" si="2"/>
        <v>A</v>
      </c>
      <c r="P540" s="52" t="str">
        <f t="shared" si="5"/>
        <v/>
      </c>
      <c r="Q540" s="52">
        <f t="shared" si="4"/>
        <v>0</v>
      </c>
      <c r="R540" s="52" t="b">
        <f t="shared" si="6"/>
        <v>0</v>
      </c>
    </row>
    <row r="541">
      <c r="B541" s="20" t="str">
        <f>IFERROR(__xludf.DUMMYFUNCTION("if(exact($E541, """"), """", iferror(regexextract($F541, ""^(?:- )?([A-Z]+)""), ""?""))"),"Q")</f>
        <v>Q</v>
      </c>
      <c r="C541" s="61" t="str">
        <f t="shared" si="3"/>
        <v>815-ABLS2-20-D4Y-T</v>
      </c>
      <c r="D541" t="str">
        <f>Parts1!H289</f>
        <v>Grids v0.2</v>
      </c>
      <c r="E541" t="str">
        <f>Parts1!I289</f>
        <v>S</v>
      </c>
      <c r="F541" t="str">
        <f>Parts1!J289</f>
        <v>Q1</v>
      </c>
      <c r="G541" s="65">
        <f>Parts1!K289</f>
        <v>1</v>
      </c>
      <c r="H541" t="str">
        <f>Parts1!L289</f>
        <v>Quartz, 20 MHz</v>
      </c>
      <c r="I541" t="str">
        <f>Parts1!M289</f>
        <v/>
      </c>
      <c r="J541" s="59" t="str">
        <f>Parts1!N289</f>
        <v/>
      </c>
      <c r="K541" t="str">
        <f>Parts1!O289</f>
        <v>HC49</v>
      </c>
      <c r="L541" s="62" t="str">
        <f>Parts1!P289</f>
        <v>815-ABLS2-20-D4Y-T</v>
      </c>
      <c r="M541" s="51" t="str">
        <f>Parts1!Q289</f>
        <v>Abracon ABLS2-20.000MHZ-D4Y-T</v>
      </c>
      <c r="N541" s="58">
        <v>7.0</v>
      </c>
      <c r="O541" s="52" t="str">
        <f t="shared" si="2"/>
        <v>A</v>
      </c>
      <c r="P541" s="52">
        <f t="shared" si="5"/>
        <v>1</v>
      </c>
      <c r="Q541" s="52">
        <f t="shared" si="4"/>
        <v>0</v>
      </c>
      <c r="R541" s="52" t="b">
        <f t="shared" si="6"/>
        <v>1</v>
      </c>
    </row>
    <row r="542">
      <c r="B542" s="20" t="str">
        <f>IFERROR(__xludf.DUMMYFUNCTION("if(exact($E542, """"), """", iferror(regexextract($F542, ""^(?:- )?([A-Z]+)""), ""?""))"),"Q")</f>
        <v>Q</v>
      </c>
      <c r="C542" s="57" t="str">
        <f t="shared" si="3"/>
        <v>815-ABLS2-8-D4Y-T</v>
      </c>
      <c r="D542" t="str">
        <f>Parts1!H37</f>
        <v>Braids v5.1</v>
      </c>
      <c r="E542" t="str">
        <f>Parts1!I37</f>
        <v>S</v>
      </c>
      <c r="F542" t="str">
        <f>Parts1!J37</f>
        <v>Q5</v>
      </c>
      <c r="G542">
        <f>Parts1!K37</f>
        <v>1</v>
      </c>
      <c r="H542" t="str">
        <f>Parts1!L37</f>
        <v>8 MHz quartz</v>
      </c>
      <c r="I542" t="str">
        <f>Parts1!M37</f>
        <v/>
      </c>
      <c r="J542" t="str">
        <f>Parts1!N37</f>
        <v/>
      </c>
      <c r="K542" t="str">
        <f>Parts1!O37</f>
        <v>HC49</v>
      </c>
      <c r="L542" t="str">
        <f>Parts1!P37</f>
        <v>815-ABLS2-8-D4Y-T</v>
      </c>
      <c r="M542" s="51" t="str">
        <f>Parts1!Q37</f>
        <v>Abracon ABLS2-8.000MHZ-D4Y-T</v>
      </c>
      <c r="N542" s="58">
        <v>1.0</v>
      </c>
      <c r="O542" s="52" t="str">
        <f t="shared" si="2"/>
        <v>A</v>
      </c>
      <c r="P542" s="52">
        <f t="shared" si="5"/>
        <v>1</v>
      </c>
      <c r="Q542" s="52">
        <f t="shared" si="4"/>
        <v>9</v>
      </c>
      <c r="R542" s="52" t="b">
        <f t="shared" si="6"/>
        <v>0</v>
      </c>
    </row>
    <row r="543">
      <c r="B543" s="20" t="str">
        <f>IFERROR(__xludf.DUMMYFUNCTION("if(exact($E543, """"), """", iferror(regexextract($F543, ""^(?:- )?([A-Z]+)""), ""?""))"),"Q")</f>
        <v>Q</v>
      </c>
      <c r="C543" s="57" t="str">
        <f t="shared" si="3"/>
        <v>815-ABLS2-8-D4Y-T</v>
      </c>
      <c r="D543" t="str">
        <f>Parts1!H114</f>
        <v>Clouds v3.0</v>
      </c>
      <c r="E543" t="str">
        <f>Parts1!I114</f>
        <v>S</v>
      </c>
      <c r="F543" t="str">
        <f>Parts1!J114</f>
        <v>Q3</v>
      </c>
      <c r="G543">
        <f>Parts1!K114</f>
        <v>1</v>
      </c>
      <c r="H543" t="str">
        <f>Parts1!L114</f>
        <v>8 MHz quartz</v>
      </c>
      <c r="I543" t="str">
        <f>Parts1!M114</f>
        <v/>
      </c>
      <c r="J543" t="str">
        <f>Parts1!N114</f>
        <v/>
      </c>
      <c r="K543" s="59" t="str">
        <f>Parts1!O114</f>
        <v>HC49</v>
      </c>
      <c r="L543" t="str">
        <f>Parts1!P114</f>
        <v>815-ABLS2-8-D4Y-T</v>
      </c>
      <c r="M543" s="51" t="str">
        <f>Parts1!Q114</f>
        <v>Abracon ABLS2-8.000MHZ-D4Y-T</v>
      </c>
      <c r="N543" s="58">
        <v>3.0</v>
      </c>
      <c r="O543" s="52" t="str">
        <f t="shared" si="2"/>
        <v>A</v>
      </c>
      <c r="P543" s="52" t="str">
        <f t="shared" si="5"/>
        <v/>
      </c>
      <c r="Q543" s="52">
        <f t="shared" si="4"/>
        <v>8</v>
      </c>
      <c r="R543" s="52" t="b">
        <f t="shared" si="6"/>
        <v>0</v>
      </c>
    </row>
    <row r="544">
      <c r="B544" s="20" t="str">
        <f>IFERROR(__xludf.DUMMYFUNCTION("if(exact($E544, """"), """", iferror(regexextract($F544, ""^(?:- )?([A-Z]+)""), ""?""))"),"Q")</f>
        <v>Q</v>
      </c>
      <c r="C544" s="57" t="str">
        <f t="shared" si="3"/>
        <v>815-ABLS2-8-D4Y-T</v>
      </c>
      <c r="D544" t="str">
        <f>Parts1!H207</f>
        <v>Elements v0.21</v>
      </c>
      <c r="E544" t="str">
        <f>Parts1!I207</f>
        <v>S</v>
      </c>
      <c r="F544" t="str">
        <f>Parts1!J207</f>
        <v>Q1</v>
      </c>
      <c r="G544">
        <f>Parts1!K207</f>
        <v>1</v>
      </c>
      <c r="H544" t="str">
        <f>Parts1!L207</f>
        <v>8 MHz quartz</v>
      </c>
      <c r="I544" t="str">
        <f>Parts1!M207</f>
        <v/>
      </c>
      <c r="J544" t="str">
        <f>Parts1!N207</f>
        <v/>
      </c>
      <c r="K544" t="str">
        <f>Parts1!O207</f>
        <v>HC49</v>
      </c>
      <c r="L544" t="str">
        <f>Parts1!P207</f>
        <v>815-ABLS2-8-D4Y-T</v>
      </c>
      <c r="M544" s="51" t="str">
        <f>Parts1!Q207</f>
        <v>Abracon ABLS2-8.000MHZ-D4Y-T</v>
      </c>
      <c r="N544" s="58">
        <v>5.0</v>
      </c>
      <c r="O544" s="52" t="str">
        <f t="shared" si="2"/>
        <v>A</v>
      </c>
      <c r="P544" s="52" t="str">
        <f t="shared" si="5"/>
        <v/>
      </c>
      <c r="Q544" s="52">
        <f t="shared" si="4"/>
        <v>7</v>
      </c>
      <c r="R544" s="52" t="b">
        <f t="shared" si="6"/>
        <v>0</v>
      </c>
    </row>
    <row r="545">
      <c r="B545" s="20" t="str">
        <f>IFERROR(__xludf.DUMMYFUNCTION("if(exact($E545, """"), """", iferror(regexextract($F545, ""^(?:- )?([A-Z]+)""), ""?""))"),"Q")</f>
        <v>Q</v>
      </c>
      <c r="C545" s="61" t="str">
        <f t="shared" si="3"/>
        <v>815-ABLS2-8-D4Y-T</v>
      </c>
      <c r="D545" t="str">
        <f>Parts1!H251</f>
        <v>Frames v0.3</v>
      </c>
      <c r="E545" t="str">
        <f>Parts1!I251</f>
        <v>S</v>
      </c>
      <c r="F545" t="str">
        <f>Parts1!J251</f>
        <v>Q1</v>
      </c>
      <c r="G545">
        <f>Parts1!K251</f>
        <v>1</v>
      </c>
      <c r="H545" t="str">
        <f>Parts1!L251</f>
        <v>8 MHz quartz</v>
      </c>
      <c r="I545" t="str">
        <f>Parts1!M251</f>
        <v/>
      </c>
      <c r="J545" s="59" t="str">
        <f>Parts1!N251</f>
        <v/>
      </c>
      <c r="K545" t="str">
        <f>Parts1!O251</f>
        <v>HC49</v>
      </c>
      <c r="L545" s="62" t="str">
        <f>Parts1!P251</f>
        <v>815-ABLS2-8-D4Y-T</v>
      </c>
      <c r="M545" s="51" t="str">
        <f>Parts1!Q251</f>
        <v>Abracon ABLS2-8.000MHZ-D4Y-T</v>
      </c>
      <c r="N545" s="58">
        <v>6.0</v>
      </c>
      <c r="O545" s="52" t="str">
        <f t="shared" si="2"/>
        <v>A</v>
      </c>
      <c r="P545" s="52" t="str">
        <f t="shared" si="5"/>
        <v/>
      </c>
      <c r="Q545" s="52">
        <f t="shared" si="4"/>
        <v>6</v>
      </c>
      <c r="R545" s="52" t="b">
        <f t="shared" si="6"/>
        <v>0</v>
      </c>
    </row>
    <row r="546">
      <c r="B546" s="20" t="str">
        <f>IFERROR(__xludf.DUMMYFUNCTION("if(exact($E546, """"), """", iferror(regexextract($F546, ""^(?:- )?([A-Z]+)""), ""?""))"),"Q")</f>
        <v>Q</v>
      </c>
      <c r="C546" s="61" t="str">
        <f t="shared" si="3"/>
        <v>815-ABLS2-8-D4Y-T</v>
      </c>
      <c r="D546" t="str">
        <f>Parts1!H345</f>
        <v>Peaks v3.1</v>
      </c>
      <c r="E546" t="str">
        <f>Parts1!I345</f>
        <v>S</v>
      </c>
      <c r="F546" t="str">
        <f>Parts1!J345</f>
        <v>Q1</v>
      </c>
      <c r="G546">
        <f>Parts1!K345</f>
        <v>1</v>
      </c>
      <c r="H546" t="str">
        <f>Parts1!L345</f>
        <v>8 MHz quartz</v>
      </c>
      <c r="I546" t="str">
        <f>Parts1!M345</f>
        <v/>
      </c>
      <c r="J546" s="59" t="str">
        <f>Parts1!N345</f>
        <v/>
      </c>
      <c r="K546" t="str">
        <f>Parts1!O345</f>
        <v>HC49</v>
      </c>
      <c r="L546" s="62" t="str">
        <f>Parts1!P345</f>
        <v>815-ABLS2-8-D4Y-T</v>
      </c>
      <c r="M546" s="51" t="str">
        <f>Parts1!Q345</f>
        <v>Abracon ABLS2-8.000MHZ-D4Y-T</v>
      </c>
      <c r="N546" s="58">
        <v>9.0</v>
      </c>
      <c r="O546" s="52" t="str">
        <f t="shared" si="2"/>
        <v>A</v>
      </c>
      <c r="P546" s="52" t="str">
        <f t="shared" si="5"/>
        <v/>
      </c>
      <c r="Q546" s="52">
        <f t="shared" si="4"/>
        <v>5</v>
      </c>
      <c r="R546" s="52" t="b">
        <f t="shared" si="6"/>
        <v>0</v>
      </c>
    </row>
    <row r="547">
      <c r="B547" s="20" t="str">
        <f>IFERROR(__xludf.DUMMYFUNCTION("if(exact($E547, """"), """", iferror(regexextract($F547, ""^(?:- )?([A-Z]+)""), ""?""))"),"Q")</f>
        <v>Q</v>
      </c>
      <c r="C547" s="57" t="str">
        <f t="shared" si="3"/>
        <v>815-ABLS2-8-D4Y-T</v>
      </c>
      <c r="D547" t="str">
        <f>Parts1!H397</f>
        <v>Rings v3.0</v>
      </c>
      <c r="E547" t="str">
        <f>Parts1!I397</f>
        <v>S</v>
      </c>
      <c r="F547" t="str">
        <f>Parts1!J397</f>
        <v>Q1</v>
      </c>
      <c r="G547">
        <f>Parts1!K397</f>
        <v>1</v>
      </c>
      <c r="H547" t="str">
        <f>Parts1!L397</f>
        <v>8 MHz quartz</v>
      </c>
      <c r="I547" t="str">
        <f>Parts1!M397</f>
        <v>Capa 18pF</v>
      </c>
      <c r="J547" t="str">
        <f>Parts1!N397</f>
        <v/>
      </c>
      <c r="K547" t="str">
        <f>Parts1!O397</f>
        <v>HC49</v>
      </c>
      <c r="L547" t="str">
        <f>Parts1!P397</f>
        <v>815-ABLS2-8-D4Y-T</v>
      </c>
      <c r="M547" s="51" t="str">
        <f>Parts1!Q397</f>
        <v>Abracon ABLS2-8.000MHZ-D4Y-T</v>
      </c>
      <c r="N547" s="58">
        <v>10.0</v>
      </c>
      <c r="O547" s="52" t="str">
        <f t="shared" si="2"/>
        <v>A</v>
      </c>
      <c r="P547" s="52" t="str">
        <f t="shared" si="5"/>
        <v/>
      </c>
      <c r="Q547" s="52">
        <f t="shared" si="4"/>
        <v>4</v>
      </c>
      <c r="R547" s="52" t="b">
        <f t="shared" si="6"/>
        <v>0</v>
      </c>
    </row>
    <row r="548">
      <c r="B548" s="20" t="str">
        <f>IFERROR(__xludf.DUMMYFUNCTION("if(exact($E548, """"), """", iferror(regexextract($F548, ""^(?:- )?([A-Z]+)""), ""?""))"),"Q")</f>
        <v>Q</v>
      </c>
      <c r="C548" s="57" t="str">
        <f t="shared" si="3"/>
        <v>815-ABLS2-8-D4Y-T</v>
      </c>
      <c r="D548" t="str">
        <f>Parts1!H555</f>
        <v>Streams v0.5</v>
      </c>
      <c r="E548" t="str">
        <f>Parts1!I555</f>
        <v>S</v>
      </c>
      <c r="F548" t="str">
        <f>Parts1!J555</f>
        <v>Q1</v>
      </c>
      <c r="G548">
        <f>Parts1!K555</f>
        <v>1</v>
      </c>
      <c r="H548" t="str">
        <f>Parts1!L555</f>
        <v>8 MHz quartz</v>
      </c>
      <c r="I548" t="str">
        <f>Parts1!M555</f>
        <v/>
      </c>
      <c r="J548" t="str">
        <f>Parts1!N555</f>
        <v/>
      </c>
      <c r="K548" t="str">
        <f>Parts1!O555</f>
        <v>HC49</v>
      </c>
      <c r="L548" t="str">
        <f>Parts1!P555</f>
        <v>815-ABLS2-8-D4Y-T</v>
      </c>
      <c r="M548" s="51" t="str">
        <f>Parts1!Q555</f>
        <v>Abracon ABLS2-8.000MHZ-D4Y-T</v>
      </c>
      <c r="N548" s="58">
        <v>15.0</v>
      </c>
      <c r="O548" s="52" t="str">
        <f t="shared" si="2"/>
        <v>A</v>
      </c>
      <c r="P548" s="52" t="str">
        <f t="shared" si="5"/>
        <v/>
      </c>
      <c r="Q548" s="52">
        <f t="shared" si="4"/>
        <v>3</v>
      </c>
      <c r="R548" s="52" t="b">
        <f t="shared" si="6"/>
        <v>0</v>
      </c>
    </row>
    <row r="549">
      <c r="B549" s="20" t="str">
        <f>IFERROR(__xludf.DUMMYFUNCTION("if(exact($E549, """"), """", iferror(regexextract($F549, ""^(?:- )?([A-Z]+)""), ""?""))"),"Q")</f>
        <v>Q</v>
      </c>
      <c r="C549" s="61" t="str">
        <f t="shared" si="3"/>
        <v>815-ABLS2-8-D4Y-T</v>
      </c>
      <c r="D549" t="str">
        <f>Parts1!H614</f>
        <v>Tides v4.0</v>
      </c>
      <c r="E549" t="str">
        <f>Parts1!I614</f>
        <v>S</v>
      </c>
      <c r="F549" t="str">
        <f>Parts1!J614</f>
        <v>Q1</v>
      </c>
      <c r="G549">
        <f>Parts1!K614</f>
        <v>1</v>
      </c>
      <c r="H549" t="str">
        <f>Parts1!L614</f>
        <v>8 MHz quartz</v>
      </c>
      <c r="I549" t="str">
        <f>Parts1!M614</f>
        <v/>
      </c>
      <c r="J549" s="59" t="str">
        <f>Parts1!N614</f>
        <v/>
      </c>
      <c r="K549" t="str">
        <f>Parts1!O614</f>
        <v>HC49</v>
      </c>
      <c r="L549" s="62" t="str">
        <f>Parts1!P614</f>
        <v>815-ABLS2-8-D4Y-T</v>
      </c>
      <c r="M549" s="51" t="str">
        <f>Parts1!Q614</f>
        <v>Abracon ABLS2-8.000MHZ-D4Y-T</v>
      </c>
      <c r="N549" s="58">
        <v>17.0</v>
      </c>
      <c r="O549" s="52" t="str">
        <f t="shared" si="2"/>
        <v>A</v>
      </c>
      <c r="P549" s="52" t="str">
        <f t="shared" si="5"/>
        <v/>
      </c>
      <c r="Q549" s="52">
        <f t="shared" si="4"/>
        <v>2</v>
      </c>
      <c r="R549" s="52" t="b">
        <f t="shared" si="6"/>
        <v>0</v>
      </c>
    </row>
    <row r="550">
      <c r="B550" s="20" t="str">
        <f>IFERROR(__xludf.DUMMYFUNCTION("if(exact($E550, """"), """", iferror(regexextract($F550, ""^(?:- )?([A-Z]+)""), ""?""))"),"Q")</f>
        <v>Q</v>
      </c>
      <c r="C550" s="57" t="str">
        <f t="shared" si="3"/>
        <v>815-ABLS2-8-D4Y-T</v>
      </c>
      <c r="D550" t="str">
        <f>Parts1!H661</f>
        <v>Warps v3.0</v>
      </c>
      <c r="E550" t="str">
        <f>Parts1!I661</f>
        <v>S</v>
      </c>
      <c r="F550" t="str">
        <f>Parts1!J661</f>
        <v>Q1</v>
      </c>
      <c r="G550">
        <f>Parts1!K661</f>
        <v>1</v>
      </c>
      <c r="H550" t="str">
        <f>Parts1!L661</f>
        <v>8 MHz quartz</v>
      </c>
      <c r="I550" t="str">
        <f>Parts1!M661</f>
        <v>Capa 18pF</v>
      </c>
      <c r="J550" t="str">
        <f>Parts1!N661</f>
        <v/>
      </c>
      <c r="K550" t="str">
        <f>Parts1!O661</f>
        <v>HC49</v>
      </c>
      <c r="L550" t="str">
        <f>Parts1!P661</f>
        <v>815-ABLS2-8-D4Y-T</v>
      </c>
      <c r="M550" s="51" t="str">
        <f>Parts1!Q661</f>
        <v>Abracon ABLS2-8.000MHZ-D4Y-T</v>
      </c>
      <c r="N550" s="58">
        <v>18.0</v>
      </c>
      <c r="O550" s="52" t="str">
        <f t="shared" si="2"/>
        <v>A</v>
      </c>
      <c r="P550" s="52" t="str">
        <f t="shared" si="5"/>
        <v/>
      </c>
      <c r="Q550" s="52">
        <f t="shared" si="4"/>
        <v>1</v>
      </c>
      <c r="R550" s="52" t="b">
        <f t="shared" si="6"/>
        <v>0</v>
      </c>
    </row>
    <row r="551">
      <c r="B551" s="20" t="str">
        <f>IFERROR(__xludf.DUMMYFUNCTION("if(exact($E551, """"), """", iferror(regexextract($F551, ""^(?:- )?([A-Z]+)""), ""?""))"),"Q")</f>
        <v>Q</v>
      </c>
      <c r="C551" s="63" t="str">
        <f t="shared" si="3"/>
        <v>815-ABLS2-8-D4Y-T</v>
      </c>
      <c r="D551" t="str">
        <f>Parts1!H708</f>
        <v>Yarns v0.3</v>
      </c>
      <c r="E551" t="str">
        <f>Parts1!I708</f>
        <v>S</v>
      </c>
      <c r="F551" s="64" t="str">
        <f>Parts1!J708</f>
        <v>Q3</v>
      </c>
      <c r="G551" s="65">
        <f>Parts1!K708</f>
        <v>1</v>
      </c>
      <c r="H551" s="64" t="str">
        <f>Parts1!L708</f>
        <v>8 MHz quartz</v>
      </c>
      <c r="I551" s="64" t="str">
        <f>Parts1!M708</f>
        <v/>
      </c>
      <c r="J551" s="64" t="str">
        <f>Parts1!N708</f>
        <v/>
      </c>
      <c r="K551" s="64" t="str">
        <f>Parts1!O708</f>
        <v>HC49</v>
      </c>
      <c r="L551" s="66" t="str">
        <f>Parts1!P708</f>
        <v>815-ABLS2-8-D4Y-T</v>
      </c>
      <c r="M551" s="67" t="str">
        <f>Parts1!Q708</f>
        <v>Abracon ABLS2-8.000MHZ-D4Y-T</v>
      </c>
      <c r="N551" s="58">
        <v>19.0</v>
      </c>
      <c r="O551" s="52" t="str">
        <f t="shared" si="2"/>
        <v>A</v>
      </c>
      <c r="P551" s="52" t="str">
        <f t="shared" si="5"/>
        <v/>
      </c>
      <c r="Q551" s="52">
        <f t="shared" si="4"/>
        <v>0</v>
      </c>
      <c r="R551" s="52" t="b">
        <f t="shared" si="6"/>
        <v>0</v>
      </c>
    </row>
    <row r="552">
      <c r="B552" s="20" t="str">
        <f>IFERROR(__xludf.DUMMYFUNCTION("if(exact($E552, """"), """", iferror(regexextract($F552, ""^(?:- )?([A-Z]+)""), ""?""))"),"R")</f>
        <v>R</v>
      </c>
      <c r="C552" s="57" t="str">
        <f t="shared" si="3"/>
        <v>81PV36X502C01B00</v>
      </c>
      <c r="D552" t="str">
        <f>Parts1!H447</f>
        <v>Ripples v4.0</v>
      </c>
      <c r="E552" t="str">
        <f>Parts1!I447</f>
        <v>U</v>
      </c>
      <c r="F552" t="str">
        <f>Parts1!J447</f>
        <v>R100</v>
      </c>
      <c r="G552">
        <f>Parts1!K447</f>
        <v>1</v>
      </c>
      <c r="H552" t="str">
        <f>Parts1!L447</f>
        <v>Trimmer resistor, 25 turns, horizontal adjust.</v>
      </c>
      <c r="I552" t="str">
        <f>Parts1!M447</f>
        <v/>
      </c>
      <c r="J552" s="59" t="str">
        <f>Parts1!N447</f>
        <v>5k</v>
      </c>
      <c r="K552" s="59" t="str">
        <f>Parts1!O447</f>
        <v/>
      </c>
      <c r="L552" s="62" t="str">
        <f>Parts1!P447</f>
        <v>81-PV36X502C01B00</v>
      </c>
      <c r="M552" s="51" t="str">
        <f>Parts1!Q447</f>
        <v>Murata PV36X502C01B00</v>
      </c>
      <c r="N552" s="58">
        <v>11.0</v>
      </c>
      <c r="O552" s="52" t="str">
        <f t="shared" si="2"/>
        <v>B</v>
      </c>
      <c r="P552" s="52">
        <f t="shared" si="5"/>
        <v>1</v>
      </c>
      <c r="Q552" s="52">
        <f t="shared" si="4"/>
        <v>0</v>
      </c>
      <c r="R552" s="52" t="b">
        <f t="shared" si="6"/>
        <v>1</v>
      </c>
    </row>
    <row r="553">
      <c r="B553" s="20" t="str">
        <f>IFERROR(__xludf.DUMMYFUNCTION("if(exact($E553, """"), """", iferror(regexextract($F553, ""^(?:- )?([A-Z]+)""), ""?""))"),"R")</f>
        <v>R</v>
      </c>
      <c r="C553" s="57" t="str">
        <f t="shared" si="3"/>
        <v>81PV36X503C01B00</v>
      </c>
      <c r="D553" t="str">
        <f>Parts1!H623</f>
        <v>Tides v4.0</v>
      </c>
      <c r="E553" t="str">
        <f>Parts1!I623</f>
        <v>U</v>
      </c>
      <c r="F553" t="str">
        <f>Parts1!J623</f>
        <v>R59</v>
      </c>
      <c r="G553">
        <f>Parts1!K623</f>
        <v>1</v>
      </c>
      <c r="H553" t="str">
        <f>Parts1!L623</f>
        <v>Trimmer resistor, 25 turns, side adjust.</v>
      </c>
      <c r="I553" t="str">
        <f>Parts1!M623</f>
        <v/>
      </c>
      <c r="J553" s="59" t="str">
        <f>Parts1!N623</f>
        <v>50k</v>
      </c>
      <c r="K553" s="59" t="str">
        <f>Parts1!O623</f>
        <v/>
      </c>
      <c r="L553" s="62" t="str">
        <f>Parts1!P623</f>
        <v>81-PV36X503C01B00</v>
      </c>
      <c r="M553" s="51" t="str">
        <f>Parts1!Q623</f>
        <v>Murata PV36X503C01B00</v>
      </c>
      <c r="N553" s="58">
        <v>17.0</v>
      </c>
      <c r="O553" s="52" t="str">
        <f t="shared" si="2"/>
        <v>B</v>
      </c>
      <c r="P553" s="52">
        <f t="shared" si="5"/>
        <v>1</v>
      </c>
      <c r="Q553" s="52">
        <f t="shared" si="4"/>
        <v>0</v>
      </c>
      <c r="R553" s="52" t="b">
        <f t="shared" si="6"/>
        <v>0</v>
      </c>
    </row>
    <row r="554">
      <c r="B554" s="20" t="str">
        <f>IFERROR(__xludf.DUMMYFUNCTION("if(exact($E554, """"), """", iferror(regexextract($F554, ""^(?:- )?([A-Z]+)""), ""?""))"),"Q")</f>
        <v>Q</v>
      </c>
      <c r="C554" s="57" t="str">
        <f t="shared" si="3"/>
        <v>863-MMBT3904LT1G</v>
      </c>
      <c r="D554" t="str">
        <f>Parts1!H39</f>
        <v>Braids v5.1</v>
      </c>
      <c r="E554" t="str">
        <f>Parts1!I39</f>
        <v>S</v>
      </c>
      <c r="F554" t="str">
        <f>Parts1!J39</f>
        <v>Q1, Q2, Q3, Q4, Q6</v>
      </c>
      <c r="G554">
        <f>Parts1!K39</f>
        <v>5</v>
      </c>
      <c r="H554" t="str">
        <f>Parts1!L39</f>
        <v>NPN transistor MMBT3904</v>
      </c>
      <c r="I554" t="str">
        <f>Parts1!M39</f>
        <v/>
      </c>
      <c r="J554" t="str">
        <f>Parts1!N39</f>
        <v/>
      </c>
      <c r="K554" t="str">
        <f>Parts1!O39</f>
        <v>SOT23</v>
      </c>
      <c r="L554" t="str">
        <f>Parts1!P39</f>
        <v>863-MMBT3904LT1G</v>
      </c>
      <c r="M554" s="51" t="str">
        <f>Parts1!Q39</f>
        <v>On Semi MMBT3904LT1G</v>
      </c>
      <c r="N554" s="58">
        <v>1.0</v>
      </c>
      <c r="O554" s="52" t="str">
        <f t="shared" si="2"/>
        <v>A</v>
      </c>
      <c r="P554" s="52">
        <f t="shared" si="5"/>
        <v>1</v>
      </c>
      <c r="Q554" s="52">
        <f t="shared" si="4"/>
        <v>11</v>
      </c>
      <c r="R554" s="52" t="b">
        <f t="shared" si="6"/>
        <v>1</v>
      </c>
    </row>
    <row r="555">
      <c r="B555" s="20" t="str">
        <f>IFERROR(__xludf.DUMMYFUNCTION("if(exact($E555, """"), """", iferror(regexextract($F555, ""^(?:- )?([A-Z]+)""), ""?""))"),"Q")</f>
        <v>Q</v>
      </c>
      <c r="C555" s="57" t="str">
        <f t="shared" si="3"/>
        <v>863-MMBT3904LT1G</v>
      </c>
      <c r="D555" t="str">
        <f>Parts1!H65</f>
        <v>Branches v4.0</v>
      </c>
      <c r="E555" t="str">
        <f>Parts1!I65</f>
        <v>S</v>
      </c>
      <c r="F555" t="str">
        <f>Parts1!J65</f>
        <v>Q1, Q2</v>
      </c>
      <c r="G555" s="65">
        <f>Parts1!K65</f>
        <v>2</v>
      </c>
      <c r="H555" t="str">
        <f>Parts1!L65</f>
        <v>NPN transistor MMBT3904</v>
      </c>
      <c r="I555" t="str">
        <f>Parts1!M65</f>
        <v/>
      </c>
      <c r="J555" t="str">
        <f>Parts1!N65</f>
        <v/>
      </c>
      <c r="K555" t="str">
        <f>Parts1!O65</f>
        <v>SOT23</v>
      </c>
      <c r="L555" t="str">
        <f>Parts1!P65</f>
        <v>863-MMBT3904LT1G</v>
      </c>
      <c r="M555" s="51" t="str">
        <f>Parts1!Q65</f>
        <v>On Semi MMBT3904LT1G</v>
      </c>
      <c r="N555" s="58">
        <v>2.0</v>
      </c>
      <c r="O555" s="52" t="str">
        <f t="shared" si="2"/>
        <v>A</v>
      </c>
      <c r="P555" s="52" t="str">
        <f t="shared" si="5"/>
        <v/>
      </c>
      <c r="Q555" s="52">
        <f t="shared" si="4"/>
        <v>10</v>
      </c>
      <c r="R555" s="52" t="b">
        <f t="shared" si="6"/>
        <v>1</v>
      </c>
    </row>
    <row r="556">
      <c r="B556" s="20" t="str">
        <f>IFERROR(__xludf.DUMMYFUNCTION("if(exact($E556, """"), """", iferror(regexextract($F556, ""^(?:- )?([A-Z]+)""), ""?""))"),"Q")</f>
        <v>Q</v>
      </c>
      <c r="C556" s="57" t="str">
        <f t="shared" si="3"/>
        <v>863-MMBT3904LT1G</v>
      </c>
      <c r="D556" t="str">
        <f>Parts1!H113</f>
        <v>Clouds v3.0</v>
      </c>
      <c r="E556" t="str">
        <f>Parts1!I113</f>
        <v>S</v>
      </c>
      <c r="F556" t="str">
        <f>Parts1!J113</f>
        <v>Q1, Q2</v>
      </c>
      <c r="G556">
        <f>Parts1!K113</f>
        <v>2</v>
      </c>
      <c r="H556" t="str">
        <f>Parts1!L113</f>
        <v>NPN transistor MMBT3904</v>
      </c>
      <c r="I556" t="str">
        <f>Parts1!M113</f>
        <v/>
      </c>
      <c r="J556" t="str">
        <f>Parts1!N113</f>
        <v/>
      </c>
      <c r="K556" s="59" t="str">
        <f>Parts1!O113</f>
        <v>SOT23</v>
      </c>
      <c r="L556" t="str">
        <f>Parts1!P113</f>
        <v>863-MMBT3904LT1G</v>
      </c>
      <c r="M556" s="51" t="str">
        <f>Parts1!Q113</f>
        <v>On Semi MMBT3904LT1G</v>
      </c>
      <c r="N556" s="58">
        <v>3.0</v>
      </c>
      <c r="O556" s="52" t="str">
        <f t="shared" si="2"/>
        <v>A</v>
      </c>
      <c r="P556" s="52" t="str">
        <f t="shared" si="5"/>
        <v/>
      </c>
      <c r="Q556" s="52">
        <f t="shared" si="4"/>
        <v>9</v>
      </c>
      <c r="R556" s="52" t="b">
        <f t="shared" si="6"/>
        <v>1</v>
      </c>
    </row>
    <row r="557">
      <c r="B557" s="20" t="str">
        <f>IFERROR(__xludf.DUMMYFUNCTION("if(exact($E557, """"), """", iferror(regexextract($F557, ""^(?:- )?([A-Z]+)""), ""?""))"),"Q")</f>
        <v>Q</v>
      </c>
      <c r="C557" s="57" t="str">
        <f t="shared" si="3"/>
        <v>863-MMBT3904LT1G</v>
      </c>
      <c r="D557" t="str">
        <f>Parts1!H161</f>
        <v>Edges v2.0</v>
      </c>
      <c r="E557" t="str">
        <f>Parts1!I161</f>
        <v>S</v>
      </c>
      <c r="F557" t="str">
        <f>Parts1!J161</f>
        <v>Q1, Q2, Q3, Q4</v>
      </c>
      <c r="G557">
        <f>Parts1!K161</f>
        <v>4</v>
      </c>
      <c r="H557" t="str">
        <f>Parts1!L161</f>
        <v>NPN transistor MMBT3904</v>
      </c>
      <c r="I557" t="str">
        <f>Parts1!M161</f>
        <v/>
      </c>
      <c r="J557" t="str">
        <f>Parts1!N161</f>
        <v/>
      </c>
      <c r="K557" t="str">
        <f>Parts1!O161</f>
        <v>SOT23</v>
      </c>
      <c r="L557" t="str">
        <f>Parts1!P161</f>
        <v>863-MMBT3904LT1G</v>
      </c>
      <c r="M557" s="51" t="str">
        <f>Parts1!Q161</f>
        <v>On Semi MMBT3904LT1G</v>
      </c>
      <c r="N557" s="58">
        <v>4.0</v>
      </c>
      <c r="O557" s="52" t="str">
        <f t="shared" si="2"/>
        <v>A</v>
      </c>
      <c r="P557" s="52" t="str">
        <f t="shared" si="5"/>
        <v/>
      </c>
      <c r="Q557" s="52">
        <f t="shared" si="4"/>
        <v>8</v>
      </c>
      <c r="R557" s="52" t="b">
        <f t="shared" si="6"/>
        <v>1</v>
      </c>
    </row>
    <row r="558">
      <c r="B558" s="20" t="str">
        <f>IFERROR(__xludf.DUMMYFUNCTION("if(exact($E558, """"), """", iferror(regexextract($F558, ""^(?:- )?([A-Z]+)""), ""?""))"),"Q")</f>
        <v>Q</v>
      </c>
      <c r="C558" s="57" t="str">
        <f t="shared" si="3"/>
        <v>863-MMBT3904LT1G</v>
      </c>
      <c r="D558" t="str">
        <f>Parts1!H209</f>
        <v>Elements v0.21</v>
      </c>
      <c r="E558" t="str">
        <f>Parts1!I209</f>
        <v>S</v>
      </c>
      <c r="F558" t="str">
        <f>Parts1!J209</f>
        <v>Q2</v>
      </c>
      <c r="G558">
        <f>Parts1!K209</f>
        <v>1</v>
      </c>
      <c r="H558" t="str">
        <f>Parts1!L209</f>
        <v>NPN transistor MMBT3904</v>
      </c>
      <c r="I558" t="str">
        <f>Parts1!M209</f>
        <v/>
      </c>
      <c r="J558" t="str">
        <f>Parts1!N209</f>
        <v/>
      </c>
      <c r="K558" t="str">
        <f>Parts1!O209</f>
        <v>SOT23</v>
      </c>
      <c r="L558" t="str">
        <f>Parts1!P209</f>
        <v>863-MMBT3904LT1G</v>
      </c>
      <c r="M558" s="51" t="str">
        <f>Parts1!Q209</f>
        <v>On Semi MMBT3904LT1G</v>
      </c>
      <c r="N558" s="58">
        <v>5.0</v>
      </c>
      <c r="O558" s="52" t="str">
        <f t="shared" si="2"/>
        <v>A</v>
      </c>
      <c r="P558" s="52" t="str">
        <f t="shared" si="5"/>
        <v/>
      </c>
      <c r="Q558" s="52">
        <f t="shared" si="4"/>
        <v>7</v>
      </c>
      <c r="R558" s="52" t="b">
        <f t="shared" si="6"/>
        <v>1</v>
      </c>
    </row>
    <row r="559">
      <c r="B559" s="20" t="str">
        <f>IFERROR(__xludf.DUMMYFUNCTION("if(exact($E559, """"), """", iferror(regexextract($F559, ""^(?:- )?([A-Z]+)""), ""?""))"),"Q")</f>
        <v>Q</v>
      </c>
      <c r="C559" s="61" t="str">
        <f t="shared" si="3"/>
        <v>863-MMBT3904LT1G</v>
      </c>
      <c r="D559" t="str">
        <f>Parts1!H252</f>
        <v>Frames v0.3</v>
      </c>
      <c r="E559" t="str">
        <f>Parts1!I252</f>
        <v>S</v>
      </c>
      <c r="F559" t="str">
        <f>Parts1!J252</f>
        <v>Q2</v>
      </c>
      <c r="G559">
        <f>Parts1!K252</f>
        <v>1</v>
      </c>
      <c r="H559" t="str">
        <f>Parts1!L252</f>
        <v>NPN transistor MMBT3904</v>
      </c>
      <c r="I559" t="str">
        <f>Parts1!M252</f>
        <v/>
      </c>
      <c r="J559" s="59" t="str">
        <f>Parts1!N252</f>
        <v/>
      </c>
      <c r="K559" s="59" t="str">
        <f>Parts1!O252</f>
        <v>SOT23</v>
      </c>
      <c r="L559" s="62" t="str">
        <f>Parts1!P252</f>
        <v>863-MMBT3904LT1G</v>
      </c>
      <c r="M559" s="51" t="str">
        <f>Parts1!Q252</f>
        <v>On Semi MMBT3904LT1G</v>
      </c>
      <c r="N559" s="58">
        <v>6.0</v>
      </c>
      <c r="O559" s="52" t="str">
        <f t="shared" si="2"/>
        <v>A</v>
      </c>
      <c r="P559" s="52" t="str">
        <f t="shared" si="5"/>
        <v/>
      </c>
      <c r="Q559" s="52">
        <f t="shared" si="4"/>
        <v>6</v>
      </c>
      <c r="R559" s="52" t="b">
        <f t="shared" si="6"/>
        <v>1</v>
      </c>
    </row>
    <row r="560">
      <c r="B560" s="20" t="str">
        <f>IFERROR(__xludf.DUMMYFUNCTION("if(exact($E560, """"), """", iferror(regexextract($F560, ""^(?:- )?([A-Z]+)""), ""?""))"),"Q")</f>
        <v>Q</v>
      </c>
      <c r="C560" s="57" t="str">
        <f t="shared" si="3"/>
        <v>863-MMBT3904LT1G</v>
      </c>
      <c r="D560" t="str">
        <f>Parts1!H290</f>
        <v>Grids v0.2</v>
      </c>
      <c r="E560" t="str">
        <f>Parts1!I290</f>
        <v>S</v>
      </c>
      <c r="F560" t="str">
        <f>Parts1!J290</f>
        <v>Q2, Q3</v>
      </c>
      <c r="G560" s="65">
        <f>Parts1!K290</f>
        <v>2</v>
      </c>
      <c r="H560" t="str">
        <f>Parts1!L290</f>
        <v>NPN transistor MMBT3904</v>
      </c>
      <c r="I560" t="str">
        <f>Parts1!M290</f>
        <v/>
      </c>
      <c r="J560" t="str">
        <f>Parts1!N290</f>
        <v/>
      </c>
      <c r="K560" t="str">
        <f>Parts1!O290</f>
        <v>SOT23</v>
      </c>
      <c r="L560" t="str">
        <f>Parts1!P290</f>
        <v>863-MMBT3904LT1G</v>
      </c>
      <c r="M560" s="51" t="str">
        <f>Parts1!Q290</f>
        <v>On Semi MMBT3904LT1G</v>
      </c>
      <c r="N560" s="58">
        <v>7.0</v>
      </c>
      <c r="O560" s="52" t="str">
        <f t="shared" si="2"/>
        <v>A</v>
      </c>
      <c r="P560" s="52" t="str">
        <f t="shared" si="5"/>
        <v/>
      </c>
      <c r="Q560" s="52">
        <f t="shared" si="4"/>
        <v>5</v>
      </c>
      <c r="R560" s="52" t="b">
        <f t="shared" si="6"/>
        <v>1</v>
      </c>
    </row>
    <row r="561">
      <c r="B561" s="20" t="str">
        <f>IFERROR(__xludf.DUMMYFUNCTION("if(exact($E561, """"), """", iferror(regexextract($F561, ""^(?:- )?([A-Z]+)""), ""?""))"),"Q")</f>
        <v>Q</v>
      </c>
      <c r="C561" s="61" t="str">
        <f t="shared" si="3"/>
        <v>863-MMBT3904LT1G</v>
      </c>
      <c r="D561" t="str">
        <f>Parts1!H344</f>
        <v>Peaks v3.1</v>
      </c>
      <c r="E561" t="str">
        <f>Parts1!I344</f>
        <v>S</v>
      </c>
      <c r="F561" t="str">
        <f>Parts1!J344</f>
        <v>Q2, Q3</v>
      </c>
      <c r="G561">
        <f>Parts1!K344</f>
        <v>2</v>
      </c>
      <c r="H561" t="str">
        <f>Parts1!L344</f>
        <v>NPN transistor MMBT3904</v>
      </c>
      <c r="I561" t="str">
        <f>Parts1!M344</f>
        <v/>
      </c>
      <c r="J561" s="59" t="str">
        <f>Parts1!N344</f>
        <v/>
      </c>
      <c r="K561" t="str">
        <f>Parts1!O344</f>
        <v>SOT23</v>
      </c>
      <c r="L561" s="62" t="str">
        <f>Parts1!P344</f>
        <v>863-MMBT3904LT1G</v>
      </c>
      <c r="M561" s="51" t="str">
        <f>Parts1!Q344</f>
        <v>On Semi MMBT3904LT1G</v>
      </c>
      <c r="N561" s="58">
        <v>9.0</v>
      </c>
      <c r="O561" s="52" t="str">
        <f t="shared" si="2"/>
        <v>A</v>
      </c>
      <c r="P561" s="52" t="str">
        <f t="shared" si="5"/>
        <v/>
      </c>
      <c r="Q561" s="52">
        <f t="shared" si="4"/>
        <v>4</v>
      </c>
      <c r="R561" s="52" t="b">
        <f t="shared" si="6"/>
        <v>1</v>
      </c>
    </row>
    <row r="562">
      <c r="B562" s="20" t="str">
        <f>IFERROR(__xludf.DUMMYFUNCTION("if(exact($E562, """"), """", iferror(regexextract($F562, ""^(?:- )?([A-Z]+)""), ""?""))"),"Q")</f>
        <v>Q</v>
      </c>
      <c r="C562" s="57" t="str">
        <f t="shared" si="3"/>
        <v>863-MMBT3904LT1G</v>
      </c>
      <c r="D562" t="str">
        <f>Parts1!H398</f>
        <v>Rings v3.0</v>
      </c>
      <c r="E562" t="str">
        <f>Parts1!I398</f>
        <v>S</v>
      </c>
      <c r="F562" t="str">
        <f>Parts1!J398</f>
        <v>Q2</v>
      </c>
      <c r="G562">
        <f>Parts1!K398</f>
        <v>1</v>
      </c>
      <c r="H562" t="str">
        <f>Parts1!L398</f>
        <v>NPN transistor MMBT3904</v>
      </c>
      <c r="I562" t="str">
        <f>Parts1!M398</f>
        <v/>
      </c>
      <c r="J562" t="str">
        <f>Parts1!N398</f>
        <v/>
      </c>
      <c r="K562" t="str">
        <f>Parts1!O398</f>
        <v>SOT23</v>
      </c>
      <c r="L562" t="str">
        <f>Parts1!P398</f>
        <v>863-MMBT3904LT1G</v>
      </c>
      <c r="M562" s="51" t="str">
        <f>Parts1!Q398</f>
        <v>On Semi MMBT3904LT1G</v>
      </c>
      <c r="N562" s="58">
        <v>10.0</v>
      </c>
      <c r="O562" s="52" t="str">
        <f t="shared" si="2"/>
        <v>A</v>
      </c>
      <c r="P562" s="52" t="str">
        <f t="shared" si="5"/>
        <v/>
      </c>
      <c r="Q562" s="52">
        <f t="shared" si="4"/>
        <v>3</v>
      </c>
      <c r="R562" s="52" t="b">
        <f t="shared" si="6"/>
        <v>1</v>
      </c>
    </row>
    <row r="563">
      <c r="B563" s="20" t="str">
        <f>IFERROR(__xludf.DUMMYFUNCTION("if(exact($E563, """"), """", iferror(regexextract($F563, ""^(?:- )?([A-Z]+)""), ""?""))"),"Q")</f>
        <v>Q</v>
      </c>
      <c r="C563" s="57" t="str">
        <f t="shared" si="3"/>
        <v>863-MMBT3904LT1G</v>
      </c>
      <c r="D563" t="str">
        <f>Parts1!H494</f>
        <v>Shelves v0.5</v>
      </c>
      <c r="E563" t="str">
        <f>Parts1!I494</f>
        <v>S</v>
      </c>
      <c r="F563" t="str">
        <f>Parts1!J494</f>
        <v>Q1</v>
      </c>
      <c r="G563">
        <f>Parts1!K494</f>
        <v>1</v>
      </c>
      <c r="H563" t="str">
        <f>Parts1!L494</f>
        <v>NPN transistor MMBT3904</v>
      </c>
      <c r="I563" t="str">
        <f>Parts1!M494</f>
        <v/>
      </c>
      <c r="J563" t="str">
        <f>Parts1!N494</f>
        <v/>
      </c>
      <c r="K563" t="str">
        <f>Parts1!O494</f>
        <v>SOT23</v>
      </c>
      <c r="L563" t="str">
        <f>Parts1!P494</f>
        <v>863-MMBT3904LT1G</v>
      </c>
      <c r="M563" s="51" t="str">
        <f>Parts1!Q494</f>
        <v>On Semi MMBT3904LT1G</v>
      </c>
      <c r="N563" s="58">
        <v>13.0</v>
      </c>
      <c r="O563" s="52" t="str">
        <f t="shared" si="2"/>
        <v>A</v>
      </c>
      <c r="P563" s="52" t="str">
        <f t="shared" si="5"/>
        <v/>
      </c>
      <c r="Q563" s="52">
        <f t="shared" si="4"/>
        <v>2</v>
      </c>
      <c r="R563" s="52" t="b">
        <f t="shared" si="6"/>
        <v>1</v>
      </c>
    </row>
    <row r="564">
      <c r="B564" s="20" t="str">
        <f>IFERROR(__xludf.DUMMYFUNCTION("if(exact($E564, """"), """", iferror(regexextract($F564, ""^(?:- )?([A-Z]+)""), ""?""))"),"Q")</f>
        <v>Q</v>
      </c>
      <c r="C564" s="61" t="str">
        <f t="shared" si="3"/>
        <v>863-MMBT3904LT1G</v>
      </c>
      <c r="D564" t="str">
        <f>Parts1!H613</f>
        <v>Tides v4.0</v>
      </c>
      <c r="E564" t="str">
        <f>Parts1!I613</f>
        <v>S</v>
      </c>
      <c r="F564" t="str">
        <f>Parts1!J613</f>
        <v>Q2, Q3, Q4, Q5, Q6</v>
      </c>
      <c r="G564">
        <f>Parts1!K613</f>
        <v>5</v>
      </c>
      <c r="H564" t="str">
        <f>Parts1!L613</f>
        <v>NPN transistor MMBT3904</v>
      </c>
      <c r="I564" t="str">
        <f>Parts1!M613</f>
        <v/>
      </c>
      <c r="J564" s="59" t="str">
        <f>Parts1!N613</f>
        <v/>
      </c>
      <c r="K564" s="59" t="str">
        <f>Parts1!O613</f>
        <v>SOT23</v>
      </c>
      <c r="L564" s="62" t="str">
        <f>Parts1!P613</f>
        <v>863-MMBT3904LT1G</v>
      </c>
      <c r="M564" s="51" t="str">
        <f>Parts1!Q613</f>
        <v>On Semi MMBT3904LT1G</v>
      </c>
      <c r="N564" s="58">
        <v>17.0</v>
      </c>
      <c r="O564" s="52" t="str">
        <f t="shared" si="2"/>
        <v>A</v>
      </c>
      <c r="P564" s="52" t="str">
        <f t="shared" si="5"/>
        <v/>
      </c>
      <c r="Q564" s="52">
        <f t="shared" si="4"/>
        <v>1</v>
      </c>
      <c r="R564" s="52" t="b">
        <f t="shared" si="6"/>
        <v>1</v>
      </c>
    </row>
    <row r="565">
      <c r="B565" s="20" t="str">
        <f>IFERROR(__xludf.DUMMYFUNCTION("if(exact($E565, """"), """", iferror(regexextract($F565, ""^(?:- )?([A-Z]+)""), ""?""))"),"Q")</f>
        <v>Q</v>
      </c>
      <c r="C565" s="63" t="str">
        <f t="shared" si="3"/>
        <v>863-MMBT3904LT1G</v>
      </c>
      <c r="D565" t="str">
        <f>Parts1!H699</f>
        <v>Yarns v0.3</v>
      </c>
      <c r="E565" t="str">
        <f>Parts1!I699</f>
        <v>S</v>
      </c>
      <c r="F565" s="64" t="str">
        <f>Parts1!J699</f>
        <v>Q1, Q2</v>
      </c>
      <c r="G565" s="65">
        <f>Parts1!K699</f>
        <v>2</v>
      </c>
      <c r="H565" s="64" t="str">
        <f>Parts1!L699</f>
        <v>NPN transistor MMBT3904</v>
      </c>
      <c r="I565" s="64" t="str">
        <f>Parts1!M699</f>
        <v/>
      </c>
      <c r="J565" s="64" t="str">
        <f>Parts1!N699</f>
        <v/>
      </c>
      <c r="K565" s="64" t="str">
        <f>Parts1!O699</f>
        <v>SOT23</v>
      </c>
      <c r="L565" s="66" t="str">
        <f>Parts1!P699</f>
        <v>863-MMBT3904LT1G</v>
      </c>
      <c r="M565" s="67" t="str">
        <f>Parts1!Q699</f>
        <v>On Semi MMBT3904LT1G</v>
      </c>
      <c r="N565" s="58">
        <v>19.0</v>
      </c>
      <c r="O565" s="52" t="str">
        <f t="shared" si="2"/>
        <v>A</v>
      </c>
      <c r="P565" s="52" t="str">
        <f t="shared" si="5"/>
        <v/>
      </c>
      <c r="Q565" s="52">
        <f t="shared" si="4"/>
        <v>0</v>
      </c>
      <c r="R565" s="52" t="b">
        <f t="shared" si="6"/>
        <v>1</v>
      </c>
    </row>
    <row r="566">
      <c r="B566" s="20" t="str">
        <f>IFERROR(__xludf.DUMMYFUNCTION("if(exact($E566, """"), """", iferror(regexextract($F566, ""^(?:- )?([A-Z]+)""), ""?""))"),"IC")</f>
        <v>IC</v>
      </c>
      <c r="C566" s="61" t="str">
        <f t="shared" si="3"/>
        <v>926-DAC124S085CIMMNO</v>
      </c>
      <c r="D566" t="str">
        <f>Parts1!H246</f>
        <v>Frames v0.3</v>
      </c>
      <c r="E566" t="str">
        <f>Parts1!I246</f>
        <v>S</v>
      </c>
      <c r="F566" t="str">
        <f>Parts1!J246</f>
        <v>IC3</v>
      </c>
      <c r="G566">
        <f>Parts1!K246</f>
        <v>1</v>
      </c>
      <c r="H566" t="str">
        <f>Parts1!L246</f>
        <v>DAC124S085C DAC</v>
      </c>
      <c r="I566" t="str">
        <f>Parts1!M246</f>
        <v>A, B or C grade</v>
      </c>
      <c r="J566" s="59" t="str">
        <f>Parts1!N246</f>
        <v/>
      </c>
      <c r="K566" s="59" t="str">
        <f>Parts1!O246</f>
        <v>MSOP10</v>
      </c>
      <c r="L566" s="62" t="str">
        <f>Parts1!P246</f>
        <v>926-DAC124S085CIMMNO</v>
      </c>
      <c r="M566" s="51" t="str">
        <f>Parts1!Q246</f>
        <v>Texas Instruments DAC124S085CIMM/NOPB</v>
      </c>
      <c r="N566" s="58">
        <v>6.0</v>
      </c>
      <c r="O566" s="52" t="str">
        <f t="shared" si="2"/>
        <v>A</v>
      </c>
      <c r="P566" s="52">
        <f t="shared" si="5"/>
        <v>1</v>
      </c>
      <c r="Q566" s="52">
        <f t="shared" si="4"/>
        <v>0</v>
      </c>
      <c r="R566" s="52" t="b">
        <f t="shared" si="6"/>
        <v>0</v>
      </c>
    </row>
    <row r="567">
      <c r="B567" s="20" t="str">
        <f>IFERROR(__xludf.DUMMYFUNCTION("if(exact($E567, """"), """", iferror(regexextract($F567, ""^(?:- )?([A-Z]+)""), ""?""))"),"IC")</f>
        <v>IC</v>
      </c>
      <c r="C567" s="57" t="str">
        <f t="shared" si="3"/>
        <v>926-LM1117DT-3.3NOPB</v>
      </c>
      <c r="D567" t="str">
        <f>Parts1!H32</f>
        <v>Braids v5.1</v>
      </c>
      <c r="E567" t="str">
        <f>Parts1!I32</f>
        <v>S</v>
      </c>
      <c r="F567" t="str">
        <f>Parts1!J32</f>
        <v>IC6</v>
      </c>
      <c r="G567">
        <f>Parts1!K32</f>
        <v>1</v>
      </c>
      <c r="H567" t="str">
        <f>Parts1!L32</f>
        <v>LM1117-3.3V LDO Vreg</v>
      </c>
      <c r="I567" t="str">
        <f>Parts1!M32</f>
        <v/>
      </c>
      <c r="J567" t="str">
        <f>Parts1!N32</f>
        <v>3.3V</v>
      </c>
      <c r="K567" t="str">
        <f>Parts1!O32</f>
        <v>TO252</v>
      </c>
      <c r="L567" t="str">
        <f>Parts1!P32</f>
        <v>926-LM1117DT-3.3NOPB</v>
      </c>
      <c r="M567" s="51" t="str">
        <f>Parts1!Q32</f>
        <v>National LM1117DT-3.3/NOPB</v>
      </c>
      <c r="N567" s="58">
        <v>1.0</v>
      </c>
      <c r="O567" s="52" t="str">
        <f t="shared" si="2"/>
        <v>A</v>
      </c>
      <c r="P567" s="52">
        <f t="shared" si="5"/>
        <v>1</v>
      </c>
      <c r="Q567" s="52">
        <f t="shared" si="4"/>
        <v>3</v>
      </c>
      <c r="R567" s="52" t="b">
        <f t="shared" si="6"/>
        <v>1</v>
      </c>
    </row>
    <row r="568">
      <c r="B568" s="20" t="str">
        <f>IFERROR(__xludf.DUMMYFUNCTION("if(exact($E568, """"), """", iferror(regexextract($F568, ""^(?:- )?([A-Z]+)""), ""?""))"),"IC")</f>
        <v>IC</v>
      </c>
      <c r="C568" s="57" t="str">
        <f t="shared" si="3"/>
        <v>926-LM1117DT-3.3NOPB</v>
      </c>
      <c r="D568" t="str">
        <f>Parts1!H105</f>
        <v>Clouds v3.0</v>
      </c>
      <c r="E568" t="str">
        <f>Parts1!I105</f>
        <v>S</v>
      </c>
      <c r="F568" t="str">
        <f>Parts1!J105</f>
        <v>IC2</v>
      </c>
      <c r="G568">
        <f>Parts1!K105</f>
        <v>1</v>
      </c>
      <c r="H568" t="str">
        <f>Parts1!L105</f>
        <v>LM1117-3.3V LDO Vreg</v>
      </c>
      <c r="I568" t="str">
        <f>Parts1!M105</f>
        <v/>
      </c>
      <c r="J568" t="str">
        <f>Parts1!N105</f>
        <v>3.3V</v>
      </c>
      <c r="K568" s="59" t="str">
        <f>Parts1!O105</f>
        <v>TO252</v>
      </c>
      <c r="L568" t="str">
        <f>Parts1!P105</f>
        <v>926-LM1117DT-3.3NOPB</v>
      </c>
      <c r="M568" s="51" t="str">
        <f>Parts1!Q105</f>
        <v>National LM1117DT-3.3/NOPB</v>
      </c>
      <c r="N568" s="58">
        <v>3.0</v>
      </c>
      <c r="O568" s="52" t="str">
        <f t="shared" si="2"/>
        <v>A</v>
      </c>
      <c r="P568" s="52" t="str">
        <f t="shared" si="5"/>
        <v/>
      </c>
      <c r="Q568" s="52">
        <f t="shared" si="4"/>
        <v>2</v>
      </c>
      <c r="R568" s="52" t="b">
        <f t="shared" si="6"/>
        <v>1</v>
      </c>
    </row>
    <row r="569">
      <c r="B569" s="20" t="str">
        <f>IFERROR(__xludf.DUMMYFUNCTION("if(exact($E569, """"), """", iferror(regexextract($F569, ""^(?:- )?([A-Z]+)""), ""?""))"),"IC")</f>
        <v>IC</v>
      </c>
      <c r="C569" s="57" t="str">
        <f t="shared" si="3"/>
        <v>926-LM1117DT-3.3NOPB</v>
      </c>
      <c r="D569" t="str">
        <f>Parts1!H389</f>
        <v>Rings v3.0</v>
      </c>
      <c r="E569" t="str">
        <f>Parts1!I389</f>
        <v>S</v>
      </c>
      <c r="F569" t="str">
        <f>Parts1!J389</f>
        <v>IC1</v>
      </c>
      <c r="G569">
        <f>Parts1!K389</f>
        <v>1</v>
      </c>
      <c r="H569" t="str">
        <f>Parts1!L389</f>
        <v>LM1117-3.3V LDO Vreg</v>
      </c>
      <c r="I569" t="str">
        <f>Parts1!M389</f>
        <v/>
      </c>
      <c r="J569" t="str">
        <f>Parts1!N389</f>
        <v>3.3V</v>
      </c>
      <c r="K569" t="str">
        <f>Parts1!O389</f>
        <v>TO252</v>
      </c>
      <c r="L569" t="str">
        <f>Parts1!P389</f>
        <v>926-LM1117DT-3.3NOPB</v>
      </c>
      <c r="M569" s="51" t="str">
        <f>Parts1!Q389</f>
        <v>National LM1117DT-3.3/NOPB</v>
      </c>
      <c r="N569" s="58">
        <v>10.0</v>
      </c>
      <c r="O569" s="52" t="str">
        <f t="shared" si="2"/>
        <v>A</v>
      </c>
      <c r="P569" s="52" t="str">
        <f t="shared" si="5"/>
        <v/>
      </c>
      <c r="Q569" s="52">
        <f t="shared" si="4"/>
        <v>1</v>
      </c>
      <c r="R569" s="52" t="b">
        <f t="shared" si="6"/>
        <v>1</v>
      </c>
    </row>
    <row r="570">
      <c r="B570" s="20" t="str">
        <f>IFERROR(__xludf.DUMMYFUNCTION("if(exact($E570, """"), """", iferror(regexextract($F570, ""^(?:- )?([A-Z]+)""), ""?""))"),"IC")</f>
        <v>IC</v>
      </c>
      <c r="C570" s="57" t="str">
        <f t="shared" si="3"/>
        <v>926-LM1117DT-3.3NOPB</v>
      </c>
      <c r="D570" t="str">
        <f>Parts1!H655</f>
        <v>Warps v3.0</v>
      </c>
      <c r="E570" t="str">
        <f>Parts1!I655</f>
        <v>S</v>
      </c>
      <c r="F570" t="str">
        <f>Parts1!J655</f>
        <v>IC1</v>
      </c>
      <c r="G570">
        <f>Parts1!K655</f>
        <v>1</v>
      </c>
      <c r="H570" t="str">
        <f>Parts1!L655</f>
        <v>LM1117-3.3V LDO Vreg</v>
      </c>
      <c r="I570" t="str">
        <f>Parts1!M655</f>
        <v/>
      </c>
      <c r="J570" t="str">
        <f>Parts1!N655</f>
        <v>3.3V</v>
      </c>
      <c r="K570" t="str">
        <f>Parts1!O655</f>
        <v>TO252</v>
      </c>
      <c r="L570" t="str">
        <f>Parts1!P655</f>
        <v>926-LM1117DT-3.3NOPB</v>
      </c>
      <c r="M570" s="51" t="str">
        <f>Parts1!Q655</f>
        <v>National LM1117DT-3.3/NOPB</v>
      </c>
      <c r="N570" s="58">
        <v>18.0</v>
      </c>
      <c r="O570" s="52" t="str">
        <f t="shared" si="2"/>
        <v>A</v>
      </c>
      <c r="P570" s="52" t="str">
        <f t="shared" si="5"/>
        <v/>
      </c>
      <c r="Q570" s="52">
        <f t="shared" si="4"/>
        <v>0</v>
      </c>
      <c r="R570" s="52" t="b">
        <f t="shared" si="6"/>
        <v>1</v>
      </c>
    </row>
    <row r="571">
      <c r="B571" s="20" t="str">
        <f>IFERROR(__xludf.DUMMYFUNCTION("if(exact($E571, """"), """", iferror(regexextract($F571, ""^(?:- )?([A-Z]+)""), ""?""))"),"IC")</f>
        <v>IC</v>
      </c>
      <c r="C571" s="57" t="str">
        <f t="shared" si="3"/>
        <v>926-LM1117MPX3.3NOPB</v>
      </c>
      <c r="D571" t="str">
        <f>Parts1!H110</f>
        <v>Clouds v3.0</v>
      </c>
      <c r="E571" t="str">
        <f>Parts1!I110</f>
        <v>S</v>
      </c>
      <c r="F571" t="str">
        <f>Parts1!J110</f>
        <v>IC7</v>
      </c>
      <c r="G571">
        <f>Parts1!K110</f>
        <v>1</v>
      </c>
      <c r="H571" t="str">
        <f>Parts1!L110</f>
        <v>LM1117-3.3V LDO Vreg</v>
      </c>
      <c r="I571" t="str">
        <f>Parts1!M110</f>
        <v/>
      </c>
      <c r="J571" t="str">
        <f>Parts1!N110</f>
        <v>3.3V</v>
      </c>
      <c r="K571" s="59" t="str">
        <f>Parts1!O110</f>
        <v>SOT223</v>
      </c>
      <c r="L571" t="str">
        <f>Parts1!P110</f>
        <v>926-LM1117MPX3.3NOPB</v>
      </c>
      <c r="M571" s="51" t="str">
        <f>Parts1!Q110</f>
        <v>National LM1117MPX3.3/NOPB</v>
      </c>
      <c r="N571" s="58">
        <v>3.0</v>
      </c>
      <c r="O571" s="52" t="str">
        <f t="shared" si="2"/>
        <v>A</v>
      </c>
      <c r="P571" s="52">
        <f t="shared" si="5"/>
        <v>1</v>
      </c>
      <c r="Q571" s="52">
        <f t="shared" si="4"/>
        <v>7</v>
      </c>
      <c r="R571" s="52" t="b">
        <f t="shared" si="6"/>
        <v>0</v>
      </c>
    </row>
    <row r="572">
      <c r="B572" s="20" t="str">
        <f>IFERROR(__xludf.DUMMYFUNCTION("if(exact($E572, """"), """", iferror(regexextract($F572, ""^(?:- )?([A-Z]+)""), ""?""))"),"IC")</f>
        <v>IC</v>
      </c>
      <c r="C572" s="57" t="str">
        <f t="shared" si="3"/>
        <v>926-LM1117MPX3.3NOPB</v>
      </c>
      <c r="D572" t="str">
        <f>Parts1!H155</f>
        <v>Edges v2.0</v>
      </c>
      <c r="E572" t="str">
        <f>Parts1!I155</f>
        <v>S</v>
      </c>
      <c r="F572" t="str">
        <f>Parts1!J155</f>
        <v>IC14</v>
      </c>
      <c r="G572">
        <f>Parts1!K155</f>
        <v>1</v>
      </c>
      <c r="H572" t="str">
        <f>Parts1!L155</f>
        <v>LM1117-3.3V LDO Vreg</v>
      </c>
      <c r="I572" t="str">
        <f>Parts1!M155</f>
        <v/>
      </c>
      <c r="J572" t="str">
        <f>Parts1!N155</f>
        <v>3.3V</v>
      </c>
      <c r="K572" t="str">
        <f>Parts1!O155</f>
        <v>SO223</v>
      </c>
      <c r="L572" t="str">
        <f>Parts1!P155</f>
        <v>926-LM1117MPX3.3NOPB</v>
      </c>
      <c r="M572" s="51" t="str">
        <f>Parts1!Q155</f>
        <v>National LM1117MPX3.3NOPB</v>
      </c>
      <c r="N572" s="58">
        <v>4.0</v>
      </c>
      <c r="O572" s="52" t="str">
        <f t="shared" si="2"/>
        <v>A</v>
      </c>
      <c r="P572" s="52" t="str">
        <f t="shared" si="5"/>
        <v/>
      </c>
      <c r="Q572" s="52">
        <f t="shared" si="4"/>
        <v>6</v>
      </c>
      <c r="R572" s="52" t="b">
        <f t="shared" si="6"/>
        <v>0</v>
      </c>
    </row>
    <row r="573">
      <c r="B573" s="20" t="str">
        <f>IFERROR(__xludf.DUMMYFUNCTION("if(exact($E573, """"), """", iferror(regexextract($F573, ""^(?:- )?([A-Z]+)""), ""?""))"),"IC")</f>
        <v>IC</v>
      </c>
      <c r="C573" s="57" t="str">
        <f t="shared" si="3"/>
        <v>926-LM1117MPX3.3NOPB</v>
      </c>
      <c r="D573" t="str">
        <f>Parts1!H199</f>
        <v>Elements v0.21</v>
      </c>
      <c r="E573" t="str">
        <f>Parts1!I199</f>
        <v>S</v>
      </c>
      <c r="F573" t="str">
        <f>Parts1!J199</f>
        <v>IC2, IC4</v>
      </c>
      <c r="G573">
        <f>Parts1!K199</f>
        <v>2</v>
      </c>
      <c r="H573" t="str">
        <f>Parts1!L199</f>
        <v>LM1117-3.3V LDO Vreg</v>
      </c>
      <c r="I573" t="str">
        <f>Parts1!M199</f>
        <v/>
      </c>
      <c r="J573" t="str">
        <f>Parts1!N199</f>
        <v>3.3V</v>
      </c>
      <c r="K573" t="str">
        <f>Parts1!O199</f>
        <v>SOT223</v>
      </c>
      <c r="L573" t="str">
        <f>Parts1!P199</f>
        <v>926-LM1117MPX3.3NOPB</v>
      </c>
      <c r="M573" s="51" t="str">
        <f>Parts1!Q199</f>
        <v>National LM1117MPX3.3/NOPB</v>
      </c>
      <c r="N573" s="58">
        <v>5.0</v>
      </c>
      <c r="O573" s="52" t="str">
        <f t="shared" si="2"/>
        <v>A</v>
      </c>
      <c r="P573" s="52" t="str">
        <f t="shared" si="5"/>
        <v/>
      </c>
      <c r="Q573" s="52">
        <f t="shared" si="4"/>
        <v>5</v>
      </c>
      <c r="R573" s="52" t="b">
        <f t="shared" si="6"/>
        <v>0</v>
      </c>
    </row>
    <row r="574">
      <c r="B574" s="20" t="str">
        <f>IFERROR(__xludf.DUMMYFUNCTION("if(exact($E574, """"), """", iferror(regexextract($F574, ""^(?:- )?([A-Z]+)""), ""?""))"),"IC")</f>
        <v>IC</v>
      </c>
      <c r="C574" s="61" t="str">
        <f t="shared" si="3"/>
        <v>926-LM1117MPX3.3NOPB</v>
      </c>
      <c r="D574" t="str">
        <f>Parts1!H244</f>
        <v>Frames v0.3</v>
      </c>
      <c r="E574" t="str">
        <f>Parts1!I244</f>
        <v>S</v>
      </c>
      <c r="F574" t="str">
        <f>Parts1!J244</f>
        <v>IC1, IC4</v>
      </c>
      <c r="G574">
        <f>Parts1!K244</f>
        <v>2</v>
      </c>
      <c r="H574" t="str">
        <f>Parts1!L244</f>
        <v>LM1117-3.3V LDO Vreg</v>
      </c>
      <c r="I574" t="str">
        <f>Parts1!M244</f>
        <v/>
      </c>
      <c r="J574" s="59" t="str">
        <f>Parts1!N244</f>
        <v>3.3V</v>
      </c>
      <c r="K574" s="59" t="str">
        <f>Parts1!O244</f>
        <v>SO223</v>
      </c>
      <c r="L574" s="62" t="str">
        <f>Parts1!P244</f>
        <v>926-LM1117MPX3.3NOPB</v>
      </c>
      <c r="M574" s="51" t="str">
        <f>Parts1!Q244</f>
        <v>National LM1117MPX3.3NOPB</v>
      </c>
      <c r="N574" s="58">
        <v>6.0</v>
      </c>
      <c r="O574" s="52" t="str">
        <f t="shared" si="2"/>
        <v>A</v>
      </c>
      <c r="P574" s="52" t="str">
        <f t="shared" si="5"/>
        <v/>
      </c>
      <c r="Q574" s="52">
        <f t="shared" si="4"/>
        <v>4</v>
      </c>
      <c r="R574" s="52" t="b">
        <f t="shared" si="6"/>
        <v>0</v>
      </c>
    </row>
    <row r="575">
      <c r="B575" s="20" t="str">
        <f>IFERROR(__xludf.DUMMYFUNCTION("if(exact($E575, """"), """", iferror(regexextract($F575, ""^(?:- )?([A-Z]+)""), ""?""))"),"IC")</f>
        <v>IC</v>
      </c>
      <c r="C575" s="61" t="str">
        <f t="shared" si="3"/>
        <v>926-LM1117MPX3.3NOPB</v>
      </c>
      <c r="D575" t="str">
        <f>Parts1!H339</f>
        <v>Peaks v3.1</v>
      </c>
      <c r="E575" t="str">
        <f>Parts1!I339</f>
        <v>S</v>
      </c>
      <c r="F575" t="str">
        <f>Parts1!J339</f>
        <v>IC1</v>
      </c>
      <c r="G575">
        <f>Parts1!K339</f>
        <v>1</v>
      </c>
      <c r="H575" t="str">
        <f>Parts1!L339</f>
        <v>LM1117-3.3V LDO Vreg</v>
      </c>
      <c r="I575" t="str">
        <f>Parts1!M339</f>
        <v/>
      </c>
      <c r="J575" s="59" t="str">
        <f>Parts1!N339</f>
        <v>3.3V</v>
      </c>
      <c r="K575" t="str">
        <f>Parts1!O339</f>
        <v>SO223</v>
      </c>
      <c r="L575" s="62" t="str">
        <f>Parts1!P339</f>
        <v>926-LM1117MPX3.3NOPB</v>
      </c>
      <c r="M575" s="51" t="str">
        <f>Parts1!Q339</f>
        <v>National LM1117MPX3.3NOPB</v>
      </c>
      <c r="N575" s="58">
        <v>9.0</v>
      </c>
      <c r="O575" s="52" t="str">
        <f t="shared" si="2"/>
        <v>A</v>
      </c>
      <c r="P575" s="52" t="str">
        <f t="shared" si="5"/>
        <v/>
      </c>
      <c r="Q575" s="52">
        <f t="shared" si="4"/>
        <v>3</v>
      </c>
      <c r="R575" s="52" t="b">
        <f t="shared" si="6"/>
        <v>0</v>
      </c>
    </row>
    <row r="576">
      <c r="B576" s="20" t="str">
        <f>IFERROR(__xludf.DUMMYFUNCTION("if(exact($E576, """"), """", iferror(regexextract($F576, ""^(?:- )?([A-Z]+)""), ""?""))"),"IC")</f>
        <v>IC</v>
      </c>
      <c r="C576" s="57" t="str">
        <f t="shared" si="3"/>
        <v>926-LM1117MPX3.3NOPB</v>
      </c>
      <c r="D576" t="str">
        <f>Parts1!H546</f>
        <v>Streams v0.5</v>
      </c>
      <c r="E576" t="str">
        <f>Parts1!I546</f>
        <v>S</v>
      </c>
      <c r="F576" t="str">
        <f>Parts1!J546</f>
        <v>IC2</v>
      </c>
      <c r="G576">
        <f>Parts1!K546</f>
        <v>1</v>
      </c>
      <c r="H576" t="str">
        <f>Parts1!L546</f>
        <v>LM1117-3.3V LDO Vreg</v>
      </c>
      <c r="I576" t="str">
        <f>Parts1!M546</f>
        <v/>
      </c>
      <c r="J576" t="str">
        <f>Parts1!N546</f>
        <v>3.3V</v>
      </c>
      <c r="K576" t="str">
        <f>Parts1!O546</f>
        <v>SOT223</v>
      </c>
      <c r="L576" t="str">
        <f>Parts1!P546</f>
        <v>926-LM1117MPX3.3NOPB</v>
      </c>
      <c r="M576" s="51" t="str">
        <f>Parts1!Q546</f>
        <v>National LM1117MPX3.3/NOPB</v>
      </c>
      <c r="N576" s="58">
        <v>15.0</v>
      </c>
      <c r="O576" s="52" t="str">
        <f t="shared" si="2"/>
        <v>A</v>
      </c>
      <c r="P576" s="52" t="str">
        <f t="shared" si="5"/>
        <v/>
      </c>
      <c r="Q576" s="52">
        <f t="shared" si="4"/>
        <v>2</v>
      </c>
      <c r="R576" s="52" t="b">
        <f t="shared" si="6"/>
        <v>0</v>
      </c>
    </row>
    <row r="577">
      <c r="B577" s="20" t="str">
        <f>IFERROR(__xludf.DUMMYFUNCTION("if(exact($E577, """"), """", iferror(regexextract($F577, ""^(?:- )?([A-Z]+)""), ""?""))"),"IC")</f>
        <v>IC</v>
      </c>
      <c r="C577" s="61" t="str">
        <f t="shared" si="3"/>
        <v>926-LM1117MPX3.3NOPB</v>
      </c>
      <c r="D577" t="str">
        <f>Parts1!H606</f>
        <v>Tides v4.0</v>
      </c>
      <c r="E577" t="str">
        <f>Parts1!I606</f>
        <v>S</v>
      </c>
      <c r="F577" t="str">
        <f>Parts1!J606</f>
        <v>IC1, IC3</v>
      </c>
      <c r="G577">
        <f>Parts1!K606</f>
        <v>2</v>
      </c>
      <c r="H577" t="str">
        <f>Parts1!L606</f>
        <v>LM1117-3.3V LDO Vreg</v>
      </c>
      <c r="I577" t="str">
        <f>Parts1!M606</f>
        <v/>
      </c>
      <c r="J577" s="59" t="str">
        <f>Parts1!N606</f>
        <v>3.3V</v>
      </c>
      <c r="K577" s="59" t="str">
        <f>Parts1!O606</f>
        <v>SO223</v>
      </c>
      <c r="L577" s="62" t="str">
        <f>Parts1!P606</f>
        <v>926-LM1117MPX3.3NOPB</v>
      </c>
      <c r="M577" s="51" t="str">
        <f>Parts1!Q606</f>
        <v>National LM1117MPX3.3NOPB</v>
      </c>
      <c r="N577" s="58">
        <v>17.0</v>
      </c>
      <c r="O577" s="52" t="str">
        <f t="shared" si="2"/>
        <v>A</v>
      </c>
      <c r="P577" s="52" t="str">
        <f t="shared" si="5"/>
        <v/>
      </c>
      <c r="Q577" s="52">
        <f t="shared" si="4"/>
        <v>1</v>
      </c>
      <c r="R577" s="52" t="b">
        <f t="shared" si="6"/>
        <v>0</v>
      </c>
    </row>
    <row r="578">
      <c r="B578" s="20" t="str">
        <f>IFERROR(__xludf.DUMMYFUNCTION("if(exact($E578, """"), """", iferror(regexextract($F578, ""^(?:- )?([A-Z]+)""), ""?""))"),"IC")</f>
        <v>IC</v>
      </c>
      <c r="C578" s="63" t="str">
        <f t="shared" si="3"/>
        <v>926-LM1117MPX3.3NOPB</v>
      </c>
      <c r="D578" t="str">
        <f>Parts1!H692</f>
        <v>Yarns v0.3</v>
      </c>
      <c r="E578" t="str">
        <f>Parts1!I692</f>
        <v>S</v>
      </c>
      <c r="F578" s="64" t="str">
        <f>Parts1!J692</f>
        <v>IC1</v>
      </c>
      <c r="G578" s="65">
        <f>Parts1!K692</f>
        <v>1</v>
      </c>
      <c r="H578" s="64" t="str">
        <f>Parts1!L692</f>
        <v>LM1117-3.3V LDO Vreg</v>
      </c>
      <c r="I578" s="64" t="str">
        <f>Parts1!M692</f>
        <v/>
      </c>
      <c r="J578" s="64" t="str">
        <f>Parts1!N692</f>
        <v>3.3V</v>
      </c>
      <c r="K578" s="64" t="str">
        <f>Parts1!O692</f>
        <v>SO223</v>
      </c>
      <c r="L578" s="66" t="str">
        <f>Parts1!P692</f>
        <v>926-LM1117MPX3.3NOPB</v>
      </c>
      <c r="M578" s="67" t="str">
        <f>Parts1!Q692</f>
        <v>National LM1117MPX3.3NOPB</v>
      </c>
      <c r="N578" s="58">
        <v>19.0</v>
      </c>
      <c r="O578" s="52" t="str">
        <f t="shared" si="2"/>
        <v>A</v>
      </c>
      <c r="P578" s="52" t="str">
        <f t="shared" si="5"/>
        <v/>
      </c>
      <c r="Q578" s="52">
        <f t="shared" si="4"/>
        <v>0</v>
      </c>
      <c r="R578" s="52" t="b">
        <f t="shared" si="6"/>
        <v>0</v>
      </c>
    </row>
    <row r="579">
      <c r="B579" s="20" t="str">
        <f>IFERROR(__xludf.DUMMYFUNCTION("if(exact($E579, """"), """", iferror(regexextract($F579, ""^(?:- )?([A-Z]+)""), ""?""))"),"IC")</f>
        <v>IC</v>
      </c>
      <c r="C579" s="63" t="str">
        <f t="shared" si="3"/>
        <v>926-LM1117MPX5.0NOPB</v>
      </c>
      <c r="D579" t="str">
        <f>Parts1!H63</f>
        <v>Branches v4.0</v>
      </c>
      <c r="E579" t="str">
        <f>Parts1!I63</f>
        <v>S</v>
      </c>
      <c r="F579" t="str">
        <f>Parts1!J63</f>
        <v>IC2</v>
      </c>
      <c r="G579" s="65">
        <f>Parts1!K63</f>
        <v>1</v>
      </c>
      <c r="H579" t="str">
        <f>Parts1!L63</f>
        <v>LM1117-5.0V LDO Vreg</v>
      </c>
      <c r="I579" t="str">
        <f>Parts1!M63</f>
        <v/>
      </c>
      <c r="J579" s="59" t="str">
        <f>Parts1!N63</f>
        <v>5.0V</v>
      </c>
      <c r="K579" s="59" t="str">
        <f>Parts1!O63</f>
        <v>SO223</v>
      </c>
      <c r="L579" s="66" t="str">
        <f>Parts1!P63</f>
        <v>926-LM1117MPX5.0NOPB</v>
      </c>
      <c r="M579" s="51" t="str">
        <f>Parts1!Q63</f>
        <v>National LM1117MPX-5.0/NOPB</v>
      </c>
      <c r="N579" s="58">
        <v>2.0</v>
      </c>
      <c r="O579" s="52" t="str">
        <f t="shared" si="2"/>
        <v>A</v>
      </c>
      <c r="P579" s="52">
        <f t="shared" si="5"/>
        <v>1</v>
      </c>
      <c r="Q579" s="52">
        <f t="shared" si="4"/>
        <v>1</v>
      </c>
      <c r="R579" s="52" t="b">
        <f t="shared" si="6"/>
        <v>1</v>
      </c>
    </row>
    <row r="580">
      <c r="B580" s="20" t="str">
        <f>IFERROR(__xludf.DUMMYFUNCTION("if(exact($E580, """"), """", iferror(regexextract($F580, ""^(?:- )?([A-Z]+)""), ""?""))"),"IC")</f>
        <v>IC</v>
      </c>
      <c r="C580" s="57" t="str">
        <f t="shared" si="3"/>
        <v>926-LM1117MPX5.0NOPB</v>
      </c>
      <c r="D580" t="str">
        <f>Parts1!H287</f>
        <v>Grids v0.2</v>
      </c>
      <c r="E580" t="str">
        <f>Parts1!I287</f>
        <v>S</v>
      </c>
      <c r="F580" t="str">
        <f>Parts1!J287</f>
        <v>IC7</v>
      </c>
      <c r="G580" s="65">
        <f>Parts1!K287</f>
        <v>1</v>
      </c>
      <c r="H580" t="str">
        <f>Parts1!L287</f>
        <v>LM1117-5.0V LDO Vreg</v>
      </c>
      <c r="I580" t="str">
        <f>Parts1!M287</f>
        <v/>
      </c>
      <c r="J580" t="str">
        <f>Parts1!N287</f>
        <v>5.0V</v>
      </c>
      <c r="K580" t="str">
        <f>Parts1!O287</f>
        <v>SO223</v>
      </c>
      <c r="L580" t="str">
        <f>Parts1!P287</f>
        <v>926-LM1117MPX5.0NOPB</v>
      </c>
      <c r="M580" s="51" t="str">
        <f>Parts1!Q287</f>
        <v>National LM1117MPX-5.0/NOPB</v>
      </c>
      <c r="N580" s="58">
        <v>7.0</v>
      </c>
      <c r="O580" s="52" t="str">
        <f t="shared" si="2"/>
        <v>A</v>
      </c>
      <c r="P580" s="52" t="str">
        <f t="shared" si="5"/>
        <v/>
      </c>
      <c r="Q580" s="52">
        <f t="shared" si="4"/>
        <v>0</v>
      </c>
      <c r="R580" s="52" t="b">
        <f t="shared" si="6"/>
        <v>1</v>
      </c>
    </row>
    <row r="581">
      <c r="B581" s="20" t="str">
        <f>IFERROR(__xludf.DUMMYFUNCTION("if(exact($E581, """"), """", iferror(regexextract($F581, ""^(?:- )?([A-Z]+)""), ""?""))"),"IC")</f>
        <v>IC</v>
      </c>
      <c r="C581" s="57" t="str">
        <f t="shared" si="3"/>
        <v>926-LM13700M/NOPB</v>
      </c>
      <c r="D581" t="str">
        <f>Parts1!H440</f>
        <v>Ripples v4.0</v>
      </c>
      <c r="E581" t="str">
        <f>Parts1!I440</f>
        <v>S</v>
      </c>
      <c r="F581" t="str">
        <f>Parts1!J440</f>
        <v>IC4</v>
      </c>
      <c r="G581">
        <f>Parts1!K440</f>
        <v>1</v>
      </c>
      <c r="H581" t="str">
        <f>Parts1!L440</f>
        <v>LM13700 dual OTA</v>
      </c>
      <c r="I581" t="str">
        <f>Parts1!M440</f>
        <v/>
      </c>
      <c r="J581" s="59" t="str">
        <f>Parts1!N440</f>
        <v/>
      </c>
      <c r="K581" t="str">
        <f>Parts1!O440</f>
        <v>SOIC16</v>
      </c>
      <c r="L581" t="str">
        <f>Parts1!P440</f>
        <v>926-LM13700M/NOPB</v>
      </c>
      <c r="M581" s="51" t="str">
        <f>Parts1!Q440</f>
        <v>National LM13700M/NOPB</v>
      </c>
      <c r="N581" s="58">
        <v>11.0</v>
      </c>
      <c r="O581" s="52" t="str">
        <f t="shared" si="2"/>
        <v>A</v>
      </c>
      <c r="P581" s="52">
        <f t="shared" si="5"/>
        <v>1</v>
      </c>
      <c r="Q581" s="52">
        <f t="shared" si="4"/>
        <v>0</v>
      </c>
      <c r="R581" s="52" t="b">
        <f t="shared" si="6"/>
        <v>0</v>
      </c>
    </row>
    <row r="582">
      <c r="B582" s="20" t="str">
        <f>IFERROR(__xludf.DUMMYFUNCTION("if(exact($E582, """"), """", iferror(regexextract($F582, ""^(?:- )?([A-Z]+)""), ""?""))"),"IC")</f>
        <v>IC</v>
      </c>
      <c r="C582" s="57" t="str">
        <f t="shared" si="3"/>
        <v>926-LM321MFX/NOPB</v>
      </c>
      <c r="D582" t="str">
        <f>Parts1!H313</f>
        <v>Links v4</v>
      </c>
      <c r="E582" t="str">
        <f>Parts1!I313</f>
        <v>S</v>
      </c>
      <c r="F582" t="str">
        <f>Parts1!J313</f>
        <v>IC3, IC5</v>
      </c>
      <c r="G582">
        <f>Parts1!K313</f>
        <v>2</v>
      </c>
      <c r="H582" t="str">
        <f>Parts1!L313</f>
        <v>LM321 single op-amp</v>
      </c>
      <c r="I582" t="str">
        <f>Parts1!M313</f>
        <v/>
      </c>
      <c r="J582" t="str">
        <f>Parts1!N313</f>
        <v/>
      </c>
      <c r="K582" t="str">
        <f>Parts1!O313</f>
        <v>SOT23-5</v>
      </c>
      <c r="L582" t="str">
        <f>Parts1!P313</f>
        <v>926-LM321MFX/NOPB</v>
      </c>
      <c r="M582" s="51" t="str">
        <f>Parts1!Q313</f>
        <v>Texas Instruments LM321MFX/NOPB</v>
      </c>
      <c r="N582" s="58">
        <v>8.0</v>
      </c>
      <c r="O582" s="52" t="str">
        <f t="shared" si="2"/>
        <v>A</v>
      </c>
      <c r="P582" s="52">
        <f t="shared" si="5"/>
        <v>1</v>
      </c>
      <c r="Q582" s="52">
        <f t="shared" si="4"/>
        <v>1</v>
      </c>
      <c r="R582" s="52" t="b">
        <f t="shared" si="6"/>
        <v>1</v>
      </c>
    </row>
    <row r="583">
      <c r="B583" s="20" t="str">
        <f>IFERROR(__xludf.DUMMYFUNCTION("if(exact($E583, """"), """", iferror(regexextract($F583, ""^(?:- )?([A-Z]+)""), ""?""))"),"IC")</f>
        <v>IC</v>
      </c>
      <c r="C583" s="57" t="str">
        <f t="shared" si="3"/>
        <v>926-LM321MFX/NOPB</v>
      </c>
      <c r="D583" t="str">
        <f>Parts1!H462</f>
        <v>Shades v3.1</v>
      </c>
      <c r="E583" t="str">
        <f>Parts1!I462</f>
        <v>S</v>
      </c>
      <c r="F583" t="str">
        <f>Parts1!J462</f>
        <v>IC7, IC8, IC9</v>
      </c>
      <c r="G583">
        <f>Parts1!K462</f>
        <v>3</v>
      </c>
      <c r="H583" t="str">
        <f>Parts1!L462</f>
        <v>LM321 single op-amp</v>
      </c>
      <c r="I583" t="str">
        <f>Parts1!M462</f>
        <v/>
      </c>
      <c r="J583" t="str">
        <f>Parts1!N462</f>
        <v/>
      </c>
      <c r="K583" t="str">
        <f>Parts1!O462</f>
        <v>SOT23-5</v>
      </c>
      <c r="L583" t="str">
        <f>Parts1!P462</f>
        <v>926-LM321MFX/NOPB</v>
      </c>
      <c r="M583" s="51" t="str">
        <f>Parts1!Q462</f>
        <v>TI LM321MFX/NOPB</v>
      </c>
      <c r="N583" s="58">
        <v>12.0</v>
      </c>
      <c r="O583" s="52" t="str">
        <f t="shared" si="2"/>
        <v>A</v>
      </c>
      <c r="P583" s="52" t="str">
        <f t="shared" si="5"/>
        <v/>
      </c>
      <c r="Q583" s="52">
        <f t="shared" si="4"/>
        <v>0</v>
      </c>
      <c r="R583" s="52" t="b">
        <f t="shared" si="6"/>
        <v>1</v>
      </c>
    </row>
    <row r="584">
      <c r="B584" s="20" t="str">
        <f>IFERROR(__xludf.DUMMYFUNCTION("if(exact($E584, """"), """", iferror(regexextract($F584, ""^(?:- )?([A-Z]+)""), ""?""))"),"IC")</f>
        <v>IC</v>
      </c>
      <c r="C584" s="57" t="str">
        <f t="shared" si="3"/>
        <v>926-LME49720MAX/NOPB</v>
      </c>
      <c r="D584" t="str">
        <f>Parts1!H206</f>
        <v>Elements v0.21</v>
      </c>
      <c r="E584" t="str">
        <f>Parts1!I206</f>
        <v>S</v>
      </c>
      <c r="F584" t="str">
        <f>Parts1!J206</f>
        <v>IC14</v>
      </c>
      <c r="G584">
        <f>Parts1!K206</f>
        <v>1</v>
      </c>
      <c r="H584" t="str">
        <f>Parts1!L206</f>
        <v>LME49720 dual op-amp</v>
      </c>
      <c r="I584" t="str">
        <f>Parts1!M206</f>
        <v/>
      </c>
      <c r="J584" t="str">
        <f>Parts1!N206</f>
        <v/>
      </c>
      <c r="K584" t="str">
        <f>Parts1!O206</f>
        <v>SOIC8</v>
      </c>
      <c r="L584" s="71" t="str">
        <f>Parts1!P206</f>
        <v>926-LME49720MAX/NOPB</v>
      </c>
      <c r="M584" s="51" t="str">
        <f>Parts1!Q206</f>
        <v>TI LME49720MA or LME49720MAX</v>
      </c>
      <c r="N584" s="58">
        <v>5.0</v>
      </c>
      <c r="O584" s="52" t="str">
        <f t="shared" si="2"/>
        <v>A</v>
      </c>
      <c r="P584" s="52">
        <f t="shared" si="5"/>
        <v>1</v>
      </c>
      <c r="Q584" s="52">
        <f t="shared" si="4"/>
        <v>1</v>
      </c>
      <c r="R584" s="52" t="b">
        <f t="shared" si="6"/>
        <v>0</v>
      </c>
    </row>
    <row r="585">
      <c r="B585" s="20" t="str">
        <f>IFERROR(__xludf.DUMMYFUNCTION("if(exact($E585, """"), """", iferror(regexextract($F585, ""^(?:- )?([A-Z]+)""), ""?""))"),"IC")</f>
        <v>IC</v>
      </c>
      <c r="C585" s="57" t="str">
        <f t="shared" si="3"/>
        <v>926-LME49720MAX/NOPB</v>
      </c>
      <c r="D585" t="str">
        <f>Parts1!H460</f>
        <v>Shades v3.1</v>
      </c>
      <c r="E585" t="str">
        <f>Parts1!I460</f>
        <v>S</v>
      </c>
      <c r="F585" t="str">
        <f>Parts1!J460</f>
        <v>IC1, IC2, IC3, IC4</v>
      </c>
      <c r="G585">
        <f>Parts1!K460</f>
        <v>4</v>
      </c>
      <c r="H585" t="str">
        <f>Parts1!L460</f>
        <v>LME49720 dual op-amp</v>
      </c>
      <c r="I585" t="str">
        <f>Parts1!M460</f>
        <v/>
      </c>
      <c r="J585" t="str">
        <f>Parts1!N460</f>
        <v/>
      </c>
      <c r="K585" t="str">
        <f>Parts1!O460</f>
        <v>SOIC8</v>
      </c>
      <c r="L585" s="71" t="str">
        <f>Parts1!P460</f>
        <v>926-LME49720MAX/NOPB</v>
      </c>
      <c r="M585" s="51" t="str">
        <f>Parts1!Q460</f>
        <v>TI LME49720MA or LME49720MAX</v>
      </c>
      <c r="N585" s="58">
        <v>12.0</v>
      </c>
      <c r="O585" s="52" t="str">
        <f t="shared" si="2"/>
        <v>A</v>
      </c>
      <c r="P585" s="52" t="str">
        <f t="shared" si="5"/>
        <v/>
      </c>
      <c r="Q585" s="52">
        <f t="shared" si="4"/>
        <v>0</v>
      </c>
      <c r="R585" s="52" t="b">
        <f t="shared" si="6"/>
        <v>0</v>
      </c>
    </row>
    <row r="586">
      <c r="B586" s="20" t="str">
        <f>IFERROR(__xludf.DUMMYFUNCTION("if(exact($E586, """"), """", iferror(regexextract($F586, ""^(?:- )?([A-Z]+)""), ""?""))"),"R")</f>
        <v>R</v>
      </c>
      <c r="C586" s="57" t="str">
        <f t="shared" si="3"/>
        <v>652PTV1124420AA503</v>
      </c>
      <c r="D586" t="str">
        <f>Parts1!H120</f>
        <v>Clouds v3.0</v>
      </c>
      <c r="E586" t="str">
        <f>Parts1!I120</f>
        <v>U</v>
      </c>
      <c r="F586" t="str">
        <f>Parts1!J120</f>
        <v>R42</v>
      </c>
      <c r="G586">
        <f>Parts1!K120</f>
        <v>1</v>
      </c>
      <c r="H586" t="str">
        <f>Parts1!L120</f>
        <v>50k audio pot, dual gang</v>
      </c>
      <c r="I586" t="str">
        <f>Parts1!M120</f>
        <v/>
      </c>
      <c r="J586" t="str">
        <f>Parts1!N120</f>
        <v/>
      </c>
      <c r="K586" t="str">
        <f>Parts1!O120</f>
        <v/>
      </c>
      <c r="L586" t="str">
        <f>Parts1!P120</f>
        <v>652-PTV112-4420AA503</v>
      </c>
      <c r="M586" s="51" t="str">
        <f>Parts1!Q120</f>
        <v>Bourns PTV112-4420A-A503</v>
      </c>
      <c r="N586" s="58">
        <v>3.0</v>
      </c>
      <c r="O586" s="52" t="str">
        <f t="shared" si="2"/>
        <v>B</v>
      </c>
      <c r="P586" s="52">
        <f t="shared" si="5"/>
        <v>1</v>
      </c>
      <c r="Q586" s="52">
        <f t="shared" si="4"/>
        <v>0</v>
      </c>
      <c r="R586" s="52" t="b">
        <f t="shared" si="6"/>
        <v>1</v>
      </c>
    </row>
    <row r="587">
      <c r="B587" s="20" t="str">
        <f>IFERROR(__xludf.DUMMYFUNCTION("if(exact($E587, """"), """", iferror(regexextract($F587, ""^(?:- )?([A-Z]+)""), ""?""))"),"IC")</f>
        <v>IC</v>
      </c>
      <c r="C587" s="57" t="str">
        <f t="shared" si="3"/>
        <v>V2164M @ CabinTech</v>
      </c>
      <c r="D587" t="str">
        <f>Parts1!H249</f>
        <v>Frames v0.3</v>
      </c>
      <c r="E587" t="str">
        <f>Parts1!I249</f>
        <v>S</v>
      </c>
      <c r="F587" t="str">
        <f>Parts1!J249</f>
        <v>IC10</v>
      </c>
      <c r="G587">
        <f>Parts1!K249</f>
        <v>1</v>
      </c>
      <c r="H587" t="str">
        <f>Parts1!L249</f>
        <v>V2164 quad VCA</v>
      </c>
      <c r="I587" t="str">
        <f>Parts1!M249</f>
        <v/>
      </c>
      <c r="J587" s="59" t="str">
        <f>Parts1!N249</f>
        <v/>
      </c>
      <c r="K587" s="59" t="str">
        <f>Parts1!O249</f>
        <v>SOIC16</v>
      </c>
      <c r="L587" s="71" t="str">
        <f>Parts1!P249</f>
        <v>V2164M @ CabinTech</v>
      </c>
      <c r="M587" s="51" t="str">
        <f>Parts1!Q249</f>
        <v>CoolAudio V2164M</v>
      </c>
      <c r="N587" s="58">
        <v>6.0</v>
      </c>
      <c r="O587" s="52" t="str">
        <f t="shared" si="2"/>
        <v>A</v>
      </c>
      <c r="P587" s="52">
        <f t="shared" si="5"/>
        <v>1</v>
      </c>
      <c r="Q587" s="52">
        <f t="shared" si="4"/>
        <v>3</v>
      </c>
      <c r="R587" s="52" t="b">
        <f t="shared" si="6"/>
        <v>0</v>
      </c>
    </row>
    <row r="588">
      <c r="B588" s="20" t="str">
        <f>IFERROR(__xludf.DUMMYFUNCTION("if(exact($E588, """"), """", iferror(regexextract($F588, ""^(?:- )?([A-Z]+)""), ""?""))"),"IC")</f>
        <v>IC</v>
      </c>
      <c r="C588" s="57" t="str">
        <f t="shared" si="3"/>
        <v>V2164M @ CabinTech</v>
      </c>
      <c r="D588" t="str">
        <f>Parts1!H439</f>
        <v>Ripples v4.0</v>
      </c>
      <c r="E588" t="str">
        <f>Parts1!I439</f>
        <v>S</v>
      </c>
      <c r="F588" t="str">
        <f>Parts1!J439</f>
        <v>IC2</v>
      </c>
      <c r="G588">
        <f>Parts1!K439</f>
        <v>1</v>
      </c>
      <c r="H588" t="str">
        <f>Parts1!L439</f>
        <v>V2164 quad VCA</v>
      </c>
      <c r="I588" t="str">
        <f>Parts1!M439</f>
        <v/>
      </c>
      <c r="J588" s="59" t="str">
        <f>Parts1!N439</f>
        <v/>
      </c>
      <c r="K588" s="59" t="str">
        <f>Parts1!O439</f>
        <v>SOIC16</v>
      </c>
      <c r="L588" s="71" t="str">
        <f>Parts1!P439</f>
        <v>V2164M @ CabinTech</v>
      </c>
      <c r="M588" s="51" t="str">
        <f>Parts1!Q439</f>
        <v>CoolAudio V2164M</v>
      </c>
      <c r="N588" s="58">
        <v>11.0</v>
      </c>
      <c r="O588" s="52" t="str">
        <f t="shared" si="2"/>
        <v>A</v>
      </c>
      <c r="P588" s="52" t="str">
        <f t="shared" si="5"/>
        <v/>
      </c>
      <c r="Q588" s="52">
        <f t="shared" si="4"/>
        <v>2</v>
      </c>
      <c r="R588" s="52" t="b">
        <f t="shared" si="6"/>
        <v>0</v>
      </c>
    </row>
    <row r="589">
      <c r="B589" s="20" t="str">
        <f>IFERROR(__xludf.DUMMYFUNCTION("if(exact($E589, """"), """", iferror(regexextract($F589, ""^(?:- )?([A-Z]+)""), ""?""))"),"IC")</f>
        <v>IC</v>
      </c>
      <c r="C589" s="57" t="str">
        <f t="shared" si="3"/>
        <v>V2164M @ CabinTech</v>
      </c>
      <c r="D589" t="str">
        <f>Parts1!H495</f>
        <v>Shelves v0.5</v>
      </c>
      <c r="E589" t="str">
        <f>Parts1!I495</f>
        <v>S</v>
      </c>
      <c r="F589" t="str">
        <f>Parts1!J495</f>
        <v>IC5, IC8, IC11</v>
      </c>
      <c r="G589">
        <f>Parts1!K495</f>
        <v>3</v>
      </c>
      <c r="H589" t="str">
        <f>Parts1!L495</f>
        <v>V2164 quad VCA</v>
      </c>
      <c r="I589" t="str">
        <f>Parts1!M495</f>
        <v/>
      </c>
      <c r="J589" t="str">
        <f>Parts1!N495</f>
        <v/>
      </c>
      <c r="K589" t="str">
        <f>Parts1!O495</f>
        <v>SOIC16</v>
      </c>
      <c r="L589" s="71" t="str">
        <f>Parts1!P495</f>
        <v>V2164M @ CabinTech</v>
      </c>
      <c r="M589" s="51" t="str">
        <f>Parts1!Q495</f>
        <v>CoolAudio V2164M</v>
      </c>
      <c r="N589" s="58">
        <v>13.0</v>
      </c>
      <c r="O589" s="52" t="str">
        <f t="shared" si="2"/>
        <v>A</v>
      </c>
      <c r="P589" s="52" t="str">
        <f t="shared" si="5"/>
        <v/>
      </c>
      <c r="Q589" s="52">
        <f t="shared" si="4"/>
        <v>1</v>
      </c>
      <c r="R589" s="52" t="b">
        <f t="shared" si="6"/>
        <v>0</v>
      </c>
    </row>
    <row r="590">
      <c r="B590" s="20" t="str">
        <f>IFERROR(__xludf.DUMMYFUNCTION("if(exact($E590, """"), """", iferror(regexextract($F590, ""^(?:- )?([A-Z]+)""), ""?""))"),"IC")</f>
        <v>IC</v>
      </c>
      <c r="C590" s="57" t="str">
        <f t="shared" si="3"/>
        <v>V2164M @ CabinTech</v>
      </c>
      <c r="D590" t="str">
        <f>Parts1!H551</f>
        <v>Streams v0.5</v>
      </c>
      <c r="E590" t="str">
        <f>Parts1!I551</f>
        <v>S</v>
      </c>
      <c r="F590" t="str">
        <f>Parts1!J551</f>
        <v>IC8, IC9</v>
      </c>
      <c r="G590">
        <f>Parts1!K551</f>
        <v>2</v>
      </c>
      <c r="H590" t="str">
        <f>Parts1!L551</f>
        <v>V2164 quad VCA</v>
      </c>
      <c r="I590" t="str">
        <f>Parts1!M551</f>
        <v/>
      </c>
      <c r="J590" t="str">
        <f>Parts1!N551</f>
        <v/>
      </c>
      <c r="K590" t="str">
        <f>Parts1!O551</f>
        <v>SOIC16</v>
      </c>
      <c r="L590" s="71" t="str">
        <f>Parts1!P551</f>
        <v>V2164M @ CabinTech</v>
      </c>
      <c r="M590" s="51" t="str">
        <f>Parts1!Q551</f>
        <v>CoolAudio V2164M</v>
      </c>
      <c r="N590" s="58">
        <v>15.0</v>
      </c>
      <c r="O590" s="52" t="str">
        <f t="shared" si="2"/>
        <v>A</v>
      </c>
      <c r="P590" s="52" t="str">
        <f t="shared" si="5"/>
        <v/>
      </c>
      <c r="Q590" s="52">
        <f t="shared" si="4"/>
        <v>0</v>
      </c>
      <c r="R590" s="52" t="b">
        <f t="shared" si="6"/>
        <v>0</v>
      </c>
    </row>
    <row r="591">
      <c r="B591" s="20" t="str">
        <f>IFERROR(__xludf.DUMMYFUNCTION("if(exact($E591, """"), """", iferror(regexextract($F591, ""^(?:- )?([A-Z]+)""), ""?""))"),"SW")</f>
        <v>SW</v>
      </c>
      <c r="C591" s="57" t="str">
        <f t="shared" si="3"/>
        <v>612-LP4OA1PBCTG</v>
      </c>
      <c r="D591" t="str">
        <f>Parts1!H122</f>
        <v>Clouds v3.0</v>
      </c>
      <c r="E591" t="str">
        <f>Parts1!I122</f>
        <v>U</v>
      </c>
      <c r="F591" t="str">
        <f>Parts1!J122</f>
        <v>SW1</v>
      </c>
      <c r="G591">
        <f>Parts1!K122</f>
        <v>1</v>
      </c>
      <c r="H591" t="str">
        <f>Parts1!L122</f>
        <v>Switch, On-mom, Green LED</v>
      </c>
      <c r="I591" t="str">
        <f>Parts1!M122</f>
        <v/>
      </c>
      <c r="J591" t="str">
        <f>Parts1!N122</f>
        <v/>
      </c>
      <c r="K591" t="str">
        <f>Parts1!O122</f>
        <v/>
      </c>
      <c r="L591" s="71" t="str">
        <f>Parts1!P122</f>
        <v>612-LP4OA1PBCTG</v>
      </c>
      <c r="M591" s="51" t="str">
        <f>Parts1!Q122</f>
        <v>E-switch LP4OA1PBCTG</v>
      </c>
      <c r="N591" s="58">
        <v>3.0</v>
      </c>
      <c r="O591" s="52" t="str">
        <f t="shared" si="2"/>
        <v>B</v>
      </c>
      <c r="P591" s="52">
        <f t="shared" si="5"/>
        <v>1</v>
      </c>
      <c r="Q591" s="52">
        <f t="shared" si="4"/>
        <v>3</v>
      </c>
      <c r="R591" s="52" t="b">
        <f t="shared" si="6"/>
        <v>1</v>
      </c>
    </row>
    <row r="592">
      <c r="B592" s="20" t="str">
        <f>IFERROR(__xludf.DUMMYFUNCTION("if(exact($E592, """"), """", iferror(regexextract($F592, ""^(?:- )?([A-Z]+)""), ""?""))"),"SW")</f>
        <v>SW</v>
      </c>
      <c r="C592" s="57" t="str">
        <f t="shared" si="3"/>
        <v>612-LP4OA1PBCTG</v>
      </c>
      <c r="D592" t="str">
        <f>Parts1!H295</f>
        <v>Grids v0.2</v>
      </c>
      <c r="E592" t="str">
        <f>Parts1!I295</f>
        <v>U</v>
      </c>
      <c r="F592" t="str">
        <f>Parts1!J295</f>
        <v>SW1 + LED1</v>
      </c>
      <c r="G592" s="65">
        <f>Parts1!K295</f>
        <v>1</v>
      </c>
      <c r="H592" t="str">
        <f>Parts1!L295</f>
        <v>Switch, On-mom, Green LED</v>
      </c>
      <c r="I592" t="str">
        <f>Parts1!M295</f>
        <v/>
      </c>
      <c r="J592" t="str">
        <f>Parts1!N295</f>
        <v/>
      </c>
      <c r="K592" t="str">
        <f>Parts1!O295</f>
        <v/>
      </c>
      <c r="L592" s="71" t="str">
        <f>Parts1!P295</f>
        <v>612-LP4OA1PBCTG</v>
      </c>
      <c r="M592" s="51" t="str">
        <f>Parts1!Q295</f>
        <v>E-switch LP4OA1PBCTG</v>
      </c>
      <c r="N592" s="58">
        <v>7.0</v>
      </c>
      <c r="O592" s="52" t="str">
        <f t="shared" si="2"/>
        <v>B</v>
      </c>
      <c r="P592" s="52" t="str">
        <f t="shared" si="5"/>
        <v/>
      </c>
      <c r="Q592" s="52">
        <f t="shared" si="4"/>
        <v>2</v>
      </c>
      <c r="R592" s="52" t="b">
        <f t="shared" si="6"/>
        <v>1</v>
      </c>
    </row>
    <row r="593">
      <c r="B593" s="20" t="str">
        <f>IFERROR(__xludf.DUMMYFUNCTION("if(exact($E593, """"), """", iferror(regexextract($F593, ""^(?:- )?([A-Z]+)""), ""?""))"),"SW")</f>
        <v>SW</v>
      </c>
      <c r="C593" s="57" t="str">
        <f t="shared" si="3"/>
        <v>612-LP4OA1PBCTG</v>
      </c>
      <c r="D593" t="str">
        <f>Parts1!H353</f>
        <v>Peaks v3.1</v>
      </c>
      <c r="E593" t="str">
        <f>Parts1!I353</f>
        <v>U</v>
      </c>
      <c r="F593" t="str">
        <f>Parts1!J353</f>
        <v>SW4, SW6</v>
      </c>
      <c r="G593">
        <f>Parts1!K353</f>
        <v>2</v>
      </c>
      <c r="H593" t="str">
        <f>Parts1!L353</f>
        <v>Switch, On-mom, Green LED</v>
      </c>
      <c r="I593" t="str">
        <f>Parts1!M353</f>
        <v/>
      </c>
      <c r="J593" t="str">
        <f>Parts1!N353</f>
        <v/>
      </c>
      <c r="K593" t="str">
        <f>Parts1!O353</f>
        <v/>
      </c>
      <c r="L593" s="71" t="str">
        <f>Parts1!P353</f>
        <v>612-LP4OA1PBCTG</v>
      </c>
      <c r="M593" s="51" t="str">
        <f>Parts1!Q353</f>
        <v>E-switch LP4OA1PBCTG</v>
      </c>
      <c r="N593" s="58">
        <v>9.0</v>
      </c>
      <c r="O593" s="52" t="str">
        <f t="shared" si="2"/>
        <v>B</v>
      </c>
      <c r="P593" s="52" t="str">
        <f t="shared" si="5"/>
        <v/>
      </c>
      <c r="Q593" s="52">
        <f t="shared" si="4"/>
        <v>1</v>
      </c>
      <c r="R593" s="52" t="b">
        <f t="shared" si="6"/>
        <v>1</v>
      </c>
    </row>
    <row r="594">
      <c r="B594" s="20" t="str">
        <f>IFERROR(__xludf.DUMMYFUNCTION("if(exact($E594, """"), """", iferror(regexextract($F594, ""^(?:- )?([A-Z]+)""), ""?""))"),"SW")</f>
        <v>SW</v>
      </c>
      <c r="C594" s="57" t="str">
        <f t="shared" si="3"/>
        <v>612-LP4OA1PBCTG</v>
      </c>
      <c r="D594" t="str">
        <f>Parts1!H217</f>
        <v>Elements v0.21</v>
      </c>
      <c r="E594" t="str">
        <f>Parts1!I217</f>
        <v>U</v>
      </c>
      <c r="F594" t="str">
        <f>Parts1!J217</f>
        <v>SW1</v>
      </c>
      <c r="G594">
        <f>Parts1!K217</f>
        <v>1</v>
      </c>
      <c r="H594" t="str">
        <f>Parts1!L217</f>
        <v>Switch, On-mom, Green LED</v>
      </c>
      <c r="I594" t="str">
        <f>Parts1!M217</f>
        <v/>
      </c>
      <c r="J594" t="str">
        <f>Parts1!N217</f>
        <v/>
      </c>
      <c r="K594" t="str">
        <f>Parts1!O217</f>
        <v/>
      </c>
      <c r="L594" s="71" t="str">
        <f>Parts1!P217</f>
        <v>612-LP4OA1PBCTG</v>
      </c>
      <c r="M594" s="51" t="str">
        <f>Parts1!Q217</f>
        <v>E-switch LP4OA1PBCTG (équivalent)</v>
      </c>
      <c r="N594" s="58">
        <v>5.0</v>
      </c>
      <c r="O594" s="52" t="str">
        <f t="shared" si="2"/>
        <v>B</v>
      </c>
      <c r="P594" s="52" t="str">
        <f t="shared" si="5"/>
        <v/>
      </c>
      <c r="Q594" s="52">
        <f t="shared" si="4"/>
        <v>0</v>
      </c>
      <c r="R594" s="52" t="b">
        <f t="shared" si="6"/>
        <v>1</v>
      </c>
    </row>
    <row r="595">
      <c r="B595" s="20" t="str">
        <f>IFERROR(__xludf.DUMMYFUNCTION("if(exact($E595, """"), """", iferror(regexextract($F595, ""^(?:- )?([A-Z]+)""), ""?""))"),"R")</f>
        <v>R</v>
      </c>
      <c r="C595" s="57" t="str">
        <f t="shared" si="3"/>
        <v>https://www.thonk.co.uk/shop/alpha-9mm-pots/</v>
      </c>
      <c r="D595" t="str">
        <f>Parts1!H44</f>
        <v>Braids v5.1</v>
      </c>
      <c r="E595" t="str">
        <f>Parts1!I44</f>
        <v>U</v>
      </c>
      <c r="F595" t="str">
        <f>Parts1!J44</f>
        <v>R19, R20, R21, R36, R37, R38</v>
      </c>
      <c r="G595">
        <f>Parts1!K44</f>
        <v>6</v>
      </c>
      <c r="H595" t="str">
        <f>Parts1!L44</f>
        <v>10k linear pot, 15mm shaft</v>
      </c>
      <c r="I595" t="str">
        <f>Parts1!M44</f>
        <v/>
      </c>
      <c r="J595" t="str">
        <f>Parts1!N44</f>
        <v/>
      </c>
      <c r="K595" t="str">
        <f>Parts1!O44</f>
        <v/>
      </c>
      <c r="L595" t="str">
        <f>Parts1!P44</f>
        <v/>
      </c>
      <c r="M595" s="51" t="str">
        <f>Parts1!Q44</f>
        <v>https://www.thonk.co.uk/shop/alpha-9mm-pots/</v>
      </c>
      <c r="N595" s="58">
        <v>1.0</v>
      </c>
      <c r="O595" s="52" t="str">
        <f t="shared" si="2"/>
        <v>B</v>
      </c>
      <c r="P595" s="52">
        <f t="shared" si="5"/>
        <v>1</v>
      </c>
      <c r="Q595" s="52">
        <f t="shared" si="4"/>
        <v>17</v>
      </c>
      <c r="R595" s="52" t="b">
        <f t="shared" si="6"/>
        <v>0</v>
      </c>
    </row>
    <row r="596">
      <c r="B596" s="20" t="str">
        <f>IFERROR(__xludf.DUMMYFUNCTION("if(exact($E596, """"), """", iferror(regexextract($F596, ""^(?:- )?([A-Z]+)""), ""?""))"),"R")</f>
        <v>R</v>
      </c>
      <c r="C596" s="57" t="str">
        <f t="shared" si="3"/>
        <v>https://www.thonk.co.uk/shop/alpha-9mm-pots/</v>
      </c>
      <c r="D596" t="str">
        <f>Parts1!H71</f>
        <v>Branches v4.0</v>
      </c>
      <c r="E596" t="str">
        <f>Parts1!I71</f>
        <v>U</v>
      </c>
      <c r="F596" t="str">
        <f>Parts1!J71</f>
        <v>R6, R15</v>
      </c>
      <c r="G596" s="65">
        <f>Parts1!K71</f>
        <v>2</v>
      </c>
      <c r="H596" t="str">
        <f>Parts1!L71</f>
        <v>10k linear pot, 15mm shaft</v>
      </c>
      <c r="I596" t="str">
        <f>Parts1!M71</f>
        <v/>
      </c>
      <c r="J596" s="59" t="str">
        <f>Parts1!N71</f>
        <v/>
      </c>
      <c r="K596" s="59" t="str">
        <f>Parts1!O71</f>
        <v/>
      </c>
      <c r="L596" s="66" t="str">
        <f>Parts1!P71</f>
        <v/>
      </c>
      <c r="M596" s="51" t="str">
        <f>Parts1!Q71</f>
        <v>https://www.thonk.co.uk/shop/alpha-9mm-pots/</v>
      </c>
      <c r="N596" s="58">
        <v>2.0</v>
      </c>
      <c r="O596" s="52" t="str">
        <f t="shared" si="2"/>
        <v>B</v>
      </c>
      <c r="P596" s="52" t="str">
        <f t="shared" si="5"/>
        <v/>
      </c>
      <c r="Q596" s="52">
        <f t="shared" si="4"/>
        <v>16</v>
      </c>
      <c r="R596" s="52" t="b">
        <f t="shared" si="6"/>
        <v>0</v>
      </c>
    </row>
    <row r="597">
      <c r="B597" s="20" t="str">
        <f>IFERROR(__xludf.DUMMYFUNCTION("if(exact($E597, """"), """", iferror(regexextract($F597, ""^(?:- )?([A-Z]+)""), ""?""))"),"R")</f>
        <v>R</v>
      </c>
      <c r="C597" s="57" t="str">
        <f t="shared" si="3"/>
        <v>https://www.thonk.co.uk/shop/alpha-9mm-pots/</v>
      </c>
      <c r="D597" t="str">
        <f>Parts1!H119</f>
        <v>Clouds v3.0</v>
      </c>
      <c r="E597" t="str">
        <f>Parts1!I119</f>
        <v>U</v>
      </c>
      <c r="F597" t="str">
        <f>Parts1!J119</f>
        <v>R18, R19, R20, R43, R44, R45</v>
      </c>
      <c r="G597">
        <f>Parts1!K119</f>
        <v>6</v>
      </c>
      <c r="H597" t="str">
        <f>Parts1!L119</f>
        <v>10k linear pot, 15mm shaft</v>
      </c>
      <c r="I597" t="str">
        <f>Parts1!M119</f>
        <v/>
      </c>
      <c r="J597" t="str">
        <f>Parts1!N119</f>
        <v/>
      </c>
      <c r="K597" t="str">
        <f>Parts1!O119</f>
        <v/>
      </c>
      <c r="L597" t="str">
        <f>Parts1!P119</f>
        <v/>
      </c>
      <c r="M597" s="51" t="str">
        <f>Parts1!Q119</f>
        <v>https://www.thonk.co.uk/shop/alpha-9mm-pots/</v>
      </c>
      <c r="N597" s="58">
        <v>3.0</v>
      </c>
      <c r="O597" s="52" t="str">
        <f t="shared" si="2"/>
        <v>B</v>
      </c>
      <c r="P597" s="52" t="str">
        <f t="shared" si="5"/>
        <v/>
      </c>
      <c r="Q597" s="52">
        <f t="shared" si="4"/>
        <v>15</v>
      </c>
      <c r="R597" s="52" t="b">
        <f t="shared" si="6"/>
        <v>0</v>
      </c>
    </row>
    <row r="598">
      <c r="B598" s="20" t="str">
        <f>IFERROR(__xludf.DUMMYFUNCTION("if(exact($E598, """"), """", iferror(regexextract($F598, ""^(?:- )?([A-Z]+)""), ""?""))"),"R")</f>
        <v>R</v>
      </c>
      <c r="C598" s="57" t="str">
        <f t="shared" si="3"/>
        <v>https://www.thonk.co.uk/shop/alpha-9mm-pots/</v>
      </c>
      <c r="D598" t="str">
        <f>Parts1!H167</f>
        <v>Edges v2.0</v>
      </c>
      <c r="E598" t="str">
        <f>Parts1!I167</f>
        <v>U</v>
      </c>
      <c r="F598" t="str">
        <f>Parts1!J167</f>
        <v>R4, R5, R31, R32, R41, R42, R68, R69</v>
      </c>
      <c r="G598">
        <f>Parts1!K167</f>
        <v>8</v>
      </c>
      <c r="H598" t="str">
        <f>Parts1!L167</f>
        <v>10k linear pot, 15mm shaft</v>
      </c>
      <c r="I598" t="str">
        <f>Parts1!M167</f>
        <v/>
      </c>
      <c r="J598" t="str">
        <f>Parts1!N167</f>
        <v/>
      </c>
      <c r="K598" t="str">
        <f>Parts1!O167</f>
        <v/>
      </c>
      <c r="L598" t="str">
        <f>Parts1!P167</f>
        <v/>
      </c>
      <c r="M598" s="51" t="str">
        <f>Parts1!Q167</f>
        <v>https://www.thonk.co.uk/shop/alpha-9mm-pots/</v>
      </c>
      <c r="N598" s="58">
        <v>4.0</v>
      </c>
      <c r="O598" s="52" t="str">
        <f t="shared" si="2"/>
        <v>B</v>
      </c>
      <c r="P598" s="52" t="str">
        <f t="shared" si="5"/>
        <v/>
      </c>
      <c r="Q598" s="52">
        <f t="shared" si="4"/>
        <v>14</v>
      </c>
      <c r="R598" s="52" t="b">
        <f t="shared" si="6"/>
        <v>0</v>
      </c>
    </row>
    <row r="599">
      <c r="B599" s="20" t="str">
        <f>IFERROR(__xludf.DUMMYFUNCTION("if(exact($E599, """"), """", iferror(regexextract($F599, ""^(?:- )?([A-Z]+)""), ""?""))"),"R")</f>
        <v>R</v>
      </c>
      <c r="C599" s="57" t="str">
        <f t="shared" si="3"/>
        <v>https://www.thonk.co.uk/shop/alpha-9mm-pots/</v>
      </c>
      <c r="D599" t="str">
        <f>Parts1!H214</f>
        <v>Elements v0.21</v>
      </c>
      <c r="E599" t="str">
        <f>Parts1!I214</f>
        <v>U</v>
      </c>
      <c r="F599" t="str">
        <f>Parts1!J214</f>
        <v>R3, R4, R5, R6, R7, R8, R9, R23, R24, R25, R26, R61, R62, R63, R64, R65, R66</v>
      </c>
      <c r="G599">
        <f>Parts1!K214</f>
        <v>17</v>
      </c>
      <c r="H599" t="str">
        <f>Parts1!L214</f>
        <v>10k linear pot, 15mm shaft</v>
      </c>
      <c r="I599" t="str">
        <f>Parts1!M214</f>
        <v/>
      </c>
      <c r="J599" t="str">
        <f>Parts1!N214</f>
        <v/>
      </c>
      <c r="K599" t="str">
        <f>Parts1!O214</f>
        <v/>
      </c>
      <c r="L599" t="str">
        <f>Parts1!P214</f>
        <v/>
      </c>
      <c r="M599" s="51" t="str">
        <f>Parts1!Q214</f>
        <v>https://www.thonk.co.uk/shop/alpha-9mm-pots/</v>
      </c>
      <c r="N599" s="58">
        <v>5.0</v>
      </c>
      <c r="O599" s="52" t="str">
        <f t="shared" si="2"/>
        <v>B</v>
      </c>
      <c r="P599" s="52" t="str">
        <f t="shared" si="5"/>
        <v/>
      </c>
      <c r="Q599" s="52">
        <f t="shared" si="4"/>
        <v>13</v>
      </c>
      <c r="R599" s="52" t="b">
        <f t="shared" si="6"/>
        <v>0</v>
      </c>
    </row>
    <row r="600">
      <c r="B600" s="20" t="str">
        <f>IFERROR(__xludf.DUMMYFUNCTION("if(exact($E600, """"), """", iferror(regexextract($F600, ""^(?:- )?([A-Z]+)""), ""?""))"),"R")</f>
        <v>R</v>
      </c>
      <c r="C600" s="57" t="str">
        <f t="shared" si="3"/>
        <v>https://www.thonk.co.uk/shop/alpha-9mm-pots/</v>
      </c>
      <c r="D600" t="str">
        <f>Parts1!H257</f>
        <v>Frames v0.3</v>
      </c>
      <c r="E600" t="str">
        <f>Parts1!I257</f>
        <v>U</v>
      </c>
      <c r="F600" t="str">
        <f>Parts1!J257</f>
        <v>R15</v>
      </c>
      <c r="G600">
        <f>Parts1!K257</f>
        <v>1</v>
      </c>
      <c r="H600" t="str">
        <f>Parts1!L257</f>
        <v>10k linear pot, 15mm shaft, center detent</v>
      </c>
      <c r="I600" t="str">
        <f>Parts1!M257</f>
        <v/>
      </c>
      <c r="J600" s="59" t="str">
        <f>Parts1!N257</f>
        <v/>
      </c>
      <c r="K600" s="59" t="str">
        <f>Parts1!O257</f>
        <v/>
      </c>
      <c r="L600" s="62" t="str">
        <f>Parts1!P257</f>
        <v/>
      </c>
      <c r="M600" s="51" t="str">
        <f>Parts1!Q257</f>
        <v>https://www.thonk.co.uk/shop/alpha-9mm-pots/</v>
      </c>
      <c r="N600" s="58">
        <v>6.0</v>
      </c>
      <c r="O600" s="52" t="str">
        <f t="shared" si="2"/>
        <v>B</v>
      </c>
      <c r="P600" s="52" t="str">
        <f t="shared" si="5"/>
        <v/>
      </c>
      <c r="Q600" s="52">
        <f t="shared" si="4"/>
        <v>12</v>
      </c>
      <c r="R600" s="52" t="b">
        <f t="shared" si="6"/>
        <v>0</v>
      </c>
    </row>
    <row r="601">
      <c r="B601" s="20" t="str">
        <f>IFERROR(__xludf.DUMMYFUNCTION("if(exact($E601, """"), """", iferror(regexextract($F601, ""^(?:- )?([A-Z]+)""), ""?""))"),"R")</f>
        <v>R</v>
      </c>
      <c r="C601" s="57" t="str">
        <f t="shared" si="3"/>
        <v>https://www.thonk.co.uk/shop/alpha-9mm-pots/</v>
      </c>
      <c r="D601" t="str">
        <f>Parts1!H258</f>
        <v>Frames v0.3</v>
      </c>
      <c r="E601" t="str">
        <f>Parts1!I258</f>
        <v>U</v>
      </c>
      <c r="F601" t="str">
        <f>Parts1!J258</f>
        <v>R2, R3, R4, R5, R14</v>
      </c>
      <c r="G601">
        <f>Parts1!K258</f>
        <v>5</v>
      </c>
      <c r="H601" t="str">
        <f>Parts1!L258</f>
        <v>10k linear pot, 15mm shaft</v>
      </c>
      <c r="I601" t="str">
        <f>Parts1!M258</f>
        <v/>
      </c>
      <c r="J601" s="59" t="str">
        <f>Parts1!N258</f>
        <v/>
      </c>
      <c r="K601" s="59" t="str">
        <f>Parts1!O258</f>
        <v/>
      </c>
      <c r="L601" s="62" t="str">
        <f>Parts1!P258</f>
        <v/>
      </c>
      <c r="M601" s="51" t="str">
        <f>Parts1!Q258</f>
        <v>https://www.thonk.co.uk/shop/alpha-9mm-pots/</v>
      </c>
      <c r="N601" s="58">
        <v>6.0</v>
      </c>
      <c r="O601" s="52" t="str">
        <f t="shared" si="2"/>
        <v>B</v>
      </c>
      <c r="P601" s="52" t="str">
        <f t="shared" si="5"/>
        <v/>
      </c>
      <c r="Q601" s="52">
        <f t="shared" si="4"/>
        <v>11</v>
      </c>
      <c r="R601" s="52" t="b">
        <f t="shared" si="6"/>
        <v>0</v>
      </c>
    </row>
    <row r="602">
      <c r="B602" s="20" t="str">
        <f>IFERROR(__xludf.DUMMYFUNCTION("if(exact($E602, """"), """", iferror(regexextract($F602, ""^(?:- )?([A-Z]+)""), ""?""))"),"R")</f>
        <v>R</v>
      </c>
      <c r="C602" s="57" t="str">
        <f t="shared" si="3"/>
        <v>https://www.thonk.co.uk/shop/alpha-9mm-pots/</v>
      </c>
      <c r="D602" t="str">
        <f>Parts1!H294</f>
        <v>Grids v0.2</v>
      </c>
      <c r="E602" t="str">
        <f>Parts1!I294</f>
        <v>U</v>
      </c>
      <c r="F602" t="str">
        <f>Parts1!J294</f>
        <v>R1, R2, R5, R25, R26, R42, R46</v>
      </c>
      <c r="G602" s="65">
        <f>Parts1!K294</f>
        <v>7</v>
      </c>
      <c r="H602" t="str">
        <f>Parts1!L294</f>
        <v>10k linear pot, 15mm shaft</v>
      </c>
      <c r="I602" t="str">
        <f>Parts1!M294</f>
        <v/>
      </c>
      <c r="J602" s="59" t="str">
        <f>Parts1!N294</f>
        <v/>
      </c>
      <c r="K602" s="59" t="str">
        <f>Parts1!O294</f>
        <v/>
      </c>
      <c r="L602" s="62" t="str">
        <f>Parts1!P294</f>
        <v/>
      </c>
      <c r="M602" s="51" t="str">
        <f>Parts1!Q294</f>
        <v>https://www.thonk.co.uk/shop/alpha-9mm-pots/</v>
      </c>
      <c r="N602" s="58">
        <v>7.0</v>
      </c>
      <c r="O602" s="52" t="str">
        <f t="shared" si="2"/>
        <v>B</v>
      </c>
      <c r="P602" s="52" t="str">
        <f t="shared" si="5"/>
        <v/>
      </c>
      <c r="Q602" s="52">
        <f t="shared" si="4"/>
        <v>10</v>
      </c>
      <c r="R602" s="52" t="b">
        <f t="shared" si="6"/>
        <v>0</v>
      </c>
    </row>
    <row r="603">
      <c r="B603" s="20" t="str">
        <f>IFERROR(__xludf.DUMMYFUNCTION("if(exact($E603, """"), """", iferror(regexextract($F603, ""^(?:- )?([A-Z]+)""), ""?""))"),"R")</f>
        <v>R</v>
      </c>
      <c r="C603" s="57" t="str">
        <f t="shared" si="3"/>
        <v>https://www.thonk.co.uk/shop/alpha-9mm-pots/</v>
      </c>
      <c r="D603" t="str">
        <f>Parts1!H352</f>
        <v>Peaks v3.1</v>
      </c>
      <c r="E603" t="str">
        <f>Parts1!I352</f>
        <v>U</v>
      </c>
      <c r="F603" t="str">
        <f>Parts1!J352</f>
        <v>R1, R5, R11, R21</v>
      </c>
      <c r="G603">
        <f>Parts1!K352</f>
        <v>4</v>
      </c>
      <c r="H603" t="str">
        <f>Parts1!L352</f>
        <v>10k linear pot, 15mm shaft</v>
      </c>
      <c r="I603" t="str">
        <f>Parts1!M352</f>
        <v/>
      </c>
      <c r="J603" s="59" t="str">
        <f>Parts1!N352</f>
        <v/>
      </c>
      <c r="K603" t="str">
        <f>Parts1!O352</f>
        <v/>
      </c>
      <c r="L603" s="62" t="str">
        <f>Parts1!P352</f>
        <v/>
      </c>
      <c r="M603" s="51" t="str">
        <f>Parts1!Q352</f>
        <v>https://www.thonk.co.uk/shop/alpha-9mm-pots/</v>
      </c>
      <c r="N603" s="58">
        <v>9.0</v>
      </c>
      <c r="O603" s="52" t="str">
        <f t="shared" si="2"/>
        <v>B</v>
      </c>
      <c r="P603" s="52" t="str">
        <f t="shared" si="5"/>
        <v/>
      </c>
      <c r="Q603" s="52">
        <f t="shared" si="4"/>
        <v>9</v>
      </c>
      <c r="R603" s="52" t="b">
        <f t="shared" si="6"/>
        <v>0</v>
      </c>
    </row>
    <row r="604">
      <c r="B604" s="20" t="str">
        <f>IFERROR(__xludf.DUMMYFUNCTION("if(exact($E604, """"), """", iferror(regexextract($F604, ""^(?:- )?([A-Z]+)""), ""?""))"),"R")</f>
        <v>R</v>
      </c>
      <c r="C604" s="57" t="str">
        <f t="shared" si="3"/>
        <v>https://www.thonk.co.uk/shop/alpha-9mm-pots/</v>
      </c>
      <c r="D604" t="str">
        <f>Parts1!H405</f>
        <v>Rings v3.0</v>
      </c>
      <c r="E604" t="str">
        <f>Parts1!I405</f>
        <v>U</v>
      </c>
      <c r="F604" t="str">
        <f>Parts1!J405</f>
        <v>R9, R10, R28, R29, R30</v>
      </c>
      <c r="G604">
        <f>Parts1!K405</f>
        <v>5</v>
      </c>
      <c r="H604" t="str">
        <f>Parts1!L405</f>
        <v>10k linear pot, 15mm shaft</v>
      </c>
      <c r="I604" t="str">
        <f>Parts1!M405</f>
        <v/>
      </c>
      <c r="J604" t="str">
        <f>Parts1!N405</f>
        <v/>
      </c>
      <c r="K604" t="str">
        <f>Parts1!O405</f>
        <v/>
      </c>
      <c r="L604" t="str">
        <f>Parts1!P405</f>
        <v/>
      </c>
      <c r="M604" s="51" t="str">
        <f>Parts1!Q405</f>
        <v>https://www.thonk.co.uk/shop/alpha-9mm-pots/</v>
      </c>
      <c r="N604" s="58">
        <v>10.0</v>
      </c>
      <c r="O604" s="52" t="str">
        <f t="shared" si="2"/>
        <v>B</v>
      </c>
      <c r="P604" s="52" t="str">
        <f t="shared" si="5"/>
        <v/>
      </c>
      <c r="Q604" s="52">
        <f t="shared" si="4"/>
        <v>8</v>
      </c>
      <c r="R604" s="52" t="b">
        <f t="shared" si="6"/>
        <v>0</v>
      </c>
    </row>
    <row r="605">
      <c r="B605" s="20" t="str">
        <f>IFERROR(__xludf.DUMMYFUNCTION("if(exact($E605, """"), """", iferror(regexextract($F605, ""^(?:- )?([A-Z]+)""), ""?""))"),"R")</f>
        <v>R</v>
      </c>
      <c r="C605" s="57" t="str">
        <f t="shared" si="3"/>
        <v>https://www.thonk.co.uk/shop/alpha-9mm-pots/</v>
      </c>
      <c r="D605" t="str">
        <f>Parts1!H445</f>
        <v>Ripples v4.0</v>
      </c>
      <c r="E605" t="str">
        <f>Parts1!I445</f>
        <v>U</v>
      </c>
      <c r="F605" t="str">
        <f>Parts1!J445</f>
        <v>R7, R18, R33</v>
      </c>
      <c r="G605">
        <f>Parts1!K445</f>
        <v>3</v>
      </c>
      <c r="H605" t="str">
        <f>Parts1!L445</f>
        <v>10k linear pot, 15mm shaft</v>
      </c>
      <c r="I605" t="str">
        <f>Parts1!M445</f>
        <v/>
      </c>
      <c r="J605" s="59" t="str">
        <f>Parts1!N445</f>
        <v/>
      </c>
      <c r="K605" s="59" t="str">
        <f>Parts1!O445</f>
        <v/>
      </c>
      <c r="L605" s="62" t="str">
        <f>Parts1!P445</f>
        <v/>
      </c>
      <c r="M605" s="51" t="str">
        <f>Parts1!Q445</f>
        <v>https://www.thonk.co.uk/shop/alpha-9mm-pots/</v>
      </c>
      <c r="N605" s="58">
        <v>11.0</v>
      </c>
      <c r="O605" s="52" t="str">
        <f t="shared" si="2"/>
        <v>B</v>
      </c>
      <c r="P605" s="52" t="str">
        <f t="shared" si="5"/>
        <v/>
      </c>
      <c r="Q605" s="52">
        <f t="shared" si="4"/>
        <v>7</v>
      </c>
      <c r="R605" s="52" t="b">
        <f t="shared" si="6"/>
        <v>0</v>
      </c>
    </row>
    <row r="606">
      <c r="B606" s="20" t="str">
        <f>IFERROR(__xludf.DUMMYFUNCTION("if(exact($E606, """"), """", iferror(regexextract($F606, ""^(?:- )?([A-Z]+)""), ""?""))"),"R")</f>
        <v>R</v>
      </c>
      <c r="C606" s="57" t="str">
        <f t="shared" si="3"/>
        <v>https://www.thonk.co.uk/shop/alpha-9mm-pots/</v>
      </c>
      <c r="D606" t="str">
        <f>Parts1!H467</f>
        <v>Shades v3.1</v>
      </c>
      <c r="E606" t="str">
        <f>Parts1!I467</f>
        <v>U</v>
      </c>
      <c r="F606" t="str">
        <f>Parts1!J467</f>
        <v>R3, R10, R21</v>
      </c>
      <c r="G606">
        <f>Parts1!K467</f>
        <v>3</v>
      </c>
      <c r="H606" t="str">
        <f>Parts1!L467</f>
        <v>10k linear pot, 15mm shaft</v>
      </c>
      <c r="I606" t="str">
        <f>Parts1!M467</f>
        <v/>
      </c>
      <c r="J606" s="59" t="str">
        <f>Parts1!N467</f>
        <v/>
      </c>
      <c r="K606" t="str">
        <f>Parts1!O467</f>
        <v/>
      </c>
      <c r="L606" s="66" t="str">
        <f>Parts1!P467</f>
        <v/>
      </c>
      <c r="M606" s="51" t="str">
        <f>Parts1!Q467</f>
        <v>https://www.thonk.co.uk/shop/alpha-9mm-pots/</v>
      </c>
      <c r="N606" s="58">
        <v>12.0</v>
      </c>
      <c r="O606" s="52" t="str">
        <f t="shared" si="2"/>
        <v>B</v>
      </c>
      <c r="P606" s="52" t="str">
        <f t="shared" si="5"/>
        <v/>
      </c>
      <c r="Q606" s="52">
        <f t="shared" si="4"/>
        <v>6</v>
      </c>
      <c r="R606" s="52" t="b">
        <f t="shared" si="6"/>
        <v>0</v>
      </c>
    </row>
    <row r="607">
      <c r="B607" s="20" t="str">
        <f>IFERROR(__xludf.DUMMYFUNCTION("if(exact($E607, """"), """", iferror(regexextract($F607, ""^(?:- )?([A-Z]+)""), ""?""))"),"R")</f>
        <v>R</v>
      </c>
      <c r="C607" s="57" t="str">
        <f t="shared" si="3"/>
        <v>https://www.thonk.co.uk/shop/alpha-9mm-pots/</v>
      </c>
      <c r="D607" t="str">
        <f>Parts1!H503</f>
        <v>Shelves v0.5</v>
      </c>
      <c r="E607" t="str">
        <f>Parts1!I503</f>
        <v>U</v>
      </c>
      <c r="F607" t="str">
        <f>Parts1!J503</f>
        <v>R3, R4, R34, R36, R68, R69, R100, R101</v>
      </c>
      <c r="G607">
        <f>Parts1!K503</f>
        <v>8</v>
      </c>
      <c r="H607" t="str">
        <f>Parts1!L503</f>
        <v>10k linear pot, 15mm shaft</v>
      </c>
      <c r="I607" t="str">
        <f>Parts1!M503</f>
        <v/>
      </c>
      <c r="J607" t="str">
        <f>Parts1!N503</f>
        <v/>
      </c>
      <c r="K607" t="str">
        <f>Parts1!O503</f>
        <v/>
      </c>
      <c r="L607" t="str">
        <f>Parts1!P503</f>
        <v/>
      </c>
      <c r="M607" s="51" t="str">
        <f>Parts1!Q503</f>
        <v>https://www.thonk.co.uk/shop/alpha-9mm-pots/</v>
      </c>
      <c r="N607" s="58">
        <v>13.0</v>
      </c>
      <c r="O607" s="52" t="str">
        <f t="shared" si="2"/>
        <v>B</v>
      </c>
      <c r="P607" s="52" t="str">
        <f t="shared" si="5"/>
        <v/>
      </c>
      <c r="Q607" s="52">
        <f t="shared" si="4"/>
        <v>5</v>
      </c>
      <c r="R607" s="52" t="b">
        <f t="shared" si="6"/>
        <v>0</v>
      </c>
    </row>
    <row r="608">
      <c r="B608" s="20" t="str">
        <f>IFERROR(__xludf.DUMMYFUNCTION("if(exact($E608, """"), """", iferror(regexextract($F608, ""^(?:- )?([A-Z]+)""), ""?""))"),"R")</f>
        <v>R</v>
      </c>
      <c r="C608" s="57" t="str">
        <f t="shared" si="3"/>
        <v>https://www.thonk.co.uk/shop/alpha-9mm-pots/</v>
      </c>
      <c r="D608" t="str">
        <f>Parts1!H561</f>
        <v>Streams v0.5</v>
      </c>
      <c r="E608" t="str">
        <f>Parts1!I561</f>
        <v>U</v>
      </c>
      <c r="F608" t="str">
        <f>Parts1!J561</f>
        <v>R2, R3, R14, R15</v>
      </c>
      <c r="G608">
        <f>Parts1!K561</f>
        <v>4</v>
      </c>
      <c r="H608" t="str">
        <f>Parts1!L561</f>
        <v>10k linear pot, 15mm shaft</v>
      </c>
      <c r="I608" t="str">
        <f>Parts1!M561</f>
        <v/>
      </c>
      <c r="J608" t="str">
        <f>Parts1!N561</f>
        <v/>
      </c>
      <c r="K608" t="str">
        <f>Parts1!O561</f>
        <v/>
      </c>
      <c r="L608" t="str">
        <f>Parts1!P561</f>
        <v/>
      </c>
      <c r="M608" s="51" t="str">
        <f>Parts1!Q561</f>
        <v>https://www.thonk.co.uk/shop/alpha-9mm-pots/</v>
      </c>
      <c r="N608" s="58">
        <v>15.0</v>
      </c>
      <c r="O608" s="52" t="str">
        <f t="shared" si="2"/>
        <v>B</v>
      </c>
      <c r="P608" s="52" t="str">
        <f t="shared" si="5"/>
        <v/>
      </c>
      <c r="Q608" s="52">
        <f t="shared" si="4"/>
        <v>4</v>
      </c>
      <c r="R608" s="52" t="b">
        <f t="shared" si="6"/>
        <v>0</v>
      </c>
    </row>
    <row r="609">
      <c r="B609" s="20" t="str">
        <f>IFERROR(__xludf.DUMMYFUNCTION("if(exact($E609, """"), """", iferror(regexextract($F609, ""^(?:- )?([A-Z]+)""), ""?""))"),"R")</f>
        <v>R</v>
      </c>
      <c r="C609" s="57" t="str">
        <f t="shared" si="3"/>
        <v>https://www.thonk.co.uk/shop/alpha-9mm-pots/</v>
      </c>
      <c r="D609" t="str">
        <f>Parts1!H562</f>
        <v>Streams v0.5</v>
      </c>
      <c r="E609" t="str">
        <f>Parts1!I562</f>
        <v>U</v>
      </c>
      <c r="F609" t="str">
        <f>Parts1!J562</f>
        <v>R32, R33</v>
      </c>
      <c r="G609">
        <f>Parts1!K562</f>
        <v>2</v>
      </c>
      <c r="H609" t="str">
        <f>Parts1!L562</f>
        <v>50k linear pot, 15mm shaft</v>
      </c>
      <c r="I609" t="str">
        <f>Parts1!M562</f>
        <v/>
      </c>
      <c r="J609" t="str">
        <f>Parts1!N562</f>
        <v/>
      </c>
      <c r="K609" t="str">
        <f>Parts1!O562</f>
        <v/>
      </c>
      <c r="L609" t="str">
        <f>Parts1!P562</f>
        <v/>
      </c>
      <c r="M609" s="51" t="str">
        <f>Parts1!Q562</f>
        <v>https://www.thonk.co.uk/shop/alpha-9mm-pots/</v>
      </c>
      <c r="N609" s="58">
        <v>15.0</v>
      </c>
      <c r="O609" s="52" t="str">
        <f t="shared" si="2"/>
        <v>B</v>
      </c>
      <c r="P609" s="52" t="str">
        <f t="shared" si="5"/>
        <v/>
      </c>
      <c r="Q609" s="52">
        <f t="shared" si="4"/>
        <v>3</v>
      </c>
      <c r="R609" s="52" t="b">
        <f t="shared" si="6"/>
        <v>0</v>
      </c>
    </row>
    <row r="610">
      <c r="B610" s="20" t="str">
        <f>IFERROR(__xludf.DUMMYFUNCTION("if(exact($E610, """"), """", iferror(regexextract($F610, ""^(?:- )?([A-Z]+)""), ""?""))"),"R")</f>
        <v>R</v>
      </c>
      <c r="C610" s="57" t="str">
        <f t="shared" si="3"/>
        <v>https://www.thonk.co.uk/shop/alpha-9mm-pots/</v>
      </c>
      <c r="D610" t="str">
        <f>Parts1!H621</f>
        <v>Tides v4.0</v>
      </c>
      <c r="E610" t="str">
        <f>Parts1!I621</f>
        <v>U</v>
      </c>
      <c r="F610" t="str">
        <f>Parts1!J621</f>
        <v>R5, R17, R18, R19</v>
      </c>
      <c r="G610">
        <f>Parts1!K621</f>
        <v>4</v>
      </c>
      <c r="H610" t="str">
        <f>Parts1!L621</f>
        <v>10k linear pot, 15mm shaft</v>
      </c>
      <c r="I610" t="str">
        <f>Parts1!M621</f>
        <v/>
      </c>
      <c r="J610" s="59" t="str">
        <f>Parts1!N621</f>
        <v/>
      </c>
      <c r="K610" s="59" t="str">
        <f>Parts1!O621</f>
        <v/>
      </c>
      <c r="L610" s="62" t="str">
        <f>Parts1!P621</f>
        <v/>
      </c>
      <c r="M610" s="51" t="str">
        <f>Parts1!Q621</f>
        <v>https://www.thonk.co.uk/shop/alpha-9mm-pots/</v>
      </c>
      <c r="N610" s="58">
        <v>17.0</v>
      </c>
      <c r="O610" s="52" t="str">
        <f t="shared" si="2"/>
        <v>B</v>
      </c>
      <c r="P610" s="52" t="str">
        <f t="shared" si="5"/>
        <v/>
      </c>
      <c r="Q610" s="52">
        <f t="shared" si="4"/>
        <v>2</v>
      </c>
      <c r="R610" s="52" t="b">
        <f t="shared" si="6"/>
        <v>0</v>
      </c>
    </row>
    <row r="611">
      <c r="B611" s="20" t="str">
        <f>IFERROR(__xludf.DUMMYFUNCTION("if(exact($E611, """"), """", iferror(regexextract($F611, ""^(?:- )?([A-Z]+)""), ""?""))"),"R")</f>
        <v>R</v>
      </c>
      <c r="C611" s="57" t="str">
        <f t="shared" si="3"/>
        <v>https://www.thonk.co.uk/shop/alpha-9mm-pots/</v>
      </c>
      <c r="D611" t="str">
        <f>Parts1!H622</f>
        <v>Tides v4.0</v>
      </c>
      <c r="E611" t="str">
        <f>Parts1!I622</f>
        <v>U</v>
      </c>
      <c r="F611" t="str">
        <f>Parts1!J622</f>
        <v>R6</v>
      </c>
      <c r="G611">
        <f>Parts1!K622</f>
        <v>1</v>
      </c>
      <c r="H611" t="str">
        <f>Parts1!L622</f>
        <v>10k linear pot, 15mm shaft, center detent</v>
      </c>
      <c r="I611" t="str">
        <f>Parts1!M622</f>
        <v/>
      </c>
      <c r="J611" s="59" t="str">
        <f>Parts1!N622</f>
        <v/>
      </c>
      <c r="K611" s="59" t="str">
        <f>Parts1!O622</f>
        <v/>
      </c>
      <c r="L611" s="62" t="str">
        <f>Parts1!P622</f>
        <v/>
      </c>
      <c r="M611" s="51" t="str">
        <f>Parts1!Q622</f>
        <v>https://www.thonk.co.uk/shop/alpha-9mm-pots/</v>
      </c>
      <c r="N611" s="58">
        <v>17.0</v>
      </c>
      <c r="O611" s="52" t="str">
        <f t="shared" si="2"/>
        <v>B</v>
      </c>
      <c r="P611" s="52" t="str">
        <f t="shared" si="5"/>
        <v/>
      </c>
      <c r="Q611" s="52">
        <f t="shared" si="4"/>
        <v>1</v>
      </c>
      <c r="R611" s="52" t="b">
        <f t="shared" si="6"/>
        <v>0</v>
      </c>
    </row>
    <row r="612">
      <c r="B612" s="20" t="str">
        <f>IFERROR(__xludf.DUMMYFUNCTION("if(exact($E612, """"), """", iferror(regexextract($F612, ""^(?:- )?([A-Z]+)""), ""?""))"),"R")</f>
        <v>R</v>
      </c>
      <c r="C612" s="57" t="str">
        <f t="shared" si="3"/>
        <v>https://www.thonk.co.uk/shop/alpha-9mm-pots/</v>
      </c>
      <c r="D612" t="str">
        <f>Parts1!H668</f>
        <v>Warps v3.0</v>
      </c>
      <c r="E612" t="str">
        <f>Parts1!I668</f>
        <v>U</v>
      </c>
      <c r="F612" t="str">
        <f>Parts1!J668</f>
        <v>R7, R23</v>
      </c>
      <c r="G612">
        <f>Parts1!K668</f>
        <v>2</v>
      </c>
      <c r="H612" t="str">
        <f>Parts1!L668</f>
        <v>10k linear pot, 15mm shaft</v>
      </c>
      <c r="I612" t="str">
        <f>Parts1!M668</f>
        <v/>
      </c>
      <c r="J612" t="str">
        <f>Parts1!N668</f>
        <v/>
      </c>
      <c r="K612" t="str">
        <f>Parts1!O668</f>
        <v/>
      </c>
      <c r="L612" t="str">
        <f>Parts1!P668</f>
        <v/>
      </c>
      <c r="M612" s="51" t="str">
        <f>Parts1!Q668</f>
        <v>https://www.thonk.co.uk/shop/alpha-9mm-pots/</v>
      </c>
      <c r="N612" s="58">
        <v>18.0</v>
      </c>
      <c r="O612" s="52" t="str">
        <f t="shared" si="2"/>
        <v>B</v>
      </c>
      <c r="P612" s="52" t="str">
        <f t="shared" si="5"/>
        <v/>
      </c>
      <c r="Q612" s="52">
        <f t="shared" si="4"/>
        <v>0</v>
      </c>
      <c r="R612" s="52" t="b">
        <f t="shared" si="6"/>
        <v>0</v>
      </c>
    </row>
    <row r="613">
      <c r="B613" s="20" t="str">
        <f>IFERROR(__xludf.DUMMYFUNCTION("if(exact($E613, """"), """", iferror(regexextract($F613, ""^(?:- )?([A-Z]+)""), ""?""))"),"R")</f>
        <v>R</v>
      </c>
      <c r="C613" s="57" t="str">
        <f t="shared" si="3"/>
        <v>https://www.thonk.co.uk/shop/ttpots/</v>
      </c>
      <c r="D613" t="str">
        <f>Parts1!H213</f>
        <v>Elements v0.21</v>
      </c>
      <c r="E613" t="str">
        <f>Parts1!I213</f>
        <v>U</v>
      </c>
      <c r="F613" t="str">
        <f>Parts1!J213</f>
        <v>R76, R77, R78, R79, R80, R81, R82, R83, R84, R85</v>
      </c>
      <c r="G613">
        <f>Parts1!K213</f>
        <v>10</v>
      </c>
      <c r="H613" t="str">
        <f>Parts1!L213</f>
        <v>10k linear pot, 25mm shaft with marker</v>
      </c>
      <c r="I613" t="str">
        <f>Parts1!M213</f>
        <v/>
      </c>
      <c r="J613" t="str">
        <f>Parts1!N213</f>
        <v/>
      </c>
      <c r="K613" t="str">
        <f>Parts1!O213</f>
        <v/>
      </c>
      <c r="L613" t="str">
        <f>Parts1!P213</f>
        <v/>
      </c>
      <c r="M613" s="51" t="str">
        <f>Parts1!Q213</f>
        <v>https://www.thonk.co.uk/shop/ttpots/</v>
      </c>
      <c r="N613" s="58">
        <v>5.0</v>
      </c>
      <c r="O613" s="52" t="str">
        <f t="shared" si="2"/>
        <v>B</v>
      </c>
      <c r="P613" s="52">
        <f t="shared" si="5"/>
        <v>1</v>
      </c>
      <c r="Q613" s="52">
        <f t="shared" si="4"/>
        <v>3</v>
      </c>
      <c r="R613" s="52" t="b">
        <f t="shared" si="6"/>
        <v>1</v>
      </c>
    </row>
    <row r="614">
      <c r="B614" s="20" t="str">
        <f>IFERROR(__xludf.DUMMYFUNCTION("if(exact($E614, """"), """", iferror(regexextract($F614, ""^(?:- )?([A-Z]+)""), ""?""))"),"R")</f>
        <v>R</v>
      </c>
      <c r="C614" s="57" t="str">
        <f t="shared" si="3"/>
        <v>https://www.thonk.co.uk/shop/ttpots/</v>
      </c>
      <c r="D614" t="str">
        <f>Parts1!H404</f>
        <v>Rings v3.0</v>
      </c>
      <c r="E614" t="str">
        <f>Parts1!I404</f>
        <v>U</v>
      </c>
      <c r="F614" t="str">
        <f>Parts1!J404</f>
        <v>R45, R46, R47, R48, R49</v>
      </c>
      <c r="G614">
        <f>Parts1!K404</f>
        <v>5</v>
      </c>
      <c r="H614" t="str">
        <f>Parts1!L404</f>
        <v>10k linear pot, 25mm shaft with marker</v>
      </c>
      <c r="I614" t="str">
        <f>Parts1!M404</f>
        <v/>
      </c>
      <c r="J614" t="str">
        <f>Parts1!N404</f>
        <v/>
      </c>
      <c r="K614" t="str">
        <f>Parts1!O404</f>
        <v/>
      </c>
      <c r="L614" t="str">
        <f>Parts1!P404</f>
        <v/>
      </c>
      <c r="M614" s="51" t="str">
        <f>Parts1!Q404</f>
        <v>https://www.thonk.co.uk/shop/ttpots/</v>
      </c>
      <c r="N614" s="58">
        <v>10.0</v>
      </c>
      <c r="O614" s="52" t="str">
        <f t="shared" si="2"/>
        <v>B</v>
      </c>
      <c r="P614" s="52" t="str">
        <f t="shared" si="5"/>
        <v/>
      </c>
      <c r="Q614" s="52">
        <f t="shared" si="4"/>
        <v>2</v>
      </c>
      <c r="R614" s="52" t="b">
        <f t="shared" si="6"/>
        <v>1</v>
      </c>
    </row>
    <row r="615">
      <c r="B615" s="20" t="str">
        <f>IFERROR(__xludf.DUMMYFUNCTION("if(exact($E615, """"), """", iferror(regexextract($F615, ""^(?:- )?([A-Z]+)""), ""?""))"),"R")</f>
        <v>R</v>
      </c>
      <c r="C615" s="57" t="str">
        <f t="shared" si="3"/>
        <v>https://www.thonk.co.uk/shop/ttpots/</v>
      </c>
      <c r="D615" t="str">
        <f>Parts1!H560</f>
        <v>Streams v0.5</v>
      </c>
      <c r="E615" t="str">
        <f>Parts1!I560</f>
        <v>U</v>
      </c>
      <c r="F615" t="str">
        <f>Parts1!J560</f>
        <v>R27, R36</v>
      </c>
      <c r="G615">
        <f>Parts1!K560</f>
        <v>2</v>
      </c>
      <c r="H615" t="str">
        <f>Parts1!L560</f>
        <v>10k linear pot, 25mm shaft with marker</v>
      </c>
      <c r="I615" t="str">
        <f>Parts1!M560</f>
        <v/>
      </c>
      <c r="J615" t="str">
        <f>Parts1!N560</f>
        <v/>
      </c>
      <c r="K615" t="str">
        <f>Parts1!O560</f>
        <v/>
      </c>
      <c r="L615" t="str">
        <f>Parts1!P560</f>
        <v/>
      </c>
      <c r="M615" s="51" t="str">
        <f>Parts1!Q560</f>
        <v>https://www.thonk.co.uk/shop/ttpots/</v>
      </c>
      <c r="N615" s="58">
        <v>15.0</v>
      </c>
      <c r="O615" s="52" t="str">
        <f t="shared" si="2"/>
        <v>B</v>
      </c>
      <c r="P615" s="52" t="str">
        <f t="shared" si="5"/>
        <v/>
      </c>
      <c r="Q615" s="52">
        <f t="shared" si="4"/>
        <v>1</v>
      </c>
      <c r="R615" s="52" t="b">
        <f t="shared" si="6"/>
        <v>1</v>
      </c>
    </row>
    <row r="616">
      <c r="B616" s="20" t="str">
        <f>IFERROR(__xludf.DUMMYFUNCTION("if(exact($E616, """"), """", iferror(regexextract($F616, ""^(?:- )?([A-Z]+)""), ""?""))"),"R")</f>
        <v>R</v>
      </c>
      <c r="C616" s="57" t="str">
        <f t="shared" si="3"/>
        <v>https://www.thonk.co.uk/shop/ttpots/</v>
      </c>
      <c r="D616" t="str">
        <f>Parts1!H667</f>
        <v>Warps v3.0</v>
      </c>
      <c r="E616" t="str">
        <f>Parts1!I667</f>
        <v>U</v>
      </c>
      <c r="F616" t="str">
        <f>Parts1!J667</f>
        <v>R26, R27</v>
      </c>
      <c r="G616">
        <f>Parts1!K667</f>
        <v>2</v>
      </c>
      <c r="H616" t="str">
        <f>Parts1!L667</f>
        <v>10k linear pot, 25mm shaft with marker</v>
      </c>
      <c r="I616" t="str">
        <f>Parts1!M667</f>
        <v/>
      </c>
      <c r="J616" t="str">
        <f>Parts1!N667</f>
        <v/>
      </c>
      <c r="K616" t="str">
        <f>Parts1!O667</f>
        <v/>
      </c>
      <c r="L616" t="str">
        <f>Parts1!P667</f>
        <v/>
      </c>
      <c r="M616" s="51" t="str">
        <f>Parts1!Q667</f>
        <v>https://www.thonk.co.uk/shop/ttpots/</v>
      </c>
      <c r="N616" s="58">
        <v>18.0</v>
      </c>
      <c r="O616" s="52" t="str">
        <f t="shared" si="2"/>
        <v>B</v>
      </c>
      <c r="P616" s="52" t="str">
        <f t="shared" si="5"/>
        <v/>
      </c>
      <c r="Q616" s="52">
        <f t="shared" si="4"/>
        <v>0</v>
      </c>
      <c r="R616" s="52" t="b">
        <f t="shared" si="6"/>
        <v>1</v>
      </c>
    </row>
    <row r="617">
      <c r="B617" s="20" t="str">
        <f>IFERROR(__xludf.DUMMYFUNCTION("if(exact($E617, """"), """", iferror(regexextract($F617, ""^(?:- )?([A-Z]+)""), ""?""))"),"LED")</f>
        <v>LED</v>
      </c>
      <c r="C617" s="57" t="str">
        <f t="shared" si="3"/>
        <v>LED3-10 Multicomp; Farnell P/N 9555277</v>
      </c>
      <c r="D617" t="str">
        <f>Parts1!H68</f>
        <v>Branches v4.0</v>
      </c>
      <c r="E617" t="str">
        <f>Parts1!I68</f>
        <v>U</v>
      </c>
      <c r="F617" t="str">
        <f>Parts1!J68</f>
        <v>- LED1, LED2</v>
      </c>
      <c r="G617" s="65">
        <f>Parts1!K68</f>
        <v>2</v>
      </c>
      <c r="H617" t="str">
        <f>Parts1!L68</f>
        <v>LED holder</v>
      </c>
      <c r="I617" t="str">
        <f>Parts1!M68</f>
        <v>Ø 3mm, 10mm high</v>
      </c>
      <c r="J617" s="59" t="str">
        <f>Parts1!N68</f>
        <v/>
      </c>
      <c r="K617" s="59" t="str">
        <f>Parts1!O68</f>
        <v/>
      </c>
      <c r="L617" t="str">
        <f>Parts1!P68</f>
        <v/>
      </c>
      <c r="M617" s="51" t="str">
        <f>Parts1!Q68</f>
        <v>LED3-10 Multicomp; Farnell P/N 9555277</v>
      </c>
      <c r="N617" s="58">
        <v>2.0</v>
      </c>
      <c r="O617" s="52" t="str">
        <f t="shared" si="2"/>
        <v>B</v>
      </c>
      <c r="P617" s="52">
        <f t="shared" si="5"/>
        <v>1</v>
      </c>
      <c r="Q617" s="52">
        <f t="shared" si="4"/>
        <v>3</v>
      </c>
      <c r="R617" s="52" t="b">
        <f t="shared" si="6"/>
        <v>0</v>
      </c>
    </row>
    <row r="618">
      <c r="B618" s="20" t="str">
        <f>IFERROR(__xludf.DUMMYFUNCTION("if(exact($E618, """"), """", iferror(regexextract($F618, ""^(?:- )?([A-Z]+)""), ""?""))"),"LED")</f>
        <v>LED</v>
      </c>
      <c r="C618" s="57" t="str">
        <f t="shared" si="3"/>
        <v>LED3-10 Multicomp; Farnell P/N 9555277</v>
      </c>
      <c r="D618" t="str">
        <f>Parts1!H317</f>
        <v>Links v4</v>
      </c>
      <c r="E618" t="str">
        <f>Parts1!I317</f>
        <v>U</v>
      </c>
      <c r="F618" t="str">
        <f>Parts1!J317</f>
        <v>- LED1, LED2, LED3</v>
      </c>
      <c r="G618">
        <f>Parts1!K317</f>
        <v>3</v>
      </c>
      <c r="H618" t="str">
        <f>Parts1!L317</f>
        <v>LED holder, 3mm LED, 10mm height</v>
      </c>
      <c r="I618" t="str">
        <f>Parts1!M317</f>
        <v/>
      </c>
      <c r="J618" t="str">
        <f>Parts1!N317</f>
        <v/>
      </c>
      <c r="K618" t="str">
        <f>Parts1!O317</f>
        <v/>
      </c>
      <c r="L618" t="str">
        <f>Parts1!P317</f>
        <v/>
      </c>
      <c r="M618" s="51" t="str">
        <f>Parts1!Q317</f>
        <v>LED3-10 Multicomp; Farnell P/N 9555277</v>
      </c>
      <c r="N618" s="58">
        <v>8.0</v>
      </c>
      <c r="O618" s="52" t="str">
        <f t="shared" si="2"/>
        <v>B</v>
      </c>
      <c r="P618" s="52" t="str">
        <f t="shared" si="5"/>
        <v/>
      </c>
      <c r="Q618" s="52">
        <f t="shared" si="4"/>
        <v>2</v>
      </c>
      <c r="R618" s="52" t="b">
        <f t="shared" si="6"/>
        <v>0</v>
      </c>
    </row>
    <row r="619">
      <c r="B619" s="20" t="str">
        <f>IFERROR(__xludf.DUMMYFUNCTION("if(exact($E619, """"), """", iferror(regexextract($F619, ""^(?:- )?([A-Z]+)""), ""?""))"),"LED")</f>
        <v>LED</v>
      </c>
      <c r="C619" s="57" t="str">
        <f t="shared" si="3"/>
        <v>LED3-10 Multicomp; Farnell P/N 9555277</v>
      </c>
      <c r="D619" t="str">
        <f>Parts1!H351</f>
        <v>Peaks v3.1</v>
      </c>
      <c r="E619" t="str">
        <f>Parts1!I351</f>
        <v>U</v>
      </c>
      <c r="F619" t="str">
        <f>Parts1!J351</f>
        <v>- LED1, LED2, LED3, LED4, LED5</v>
      </c>
      <c r="G619">
        <f>Parts1!K351</f>
        <v>5</v>
      </c>
      <c r="H619" t="str">
        <f>Parts1!L351</f>
        <v>LED holder</v>
      </c>
      <c r="I619" t="str">
        <f>Parts1!M351</f>
        <v>10mm</v>
      </c>
      <c r="J619" t="str">
        <f>Parts1!N351</f>
        <v/>
      </c>
      <c r="K619" t="str">
        <f>Parts1!O351</f>
        <v/>
      </c>
      <c r="L619" t="str">
        <f>Parts1!P351</f>
        <v/>
      </c>
      <c r="M619" s="51" t="str">
        <f>Parts1!Q351</f>
        <v>LED3-10 Multicomp; Farnell P/N 9555277</v>
      </c>
      <c r="N619" s="58">
        <v>9.0</v>
      </c>
      <c r="O619" s="52" t="str">
        <f t="shared" si="2"/>
        <v>B</v>
      </c>
      <c r="P619" s="52" t="str">
        <f t="shared" si="5"/>
        <v/>
      </c>
      <c r="Q619" s="52">
        <f t="shared" si="4"/>
        <v>1</v>
      </c>
      <c r="R619" s="52" t="b">
        <f t="shared" si="6"/>
        <v>0</v>
      </c>
    </row>
    <row r="620">
      <c r="B620" s="20" t="str">
        <f>IFERROR(__xludf.DUMMYFUNCTION("if(exact($E620, """"), """", iferror(regexextract($F620, ""^(?:- )?([A-Z]+)""), ""?""))"),"LED")</f>
        <v>LED</v>
      </c>
      <c r="C620" s="57" t="str">
        <f t="shared" si="3"/>
        <v>LED3-10 Multicomp; Farnell P/N 9555277</v>
      </c>
      <c r="D620" t="str">
        <f>Parts1!H466</f>
        <v>Shades v3.1</v>
      </c>
      <c r="E620" t="str">
        <f>Parts1!I466</f>
        <v>U</v>
      </c>
      <c r="F620" t="str">
        <f>Parts1!J466</f>
        <v>- LED1, LED2, LED3</v>
      </c>
      <c r="G620">
        <f>Parts1!K466</f>
        <v>3</v>
      </c>
      <c r="H620" t="str">
        <f>Parts1!L466</f>
        <v>LED holder</v>
      </c>
      <c r="I620" t="str">
        <f>Parts1!M466</f>
        <v>10mm</v>
      </c>
      <c r="J620" t="str">
        <f>Parts1!N466</f>
        <v/>
      </c>
      <c r="K620" t="str">
        <f>Parts1!O466</f>
        <v/>
      </c>
      <c r="L620" t="str">
        <f>Parts1!P466</f>
        <v/>
      </c>
      <c r="M620" s="51" t="str">
        <f>Parts1!Q466</f>
        <v>LED3-10 Multicomp; Farnell P/N 9555277</v>
      </c>
      <c r="N620" s="58">
        <v>12.0</v>
      </c>
      <c r="O620" s="52" t="str">
        <f t="shared" si="2"/>
        <v>B</v>
      </c>
      <c r="P620" s="52" t="str">
        <f t="shared" si="5"/>
        <v/>
      </c>
      <c r="Q620" s="52">
        <f t="shared" si="4"/>
        <v>0</v>
      </c>
      <c r="R620" s="52" t="b">
        <f t="shared" si="6"/>
        <v>0</v>
      </c>
    </row>
    <row r="621">
      <c r="B621" s="20" t="str">
        <f>IFERROR(__xludf.DUMMYFUNCTION("if(exact($E621, """"), """", iferror(regexextract($F621, ""^(?:- )?([A-Z]+)""), ""?""))"),"?")</f>
        <v>?</v>
      </c>
      <c r="C621" s="57" t="str">
        <f t="shared" si="3"/>
        <v>MULTICOMP LED3-10</v>
      </c>
      <c r="D621" t="str">
        <f>Parts1!H164</f>
        <v>Edges v2.0</v>
      </c>
      <c r="E621" t="str">
        <f>Parts1!I164</f>
        <v>U</v>
      </c>
      <c r="F621" t="str">
        <f>Parts1!J164</f>
        <v/>
      </c>
      <c r="G621">
        <f>Parts1!K164</f>
        <v>4</v>
      </c>
      <c r="H621" t="str">
        <f>Parts1!L164</f>
        <v>Support LED 10mm</v>
      </c>
      <c r="I621" t="str">
        <f>Parts1!M164</f>
        <v>Ø 3mm, 10mm haut.</v>
      </c>
      <c r="J621" t="str">
        <f>Parts1!N164</f>
        <v/>
      </c>
      <c r="K621" t="str">
        <f>Parts1!O164</f>
        <v/>
      </c>
      <c r="L621" t="str">
        <f>Parts1!P164</f>
        <v/>
      </c>
      <c r="M621" s="51" t="str">
        <f>Parts1!Q164</f>
        <v>MULTICOMP LED3-10</v>
      </c>
      <c r="N621" s="58">
        <v>4.0</v>
      </c>
      <c r="O621" s="52" t="str">
        <f t="shared" si="2"/>
        <v>B</v>
      </c>
      <c r="P621" s="52">
        <f t="shared" si="5"/>
        <v>1</v>
      </c>
      <c r="Q621" s="52">
        <f t="shared" si="4"/>
        <v>1</v>
      </c>
      <c r="R621" s="52" t="b">
        <f t="shared" si="6"/>
        <v>1</v>
      </c>
    </row>
    <row r="622">
      <c r="B622" s="20" t="str">
        <f>IFERROR(__xludf.DUMMYFUNCTION("if(exact($E622, """"), """", iferror(regexextract($F622, ""^(?:- )?([A-Z]+)""), ""?""))"),"?")</f>
        <v>?</v>
      </c>
      <c r="C622" s="57" t="str">
        <f t="shared" si="3"/>
        <v>MULTICOMP LED3-10</v>
      </c>
      <c r="D622" t="str">
        <f>Parts1!H293</f>
        <v>Grids v0.2</v>
      </c>
      <c r="E622" t="str">
        <f>Parts1!I293</f>
        <v>U</v>
      </c>
      <c r="F622" t="str">
        <f>Parts1!J293</f>
        <v/>
      </c>
      <c r="G622" s="65">
        <f>Parts1!K293</f>
        <v>3</v>
      </c>
      <c r="H622" t="str">
        <f>Parts1!L293</f>
        <v>LED holder</v>
      </c>
      <c r="I622" t="str">
        <f>Parts1!M293</f>
        <v>Ø 3mm, 10mm</v>
      </c>
      <c r="J622" s="59" t="str">
        <f>Parts1!N293</f>
        <v/>
      </c>
      <c r="K622" s="59" t="str">
        <f>Parts1!O293</f>
        <v/>
      </c>
      <c r="L622" t="str">
        <f>Parts1!P293</f>
        <v/>
      </c>
      <c r="M622" s="51" t="str">
        <f>Parts1!Q293</f>
        <v>MULTICOMP LED3-10</v>
      </c>
      <c r="N622" s="58">
        <v>7.0</v>
      </c>
      <c r="O622" s="52" t="str">
        <f t="shared" si="2"/>
        <v>B</v>
      </c>
      <c r="P622" s="52" t="str">
        <f t="shared" si="5"/>
        <v/>
      </c>
      <c r="Q622" s="52">
        <f t="shared" si="4"/>
        <v>0</v>
      </c>
      <c r="R622" s="52" t="b">
        <f t="shared" si="6"/>
        <v>1</v>
      </c>
    </row>
    <row r="623">
      <c r="B623" s="20" t="str">
        <f>IFERROR(__xludf.DUMMYFUNCTION("if(exact($E623, """"), """", iferror(regexextract($F623, ""^(?:- )?([A-Z]+)""), ""?""))"),"PCB")</f>
        <v>PCB</v>
      </c>
      <c r="C623" s="57" t="str">
        <f t="shared" si="3"/>
        <v>PCB Braids v5.1</v>
      </c>
      <c r="D623" t="str">
        <f>Parts1!H51</f>
        <v>Braids v5.1</v>
      </c>
      <c r="E623" t="str">
        <f>Parts1!I51</f>
        <v>P</v>
      </c>
      <c r="F623" t="str">
        <f>Parts1!J51</f>
        <v>PCB</v>
      </c>
      <c r="G623" t="str">
        <f>Parts1!K51</f>
        <v/>
      </c>
      <c r="H623" t="str">
        <f>Parts1!L51</f>
        <v>78.7 x 106.7 ; 2 layers</v>
      </c>
      <c r="I623" t="str">
        <f>Parts1!M51</f>
        <v/>
      </c>
      <c r="J623" s="59" t="str">
        <f>Parts1!N51</f>
        <v/>
      </c>
      <c r="K623" s="59" t="str">
        <f>Parts1!O51</f>
        <v/>
      </c>
      <c r="L623" s="62" t="str">
        <f>Parts1!P51</f>
        <v/>
      </c>
      <c r="M623" s="51" t="str">
        <f>Parts1!Q51</f>
        <v/>
      </c>
      <c r="N623" s="58">
        <v>1.0</v>
      </c>
      <c r="O623" s="52" t="str">
        <f t="shared" si="2"/>
        <v>D</v>
      </c>
      <c r="P623" s="52">
        <f t="shared" si="5"/>
        <v>1</v>
      </c>
      <c r="Q623" s="52">
        <f t="shared" si="4"/>
        <v>0</v>
      </c>
      <c r="R623" s="52" t="b">
        <f t="shared" si="6"/>
        <v>0</v>
      </c>
    </row>
    <row r="624">
      <c r="B624" s="20" t="str">
        <f>IFERROR(__xludf.DUMMYFUNCTION("if(exact($E624, """"), """", iferror(regexextract($F624, ""^(?:- )?([A-Z]+)""), ""?""))"),"PCB")</f>
        <v>PCB</v>
      </c>
      <c r="C624" s="57" t="str">
        <f t="shared" si="3"/>
        <v>PCB Branches v4.0</v>
      </c>
      <c r="D624" t="str">
        <f>Parts1!H77</f>
        <v>Branches v4.0</v>
      </c>
      <c r="E624" t="str">
        <f>Parts1!I77</f>
        <v>P</v>
      </c>
      <c r="F624" t="str">
        <f>Parts1!J77</f>
        <v>PCB</v>
      </c>
      <c r="G624" s="65" t="str">
        <f>Parts1!K77</f>
        <v/>
      </c>
      <c r="H624" t="str">
        <f>Parts1!L77</f>
        <v>106.3 x 29.2 ; 2 layers</v>
      </c>
      <c r="I624" t="str">
        <f>Parts1!M77</f>
        <v/>
      </c>
      <c r="J624" s="59" t="str">
        <f>Parts1!N77</f>
        <v/>
      </c>
      <c r="K624" s="59" t="str">
        <f>Parts1!O77</f>
        <v/>
      </c>
      <c r="L624" s="66" t="str">
        <f>Parts1!P77</f>
        <v/>
      </c>
      <c r="M624" s="51" t="str">
        <f>Parts1!Q77</f>
        <v/>
      </c>
      <c r="N624" s="58">
        <v>2.0</v>
      </c>
      <c r="O624" s="52" t="str">
        <f t="shared" si="2"/>
        <v>D</v>
      </c>
      <c r="P624" s="52">
        <f t="shared" si="5"/>
        <v>1</v>
      </c>
      <c r="Q624" s="52">
        <f t="shared" si="4"/>
        <v>0</v>
      </c>
      <c r="R624" s="52" t="b">
        <f t="shared" si="6"/>
        <v>1</v>
      </c>
    </row>
    <row r="625">
      <c r="B625" s="20" t="str">
        <f>IFERROR(__xludf.DUMMYFUNCTION("if(exact($E625, """"), """", iferror(regexextract($F625, ""^(?:- )?([A-Z]+)""), ""?""))"),"PCB")</f>
        <v>PCB</v>
      </c>
      <c r="C625" s="57" t="str">
        <f t="shared" si="3"/>
        <v>PCB Clouds v3.0</v>
      </c>
      <c r="D625" t="str">
        <f>Parts1!H130</f>
        <v>Clouds v3.0</v>
      </c>
      <c r="E625" t="str">
        <f>Parts1!I130</f>
        <v>P</v>
      </c>
      <c r="F625" t="str">
        <f>Parts1!J130</f>
        <v>PCB</v>
      </c>
      <c r="G625" s="62" t="str">
        <f>Parts1!K130</f>
        <v/>
      </c>
      <c r="H625" t="str">
        <f>Parts1!L130</f>
        <v>106.1 x 88.9 ; 2 layers</v>
      </c>
      <c r="I625" t="str">
        <f>Parts1!M130</f>
        <v/>
      </c>
      <c r="J625" s="59" t="str">
        <f>Parts1!N130</f>
        <v/>
      </c>
      <c r="K625" s="59" t="str">
        <f>Parts1!O130</f>
        <v/>
      </c>
      <c r="L625" s="62" t="str">
        <f>Parts1!P130</f>
        <v/>
      </c>
      <c r="M625" s="51" t="str">
        <f>Parts1!Q130</f>
        <v/>
      </c>
      <c r="N625" s="58">
        <v>3.0</v>
      </c>
      <c r="O625" s="52" t="str">
        <f t="shared" si="2"/>
        <v>D</v>
      </c>
      <c r="P625" s="52">
        <f t="shared" si="5"/>
        <v>1</v>
      </c>
      <c r="Q625" s="52">
        <f t="shared" si="4"/>
        <v>0</v>
      </c>
      <c r="R625" s="52" t="b">
        <f t="shared" si="6"/>
        <v>0</v>
      </c>
    </row>
    <row r="626">
      <c r="B626" s="20" t="str">
        <f>IFERROR(__xludf.DUMMYFUNCTION("if(exact($E626, """"), """", iferror(regexextract($F626, ""^(?:- )?([A-Z]+)""), ""?""))"),"PCB")</f>
        <v>PCB</v>
      </c>
      <c r="C626" s="57" t="str">
        <f t="shared" si="3"/>
        <v>PCB Edges v2.0</v>
      </c>
      <c r="D626" t="str">
        <f>Parts1!H176</f>
        <v>Edges v2.0</v>
      </c>
      <c r="E626" t="str">
        <f>Parts1!I176</f>
        <v>P</v>
      </c>
      <c r="F626" t="str">
        <f>Parts1!J176</f>
        <v>PCB</v>
      </c>
      <c r="G626" s="62" t="str">
        <f>Parts1!K176</f>
        <v/>
      </c>
      <c r="H626" t="str">
        <f>Parts1!L176</f>
        <v>97.8 x 102.8  ; 2 layers</v>
      </c>
      <c r="I626" t="str">
        <f>Parts1!M176</f>
        <v/>
      </c>
      <c r="J626" s="59" t="str">
        <f>Parts1!N176</f>
        <v/>
      </c>
      <c r="K626" s="59" t="str">
        <f>Parts1!O176</f>
        <v/>
      </c>
      <c r="L626" s="62" t="str">
        <f>Parts1!P176</f>
        <v/>
      </c>
      <c r="M626" s="51" t="str">
        <f>Parts1!Q176</f>
        <v/>
      </c>
      <c r="N626" s="58">
        <v>4.0</v>
      </c>
      <c r="O626" s="52" t="str">
        <f t="shared" si="2"/>
        <v>D</v>
      </c>
      <c r="P626" s="52">
        <f t="shared" si="5"/>
        <v>1</v>
      </c>
      <c r="Q626" s="52">
        <f t="shared" si="4"/>
        <v>0</v>
      </c>
      <c r="R626" s="52" t="b">
        <f t="shared" si="6"/>
        <v>1</v>
      </c>
    </row>
    <row r="627">
      <c r="B627" s="20" t="str">
        <f>IFERROR(__xludf.DUMMYFUNCTION("if(exact($E627, """"), """", iferror(regexextract($F627, ""^(?:- )?([A-Z]+)""), ""?""))"),"PCB")</f>
        <v>PCB</v>
      </c>
      <c r="C627" s="57" t="str">
        <f t="shared" si="3"/>
        <v>PCB Elements v0.21</v>
      </c>
      <c r="D627" t="str">
        <f>Parts1!H223</f>
        <v>Elements v0.21</v>
      </c>
      <c r="E627" t="str">
        <f>Parts1!I223</f>
        <v>P</v>
      </c>
      <c r="F627" t="str">
        <f>Parts1!J223</f>
        <v>PCB</v>
      </c>
      <c r="G627" t="str">
        <f>Parts1!K223</f>
        <v/>
      </c>
      <c r="H627" t="str">
        <f>Parts1!L223</f>
        <v>106.4 x 164.5 ; 2 layers</v>
      </c>
      <c r="I627" t="str">
        <f>Parts1!M223</f>
        <v/>
      </c>
      <c r="J627" t="str">
        <f>Parts1!N223</f>
        <v/>
      </c>
      <c r="K627" t="str">
        <f>Parts1!O223</f>
        <v/>
      </c>
      <c r="L627" t="str">
        <f>Parts1!P223</f>
        <v/>
      </c>
      <c r="M627" s="51" t="str">
        <f>Parts1!Q223</f>
        <v/>
      </c>
      <c r="N627" s="58">
        <v>5.0</v>
      </c>
      <c r="O627" s="52" t="str">
        <f t="shared" si="2"/>
        <v>D</v>
      </c>
      <c r="P627" s="52">
        <f t="shared" si="5"/>
        <v>1</v>
      </c>
      <c r="Q627" s="52">
        <f t="shared" si="4"/>
        <v>0</v>
      </c>
      <c r="R627" s="52" t="b">
        <f t="shared" si="6"/>
        <v>0</v>
      </c>
    </row>
    <row r="628">
      <c r="B628" s="20" t="str">
        <f>IFERROR(__xludf.DUMMYFUNCTION("if(exact($E628, """"), """", iferror(regexextract($F628, ""^(?:- )?([A-Z]+)""), ""?""))"),"PCB")</f>
        <v>PCB</v>
      </c>
      <c r="C628" s="57" t="str">
        <f t="shared" si="3"/>
        <v>PCB Frames v0.3</v>
      </c>
      <c r="D628" t="str">
        <f>Parts1!H271</f>
        <v>Frames v0.3</v>
      </c>
      <c r="E628" t="str">
        <f>Parts1!I271</f>
        <v>P</v>
      </c>
      <c r="F628" t="str">
        <f>Parts1!J271</f>
        <v>PCB</v>
      </c>
      <c r="G628" t="str">
        <f>Parts1!K271</f>
        <v/>
      </c>
      <c r="H628" t="str">
        <f>Parts1!L271</f>
        <v>101.6 x 88.9 ; 2 layers</v>
      </c>
      <c r="I628" t="str">
        <f>Parts1!M271</f>
        <v/>
      </c>
      <c r="J628" s="59" t="str">
        <f>Parts1!N271</f>
        <v/>
      </c>
      <c r="K628" s="59" t="str">
        <f>Parts1!O271</f>
        <v/>
      </c>
      <c r="L628" s="62" t="str">
        <f>Parts1!P271</f>
        <v/>
      </c>
      <c r="M628" s="51" t="str">
        <f>Parts1!Q271</f>
        <v/>
      </c>
      <c r="N628" s="58">
        <v>6.0</v>
      </c>
      <c r="O628" s="52" t="str">
        <f t="shared" si="2"/>
        <v>D</v>
      </c>
      <c r="P628" s="52">
        <f t="shared" si="5"/>
        <v>1</v>
      </c>
      <c r="Q628" s="52">
        <f t="shared" si="4"/>
        <v>0</v>
      </c>
      <c r="R628" s="52" t="b">
        <f t="shared" si="6"/>
        <v>1</v>
      </c>
    </row>
    <row r="629">
      <c r="B629" s="20" t="str">
        <f>IFERROR(__xludf.DUMMYFUNCTION("if(exact($E629, """"), """", iferror(regexextract($F629, ""^(?:- )?([A-Z]+)""), ""?""))"),"PCB")</f>
        <v>PCB</v>
      </c>
      <c r="C629" s="57" t="str">
        <f t="shared" si="3"/>
        <v>PCB Grids v0.2</v>
      </c>
      <c r="D629" t="str">
        <f>Parts1!H301</f>
        <v>Grids v0.2</v>
      </c>
      <c r="E629" t="str">
        <f>Parts1!I301</f>
        <v>P</v>
      </c>
      <c r="F629" t="str">
        <f>Parts1!J301</f>
        <v>PCB</v>
      </c>
      <c r="G629" s="65" t="str">
        <f>Parts1!K301</f>
        <v/>
      </c>
      <c r="H629" t="str">
        <f>Parts1!L301</f>
        <v>80 x 102.9 ; 2 layers</v>
      </c>
      <c r="I629" t="str">
        <f>Parts1!M301</f>
        <v/>
      </c>
      <c r="J629" s="59" t="str">
        <f>Parts1!N301</f>
        <v/>
      </c>
      <c r="K629" s="59" t="str">
        <f>Parts1!O301</f>
        <v/>
      </c>
      <c r="L629" s="62" t="str">
        <f>Parts1!P301</f>
        <v/>
      </c>
      <c r="M629" s="51" t="str">
        <f>Parts1!Q301</f>
        <v/>
      </c>
      <c r="N629" s="72">
        <v>7.0</v>
      </c>
      <c r="O629" s="52" t="str">
        <f t="shared" si="2"/>
        <v>D</v>
      </c>
      <c r="P629" s="52">
        <f t="shared" si="5"/>
        <v>1</v>
      </c>
      <c r="Q629" s="52">
        <f t="shared" si="4"/>
        <v>0</v>
      </c>
      <c r="R629" s="52" t="b">
        <f t="shared" si="6"/>
        <v>0</v>
      </c>
    </row>
    <row r="630">
      <c r="B630" s="20" t="str">
        <f>IFERROR(__xludf.DUMMYFUNCTION("if(exact($E630, """"), """", iferror(regexextract($F630, ""^(?:- )?([A-Z]+)""), ""?""))"),"PCB")</f>
        <v>PCB</v>
      </c>
      <c r="C630" s="57" t="str">
        <f t="shared" si="3"/>
        <v>PCB Links v4</v>
      </c>
      <c r="D630" t="str">
        <f>Parts1!H321</f>
        <v>Links v4</v>
      </c>
      <c r="E630" t="str">
        <f>Parts1!I321</f>
        <v>P</v>
      </c>
      <c r="F630" t="str">
        <f>Parts1!J321</f>
        <v>PCB</v>
      </c>
      <c r="G630" t="str">
        <f>Parts1!K321</f>
        <v/>
      </c>
      <c r="H630" t="str">
        <f>Parts1!L321</f>
        <v>19.0 x 108.4 ; 2 layers</v>
      </c>
      <c r="I630" t="str">
        <f>Parts1!M321</f>
        <v/>
      </c>
      <c r="J630" s="59" t="str">
        <f>Parts1!N321</f>
        <v/>
      </c>
      <c r="K630" t="str">
        <f>Parts1!O321</f>
        <v/>
      </c>
      <c r="L630" s="66" t="str">
        <f>Parts1!P321</f>
        <v/>
      </c>
      <c r="M630" s="51" t="str">
        <f>Parts1!Q321</f>
        <v/>
      </c>
      <c r="N630" s="58">
        <v>8.0</v>
      </c>
      <c r="O630" s="52" t="str">
        <f t="shared" si="2"/>
        <v>D</v>
      </c>
      <c r="P630" s="52">
        <f t="shared" si="5"/>
        <v>1</v>
      </c>
      <c r="Q630" s="52">
        <f t="shared" si="4"/>
        <v>0</v>
      </c>
      <c r="R630" s="52" t="b">
        <f t="shared" si="6"/>
        <v>1</v>
      </c>
    </row>
    <row r="631">
      <c r="B631" s="20" t="str">
        <f>IFERROR(__xludf.DUMMYFUNCTION("if(exact($E631, """"), """", iferror(regexextract($F631, ""^(?:- )?([A-Z]+)""), ""?""))"),"PCB")</f>
        <v>PCB</v>
      </c>
      <c r="C631" s="57" t="str">
        <f t="shared" si="3"/>
        <v>PCB Peaks v3.1</v>
      </c>
      <c r="D631" t="str">
        <f>Parts1!H361</f>
        <v>Peaks v3.1</v>
      </c>
      <c r="E631" t="str">
        <f>Parts1!I361</f>
        <v>P</v>
      </c>
      <c r="F631" t="str">
        <f>Parts1!J361</f>
        <v>PCB</v>
      </c>
      <c r="G631" t="str">
        <f>Parts1!K361</f>
        <v/>
      </c>
      <c r="H631" t="str">
        <f>Parts1!L361</f>
        <v>38.7 x 106.7 ; 2 layers</v>
      </c>
      <c r="I631" t="str">
        <f>Parts1!M361</f>
        <v/>
      </c>
      <c r="J631" t="str">
        <f>Parts1!N361</f>
        <v/>
      </c>
      <c r="K631" t="str">
        <f>Parts1!O361</f>
        <v/>
      </c>
      <c r="L631" t="str">
        <f>Parts1!P361</f>
        <v/>
      </c>
      <c r="M631" s="51" t="str">
        <f>Parts1!Q361</f>
        <v/>
      </c>
      <c r="N631" s="58">
        <v>9.0</v>
      </c>
      <c r="O631" s="52" t="str">
        <f t="shared" si="2"/>
        <v>D</v>
      </c>
      <c r="P631" s="52">
        <f t="shared" si="5"/>
        <v>1</v>
      </c>
      <c r="Q631" s="52">
        <f t="shared" si="4"/>
        <v>0</v>
      </c>
      <c r="R631" s="52" t="b">
        <f t="shared" si="6"/>
        <v>0</v>
      </c>
    </row>
    <row r="632">
      <c r="B632" s="20" t="str">
        <f>IFERROR(__xludf.DUMMYFUNCTION("if(exact($E632, """"), """", iferror(regexextract($F632, ""^(?:- )?([A-Z]+)""), ""?""))"),"PCB")</f>
        <v>PCB</v>
      </c>
      <c r="C632" s="57" t="str">
        <f t="shared" si="3"/>
        <v>PCB Rings v3.0</v>
      </c>
      <c r="D632" t="str">
        <f>Parts1!H414</f>
        <v>Rings v3.0</v>
      </c>
      <c r="E632" t="str">
        <f>Parts1!I414</f>
        <v>P</v>
      </c>
      <c r="F632" t="str">
        <f>Parts1!J414</f>
        <v>PCB</v>
      </c>
      <c r="G632" t="str">
        <f>Parts1!K414</f>
        <v/>
      </c>
      <c r="H632" t="str">
        <f>Parts1!L414</f>
        <v>106.7 x 69.2</v>
      </c>
      <c r="I632" t="str">
        <f>Parts1!M414</f>
        <v/>
      </c>
      <c r="J632" s="59" t="str">
        <f>Parts1!N414</f>
        <v/>
      </c>
      <c r="K632" t="str">
        <f>Parts1!O414</f>
        <v/>
      </c>
      <c r="L632" s="66" t="str">
        <f>Parts1!P414</f>
        <v/>
      </c>
      <c r="M632" s="51" t="str">
        <f>Parts1!Q414</f>
        <v/>
      </c>
      <c r="N632" s="58">
        <v>10.0</v>
      </c>
      <c r="O632" s="52" t="str">
        <f t="shared" si="2"/>
        <v>D</v>
      </c>
      <c r="P632" s="52">
        <f t="shared" si="5"/>
        <v>1</v>
      </c>
      <c r="Q632" s="52">
        <f t="shared" si="4"/>
        <v>0</v>
      </c>
      <c r="R632" s="52" t="b">
        <f t="shared" si="6"/>
        <v>1</v>
      </c>
    </row>
    <row r="633">
      <c r="B633" s="20" t="str">
        <f>IFERROR(__xludf.DUMMYFUNCTION("if(exact($E633, """"), """", iferror(regexextract($F633, ""^(?:- )?([A-Z]+)""), ""?""))"),"PCB")</f>
        <v>PCB</v>
      </c>
      <c r="C633" s="57" t="str">
        <f t="shared" si="3"/>
        <v>PCB Ripples v4.0</v>
      </c>
      <c r="D633" t="str">
        <f>Parts1!H451</f>
        <v>Ripples v4.0</v>
      </c>
      <c r="E633" t="str">
        <f>Parts1!I451</f>
        <v>P</v>
      </c>
      <c r="F633" t="str">
        <f>Parts1!J451</f>
        <v>PCB</v>
      </c>
      <c r="G633" s="62" t="str">
        <f>Parts1!K451</f>
        <v/>
      </c>
      <c r="H633" t="str">
        <f>Parts1!L451</f>
        <v>39.4 x 106.8 ; 2 layers</v>
      </c>
      <c r="I633" t="str">
        <f>Parts1!M451</f>
        <v/>
      </c>
      <c r="J633" s="59" t="str">
        <f>Parts1!N451</f>
        <v/>
      </c>
      <c r="K633" s="59" t="str">
        <f>Parts1!O451</f>
        <v/>
      </c>
      <c r="L633" s="62" t="str">
        <f>Parts1!P451</f>
        <v/>
      </c>
      <c r="M633" s="51" t="str">
        <f>Parts1!Q451</f>
        <v/>
      </c>
      <c r="N633" s="58">
        <v>11.0</v>
      </c>
      <c r="O633" s="52" t="str">
        <f t="shared" si="2"/>
        <v>D</v>
      </c>
      <c r="P633" s="52">
        <f t="shared" si="5"/>
        <v>1</v>
      </c>
      <c r="Q633" s="52">
        <f t="shared" si="4"/>
        <v>0</v>
      </c>
      <c r="R633" s="52" t="b">
        <f t="shared" si="6"/>
        <v>0</v>
      </c>
    </row>
    <row r="634">
      <c r="B634" s="20" t="str">
        <f>IFERROR(__xludf.DUMMYFUNCTION("if(exact($E634, """"), """", iferror(regexextract($F634, ""^(?:- )?([A-Z]+)""), ""?""))"),"PCB")</f>
        <v>PCB</v>
      </c>
      <c r="C634" s="57" t="str">
        <f t="shared" si="3"/>
        <v>PCB Shades v3.1</v>
      </c>
      <c r="D634" t="str">
        <f>Parts1!H474</f>
        <v>Shades v3.1</v>
      </c>
      <c r="E634" t="str">
        <f>Parts1!I474</f>
        <v>P</v>
      </c>
      <c r="F634" t="str">
        <f>Parts1!J474</f>
        <v>PCB</v>
      </c>
      <c r="G634" t="str">
        <f>Parts1!K474</f>
        <v/>
      </c>
      <c r="H634" t="str">
        <f>Parts1!L474</f>
        <v>29.2 x 106.7 ; 2 layers</v>
      </c>
      <c r="I634" t="str">
        <f>Parts1!M474</f>
        <v/>
      </c>
      <c r="J634" s="59" t="str">
        <f>Parts1!N474</f>
        <v/>
      </c>
      <c r="K634" t="str">
        <f>Parts1!O474</f>
        <v/>
      </c>
      <c r="L634" s="66" t="str">
        <f>Parts1!P474</f>
        <v/>
      </c>
      <c r="M634" s="51" t="str">
        <f>Parts1!Q474</f>
        <v/>
      </c>
      <c r="N634" s="58">
        <v>12.0</v>
      </c>
      <c r="O634" s="52" t="str">
        <f t="shared" si="2"/>
        <v>D</v>
      </c>
      <c r="P634" s="52">
        <f t="shared" si="5"/>
        <v>1</v>
      </c>
      <c r="Q634" s="52">
        <f t="shared" si="4"/>
        <v>0</v>
      </c>
      <c r="R634" s="52" t="b">
        <f t="shared" si="6"/>
        <v>1</v>
      </c>
    </row>
    <row r="635">
      <c r="B635" s="20" t="str">
        <f>IFERROR(__xludf.DUMMYFUNCTION("if(exact($E635, """"), """", iferror(regexextract($F635, ""^(?:- )?([A-Z]+)""), ""?""))"),"PCB")</f>
        <v>PCB</v>
      </c>
      <c r="C635" s="57" t="str">
        <f t="shared" si="3"/>
        <v>PCB Shelves v0.5</v>
      </c>
      <c r="D635" t="str">
        <f>Parts1!H510</f>
        <v>Shelves v0.5</v>
      </c>
      <c r="E635" t="str">
        <f>Parts1!I510</f>
        <v>P</v>
      </c>
      <c r="F635" t="str">
        <f>Parts1!J510</f>
        <v>PCB</v>
      </c>
      <c r="G635" t="str">
        <f>Parts1!K510</f>
        <v/>
      </c>
      <c r="H635" t="str">
        <f>Parts1!L510</f>
        <v>107.6 x 78.7 ; 2 layers</v>
      </c>
      <c r="I635" t="str">
        <f>Parts1!M510</f>
        <v/>
      </c>
      <c r="J635" t="str">
        <f>Parts1!N510</f>
        <v/>
      </c>
      <c r="K635" t="str">
        <f>Parts1!O510</f>
        <v/>
      </c>
      <c r="L635" t="str">
        <f>Parts1!P510</f>
        <v/>
      </c>
      <c r="M635" s="51" t="str">
        <f>Parts1!Q510</f>
        <v/>
      </c>
      <c r="N635" s="58">
        <v>13.0</v>
      </c>
      <c r="O635" s="52" t="str">
        <f t="shared" si="2"/>
        <v>D</v>
      </c>
      <c r="P635" s="52">
        <f t="shared" si="5"/>
        <v>1</v>
      </c>
      <c r="Q635" s="52">
        <f t="shared" si="4"/>
        <v>0</v>
      </c>
      <c r="R635" s="52" t="b">
        <f t="shared" si="6"/>
        <v>0</v>
      </c>
    </row>
    <row r="636">
      <c r="B636" s="20" t="str">
        <f>IFERROR(__xludf.DUMMYFUNCTION("if(exact($E636, """"), """", iferror(regexextract($F636, ""^(?:- )?([A-Z]+)""), ""?""))"),"PCB")</f>
        <v>PCB</v>
      </c>
      <c r="C636" s="57" t="str">
        <f t="shared" si="3"/>
        <v>PCB shelves_expander_v10</v>
      </c>
      <c r="D636" t="str">
        <f>Parts1!H517</f>
        <v>shelves_expander_v10</v>
      </c>
      <c r="E636" t="str">
        <f>Parts1!I517</f>
        <v>P</v>
      </c>
      <c r="F636" t="str">
        <f>Parts1!J517</f>
        <v>PCB</v>
      </c>
      <c r="G636" t="str">
        <f>Parts1!K517</f>
        <v/>
      </c>
      <c r="H636" t="str">
        <f>Parts1!L517</f>
        <v>14.6 x 105.7 ; 2 layers</v>
      </c>
      <c r="I636" t="str">
        <f>Parts1!M517</f>
        <v/>
      </c>
      <c r="J636" s="59" t="str">
        <f>Parts1!N517</f>
        <v/>
      </c>
      <c r="K636" t="str">
        <f>Parts1!O517</f>
        <v/>
      </c>
      <c r="L636" s="66" t="str">
        <f>Parts1!P517</f>
        <v/>
      </c>
      <c r="M636" s="51" t="str">
        <f>Parts1!Q517</f>
        <v/>
      </c>
      <c r="N636" s="58">
        <v>14.0</v>
      </c>
      <c r="O636" s="52" t="str">
        <f t="shared" si="2"/>
        <v>D</v>
      </c>
      <c r="P636" s="52">
        <f t="shared" si="5"/>
        <v>1</v>
      </c>
      <c r="Q636" s="52">
        <f t="shared" si="4"/>
        <v>0</v>
      </c>
      <c r="R636" s="52" t="b">
        <f t="shared" si="6"/>
        <v>1</v>
      </c>
    </row>
    <row r="637">
      <c r="B637" s="20" t="str">
        <f>IFERROR(__xludf.DUMMYFUNCTION("if(exact($E637, """"), """", iferror(regexextract($F637, ""^(?:- )?([A-Z]+)""), ""?""))"),"PCB")</f>
        <v>PCB</v>
      </c>
      <c r="C637" s="57" t="str">
        <f t="shared" si="3"/>
        <v>PCB Streams Bargraph v0.2</v>
      </c>
      <c r="D637" t="str">
        <f>Parts1!H579</f>
        <v>Streams Bargraph v0.2</v>
      </c>
      <c r="E637" t="str">
        <f>Parts1!I579</f>
        <v>P</v>
      </c>
      <c r="F637" t="str">
        <f>Parts1!J579</f>
        <v>PCB</v>
      </c>
      <c r="G637" s="62" t="str">
        <f>Parts1!K579</f>
        <v/>
      </c>
      <c r="H637" t="str">
        <f>Parts1!L579</f>
        <v>24.8 x 25.1 ; 2 layers</v>
      </c>
      <c r="I637" t="str">
        <f>Parts1!M579</f>
        <v/>
      </c>
      <c r="J637" s="59" t="str">
        <f>Parts1!N579</f>
        <v/>
      </c>
      <c r="K637" s="59" t="str">
        <f>Parts1!O579</f>
        <v/>
      </c>
      <c r="L637" s="62" t="str">
        <f>Parts1!P579</f>
        <v/>
      </c>
      <c r="M637" s="51" t="str">
        <f>Parts1!Q579</f>
        <v/>
      </c>
      <c r="N637" s="58">
        <v>16.0</v>
      </c>
      <c r="O637" s="52" t="str">
        <f t="shared" si="2"/>
        <v>D</v>
      </c>
      <c r="P637" s="52">
        <f t="shared" si="5"/>
        <v>1</v>
      </c>
      <c r="Q637" s="52">
        <f t="shared" si="4"/>
        <v>0</v>
      </c>
      <c r="R637" s="52" t="b">
        <f t="shared" si="6"/>
        <v>0</v>
      </c>
    </row>
    <row r="638">
      <c r="B638" s="20" t="str">
        <f>IFERROR(__xludf.DUMMYFUNCTION("if(exact($E638, """"), """", iferror(regexextract($F638, ""^(?:- )?([A-Z]+)""), ""?""))"),"PCB")</f>
        <v>PCB</v>
      </c>
      <c r="C638" s="57" t="str">
        <f t="shared" si="3"/>
        <v>PCB Streams v0.5</v>
      </c>
      <c r="D638" t="str">
        <f>Parts1!H569</f>
        <v>Streams v0.5</v>
      </c>
      <c r="E638" t="str">
        <f>Parts1!I569</f>
        <v>P</v>
      </c>
      <c r="F638" t="str">
        <f>Parts1!J569</f>
        <v>PCB</v>
      </c>
      <c r="G638" s="62" t="str">
        <f>Parts1!K569</f>
        <v/>
      </c>
      <c r="H638" t="str">
        <f>Parts1!L569</f>
        <v>107.6 x 58.7 ; 2 layers</v>
      </c>
      <c r="I638" t="str">
        <f>Parts1!M569</f>
        <v/>
      </c>
      <c r="J638" s="59" t="str">
        <f>Parts1!N569</f>
        <v/>
      </c>
      <c r="K638" s="59" t="str">
        <f>Parts1!O569</f>
        <v/>
      </c>
      <c r="L638" s="62" t="str">
        <f>Parts1!P569</f>
        <v/>
      </c>
      <c r="M638" s="51" t="str">
        <f>Parts1!Q569</f>
        <v/>
      </c>
      <c r="N638" s="58">
        <v>15.0</v>
      </c>
      <c r="O638" s="52" t="str">
        <f t="shared" si="2"/>
        <v>D</v>
      </c>
      <c r="P638" s="52">
        <f t="shared" si="5"/>
        <v>1</v>
      </c>
      <c r="Q638" s="52">
        <f t="shared" si="4"/>
        <v>0</v>
      </c>
      <c r="R638" s="52" t="b">
        <f t="shared" si="6"/>
        <v>1</v>
      </c>
    </row>
    <row r="639">
      <c r="B639" s="20" t="str">
        <f>IFERROR(__xludf.DUMMYFUNCTION("if(exact($E639, """"), """", iferror(regexextract($F639, ""^(?:- )?([A-Z]+)""), ""?""))"),"PCB")</f>
        <v>PCB</v>
      </c>
      <c r="C639" s="57" t="str">
        <f t="shared" si="3"/>
        <v>PCB Tides v4.0</v>
      </c>
      <c r="D639" t="str">
        <f>Parts1!H629</f>
        <v>Tides v4.0</v>
      </c>
      <c r="E639" t="str">
        <f>Parts1!I629</f>
        <v>P</v>
      </c>
      <c r="F639" t="str">
        <f>Parts1!J629</f>
        <v>PCB</v>
      </c>
      <c r="G639" t="str">
        <f>Parts1!K629</f>
        <v/>
      </c>
      <c r="H639" t="str">
        <f>Parts1!L629</f>
        <v>69.2 x 106.7 ; 2 layers</v>
      </c>
      <c r="I639" t="str">
        <f>Parts1!M629</f>
        <v/>
      </c>
      <c r="J639" t="str">
        <f>Parts1!N629</f>
        <v/>
      </c>
      <c r="K639" t="str">
        <f>Parts1!O629</f>
        <v/>
      </c>
      <c r="L639" t="str">
        <f>Parts1!P629</f>
        <v/>
      </c>
      <c r="M639" s="51" t="str">
        <f>Parts1!Q629</f>
        <v/>
      </c>
      <c r="N639" s="58">
        <v>17.0</v>
      </c>
      <c r="O639" s="52" t="str">
        <f t="shared" si="2"/>
        <v>D</v>
      </c>
      <c r="P639" s="52">
        <f t="shared" si="5"/>
        <v>1</v>
      </c>
      <c r="Q639" s="52">
        <f t="shared" si="4"/>
        <v>0</v>
      </c>
      <c r="R639" s="52" t="b">
        <f t="shared" si="6"/>
        <v>0</v>
      </c>
    </row>
    <row r="640">
      <c r="B640" s="20" t="str">
        <f>IFERROR(__xludf.DUMMYFUNCTION("if(exact($E640, """"), """", iferror(regexextract($F640, ""^(?:- )?([A-Z]+)""), ""?""))"),"PCB")</f>
        <v>PCB</v>
      </c>
      <c r="C640" s="57" t="str">
        <f t="shared" si="3"/>
        <v>PCB Warps v3.0</v>
      </c>
      <c r="D640" t="str">
        <f>Parts1!H678</f>
        <v>Warps v3.0</v>
      </c>
      <c r="E640" t="str">
        <f>Parts1!I678</f>
        <v>P</v>
      </c>
      <c r="F640" t="str">
        <f>Parts1!J678</f>
        <v>PCB</v>
      </c>
      <c r="G640" t="str">
        <f>Parts1!K678</f>
        <v/>
      </c>
      <c r="H640" t="str">
        <f>Parts1!L678</f>
        <v>48.9 x 106.7 ; 2 layers</v>
      </c>
      <c r="I640" t="str">
        <f>Parts1!M678</f>
        <v/>
      </c>
      <c r="J640" s="59" t="str">
        <f>Parts1!N678</f>
        <v/>
      </c>
      <c r="K640" t="str">
        <f>Parts1!O678</f>
        <v/>
      </c>
      <c r="L640" s="66" t="str">
        <f>Parts1!P678</f>
        <v/>
      </c>
      <c r="M640" s="51" t="str">
        <f>Parts1!Q678</f>
        <v/>
      </c>
      <c r="N640" s="58">
        <v>18.0</v>
      </c>
      <c r="O640" s="52" t="str">
        <f t="shared" si="2"/>
        <v>D</v>
      </c>
      <c r="P640" s="52">
        <f t="shared" si="5"/>
        <v>1</v>
      </c>
      <c r="Q640" s="52">
        <f t="shared" si="4"/>
        <v>0</v>
      </c>
      <c r="R640" s="52" t="b">
        <f t="shared" si="6"/>
        <v>1</v>
      </c>
    </row>
    <row r="641">
      <c r="B641" s="20" t="str">
        <f>IFERROR(__xludf.DUMMYFUNCTION("if(exact($E641, """"), """", iferror(regexextract($F641, ""^(?:- )?([A-Z]+)""), ""?""))"),"PCB")</f>
        <v>PCB</v>
      </c>
      <c r="C641" s="57" t="str">
        <f t="shared" si="3"/>
        <v>PCB Yarns v0.3</v>
      </c>
      <c r="D641" t="str">
        <f>Parts1!H722</f>
        <v>Yarns v0.3</v>
      </c>
      <c r="E641" t="str">
        <f>Parts1!I722</f>
        <v>P</v>
      </c>
      <c r="F641" t="str">
        <f>Parts1!J722</f>
        <v>PCB</v>
      </c>
      <c r="G641" s="62" t="str">
        <f>Parts1!K722</f>
        <v/>
      </c>
      <c r="H641" t="str">
        <f>Parts1!L722</f>
        <v>59.1 x 106.7 ; 2 layers</v>
      </c>
      <c r="I641" t="str">
        <f>Parts1!M722</f>
        <v/>
      </c>
      <c r="J641" t="str">
        <f>Parts1!N722</f>
        <v/>
      </c>
      <c r="K641" t="str">
        <f>Parts1!O722</f>
        <v/>
      </c>
      <c r="L641" t="str">
        <f>Parts1!P722</f>
        <v/>
      </c>
      <c r="M641" s="51" t="str">
        <f>Parts1!Q722</f>
        <v/>
      </c>
      <c r="N641" s="58">
        <v>19.0</v>
      </c>
      <c r="O641" s="52" t="str">
        <f t="shared" si="2"/>
        <v>D</v>
      </c>
      <c r="P641" s="52">
        <f t="shared" si="5"/>
        <v>1</v>
      </c>
      <c r="Q641" s="52">
        <f t="shared" si="4"/>
        <v>0</v>
      </c>
      <c r="R641" s="52" t="b">
        <f t="shared" si="6"/>
        <v>0</v>
      </c>
    </row>
    <row r="642">
      <c r="B642" s="20" t="str">
        <f>IFERROR(__xludf.DUMMYFUNCTION("if(exact($E642, """"), """", iferror(regexextract($F642, ""^(?:- )?([A-Z]+)""), ""?""))"),"J")</f>
        <v>J</v>
      </c>
      <c r="C642" s="57" t="str">
        <f t="shared" si="3"/>
        <v>PJ-301-B</v>
      </c>
      <c r="D642" t="str">
        <f>Parts1!H256</f>
        <v>Frames v0.3</v>
      </c>
      <c r="E642" t="str">
        <f>Parts1!I256</f>
        <v>U</v>
      </c>
      <c r="F642" t="str">
        <f>Parts1!J256</f>
        <v>J1, J2, J3, J4, J5, J6, J7, J8, J9, J10, J11, J12</v>
      </c>
      <c r="G642">
        <f>Parts1!K256</f>
        <v>12</v>
      </c>
      <c r="H642" t="str">
        <f>Parts1!L256</f>
        <v>Vertical jack connector</v>
      </c>
      <c r="I642" t="str">
        <f>Parts1!M256</f>
        <v/>
      </c>
      <c r="J642" s="59" t="str">
        <f>Parts1!N256</f>
        <v/>
      </c>
      <c r="K642" s="59" t="str">
        <f>Parts1!O256</f>
        <v/>
      </c>
      <c r="L642" s="62" t="str">
        <f>Parts1!P256</f>
        <v/>
      </c>
      <c r="M642" s="51" t="str">
        <f>Parts1!Q256</f>
        <v>PJ-301-B</v>
      </c>
      <c r="N642" s="58">
        <v>6.0</v>
      </c>
      <c r="O642" s="52" t="str">
        <f t="shared" si="2"/>
        <v>B</v>
      </c>
      <c r="P642" s="52">
        <f t="shared" si="5"/>
        <v>1</v>
      </c>
      <c r="Q642" s="52">
        <f t="shared" si="4"/>
        <v>3</v>
      </c>
      <c r="R642" s="52" t="b">
        <f t="shared" si="6"/>
        <v>1</v>
      </c>
    </row>
    <row r="643">
      <c r="B643" s="20" t="str">
        <f>IFERROR(__xludf.DUMMYFUNCTION("if(exact($E643, """"), """", iferror(regexextract($F643, ""^(?:- )?([A-Z]+)""), ""?""))"),"J")</f>
        <v>J</v>
      </c>
      <c r="C643" s="57" t="str">
        <f t="shared" si="3"/>
        <v>PJ-301-B</v>
      </c>
      <c r="D643" t="str">
        <f>Parts1!H296</f>
        <v>Grids v0.2</v>
      </c>
      <c r="E643" t="str">
        <f>Parts1!I296</f>
        <v>U</v>
      </c>
      <c r="F643" t="str">
        <f>Parts1!J296</f>
        <v>J1, J2, J3, J4, J5, J6, J7, J8, J9, J10, J11, J12, J13, J14</v>
      </c>
      <c r="G643" s="65">
        <f>Parts1!K296</f>
        <v>14</v>
      </c>
      <c r="H643" t="str">
        <f>Parts1!L296</f>
        <v>Vertical jack connector</v>
      </c>
      <c r="I643" t="str">
        <f>Parts1!M296</f>
        <v/>
      </c>
      <c r="J643" t="str">
        <f>Parts1!N296</f>
        <v/>
      </c>
      <c r="K643" t="str">
        <f>Parts1!O296</f>
        <v/>
      </c>
      <c r="L643" t="str">
        <f>Parts1!P296</f>
        <v/>
      </c>
      <c r="M643" s="51" t="str">
        <f>Parts1!Q296</f>
        <v>PJ-301-B</v>
      </c>
      <c r="N643" s="58">
        <v>7.0</v>
      </c>
      <c r="O643" s="52" t="str">
        <f t="shared" si="2"/>
        <v>B</v>
      </c>
      <c r="P643" s="52" t="str">
        <f t="shared" si="5"/>
        <v/>
      </c>
      <c r="Q643" s="52">
        <f t="shared" si="4"/>
        <v>2</v>
      </c>
      <c r="R643" s="52" t="b">
        <f t="shared" si="6"/>
        <v>1</v>
      </c>
    </row>
    <row r="644">
      <c r="B644" s="20" t="str">
        <f>IFERROR(__xludf.DUMMYFUNCTION("if(exact($E644, """"), """", iferror(regexextract($F644, ""^(?:- )?([A-Z]+)""), ""?""))"),"J")</f>
        <v>J</v>
      </c>
      <c r="C644" s="57" t="str">
        <f t="shared" si="3"/>
        <v>PJ-301-B</v>
      </c>
      <c r="D644" t="str">
        <f>Parts1!H559</f>
        <v>Streams v0.5</v>
      </c>
      <c r="E644" t="str">
        <f>Parts1!I559</f>
        <v>U</v>
      </c>
      <c r="F644" t="str">
        <f>Parts1!J559</f>
        <v>J1, J2, J3, J4, J5, J6, J7, J8</v>
      </c>
      <c r="G644">
        <f>Parts1!K559</f>
        <v>8</v>
      </c>
      <c r="H644" t="str">
        <f>Parts1!L559</f>
        <v>Vertical jack connector</v>
      </c>
      <c r="I644" t="str">
        <f>Parts1!M559</f>
        <v/>
      </c>
      <c r="J644" t="str">
        <f>Parts1!N559</f>
        <v/>
      </c>
      <c r="K644" t="str">
        <f>Parts1!O559</f>
        <v/>
      </c>
      <c r="L644" t="str">
        <f>Parts1!P559</f>
        <v/>
      </c>
      <c r="M644" s="51" t="str">
        <f>Parts1!Q559</f>
        <v>PJ-301-B</v>
      </c>
      <c r="N644" s="58">
        <v>15.0</v>
      </c>
      <c r="O644" s="52" t="str">
        <f t="shared" si="2"/>
        <v>B</v>
      </c>
      <c r="P644" s="52" t="str">
        <f t="shared" si="5"/>
        <v/>
      </c>
      <c r="Q644" s="52">
        <f t="shared" si="4"/>
        <v>1</v>
      </c>
      <c r="R644" s="52" t="b">
        <f t="shared" si="6"/>
        <v>1</v>
      </c>
    </row>
    <row r="645">
      <c r="B645" s="20" t="str">
        <f>IFERROR(__xludf.DUMMYFUNCTION("if(exact($E645, """"), """", iferror(regexextract($F645, ""^(?:- )?([A-Z]+)""), ""?""))"),"J")</f>
        <v>J</v>
      </c>
      <c r="C645" s="68" t="str">
        <f t="shared" si="3"/>
        <v>PJ-301-B</v>
      </c>
      <c r="D645" t="str">
        <f>Parts1!H718</f>
        <v>Yarns v0.3</v>
      </c>
      <c r="E645" t="str">
        <f>Parts1!I718</f>
        <v>D</v>
      </c>
      <c r="F645" s="64" t="str">
        <f>Parts1!J718</f>
        <v>J1, J2, J3, J4, J5, J6, J7, J8</v>
      </c>
      <c r="G645" s="65">
        <f>Parts1!K718</f>
        <v>8</v>
      </c>
      <c r="H645" s="64" t="str">
        <f>Parts1!L718</f>
        <v>Vertical jack connector</v>
      </c>
      <c r="I645" s="64" t="str">
        <f>Parts1!M718</f>
        <v/>
      </c>
      <c r="J645" s="64" t="str">
        <f>Parts1!N718</f>
        <v/>
      </c>
      <c r="K645" s="64" t="str">
        <f>Parts1!O718</f>
        <v/>
      </c>
      <c r="L645" s="66" t="str">
        <f>Parts1!P718</f>
        <v/>
      </c>
      <c r="M645" s="67" t="str">
        <f>Parts1!Q718</f>
        <v>PJ-301-B</v>
      </c>
      <c r="N645" s="58">
        <v>19.0</v>
      </c>
      <c r="O645" s="52" t="str">
        <f t="shared" si="2"/>
        <v>C</v>
      </c>
      <c r="P645" s="52" t="str">
        <f t="shared" si="5"/>
        <v/>
      </c>
      <c r="Q645" s="52">
        <f t="shared" si="4"/>
        <v>0</v>
      </c>
      <c r="R645" s="52" t="b">
        <f t="shared" si="6"/>
        <v>1</v>
      </c>
    </row>
    <row r="646">
      <c r="B646" s="20" t="str">
        <f>IFERROR(__xludf.DUMMYFUNCTION("if(exact($E646, """"), """", iferror(regexextract($F646, ""^(?:- )?([A-Z]+)""), ""?""))"),"J")</f>
        <v>J</v>
      </c>
      <c r="C646" s="57" t="str">
        <f t="shared" si="3"/>
        <v>PJ-301-M-12</v>
      </c>
      <c r="D646" t="str">
        <f>Parts1!H43</f>
        <v>Braids v5.1</v>
      </c>
      <c r="E646" t="str">
        <f>Parts1!I43</f>
        <v>U</v>
      </c>
      <c r="F646" t="str">
        <f>Parts1!J43</f>
        <v>J1, J2, J3, J4, J5, J6</v>
      </c>
      <c r="G646">
        <f>Parts1!K43</f>
        <v>6</v>
      </c>
      <c r="H646" t="str">
        <f>Parts1!L43</f>
        <v>Vertical jack connector</v>
      </c>
      <c r="I646" t="str">
        <f>Parts1!M43</f>
        <v/>
      </c>
      <c r="J646" t="str">
        <f>Parts1!N43</f>
        <v/>
      </c>
      <c r="K646" t="str">
        <f>Parts1!O43</f>
        <v/>
      </c>
      <c r="L646" t="str">
        <f>Parts1!P43</f>
        <v/>
      </c>
      <c r="M646" s="51" t="str">
        <f>Parts1!Q43</f>
        <v>PJ-301-M-12</v>
      </c>
      <c r="N646" s="58">
        <v>1.0</v>
      </c>
      <c r="O646" s="52" t="str">
        <f t="shared" si="2"/>
        <v>B</v>
      </c>
      <c r="P646" s="52">
        <f t="shared" si="5"/>
        <v>1</v>
      </c>
      <c r="Q646" s="52">
        <f t="shared" si="4"/>
        <v>13</v>
      </c>
      <c r="R646" s="52" t="b">
        <f t="shared" si="6"/>
        <v>0</v>
      </c>
    </row>
    <row r="647">
      <c r="B647" s="20" t="str">
        <f>IFERROR(__xludf.DUMMYFUNCTION("if(exact($E647, """"), """", iferror(regexextract($F647, ""^(?:- )?([A-Z]+)""), ""?""))"),"J")</f>
        <v>J</v>
      </c>
      <c r="C647" s="57" t="str">
        <f t="shared" si="3"/>
        <v>PJ-301-M-12</v>
      </c>
      <c r="D647" t="str">
        <f>Parts1!H72</f>
        <v>Branches v4.0</v>
      </c>
      <c r="E647" t="str">
        <f>Parts1!I72</f>
        <v>U</v>
      </c>
      <c r="F647" t="str">
        <f>Parts1!J72</f>
        <v>J1, J2, J3, J4, J5, J6, J7, J8</v>
      </c>
      <c r="G647" s="65">
        <f>Parts1!K72</f>
        <v>8</v>
      </c>
      <c r="H647" t="str">
        <f>Parts1!L72</f>
        <v>Vertical jack connector</v>
      </c>
      <c r="I647" t="str">
        <f>Parts1!M72</f>
        <v/>
      </c>
      <c r="J647" t="str">
        <f>Parts1!N72</f>
        <v/>
      </c>
      <c r="K647" t="str">
        <f>Parts1!O72</f>
        <v/>
      </c>
      <c r="L647" t="str">
        <f>Parts1!P72</f>
        <v/>
      </c>
      <c r="M647" s="51" t="str">
        <f>Parts1!Q72</f>
        <v>PJ-301-M-12</v>
      </c>
      <c r="N647" s="58">
        <v>2.0</v>
      </c>
      <c r="O647" s="52" t="str">
        <f t="shared" si="2"/>
        <v>B</v>
      </c>
      <c r="P647" s="52" t="str">
        <f t="shared" si="5"/>
        <v/>
      </c>
      <c r="Q647" s="52">
        <f t="shared" si="4"/>
        <v>12</v>
      </c>
      <c r="R647" s="52" t="b">
        <f t="shared" si="6"/>
        <v>0</v>
      </c>
    </row>
    <row r="648">
      <c r="B648" s="20" t="str">
        <f>IFERROR(__xludf.DUMMYFUNCTION("if(exact($E648, """"), """", iferror(regexextract($F648, ""^(?:- )?([A-Z]+)""), ""?""))"),"J")</f>
        <v>J</v>
      </c>
      <c r="C648" s="57" t="str">
        <f t="shared" si="3"/>
        <v>PJ-301-M-12</v>
      </c>
      <c r="D648" t="str">
        <f>Parts1!H118</f>
        <v>Clouds v3.0</v>
      </c>
      <c r="E648" t="str">
        <f>Parts1!I118</f>
        <v>U</v>
      </c>
      <c r="F648" t="str">
        <f>Parts1!J118</f>
        <v>J1, J2, J3, J4, J5, J6, J7, J8, J9, J10, J11, J12</v>
      </c>
      <c r="G648">
        <f>Parts1!K118</f>
        <v>12</v>
      </c>
      <c r="H648" t="str">
        <f>Parts1!L118</f>
        <v>Vertical jack connector</v>
      </c>
      <c r="I648" t="str">
        <f>Parts1!M118</f>
        <v/>
      </c>
      <c r="J648" t="str">
        <f>Parts1!N118</f>
        <v/>
      </c>
      <c r="K648" t="str">
        <f>Parts1!O118</f>
        <v/>
      </c>
      <c r="L648" t="str">
        <f>Parts1!P118</f>
        <v/>
      </c>
      <c r="M648" s="51" t="str">
        <f>Parts1!Q118</f>
        <v>PJ-301-M-12</v>
      </c>
      <c r="N648" s="58">
        <v>3.0</v>
      </c>
      <c r="O648" s="52" t="str">
        <f t="shared" si="2"/>
        <v>B</v>
      </c>
      <c r="P648" s="52" t="str">
        <f t="shared" si="5"/>
        <v/>
      </c>
      <c r="Q648" s="52">
        <f t="shared" si="4"/>
        <v>11</v>
      </c>
      <c r="R648" s="52" t="b">
        <f t="shared" si="6"/>
        <v>0</v>
      </c>
    </row>
    <row r="649">
      <c r="B649" s="20" t="str">
        <f>IFERROR(__xludf.DUMMYFUNCTION("if(exact($E649, """"), """", iferror(regexextract($F649, ""^(?:- )?([A-Z]+)""), ""?""))"),"J")</f>
        <v>J</v>
      </c>
      <c r="C649" s="57" t="str">
        <f t="shared" si="3"/>
        <v>PJ-301-M-12</v>
      </c>
      <c r="D649" t="str">
        <f>Parts1!H165</f>
        <v>Edges v2.0</v>
      </c>
      <c r="E649" t="str">
        <f>Parts1!I165</f>
        <v>U</v>
      </c>
      <c r="F649" t="str">
        <f>Parts1!J165</f>
        <v>J1, J2, J3, J4, J5, J6, J7, J8, J9, J10, J11, J12, J13, J14, J15, J16, J17</v>
      </c>
      <c r="G649">
        <f>Parts1!K165</f>
        <v>17</v>
      </c>
      <c r="H649" t="str">
        <f>Parts1!L165</f>
        <v>Vertical jack connector</v>
      </c>
      <c r="I649" t="str">
        <f>Parts1!M165</f>
        <v/>
      </c>
      <c r="J649" t="str">
        <f>Parts1!N165</f>
        <v/>
      </c>
      <c r="K649" t="str">
        <f>Parts1!O165</f>
        <v/>
      </c>
      <c r="L649" t="str">
        <f>Parts1!P165</f>
        <v/>
      </c>
      <c r="M649" s="51" t="str">
        <f>Parts1!Q165</f>
        <v>PJ-301-M-12</v>
      </c>
      <c r="N649" s="58">
        <v>4.0</v>
      </c>
      <c r="O649" s="52" t="str">
        <f t="shared" si="2"/>
        <v>B</v>
      </c>
      <c r="P649" s="52" t="str">
        <f t="shared" si="5"/>
        <v/>
      </c>
      <c r="Q649" s="52">
        <f t="shared" si="4"/>
        <v>10</v>
      </c>
      <c r="R649" s="52" t="b">
        <f t="shared" si="6"/>
        <v>0</v>
      </c>
    </row>
    <row r="650">
      <c r="B650" s="20" t="str">
        <f>IFERROR(__xludf.DUMMYFUNCTION("if(exact($E650, """"), """", iferror(regexextract($F650, ""^(?:- )?([A-Z]+)""), ""?""))"),"J")</f>
        <v>J</v>
      </c>
      <c r="C650" s="57" t="str">
        <f t="shared" si="3"/>
        <v>PJ-301-M-12</v>
      </c>
      <c r="D650" t="str">
        <f>Parts1!H212</f>
        <v>Elements v0.21</v>
      </c>
      <c r="E650" t="str">
        <f>Parts1!I212</f>
        <v>U</v>
      </c>
      <c r="F650" t="str">
        <f>Parts1!J212</f>
        <v>J1, J2, J3, J4, J5, J6, J7, J8, J9, J10, J11, J12, J13, J14, J15, J16, J17, J18</v>
      </c>
      <c r="G650">
        <f>Parts1!K212</f>
        <v>18</v>
      </c>
      <c r="H650" t="str">
        <f>Parts1!L212</f>
        <v>Vertical jack connector</v>
      </c>
      <c r="I650" t="str">
        <f>Parts1!M212</f>
        <v/>
      </c>
      <c r="J650" t="str">
        <f>Parts1!N212</f>
        <v/>
      </c>
      <c r="K650" t="str">
        <f>Parts1!O212</f>
        <v/>
      </c>
      <c r="L650" t="str">
        <f>Parts1!P212</f>
        <v/>
      </c>
      <c r="M650" s="51" t="str">
        <f>Parts1!Q212</f>
        <v>PJ-301-M-12</v>
      </c>
      <c r="N650" s="58">
        <v>5.0</v>
      </c>
      <c r="O650" s="52" t="str">
        <f t="shared" si="2"/>
        <v>B</v>
      </c>
      <c r="P650" s="52" t="str">
        <f t="shared" si="5"/>
        <v/>
      </c>
      <c r="Q650" s="52">
        <f t="shared" si="4"/>
        <v>9</v>
      </c>
      <c r="R650" s="52" t="b">
        <f t="shared" si="6"/>
        <v>0</v>
      </c>
    </row>
    <row r="651">
      <c r="B651" s="20" t="str">
        <f>IFERROR(__xludf.DUMMYFUNCTION("if(exact($E651, """"), """", iferror(regexextract($F651, ""^(?:- )?([A-Z]+)""), ""?""))"),"J")</f>
        <v>J</v>
      </c>
      <c r="C651" s="57" t="str">
        <f t="shared" si="3"/>
        <v>PJ-301-M-12</v>
      </c>
      <c r="D651" t="str">
        <f>Parts1!H315</f>
        <v>Links v4</v>
      </c>
      <c r="E651" t="str">
        <f>Parts1!I315</f>
        <v>U</v>
      </c>
      <c r="F651" t="str">
        <f>Parts1!J315</f>
        <v>J1, J2, J3, J4, J5, J6, J7, J8, J9, J10, J11, J12</v>
      </c>
      <c r="G651">
        <f>Parts1!K315</f>
        <v>12</v>
      </c>
      <c r="H651" t="str">
        <f>Parts1!L315</f>
        <v>Vertical jack connector</v>
      </c>
      <c r="I651" t="str">
        <f>Parts1!M315</f>
        <v/>
      </c>
      <c r="J651" t="str">
        <f>Parts1!N315</f>
        <v/>
      </c>
      <c r="K651" t="str">
        <f>Parts1!O315</f>
        <v/>
      </c>
      <c r="L651" t="str">
        <f>Parts1!P315</f>
        <v/>
      </c>
      <c r="M651" s="51" t="str">
        <f>Parts1!Q315</f>
        <v>PJ-301-M-12</v>
      </c>
      <c r="N651" s="58">
        <v>8.0</v>
      </c>
      <c r="O651" s="52" t="str">
        <f t="shared" si="2"/>
        <v>B</v>
      </c>
      <c r="P651" s="52" t="str">
        <f t="shared" si="5"/>
        <v/>
      </c>
      <c r="Q651" s="52">
        <f t="shared" si="4"/>
        <v>8</v>
      </c>
      <c r="R651" s="52" t="b">
        <f t="shared" si="6"/>
        <v>0</v>
      </c>
    </row>
    <row r="652">
      <c r="B652" s="20" t="str">
        <f>IFERROR(__xludf.DUMMYFUNCTION("if(exact($E652, """"), """", iferror(regexextract($F652, ""^(?:- )?([A-Z]+)""), ""?""))"),"J")</f>
        <v>J</v>
      </c>
      <c r="C652" s="57" t="str">
        <f t="shared" si="3"/>
        <v>PJ-301-M-12</v>
      </c>
      <c r="D652" t="str">
        <f>Parts1!H349</f>
        <v>Peaks v3.1</v>
      </c>
      <c r="E652" t="str">
        <f>Parts1!I349</f>
        <v>U</v>
      </c>
      <c r="F652" t="str">
        <f>Parts1!J349</f>
        <v>J1, J2, J3, J4</v>
      </c>
      <c r="G652">
        <f>Parts1!K349</f>
        <v>4</v>
      </c>
      <c r="H652" t="str">
        <f>Parts1!L349</f>
        <v>Vertical jack connector</v>
      </c>
      <c r="I652" t="str">
        <f>Parts1!M349</f>
        <v/>
      </c>
      <c r="J652" s="59" t="str">
        <f>Parts1!N349</f>
        <v/>
      </c>
      <c r="K652" t="str">
        <f>Parts1!O349</f>
        <v/>
      </c>
      <c r="L652" s="62" t="str">
        <f>Parts1!P349</f>
        <v/>
      </c>
      <c r="M652" s="51" t="str">
        <f>Parts1!Q349</f>
        <v>PJ-301-M-12</v>
      </c>
      <c r="N652" s="58">
        <v>9.0</v>
      </c>
      <c r="O652" s="52" t="str">
        <f t="shared" si="2"/>
        <v>B</v>
      </c>
      <c r="P652" s="52" t="str">
        <f t="shared" si="5"/>
        <v/>
      </c>
      <c r="Q652" s="52">
        <f t="shared" si="4"/>
        <v>7</v>
      </c>
      <c r="R652" s="52" t="b">
        <f t="shared" si="6"/>
        <v>0</v>
      </c>
    </row>
    <row r="653">
      <c r="B653" s="20" t="str">
        <f>IFERROR(__xludf.DUMMYFUNCTION("if(exact($E653, """"), """", iferror(regexextract($F653, ""^(?:- )?([A-Z]+)""), ""?""))"),"J")</f>
        <v>J</v>
      </c>
      <c r="C653" s="57" t="str">
        <f t="shared" si="3"/>
        <v>PJ-301-M-12</v>
      </c>
      <c r="D653" t="str">
        <f>Parts1!H403</f>
        <v>Rings v3.0</v>
      </c>
      <c r="E653" t="str">
        <f>Parts1!I403</f>
        <v>U</v>
      </c>
      <c r="F653" t="str">
        <f>Parts1!J403</f>
        <v>J1, J2, J3, J4, J5, J6, J7, J8, J9, J10</v>
      </c>
      <c r="G653">
        <f>Parts1!K403</f>
        <v>10</v>
      </c>
      <c r="H653" t="str">
        <f>Parts1!L403</f>
        <v>Vertical jack connector</v>
      </c>
      <c r="I653" t="str">
        <f>Parts1!M403</f>
        <v/>
      </c>
      <c r="J653" t="str">
        <f>Parts1!N403</f>
        <v/>
      </c>
      <c r="K653" t="str">
        <f>Parts1!O403</f>
        <v/>
      </c>
      <c r="L653" t="str">
        <f>Parts1!P403</f>
        <v/>
      </c>
      <c r="M653" s="51" t="str">
        <f>Parts1!Q403</f>
        <v>PJ-301-M-12</v>
      </c>
      <c r="N653" s="58">
        <v>10.0</v>
      </c>
      <c r="O653" s="52" t="str">
        <f t="shared" si="2"/>
        <v>B</v>
      </c>
      <c r="P653" s="52" t="str">
        <f t="shared" si="5"/>
        <v/>
      </c>
      <c r="Q653" s="52">
        <f t="shared" si="4"/>
        <v>6</v>
      </c>
      <c r="R653" s="52" t="b">
        <f t="shared" si="6"/>
        <v>0</v>
      </c>
    </row>
    <row r="654">
      <c r="B654" s="20" t="str">
        <f>IFERROR(__xludf.DUMMYFUNCTION("if(exact($E654, """"), """", iferror(regexextract($F654, ""^(?:- )?([A-Z]+)""), ""?""))"),"J")</f>
        <v>J</v>
      </c>
      <c r="C654" s="57" t="str">
        <f t="shared" si="3"/>
        <v>PJ-301-M-12</v>
      </c>
      <c r="D654" t="str">
        <f>Parts1!H446</f>
        <v>Ripples v4.0</v>
      </c>
      <c r="E654" t="str">
        <f>Parts1!I446</f>
        <v>U</v>
      </c>
      <c r="F654" t="str">
        <f>Parts1!J446</f>
        <v>J1, J2, J3, J4, J5, J6, J7, J8, J9</v>
      </c>
      <c r="G654">
        <f>Parts1!K446</f>
        <v>9</v>
      </c>
      <c r="H654" t="str">
        <f>Parts1!L446</f>
        <v>Vertical jack connector</v>
      </c>
      <c r="I654" t="str">
        <f>Parts1!M446</f>
        <v/>
      </c>
      <c r="J654" t="str">
        <f>Parts1!N446</f>
        <v/>
      </c>
      <c r="K654" t="str">
        <f>Parts1!O446</f>
        <v/>
      </c>
      <c r="L654" t="str">
        <f>Parts1!P446</f>
        <v/>
      </c>
      <c r="M654" s="51" t="str">
        <f>Parts1!Q446</f>
        <v>PJ-301-M-12</v>
      </c>
      <c r="N654" s="58">
        <v>11.0</v>
      </c>
      <c r="O654" s="52" t="str">
        <f t="shared" si="2"/>
        <v>B</v>
      </c>
      <c r="P654" s="52" t="str">
        <f t="shared" si="5"/>
        <v/>
      </c>
      <c r="Q654" s="52">
        <f t="shared" si="4"/>
        <v>5</v>
      </c>
      <c r="R654" s="52" t="b">
        <f t="shared" si="6"/>
        <v>0</v>
      </c>
    </row>
    <row r="655">
      <c r="B655" s="20" t="str">
        <f>IFERROR(__xludf.DUMMYFUNCTION("if(exact($E655, """"), """", iferror(regexextract($F655, ""^(?:- )?([A-Z]+)""), ""?""))"),"J")</f>
        <v>J</v>
      </c>
      <c r="C655" s="57" t="str">
        <f t="shared" si="3"/>
        <v>PJ-301-M-12</v>
      </c>
      <c r="D655" t="str">
        <f>Parts1!H464</f>
        <v>Shades v3.1</v>
      </c>
      <c r="E655" t="str">
        <f>Parts1!I464</f>
        <v>U</v>
      </c>
      <c r="F655" t="str">
        <f>Parts1!J464</f>
        <v>J1, J2, J3, J4, J5, J6</v>
      </c>
      <c r="G655">
        <f>Parts1!K464</f>
        <v>6</v>
      </c>
      <c r="H655" t="str">
        <f>Parts1!L464</f>
        <v>Vertical jack connector</v>
      </c>
      <c r="I655" t="str">
        <f>Parts1!M464</f>
        <v/>
      </c>
      <c r="J655" s="59" t="str">
        <f>Parts1!N464</f>
        <v/>
      </c>
      <c r="K655" t="str">
        <f>Parts1!O464</f>
        <v/>
      </c>
      <c r="L655" s="66" t="str">
        <f>Parts1!P464</f>
        <v/>
      </c>
      <c r="M655" s="51" t="str">
        <f>Parts1!Q464</f>
        <v>PJ-301-M-12</v>
      </c>
      <c r="N655" s="58">
        <v>12.0</v>
      </c>
      <c r="O655" s="52" t="str">
        <f t="shared" si="2"/>
        <v>B</v>
      </c>
      <c r="P655" s="52" t="str">
        <f t="shared" si="5"/>
        <v/>
      </c>
      <c r="Q655" s="52">
        <f t="shared" si="4"/>
        <v>4</v>
      </c>
      <c r="R655" s="52" t="b">
        <f t="shared" si="6"/>
        <v>0</v>
      </c>
    </row>
    <row r="656">
      <c r="B656" s="20" t="str">
        <f>IFERROR(__xludf.DUMMYFUNCTION("if(exact($E656, """"), """", iferror(regexextract($F656, ""^(?:- )?([A-Z]+)""), ""?""))"),"J")</f>
        <v>J</v>
      </c>
      <c r="C656" s="57" t="str">
        <f t="shared" si="3"/>
        <v>PJ-301-M-12</v>
      </c>
      <c r="D656" t="str">
        <f>Parts1!H500</f>
        <v>Shelves v0.5</v>
      </c>
      <c r="E656" t="str">
        <f>Parts1!I500</f>
        <v>U</v>
      </c>
      <c r="F656" t="str">
        <f>Parts1!J500</f>
        <v>J1, J2, J3, J4, J5, J6, J7, J8, J9, J10, J11, J12, J13, J14</v>
      </c>
      <c r="G656">
        <f>Parts1!K500</f>
        <v>14</v>
      </c>
      <c r="H656" t="str">
        <f>Parts1!L500</f>
        <v>Vertical jack connector</v>
      </c>
      <c r="I656" t="str">
        <f>Parts1!M500</f>
        <v/>
      </c>
      <c r="J656" t="str">
        <f>Parts1!N500</f>
        <v/>
      </c>
      <c r="K656" t="str">
        <f>Parts1!O500</f>
        <v/>
      </c>
      <c r="L656" t="str">
        <f>Parts1!P500</f>
        <v/>
      </c>
      <c r="M656" s="51" t="str">
        <f>Parts1!Q500</f>
        <v>PJ-301-M-12</v>
      </c>
      <c r="N656" s="58">
        <v>13.0</v>
      </c>
      <c r="O656" s="52" t="str">
        <f t="shared" si="2"/>
        <v>B</v>
      </c>
      <c r="P656" s="52" t="str">
        <f t="shared" si="5"/>
        <v/>
      </c>
      <c r="Q656" s="52">
        <f t="shared" si="4"/>
        <v>3</v>
      </c>
      <c r="R656" s="52" t="b">
        <f t="shared" si="6"/>
        <v>0</v>
      </c>
    </row>
    <row r="657">
      <c r="B657" s="20" t="str">
        <f>IFERROR(__xludf.DUMMYFUNCTION("if(exact($E657, """"), """", iferror(regexextract($F657, ""^(?:- )?([A-Z]+)""), ""?""))"),"J")</f>
        <v>J</v>
      </c>
      <c r="C657" s="57" t="str">
        <f t="shared" si="3"/>
        <v>PJ-301-M-12</v>
      </c>
      <c r="D657" t="str">
        <f>Parts1!H513</f>
        <v>shelves_expander_v10</v>
      </c>
      <c r="E657" t="str">
        <f>Parts1!I513</f>
        <v>U</v>
      </c>
      <c r="F657" t="str">
        <f>Parts1!J513</f>
        <v>J1, J2, J3, J4, J5, J6</v>
      </c>
      <c r="G657">
        <f>Parts1!K513</f>
        <v>6</v>
      </c>
      <c r="H657" t="str">
        <f>Parts1!L513</f>
        <v>Vertical jack connector</v>
      </c>
      <c r="I657" t="str">
        <f>Parts1!M513</f>
        <v/>
      </c>
      <c r="J657" s="59" t="str">
        <f>Parts1!N513</f>
        <v/>
      </c>
      <c r="K657" t="str">
        <f>Parts1!O513</f>
        <v/>
      </c>
      <c r="L657" s="66" t="str">
        <f>Parts1!P513</f>
        <v/>
      </c>
      <c r="M657" s="51" t="str">
        <f>Parts1!Q513</f>
        <v>PJ-301-M-12</v>
      </c>
      <c r="N657" s="58">
        <v>14.0</v>
      </c>
      <c r="O657" s="52" t="str">
        <f t="shared" si="2"/>
        <v>B</v>
      </c>
      <c r="P657" s="52" t="str">
        <f t="shared" si="5"/>
        <v/>
      </c>
      <c r="Q657" s="52">
        <f t="shared" si="4"/>
        <v>2</v>
      </c>
      <c r="R657" s="52" t="b">
        <f t="shared" si="6"/>
        <v>0</v>
      </c>
    </row>
    <row r="658">
      <c r="B658" s="20" t="str">
        <f>IFERROR(__xludf.DUMMYFUNCTION("if(exact($E658, """"), """", iferror(regexextract($F658, ""^(?:- )?([A-Z]+)""), ""?""))"),"J")</f>
        <v>J</v>
      </c>
      <c r="C658" s="57" t="str">
        <f t="shared" si="3"/>
        <v>PJ-301-M-12</v>
      </c>
      <c r="D658" t="str">
        <f>Parts1!H618</f>
        <v>Tides v4.0</v>
      </c>
      <c r="E658" t="str">
        <f>Parts1!I618</f>
        <v>U</v>
      </c>
      <c r="F658" t="str">
        <f>Parts1!J618</f>
        <v>J1, J2, J3, J4, J5, J6, J7, J8, J9, J10, J11, J12, J13</v>
      </c>
      <c r="G658">
        <f>Parts1!K618</f>
        <v>13</v>
      </c>
      <c r="H658" t="str">
        <f>Parts1!L618</f>
        <v>Vertical jack connector</v>
      </c>
      <c r="I658" t="str">
        <f>Parts1!M618</f>
        <v/>
      </c>
      <c r="J658" s="59" t="str">
        <f>Parts1!N618</f>
        <v/>
      </c>
      <c r="K658" s="59" t="str">
        <f>Parts1!O618</f>
        <v/>
      </c>
      <c r="L658" s="62" t="str">
        <f>Parts1!P618</f>
        <v/>
      </c>
      <c r="M658" s="51" t="str">
        <f>Parts1!Q618</f>
        <v>PJ-301-M-12</v>
      </c>
      <c r="N658" s="58">
        <v>17.0</v>
      </c>
      <c r="O658" s="52" t="str">
        <f t="shared" si="2"/>
        <v>B</v>
      </c>
      <c r="P658" s="52" t="str">
        <f t="shared" si="5"/>
        <v/>
      </c>
      <c r="Q658" s="52">
        <f t="shared" si="4"/>
        <v>1</v>
      </c>
      <c r="R658" s="52" t="b">
        <f t="shared" si="6"/>
        <v>0</v>
      </c>
    </row>
    <row r="659">
      <c r="B659" s="20" t="str">
        <f>IFERROR(__xludf.DUMMYFUNCTION("if(exact($E659, """"), """", iferror(regexextract($F659, ""^(?:- )?([A-Z]+)""), ""?""))"),"J")</f>
        <v>J</v>
      </c>
      <c r="C659" s="57" t="str">
        <f t="shared" si="3"/>
        <v>PJ-301-M-12</v>
      </c>
      <c r="D659" t="str">
        <f>Parts1!H666</f>
        <v>Warps v3.0</v>
      </c>
      <c r="E659" t="str">
        <f>Parts1!I666</f>
        <v>U</v>
      </c>
      <c r="F659" t="str">
        <f>Parts1!J666</f>
        <v>J1, J2, J3, J4, J5, J6, J7, J8</v>
      </c>
      <c r="G659">
        <f>Parts1!K666</f>
        <v>8</v>
      </c>
      <c r="H659" t="str">
        <f>Parts1!L666</f>
        <v>Vertical jack connector</v>
      </c>
      <c r="I659" t="str">
        <f>Parts1!M666</f>
        <v/>
      </c>
      <c r="J659" t="str">
        <f>Parts1!N666</f>
        <v/>
      </c>
      <c r="K659" t="str">
        <f>Parts1!O666</f>
        <v/>
      </c>
      <c r="L659" t="str">
        <f>Parts1!P666</f>
        <v/>
      </c>
      <c r="M659" s="51" t="str">
        <f>Parts1!Q666</f>
        <v>PJ-301-M-12</v>
      </c>
      <c r="N659" s="58">
        <v>18.0</v>
      </c>
      <c r="O659" s="52" t="str">
        <f t="shared" si="2"/>
        <v>B</v>
      </c>
      <c r="P659" s="52" t="str">
        <f t="shared" si="5"/>
        <v/>
      </c>
      <c r="Q659" s="52">
        <f t="shared" si="4"/>
        <v>0</v>
      </c>
      <c r="R659" s="52" t="b">
        <f t="shared" si="6"/>
        <v>0</v>
      </c>
    </row>
    <row r="660">
      <c r="B660" s="20" t="str">
        <f>IFERROR(__xludf.DUMMYFUNCTION("if(exact($E660, """"), """", iferror(regexextract($F660, ""^(?:- )?([A-Z]+)""), ""?""))"),"SW")</f>
        <v>SW</v>
      </c>
      <c r="C660" s="57" t="str">
        <f t="shared" si="3"/>
        <v>652-PEC11R-4225F-S24</v>
      </c>
      <c r="D660" t="str">
        <f>Parts1!H45</f>
        <v>Braids v5.1</v>
      </c>
      <c r="E660" t="str">
        <f>Parts1!I45</f>
        <v>U</v>
      </c>
      <c r="F660" t="str">
        <f>Parts1!J45</f>
        <v>SW1</v>
      </c>
      <c r="G660">
        <f>Parts1!K45</f>
        <v>1</v>
      </c>
      <c r="H660" t="str">
        <f>Parts1!L45</f>
        <v>Encoder, 24 steps w/ clicks, w/ switch</v>
      </c>
      <c r="I660" t="str">
        <f>Parts1!M45</f>
        <v/>
      </c>
      <c r="J660" t="str">
        <f>Parts1!N45</f>
        <v/>
      </c>
      <c r="K660" t="str">
        <f>Parts1!O45</f>
        <v/>
      </c>
      <c r="L660" s="71" t="str">
        <f>Parts1!P45</f>
        <v>652-PEC11R-4225F-S24</v>
      </c>
      <c r="M660" t="str">
        <f>Parts1!Q45</f>
        <v>alternatively: 858-EN11-HSM1BF20</v>
      </c>
      <c r="N660" s="58">
        <v>1.0</v>
      </c>
      <c r="O660" s="52" t="str">
        <f t="shared" si="2"/>
        <v>B</v>
      </c>
      <c r="P660" s="52">
        <f t="shared" si="5"/>
        <v>1</v>
      </c>
      <c r="Q660" s="52">
        <f t="shared" si="4"/>
        <v>1</v>
      </c>
      <c r="R660" s="52" t="b">
        <f t="shared" si="6"/>
        <v>1</v>
      </c>
    </row>
    <row r="661">
      <c r="B661" s="20" t="str">
        <f>IFERROR(__xludf.DUMMYFUNCTION("if(exact($E661, """"), """", iferror(regexextract($F661, ""^(?:- )?([A-Z]+)""), ""?""))"),"SW")</f>
        <v>SW</v>
      </c>
      <c r="C661" s="57" t="str">
        <f t="shared" si="3"/>
        <v>652-PEC11R-4225F-S24</v>
      </c>
      <c r="D661" t="str">
        <f>Parts1!H715</f>
        <v>Yarns v0.3</v>
      </c>
      <c r="E661" t="str">
        <f>Parts1!I715</f>
        <v>D</v>
      </c>
      <c r="F661" s="64" t="str">
        <f>Parts1!J715</f>
        <v>SW1</v>
      </c>
      <c r="G661" s="65">
        <f>Parts1!K715</f>
        <v>1</v>
      </c>
      <c r="H661" s="64" t="str">
        <f>Parts1!L715</f>
        <v>Encoder, 24 steps w/ clicks, w/ switch</v>
      </c>
      <c r="I661" s="64" t="str">
        <f>Parts1!M715</f>
        <v/>
      </c>
      <c r="J661" s="64" t="str">
        <f>Parts1!N715</f>
        <v/>
      </c>
      <c r="K661" s="64" t="str">
        <f>Parts1!O715</f>
        <v/>
      </c>
      <c r="L661" s="71" t="str">
        <f>Parts1!P715</f>
        <v>652-PEC11R-4225F-S24</v>
      </c>
      <c r="M661" t="str">
        <f>Parts1!Q715</f>
        <v>Via Dan Caldwell (https://www.facebook.com/groups/1716364098644678/permalink/1733106513637103/)</v>
      </c>
      <c r="N661" s="58">
        <v>19.0</v>
      </c>
      <c r="O661" s="52" t="str">
        <f t="shared" si="2"/>
        <v>C</v>
      </c>
      <c r="P661" s="52" t="str">
        <f t="shared" si="5"/>
        <v/>
      </c>
      <c r="Q661" s="52">
        <f t="shared" si="4"/>
        <v>0</v>
      </c>
      <c r="R661" s="52" t="b">
        <f t="shared" si="6"/>
        <v>1</v>
      </c>
    </row>
    <row r="662">
      <c r="B662" s="20"/>
      <c r="C662" s="57"/>
      <c r="N662" s="58"/>
      <c r="O662" s="52"/>
      <c r="P662" s="52">
        <f t="shared" si="5"/>
        <v>1</v>
      </c>
      <c r="Q662" s="52"/>
      <c r="R662" s="52"/>
    </row>
  </sheetData>
  <conditionalFormatting sqref="B5:M662">
    <cfRule type="expression" dxfId="0" priority="1">
      <formula>$R5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80.14"/>
    <col customWidth="1" min="2" max="2" width="3.86"/>
    <col customWidth="1" min="3" max="3" width="29.86"/>
    <col customWidth="1" min="4" max="4" width="7.0"/>
    <col customWidth="1" min="5" max="5" width="17.14"/>
    <col customWidth="1" min="6" max="6" width="27.14"/>
    <col customWidth="1" min="7" max="7" width="23.29"/>
    <col customWidth="1" min="8" max="8" width="19.14"/>
    <col customWidth="1" min="9" max="9" width="47.57"/>
  </cols>
  <sheetData>
    <row r="1" ht="27.75" customHeight="1">
      <c r="A1" s="73" t="s">
        <v>103</v>
      </c>
    </row>
    <row r="2" ht="14.25" customHeight="1">
      <c r="A2" s="74" t="str">
        <f>HYPERLINK("https://drive.google.com/folderview?id=0B_s2U44H6AlJR1ZsY1FPRW85UnM&amp;usp=sharing#list","Via John Canning's Google Drive share")</f>
        <v>Via John Canning's Google Drive share</v>
      </c>
      <c r="B2" s="75" t="s">
        <v>104</v>
      </c>
      <c r="F2" s="76" t="s">
        <v>105</v>
      </c>
      <c r="G2" s="77"/>
      <c r="H2" s="78" t="str">
        <f>HYPERLINK("https://www.muffwiggler.com/forum/viewtopic.php?p=2204036#2204036","Altitude909's SMR BOM post")</f>
        <v>Altitude909's SMR BOM post</v>
      </c>
    </row>
    <row r="3" ht="24.0" customHeight="1">
      <c r="A3" s="79" t="s">
        <v>106</v>
      </c>
      <c r="B3" s="79" t="s">
        <v>95</v>
      </c>
      <c r="C3" s="79" t="s">
        <v>96</v>
      </c>
      <c r="D3" s="79" t="s">
        <v>97</v>
      </c>
      <c r="E3" s="80" t="s">
        <v>98</v>
      </c>
      <c r="F3" s="80" t="s">
        <v>99</v>
      </c>
      <c r="G3" s="81" t="s">
        <v>107</v>
      </c>
      <c r="H3" s="82" t="s">
        <v>108</v>
      </c>
      <c r="I3" s="79" t="s">
        <v>109</v>
      </c>
    </row>
    <row r="4" ht="10.5" customHeight="1">
      <c r="A4" s="83" t="s">
        <v>110</v>
      </c>
      <c r="B4" s="84">
        <v>7.0</v>
      </c>
      <c r="C4" s="84" t="s">
        <v>111</v>
      </c>
      <c r="D4" s="85"/>
      <c r="E4" s="86"/>
      <c r="F4" s="84" t="s">
        <v>111</v>
      </c>
      <c r="G4" s="85"/>
      <c r="H4" s="85"/>
      <c r="I4" s="85"/>
    </row>
    <row r="5" ht="10.5" customHeight="1">
      <c r="A5" s="83" t="s">
        <v>112</v>
      </c>
      <c r="B5" s="84">
        <v>58.0</v>
      </c>
      <c r="C5" s="84" t="s">
        <v>113</v>
      </c>
      <c r="D5" s="85"/>
      <c r="E5" s="87" t="s">
        <v>114</v>
      </c>
      <c r="F5" s="84" t="s">
        <v>115</v>
      </c>
      <c r="G5" s="88" t="s">
        <v>116</v>
      </c>
      <c r="H5" s="84" t="str">
        <f>'A.909 SMR'!H15</f>
        <v>80-C0603C104K5R</v>
      </c>
      <c r="I5" s="84" t="s">
        <v>117</v>
      </c>
    </row>
    <row r="6" ht="10.5" customHeight="1">
      <c r="A6" s="83" t="s">
        <v>118</v>
      </c>
      <c r="B6" s="84">
        <v>6.0</v>
      </c>
      <c r="C6" s="84" t="s">
        <v>119</v>
      </c>
      <c r="D6" s="85"/>
      <c r="E6" s="87" t="s">
        <v>120</v>
      </c>
      <c r="F6" s="84" t="s">
        <v>121</v>
      </c>
      <c r="G6" s="85"/>
      <c r="H6" s="84" t="str">
        <f>'A.909 SMR'!H40</f>
        <v>312-2045F-R50K</v>
      </c>
      <c r="I6" s="85"/>
    </row>
    <row r="7" ht="10.5" customHeight="1">
      <c r="A7" s="83" t="s">
        <v>122</v>
      </c>
      <c r="B7" s="84">
        <v>5.0</v>
      </c>
      <c r="C7" s="84" t="s">
        <v>123</v>
      </c>
      <c r="D7" s="85"/>
      <c r="E7" s="87" t="s">
        <v>120</v>
      </c>
      <c r="F7" s="84" t="s">
        <v>124</v>
      </c>
      <c r="G7" s="85"/>
      <c r="H7" s="84" t="str">
        <f>'A.909 SMR'!H20</f>
        <v>RV09AF-40-20K-B100K</v>
      </c>
      <c r="I7" s="84" t="s">
        <v>125</v>
      </c>
    </row>
    <row r="8" ht="10.5" customHeight="1">
      <c r="A8" s="83" t="s">
        <v>126</v>
      </c>
      <c r="B8" s="84">
        <v>26.0</v>
      </c>
      <c r="C8" s="84" t="s">
        <v>127</v>
      </c>
      <c r="D8" s="85"/>
      <c r="E8" s="87" t="s">
        <v>120</v>
      </c>
      <c r="F8" s="84" t="s">
        <v>128</v>
      </c>
      <c r="G8" s="88" t="s">
        <v>129</v>
      </c>
      <c r="H8" s="84" t="str">
        <f>'A.909 SMR'!H18</f>
        <v>771-PCA9685PW,112</v>
      </c>
      <c r="I8" s="84" t="s">
        <v>130</v>
      </c>
    </row>
    <row r="9" ht="10.5" customHeight="1">
      <c r="A9" s="83" t="s">
        <v>131</v>
      </c>
      <c r="B9" s="84">
        <v>15.0</v>
      </c>
      <c r="C9" s="84" t="s">
        <v>127</v>
      </c>
      <c r="D9" s="85"/>
      <c r="E9" s="87" t="s">
        <v>132</v>
      </c>
      <c r="F9" s="84" t="s">
        <v>128</v>
      </c>
      <c r="G9" s="88" t="s">
        <v>133</v>
      </c>
      <c r="H9" s="84" t="str">
        <f>'A.909 SMR'!H29</f>
        <v>667-ERJ-3EKF1002V</v>
      </c>
      <c r="I9" s="84" t="s">
        <v>130</v>
      </c>
    </row>
    <row r="10" ht="10.5" customHeight="1">
      <c r="A10" s="83" t="s">
        <v>134</v>
      </c>
      <c r="B10" s="84">
        <v>4.0</v>
      </c>
      <c r="C10" s="84" t="s">
        <v>113</v>
      </c>
      <c r="D10" s="85"/>
      <c r="E10" s="87" t="s">
        <v>135</v>
      </c>
      <c r="F10" s="84" t="s">
        <v>115</v>
      </c>
      <c r="G10" s="89" t="s">
        <v>136</v>
      </c>
      <c r="H10" s="84" t="str">
        <f>'A.909 SMR'!H13</f>
        <v>GRM188R61A106KE69D</v>
      </c>
      <c r="I10" s="84" t="s">
        <v>117</v>
      </c>
    </row>
    <row r="11" ht="10.5" customHeight="1">
      <c r="A11" s="83" t="s">
        <v>137</v>
      </c>
      <c r="B11" s="84">
        <v>7.0</v>
      </c>
      <c r="C11" s="84" t="s">
        <v>113</v>
      </c>
      <c r="D11" s="85"/>
      <c r="E11" s="87" t="s">
        <v>138</v>
      </c>
      <c r="F11" s="84" t="s">
        <v>115</v>
      </c>
      <c r="G11" s="88" t="s">
        <v>139</v>
      </c>
      <c r="H11" s="84" t="str">
        <f>'A.909 SMR'!H16</f>
        <v>80-C0603C180K5G</v>
      </c>
      <c r="I11" s="84" t="s">
        <v>117</v>
      </c>
    </row>
    <row r="12" ht="10.5" customHeight="1">
      <c r="A12" s="83" t="s">
        <v>140</v>
      </c>
      <c r="B12" s="84">
        <v>2.0</v>
      </c>
      <c r="C12" s="84" t="s">
        <v>127</v>
      </c>
      <c r="D12" s="85"/>
      <c r="E12" s="87" t="s">
        <v>141</v>
      </c>
      <c r="F12" s="84" t="s">
        <v>128</v>
      </c>
      <c r="G12" s="88" t="s">
        <v>142</v>
      </c>
      <c r="H12" s="84" t="str">
        <f>'A.909 SMR'!H24</f>
        <v>667-ERJ-3EKF1004V</v>
      </c>
      <c r="I12" s="84" t="s">
        <v>130</v>
      </c>
    </row>
    <row r="13" ht="10.5" customHeight="1">
      <c r="A13" s="83" t="s">
        <v>143</v>
      </c>
      <c r="B13" s="84">
        <v>114.0</v>
      </c>
      <c r="C13" s="84" t="s">
        <v>127</v>
      </c>
      <c r="D13" s="85"/>
      <c r="E13" s="87" t="s">
        <v>144</v>
      </c>
      <c r="F13" s="84" t="s">
        <v>128</v>
      </c>
      <c r="G13" s="88" t="s">
        <v>145</v>
      </c>
      <c r="H13" s="84" t="str">
        <f>'A.909 SMR'!H21</f>
        <v>667-ERJ-3EKF1001V</v>
      </c>
      <c r="I13" s="84" t="s">
        <v>130</v>
      </c>
    </row>
    <row r="14" ht="10.5" customHeight="1">
      <c r="A14" s="83" t="s">
        <v>146</v>
      </c>
      <c r="B14" s="84">
        <v>3.0</v>
      </c>
      <c r="C14" s="84" t="s">
        <v>113</v>
      </c>
      <c r="D14" s="85"/>
      <c r="E14" s="87" t="s">
        <v>147</v>
      </c>
      <c r="F14" s="84" t="s">
        <v>115</v>
      </c>
      <c r="G14" s="89" t="s">
        <v>148</v>
      </c>
      <c r="H14" s="84" t="str">
        <f>'A.909 SMR'!H14</f>
        <v>80-C0603C225K4P</v>
      </c>
      <c r="I14" s="84" t="s">
        <v>117</v>
      </c>
    </row>
    <row r="15" ht="10.5" customHeight="1">
      <c r="A15" s="83" t="s">
        <v>149</v>
      </c>
      <c r="B15" s="84">
        <v>2.0</v>
      </c>
      <c r="C15" s="84" t="s">
        <v>127</v>
      </c>
      <c r="D15" s="85"/>
      <c r="E15" s="87" t="s">
        <v>150</v>
      </c>
      <c r="F15" s="84" t="s">
        <v>128</v>
      </c>
      <c r="G15" s="88" t="s">
        <v>151</v>
      </c>
      <c r="H15" s="84" t="str">
        <f>'A.909 SMR'!H22</f>
        <v>667-ERJ-3EKF2003V</v>
      </c>
      <c r="I15" s="84" t="s">
        <v>130</v>
      </c>
    </row>
    <row r="16" ht="10.5" customHeight="1">
      <c r="A16" s="83" t="s">
        <v>152</v>
      </c>
      <c r="B16" s="84">
        <v>2.0</v>
      </c>
      <c r="C16" s="84" t="s">
        <v>127</v>
      </c>
      <c r="D16" s="85"/>
      <c r="E16" s="87">
        <v>22.0</v>
      </c>
      <c r="F16" s="84" t="s">
        <v>128</v>
      </c>
      <c r="G16" s="89" t="s">
        <v>153</v>
      </c>
      <c r="H16" s="84" t="str">
        <f>'A.909 SMR'!H25</f>
        <v>667-ERJ-3EKF22R0V</v>
      </c>
      <c r="I16" s="84" t="s">
        <v>130</v>
      </c>
    </row>
    <row r="17" ht="10.5" customHeight="1">
      <c r="A17" s="83" t="s">
        <v>154</v>
      </c>
      <c r="B17" s="84">
        <v>6.0</v>
      </c>
      <c r="C17" s="84" t="s">
        <v>127</v>
      </c>
      <c r="D17" s="85"/>
      <c r="E17" s="87">
        <v>330.0</v>
      </c>
      <c r="F17" s="84" t="s">
        <v>128</v>
      </c>
      <c r="G17" s="88" t="s">
        <v>155</v>
      </c>
      <c r="H17" s="84" t="str">
        <f>'A.909 SMR'!H27</f>
        <v>667-ERJ-3EKF3300V</v>
      </c>
      <c r="I17" s="84" t="s">
        <v>130</v>
      </c>
    </row>
    <row r="18" ht="10.5" customHeight="1">
      <c r="A18" s="83" t="s">
        <v>156</v>
      </c>
      <c r="B18" s="84">
        <v>8.0</v>
      </c>
      <c r="C18" s="84" t="s">
        <v>157</v>
      </c>
      <c r="D18" s="85"/>
      <c r="E18" s="87" t="s">
        <v>158</v>
      </c>
      <c r="F18" s="84" t="s">
        <v>159</v>
      </c>
      <c r="G18" s="88" t="s">
        <v>160</v>
      </c>
      <c r="H18" s="84" t="s">
        <v>161</v>
      </c>
      <c r="I18" s="84" t="s">
        <v>162</v>
      </c>
    </row>
    <row r="19" ht="10.5" customHeight="1">
      <c r="A19" s="83" t="s">
        <v>163</v>
      </c>
      <c r="B19" s="84">
        <v>12.0</v>
      </c>
      <c r="C19" s="84" t="s">
        <v>127</v>
      </c>
      <c r="D19" s="85"/>
      <c r="E19" s="87" t="s">
        <v>164</v>
      </c>
      <c r="F19" s="84" t="s">
        <v>128</v>
      </c>
      <c r="G19" s="88" t="s">
        <v>165</v>
      </c>
      <c r="H19" s="84" t="str">
        <f>'A.909 SMR'!H28</f>
        <v>667-ERJ3EKF4992V</v>
      </c>
      <c r="I19" s="84" t="s">
        <v>130</v>
      </c>
    </row>
    <row r="20" ht="10.5" customHeight="1">
      <c r="A20" s="83" t="s">
        <v>166</v>
      </c>
      <c r="B20" s="84">
        <v>4.0</v>
      </c>
      <c r="C20" s="84" t="s">
        <v>127</v>
      </c>
      <c r="D20" s="85"/>
      <c r="E20" s="87" t="s">
        <v>167</v>
      </c>
      <c r="F20" s="84" t="s">
        <v>128</v>
      </c>
      <c r="G20" s="88" t="s">
        <v>168</v>
      </c>
      <c r="H20" s="84" t="str">
        <f>'A.909 SMR'!H23</f>
        <v>667-ERJ-3EKF4701V</v>
      </c>
      <c r="I20" s="84" t="s">
        <v>130</v>
      </c>
    </row>
    <row r="21" ht="10.5" customHeight="1">
      <c r="A21" s="83" t="s">
        <v>169</v>
      </c>
      <c r="B21" s="84">
        <v>7.0</v>
      </c>
      <c r="C21" s="84" t="s">
        <v>127</v>
      </c>
      <c r="D21" s="85"/>
      <c r="E21" s="87" t="s">
        <v>170</v>
      </c>
      <c r="F21" s="84" t="s">
        <v>128</v>
      </c>
      <c r="G21" s="89" t="s">
        <v>171</v>
      </c>
      <c r="H21" s="84" t="str">
        <f>'A.909 SMR'!H30</f>
        <v>667-ERJ-3EKF6802V</v>
      </c>
      <c r="I21" s="84" t="s">
        <v>130</v>
      </c>
    </row>
    <row r="22" ht="10.5" customHeight="1">
      <c r="A22" s="83" t="s">
        <v>172</v>
      </c>
      <c r="B22" s="84">
        <v>1.0</v>
      </c>
      <c r="C22" s="84" t="s">
        <v>173</v>
      </c>
      <c r="D22" s="85"/>
      <c r="E22" s="87" t="s">
        <v>174</v>
      </c>
      <c r="F22" s="84" t="s">
        <v>175</v>
      </c>
      <c r="G22" s="85"/>
      <c r="H22" s="84" t="str">
        <f>'A.909 SMR'!H45</f>
        <v>919-R-78E3.3-0.5</v>
      </c>
      <c r="I22" s="85"/>
    </row>
    <row r="23" ht="10.5" customHeight="1">
      <c r="A23" s="83" t="s">
        <v>176</v>
      </c>
      <c r="B23" s="84">
        <v>1.0</v>
      </c>
      <c r="C23" s="84" t="s">
        <v>177</v>
      </c>
      <c r="D23" s="85"/>
      <c r="E23" s="87" t="s">
        <v>178</v>
      </c>
      <c r="F23" s="84" t="s">
        <v>179</v>
      </c>
      <c r="G23" s="88" t="s">
        <v>180</v>
      </c>
      <c r="H23" s="84" t="str">
        <f>'A.909 SMR'!H5</f>
        <v>815-ABLS2-8-D4Y-T</v>
      </c>
      <c r="I23" s="84" t="s">
        <v>181</v>
      </c>
    </row>
    <row r="24" ht="10.5" customHeight="1">
      <c r="A24" s="83" t="s">
        <v>182</v>
      </c>
      <c r="B24" s="84">
        <v>2.0</v>
      </c>
      <c r="C24" s="84" t="s">
        <v>183</v>
      </c>
      <c r="D24" s="85"/>
      <c r="E24" s="87" t="s">
        <v>184</v>
      </c>
      <c r="F24" s="84" t="s">
        <v>185</v>
      </c>
      <c r="G24" s="85"/>
      <c r="H24" s="84" t="str">
        <f>'A.909 SMR'!H6</f>
        <v>625-B140-E3/61T</v>
      </c>
      <c r="I24" s="84" t="s">
        <v>186</v>
      </c>
    </row>
    <row r="25" ht="10.5" customHeight="1">
      <c r="A25" s="83" t="s">
        <v>187</v>
      </c>
      <c r="B25" s="84">
        <v>17.0</v>
      </c>
      <c r="C25" s="84" t="s">
        <v>188</v>
      </c>
      <c r="D25" s="85"/>
      <c r="E25" s="87" t="s">
        <v>189</v>
      </c>
      <c r="F25" s="84" t="s">
        <v>190</v>
      </c>
      <c r="G25" s="88" t="s">
        <v>191</v>
      </c>
      <c r="H25" s="84" t="str">
        <f>'A.909 SMR'!H17</f>
        <v>863-BAT54SLT1G</v>
      </c>
      <c r="I25" s="84" t="s">
        <v>192</v>
      </c>
    </row>
    <row r="26" ht="10.5" customHeight="1">
      <c r="A26" s="83" t="s">
        <v>193</v>
      </c>
      <c r="B26" s="84">
        <v>2.0</v>
      </c>
      <c r="C26" s="84" t="s">
        <v>194</v>
      </c>
      <c r="D26" s="85"/>
      <c r="E26" s="87" t="s">
        <v>195</v>
      </c>
      <c r="F26" s="84">
        <v>603.0</v>
      </c>
      <c r="G26" s="84" t="s">
        <v>196</v>
      </c>
      <c r="H26" s="84" t="str">
        <f>'A.909 SMR'!H10</f>
        <v>875-MI0603K300R-10</v>
      </c>
      <c r="I26" s="84" t="s">
        <v>197</v>
      </c>
    </row>
    <row r="27" ht="10.5" customHeight="1">
      <c r="A27" s="83" t="s">
        <v>198</v>
      </c>
      <c r="B27" s="84">
        <v>2.0</v>
      </c>
      <c r="C27" s="84" t="s">
        <v>199</v>
      </c>
      <c r="D27" s="85"/>
      <c r="E27" s="87" t="s">
        <v>199</v>
      </c>
      <c r="F27" s="84" t="s">
        <v>200</v>
      </c>
      <c r="G27" s="85"/>
      <c r="H27" s="84" t="str">
        <f>'A.909 SMR'!H39</f>
        <v>667-EVQ-Q2K01W</v>
      </c>
      <c r="I27" s="85"/>
    </row>
    <row r="28" ht="10.5" customHeight="1">
      <c r="A28" s="83" t="s">
        <v>201</v>
      </c>
      <c r="B28" s="84">
        <v>1.0</v>
      </c>
      <c r="C28" s="84" t="s">
        <v>202</v>
      </c>
      <c r="D28" s="85"/>
      <c r="E28" s="87" t="s">
        <v>203</v>
      </c>
      <c r="F28" s="84" t="s">
        <v>203</v>
      </c>
      <c r="G28" s="85"/>
      <c r="H28" s="84" t="str">
        <f>'A.909 SMR'!H12</f>
        <v/>
      </c>
      <c r="I28" s="84" t="s">
        <v>204</v>
      </c>
    </row>
    <row r="29" ht="10.5" customHeight="1">
      <c r="A29" s="83" t="s">
        <v>205</v>
      </c>
      <c r="B29" s="84">
        <v>1.0</v>
      </c>
      <c r="C29" s="84" t="s">
        <v>206</v>
      </c>
      <c r="D29" s="85"/>
      <c r="E29" s="87" t="s">
        <v>206</v>
      </c>
      <c r="F29" s="84" t="s">
        <v>207</v>
      </c>
      <c r="G29" s="85"/>
      <c r="H29" s="84" t="str">
        <f>'A.909 SMR'!H41</f>
        <v/>
      </c>
      <c r="I29" s="85"/>
    </row>
    <row r="30" ht="10.5" customHeight="1">
      <c r="A30" s="83" t="s">
        <v>208</v>
      </c>
      <c r="B30" s="84">
        <v>1.0</v>
      </c>
      <c r="C30" s="84" t="s">
        <v>209</v>
      </c>
      <c r="D30" s="85"/>
      <c r="E30" s="87" t="s">
        <v>210</v>
      </c>
      <c r="F30" s="84" t="s">
        <v>211</v>
      </c>
      <c r="G30" s="85"/>
      <c r="H30" s="84" t="str">
        <f>'A.909 SMR'!H32</f>
        <v>649-95278-101A16LF</v>
      </c>
      <c r="I30" s="84" t="s">
        <v>212</v>
      </c>
    </row>
    <row r="31" ht="10.5" customHeight="1">
      <c r="A31" s="83" t="s">
        <v>213</v>
      </c>
      <c r="B31" s="84">
        <v>1.0</v>
      </c>
      <c r="C31" s="84" t="s">
        <v>214</v>
      </c>
      <c r="D31" s="85"/>
      <c r="E31" s="87" t="s">
        <v>215</v>
      </c>
      <c r="F31" s="84" t="s">
        <v>216</v>
      </c>
      <c r="G31" s="85"/>
      <c r="H31" s="84" t="str">
        <f>'A.909 SMR'!H44</f>
        <v>512-KA78L05AIMTF</v>
      </c>
      <c r="I31" s="85"/>
    </row>
    <row r="32" ht="10.5" customHeight="1">
      <c r="A32" s="83" t="s">
        <v>217</v>
      </c>
      <c r="B32" s="84">
        <v>2.0</v>
      </c>
      <c r="C32" s="84" t="s">
        <v>218</v>
      </c>
      <c r="D32" s="85"/>
      <c r="E32" s="87" t="s">
        <v>219</v>
      </c>
      <c r="F32" s="84" t="s">
        <v>220</v>
      </c>
      <c r="G32" s="88" t="s">
        <v>221</v>
      </c>
      <c r="H32" s="84" t="str">
        <f>'A.909 SMR'!H11</f>
        <v>511-LD1117AS33</v>
      </c>
      <c r="I32" s="84" t="s">
        <v>222</v>
      </c>
    </row>
    <row r="33" ht="10.5" customHeight="1">
      <c r="A33" s="83" t="s">
        <v>223</v>
      </c>
      <c r="B33" s="84">
        <v>26.0</v>
      </c>
      <c r="C33" s="84" t="s">
        <v>224</v>
      </c>
      <c r="D33" s="85"/>
      <c r="E33" s="87" t="s">
        <v>224</v>
      </c>
      <c r="F33" s="84" t="s">
        <v>225</v>
      </c>
      <c r="G33" s="89" t="s">
        <v>226</v>
      </c>
      <c r="H33" s="90" t="s">
        <v>227</v>
      </c>
      <c r="I33" s="84" t="s">
        <v>228</v>
      </c>
    </row>
    <row r="34" ht="10.5" customHeight="1">
      <c r="A34" s="83" t="s">
        <v>229</v>
      </c>
      <c r="B34" s="84">
        <v>1.0</v>
      </c>
      <c r="C34" s="84" t="s">
        <v>230</v>
      </c>
      <c r="D34" s="85"/>
      <c r="E34" s="87" t="s">
        <v>230</v>
      </c>
      <c r="F34" s="84" t="s">
        <v>231</v>
      </c>
      <c r="G34" s="85"/>
      <c r="H34" s="84" t="str">
        <f>'A.909 SMR'!H7</f>
        <v>859-LTL1BEKVJNN</v>
      </c>
      <c r="I34" s="84" t="s">
        <v>232</v>
      </c>
    </row>
    <row r="35" ht="10.5" customHeight="1">
      <c r="A35" s="83" t="s">
        <v>233</v>
      </c>
      <c r="B35" s="84">
        <v>5.0</v>
      </c>
      <c r="C35" s="84" t="s">
        <v>234</v>
      </c>
      <c r="D35" s="85"/>
      <c r="E35" s="84" t="s">
        <v>234</v>
      </c>
      <c r="F35" s="84" t="s">
        <v>235</v>
      </c>
      <c r="G35" s="89" t="s">
        <v>236</v>
      </c>
      <c r="H35" s="84" t="str">
        <f>'A.909 SMR'!H18</f>
        <v>771-PCA9685PW,112</v>
      </c>
      <c r="I35" s="84" t="s">
        <v>237</v>
      </c>
    </row>
    <row r="36" ht="10.5" customHeight="1">
      <c r="A36" s="83" t="s">
        <v>238</v>
      </c>
      <c r="B36" s="84">
        <v>27.0</v>
      </c>
      <c r="C36" s="84" t="s">
        <v>239</v>
      </c>
      <c r="D36" s="85"/>
      <c r="E36" s="84" t="s">
        <v>240</v>
      </c>
      <c r="F36" s="84" t="s">
        <v>241</v>
      </c>
      <c r="G36" s="85"/>
      <c r="H36" s="84" t="str">
        <f>'A.909 SMR'!H36</f>
        <v/>
      </c>
      <c r="I36" s="85"/>
    </row>
    <row r="37" ht="10.5" customHeight="1">
      <c r="A37" s="83" t="s">
        <v>242</v>
      </c>
      <c r="B37" s="84">
        <v>1.0</v>
      </c>
      <c r="C37" s="84" t="s">
        <v>243</v>
      </c>
      <c r="D37" s="85"/>
      <c r="E37" s="84" t="s">
        <v>243</v>
      </c>
      <c r="F37" s="84" t="s">
        <v>244</v>
      </c>
      <c r="G37" s="88" t="s">
        <v>245</v>
      </c>
      <c r="H37" s="84" t="str">
        <f>'A.909 SMR'!H37</f>
        <v>PEC12R-4220F-S0024</v>
      </c>
      <c r="I37" s="84" t="s">
        <v>246</v>
      </c>
    </row>
    <row r="38" ht="10.5" customHeight="1">
      <c r="A38" s="83" t="s">
        <v>247</v>
      </c>
      <c r="B38" s="84">
        <v>1.0</v>
      </c>
      <c r="C38" s="91" t="s">
        <v>248</v>
      </c>
      <c r="D38" s="85"/>
      <c r="E38" s="91" t="s">
        <v>249</v>
      </c>
      <c r="F38" s="84" t="s">
        <v>250</v>
      </c>
      <c r="G38" s="92" t="str">
        <f>HYPERLINK("http://www.mouser.co.uk/search/ProductDetail.aspx?R=0virtualkey0virtualkeySTM32F427ZGT6","511-STM32F427ZGT6")</f>
        <v>511-STM32F427ZGT6</v>
      </c>
      <c r="H38" s="84" t="str">
        <f>'A.909 SMR'!H43</f>
        <v>511-STM32F427ZGT6</v>
      </c>
      <c r="I38" s="84"/>
    </row>
    <row r="39" ht="10.5" customHeight="1">
      <c r="A39" s="83" t="s">
        <v>251</v>
      </c>
      <c r="B39" s="84">
        <v>8.0</v>
      </c>
      <c r="C39" s="91" t="s">
        <v>252</v>
      </c>
      <c r="D39" s="85"/>
      <c r="E39" s="91" t="s">
        <v>253</v>
      </c>
      <c r="F39" s="84" t="s">
        <v>254</v>
      </c>
      <c r="G39" s="89" t="s">
        <v>255</v>
      </c>
      <c r="H39" s="84" t="str">
        <f>'A.909 SMR'!H8</f>
        <v>511-TL082CP</v>
      </c>
      <c r="I39" s="84" t="s">
        <v>256</v>
      </c>
    </row>
    <row r="40" ht="10.5" customHeight="1">
      <c r="A40" s="83" t="s">
        <v>257</v>
      </c>
      <c r="B40" s="84">
        <v>1.0</v>
      </c>
      <c r="C40" s="84" t="s">
        <v>258</v>
      </c>
      <c r="D40" s="85"/>
      <c r="E40" s="84" t="s">
        <v>258</v>
      </c>
      <c r="F40" s="84" t="s">
        <v>259</v>
      </c>
      <c r="G40" s="85"/>
      <c r="H40" s="84" t="str">
        <f>'A.909 SMR'!H31</f>
        <v/>
      </c>
      <c r="I40" s="84" t="s">
        <v>260</v>
      </c>
    </row>
    <row r="41" ht="10.5" customHeight="1">
      <c r="A41" s="83" t="s">
        <v>261</v>
      </c>
      <c r="B41" s="84">
        <v>6.0</v>
      </c>
      <c r="C41" s="84" t="s">
        <v>262</v>
      </c>
      <c r="D41" s="85"/>
      <c r="E41" s="84" t="s">
        <v>263</v>
      </c>
      <c r="F41" s="84" t="s">
        <v>264</v>
      </c>
      <c r="G41" s="85"/>
      <c r="H41" s="84" t="str">
        <f>'A.909 SMR'!H38</f>
        <v>612-LP4OA1PBCTG</v>
      </c>
      <c r="I41" s="84"/>
    </row>
    <row r="42" ht="10.5" customHeight="1">
      <c r="A42" s="83" t="s">
        <v>265</v>
      </c>
      <c r="B42" s="83">
        <v>1.0</v>
      </c>
      <c r="C42" s="83" t="s">
        <v>266</v>
      </c>
      <c r="D42" s="93"/>
      <c r="E42" s="83" t="s">
        <v>266</v>
      </c>
      <c r="F42" s="83" t="s">
        <v>267</v>
      </c>
      <c r="G42" s="94" t="s">
        <v>268</v>
      </c>
      <c r="H42" s="84" t="str">
        <f>'A.909 SMR'!H42</f>
        <v>238-WM8731SEDS/V</v>
      </c>
      <c r="I42" s="93"/>
    </row>
    <row r="43" ht="10.5" customHeight="1">
      <c r="A43" s="83" t="s">
        <v>269</v>
      </c>
      <c r="B43" s="83">
        <v>5.0</v>
      </c>
      <c r="C43" s="83" t="s">
        <v>270</v>
      </c>
      <c r="D43" s="93"/>
      <c r="E43" s="83" t="s">
        <v>271</v>
      </c>
      <c r="F43" s="83" t="s">
        <v>272</v>
      </c>
      <c r="G43" s="77"/>
      <c r="H43" s="84" t="str">
        <f>'A.909 SMR'!H33</f>
        <v>611-T101-001</v>
      </c>
      <c r="I43" s="83" t="s">
        <v>273</v>
      </c>
    </row>
    <row r="44" ht="10.5" customHeight="1">
      <c r="A44" s="83" t="s">
        <v>274</v>
      </c>
      <c r="B44" s="83">
        <v>1.0</v>
      </c>
      <c r="C44" s="83" t="s">
        <v>270</v>
      </c>
      <c r="D44" s="93"/>
      <c r="E44" s="83" t="s">
        <v>275</v>
      </c>
      <c r="F44" s="83" t="s">
        <v>272</v>
      </c>
      <c r="G44" s="77"/>
      <c r="H44" s="84" t="str">
        <f>'A.909 SMR'!H34</f>
        <v>611-T103-001</v>
      </c>
      <c r="I44" s="83" t="s">
        <v>273</v>
      </c>
    </row>
    <row r="45" ht="10.5" customHeight="1">
      <c r="A45" s="83" t="s">
        <v>276</v>
      </c>
      <c r="B45" s="83">
        <v>27.0</v>
      </c>
      <c r="C45" s="83"/>
      <c r="D45" s="93"/>
      <c r="E45" s="83"/>
      <c r="F45" s="83"/>
      <c r="G45" s="95" t="s">
        <v>277</v>
      </c>
      <c r="H45" s="84" t="str">
        <f>'A.909 SMR'!H55</f>
        <v/>
      </c>
      <c r="I45" s="83"/>
    </row>
  </sheetData>
  <mergeCells count="3">
    <mergeCell ref="A1:I1"/>
    <mergeCell ref="B2:E2"/>
    <mergeCell ref="H2:I2"/>
  </mergeCells>
  <conditionalFormatting sqref="H5:H44">
    <cfRule type="expression" dxfId="0" priority="1">
      <formula>AND(NOT(ISBLANK(G5)), EQ(H5, G5))</formula>
    </cfRule>
  </conditionalFormatting>
  <conditionalFormatting sqref="H5:H44">
    <cfRule type="expression" dxfId="1" priority="2">
      <formula>AND(NOT(ISBLANK(G5)), NOT(EQ(H5, G5)))</formula>
    </cfRule>
  </conditionalFormatting>
  <hyperlinks>
    <hyperlink r:id="rId2" ref="B2"/>
    <hyperlink r:id="rId3" ref="G10"/>
    <hyperlink r:id="rId4" ref="G14"/>
    <hyperlink r:id="rId5" ref="G16"/>
    <hyperlink r:id="rId6" ref="G21"/>
    <hyperlink r:id="rId7" ref="G33"/>
    <hyperlink r:id="rId8" ref="H33"/>
    <hyperlink r:id="rId9" ref="G35"/>
    <hyperlink r:id="rId10" ref="G39"/>
  </hyperlinks>
  <drawing r:id="rId11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71"/>
    <col customWidth="1" min="2" max="2" width="4.43"/>
    <col customWidth="1" min="3" max="3" width="27.0"/>
    <col customWidth="1" min="4" max="4" width="20.43"/>
    <col customWidth="1" min="5" max="5" width="6.43"/>
    <col customWidth="1" min="6" max="6" width="9.43"/>
    <col customWidth="1" min="7" max="7" width="23.57"/>
    <col customWidth="1" min="8" max="8" width="5.71"/>
    <col customWidth="1" min="9" max="9" width="37.14"/>
    <col customWidth="1" min="10" max="26" width="8.86"/>
  </cols>
  <sheetData>
    <row r="1" ht="28.5" customHeight="1">
      <c r="A1" s="96" t="s">
        <v>278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98" t="s">
        <v>106</v>
      </c>
      <c r="B2" s="99" t="s">
        <v>95</v>
      </c>
      <c r="C2" s="98" t="s">
        <v>96</v>
      </c>
      <c r="D2" s="98" t="s">
        <v>97</v>
      </c>
      <c r="E2" s="100" t="s">
        <v>98</v>
      </c>
      <c r="F2" s="100" t="s">
        <v>99</v>
      </c>
      <c r="G2" s="99" t="s">
        <v>107</v>
      </c>
      <c r="H2" s="98" t="s">
        <v>279</v>
      </c>
      <c r="I2" s="98" t="s">
        <v>109</v>
      </c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97"/>
      <c r="U2" s="97"/>
      <c r="V2" s="97"/>
      <c r="W2" s="97"/>
      <c r="X2" s="97"/>
      <c r="Y2" s="97"/>
      <c r="Z2" s="97"/>
    </row>
    <row r="3" ht="12.75" customHeight="1">
      <c r="A3" s="102" t="s">
        <v>280</v>
      </c>
      <c r="B3" s="103"/>
      <c r="C3" s="103"/>
      <c r="D3" s="103"/>
      <c r="E3" s="103"/>
      <c r="F3" s="103"/>
      <c r="G3" s="104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6"/>
      <c r="U3" s="106"/>
      <c r="V3" s="106"/>
      <c r="W3" s="106"/>
      <c r="X3" s="106"/>
      <c r="Y3" s="106"/>
      <c r="Z3" s="106"/>
    </row>
    <row r="4" ht="12.0" customHeight="1">
      <c r="A4" s="107" t="s">
        <v>281</v>
      </c>
      <c r="B4" s="108">
        <v>2.0</v>
      </c>
      <c r="C4" s="108" t="s">
        <v>282</v>
      </c>
      <c r="D4" s="108"/>
      <c r="E4" s="108" t="s">
        <v>282</v>
      </c>
      <c r="F4" s="108" t="str">
        <f t="shared" ref="F4:F18" si="1">"0603"</f>
        <v>0603</v>
      </c>
      <c r="G4" s="108"/>
      <c r="H4" s="97"/>
      <c r="I4" s="97"/>
      <c r="J4" s="97"/>
      <c r="K4" s="108"/>
      <c r="L4" s="108"/>
      <c r="M4" s="108"/>
      <c r="N4" s="108"/>
      <c r="O4" s="108"/>
      <c r="P4" s="108"/>
      <c r="Q4" s="108"/>
      <c r="R4" s="108"/>
      <c r="S4" s="108"/>
      <c r="T4" s="97"/>
      <c r="U4" s="97"/>
      <c r="V4" s="97"/>
      <c r="W4" s="97"/>
      <c r="X4" s="97"/>
      <c r="Y4" s="97"/>
      <c r="Z4" s="97"/>
    </row>
    <row r="5" ht="12.0" customHeight="1">
      <c r="A5" s="107" t="s">
        <v>283</v>
      </c>
      <c r="B5" s="109">
        <v>4.0</v>
      </c>
      <c r="C5" s="108" t="s">
        <v>284</v>
      </c>
      <c r="D5" s="108"/>
      <c r="E5" s="108">
        <v>402.0</v>
      </c>
      <c r="F5" s="108" t="str">
        <f t="shared" si="1"/>
        <v>0603</v>
      </c>
      <c r="G5" s="107" t="s">
        <v>285</v>
      </c>
      <c r="H5" s="97"/>
      <c r="I5" s="97"/>
      <c r="J5" s="97"/>
      <c r="K5" s="108"/>
      <c r="L5" s="108"/>
      <c r="M5" s="108"/>
      <c r="N5" s="108"/>
      <c r="O5" s="108"/>
      <c r="P5" s="108"/>
      <c r="Q5" s="108"/>
      <c r="R5" s="108"/>
      <c r="S5" s="108"/>
      <c r="T5" s="97"/>
      <c r="U5" s="97"/>
      <c r="V5" s="97"/>
      <c r="W5" s="97"/>
      <c r="X5" s="97"/>
      <c r="Y5" s="97"/>
      <c r="Z5" s="97"/>
    </row>
    <row r="6" ht="12.0" customHeight="1">
      <c r="A6" s="107" t="s">
        <v>286</v>
      </c>
      <c r="B6" s="109">
        <v>8.0</v>
      </c>
      <c r="C6" s="108" t="s">
        <v>284</v>
      </c>
      <c r="D6" s="108"/>
      <c r="E6" s="108">
        <v>510.0</v>
      </c>
      <c r="F6" s="108" t="str">
        <f t="shared" si="1"/>
        <v>0603</v>
      </c>
      <c r="G6" s="107" t="s">
        <v>287</v>
      </c>
      <c r="H6" s="97"/>
      <c r="I6" s="97"/>
      <c r="J6" s="97"/>
      <c r="K6" s="108"/>
      <c r="L6" s="108"/>
      <c r="M6" s="108"/>
      <c r="N6" s="108"/>
      <c r="O6" s="108"/>
      <c r="P6" s="108"/>
      <c r="Q6" s="108"/>
      <c r="R6" s="108"/>
      <c r="S6" s="108"/>
      <c r="T6" s="97"/>
      <c r="U6" s="97"/>
      <c r="V6" s="97"/>
      <c r="W6" s="97"/>
      <c r="X6" s="97"/>
      <c r="Y6" s="97"/>
      <c r="Z6" s="97"/>
    </row>
    <row r="7" ht="12.0" customHeight="1">
      <c r="A7" s="107" t="s">
        <v>288</v>
      </c>
      <c r="B7" s="109">
        <v>10.0</v>
      </c>
      <c r="C7" s="108" t="s">
        <v>284</v>
      </c>
      <c r="D7" s="108"/>
      <c r="E7" s="108" t="s">
        <v>289</v>
      </c>
      <c r="F7" s="108" t="str">
        <f t="shared" si="1"/>
        <v>0603</v>
      </c>
      <c r="G7" s="107" t="s">
        <v>290</v>
      </c>
      <c r="H7" s="97"/>
      <c r="I7" s="97"/>
      <c r="J7" s="97"/>
      <c r="K7" s="108"/>
      <c r="L7" s="108"/>
      <c r="M7" s="108"/>
      <c r="N7" s="108"/>
      <c r="O7" s="108"/>
      <c r="P7" s="108"/>
      <c r="Q7" s="108"/>
      <c r="R7" s="108"/>
      <c r="S7" s="108"/>
      <c r="T7" s="97"/>
      <c r="U7" s="97"/>
      <c r="V7" s="97"/>
      <c r="W7" s="97"/>
      <c r="X7" s="97"/>
      <c r="Y7" s="97"/>
      <c r="Z7" s="97"/>
    </row>
    <row r="8" ht="21.75" customHeight="1">
      <c r="A8" s="107" t="s">
        <v>291</v>
      </c>
      <c r="B8" s="109">
        <v>3.0</v>
      </c>
      <c r="C8" s="108" t="s">
        <v>292</v>
      </c>
      <c r="D8" s="108"/>
      <c r="E8" s="108" t="s">
        <v>293</v>
      </c>
      <c r="F8" s="108" t="str">
        <f t="shared" si="1"/>
        <v>0603</v>
      </c>
      <c r="G8" s="107" t="s">
        <v>294</v>
      </c>
      <c r="H8" s="97"/>
      <c r="I8" s="108" t="s">
        <v>295</v>
      </c>
      <c r="J8" s="97"/>
      <c r="K8" s="108"/>
      <c r="L8" s="108"/>
      <c r="M8" s="108"/>
      <c r="N8" s="108"/>
      <c r="O8" s="108"/>
      <c r="P8" s="108"/>
      <c r="Q8" s="108"/>
      <c r="R8" s="108"/>
      <c r="S8" s="108"/>
      <c r="T8" s="97"/>
      <c r="U8" s="97"/>
      <c r="V8" s="97"/>
      <c r="W8" s="97"/>
      <c r="X8" s="97"/>
      <c r="Y8" s="97"/>
      <c r="Z8" s="97"/>
    </row>
    <row r="9" ht="21.75" customHeight="1">
      <c r="A9" s="107" t="s">
        <v>296</v>
      </c>
      <c r="B9" s="109">
        <v>11.0</v>
      </c>
      <c r="C9" s="108" t="s">
        <v>292</v>
      </c>
      <c r="D9" s="108"/>
      <c r="E9" s="108" t="s">
        <v>297</v>
      </c>
      <c r="F9" s="108" t="str">
        <f t="shared" si="1"/>
        <v>0603</v>
      </c>
      <c r="G9" s="107" t="s">
        <v>298</v>
      </c>
      <c r="H9" s="97"/>
      <c r="I9" s="108" t="s">
        <v>299</v>
      </c>
      <c r="J9" s="97"/>
      <c r="K9" s="108"/>
      <c r="L9" s="108"/>
      <c r="M9" s="108"/>
      <c r="N9" s="108"/>
      <c r="O9" s="108"/>
      <c r="P9" s="108"/>
      <c r="Q9" s="108"/>
      <c r="R9" s="108"/>
      <c r="S9" s="108"/>
      <c r="T9" s="97"/>
      <c r="U9" s="97"/>
      <c r="V9" s="97"/>
      <c r="W9" s="97"/>
      <c r="X9" s="97"/>
      <c r="Y9" s="97"/>
      <c r="Z9" s="97"/>
    </row>
    <row r="10" ht="12.0" customHeight="1">
      <c r="A10" s="107" t="s">
        <v>300</v>
      </c>
      <c r="B10" s="109">
        <v>8.0</v>
      </c>
      <c r="C10" s="108" t="s">
        <v>292</v>
      </c>
      <c r="D10" s="108"/>
      <c r="E10" s="108" t="s">
        <v>301</v>
      </c>
      <c r="F10" s="108" t="str">
        <f t="shared" si="1"/>
        <v>0603</v>
      </c>
      <c r="G10" s="107" t="s">
        <v>302</v>
      </c>
      <c r="H10" s="97"/>
      <c r="I10" s="97" t="s">
        <v>303</v>
      </c>
      <c r="J10" s="97"/>
      <c r="K10" s="108"/>
      <c r="L10" s="108"/>
      <c r="M10" s="108"/>
      <c r="N10" s="108"/>
      <c r="O10" s="108"/>
      <c r="P10" s="108"/>
      <c r="Q10" s="108"/>
      <c r="R10" s="108"/>
      <c r="S10" s="108"/>
      <c r="T10" s="97"/>
      <c r="U10" s="97"/>
      <c r="V10" s="97"/>
      <c r="W10" s="97"/>
      <c r="X10" s="97"/>
      <c r="Y10" s="97"/>
      <c r="Z10" s="97"/>
    </row>
    <row r="11" ht="12.0" customHeight="1">
      <c r="A11" s="107" t="s">
        <v>304</v>
      </c>
      <c r="B11" s="109">
        <v>7.0</v>
      </c>
      <c r="C11" s="108" t="s">
        <v>292</v>
      </c>
      <c r="D11" s="108"/>
      <c r="E11" s="108" t="s">
        <v>305</v>
      </c>
      <c r="F11" s="108" t="str">
        <f t="shared" si="1"/>
        <v>0603</v>
      </c>
      <c r="G11" s="107" t="s">
        <v>306</v>
      </c>
      <c r="H11" s="97"/>
      <c r="I11" s="97" t="s">
        <v>307</v>
      </c>
      <c r="J11" s="97"/>
      <c r="K11" s="108"/>
      <c r="L11" s="108"/>
      <c r="M11" s="108"/>
      <c r="N11" s="108"/>
      <c r="O11" s="108"/>
      <c r="P11" s="108"/>
      <c r="Q11" s="108"/>
      <c r="R11" s="108"/>
      <c r="S11" s="108"/>
      <c r="T11" s="97"/>
      <c r="U11" s="97"/>
      <c r="V11" s="97"/>
      <c r="W11" s="97"/>
      <c r="X11" s="97"/>
      <c r="Y11" s="97"/>
      <c r="Z11" s="97"/>
    </row>
    <row r="12" ht="21.75" customHeight="1">
      <c r="A12" s="107" t="s">
        <v>308</v>
      </c>
      <c r="B12" s="109">
        <v>20.0</v>
      </c>
      <c r="C12" s="108" t="s">
        <v>292</v>
      </c>
      <c r="D12" s="108"/>
      <c r="E12" s="108" t="s">
        <v>120</v>
      </c>
      <c r="F12" s="108" t="str">
        <f t="shared" si="1"/>
        <v>0603</v>
      </c>
      <c r="G12" s="107" t="s">
        <v>309</v>
      </c>
      <c r="H12" s="97"/>
      <c r="I12" s="97" t="s">
        <v>310</v>
      </c>
      <c r="J12" s="97"/>
      <c r="K12" s="108"/>
      <c r="L12" s="108"/>
      <c r="M12" s="108"/>
      <c r="N12" s="108"/>
      <c r="O12" s="108"/>
      <c r="P12" s="108"/>
      <c r="Q12" s="108"/>
      <c r="R12" s="108"/>
      <c r="S12" s="108"/>
      <c r="T12" s="97"/>
      <c r="U12" s="97"/>
      <c r="V12" s="97"/>
      <c r="W12" s="97"/>
      <c r="X12" s="97"/>
      <c r="Y12" s="97"/>
      <c r="Z12" s="97"/>
    </row>
    <row r="13" ht="12.0" customHeight="1">
      <c r="A13" s="107" t="s">
        <v>311</v>
      </c>
      <c r="B13" s="109">
        <v>16.0</v>
      </c>
      <c r="C13" s="108" t="s">
        <v>284</v>
      </c>
      <c r="D13" s="108"/>
      <c r="E13" s="108" t="s">
        <v>120</v>
      </c>
      <c r="F13" s="108" t="str">
        <f t="shared" si="1"/>
        <v>0603</v>
      </c>
      <c r="G13" s="107" t="s">
        <v>312</v>
      </c>
      <c r="H13" s="97"/>
      <c r="I13" s="97"/>
      <c r="J13" s="97"/>
      <c r="K13" s="108"/>
      <c r="L13" s="108"/>
      <c r="M13" s="108"/>
      <c r="N13" s="108"/>
      <c r="O13" s="108"/>
      <c r="P13" s="108"/>
      <c r="Q13" s="108"/>
      <c r="R13" s="108"/>
      <c r="S13" s="108"/>
      <c r="T13" s="97"/>
      <c r="U13" s="97"/>
      <c r="V13" s="97"/>
      <c r="W13" s="97"/>
      <c r="X13" s="97"/>
      <c r="Y13" s="97"/>
      <c r="Z13" s="97"/>
    </row>
    <row r="14" ht="12.0" customHeight="1">
      <c r="A14" s="107" t="s">
        <v>313</v>
      </c>
      <c r="B14" s="109">
        <v>4.0</v>
      </c>
      <c r="C14" s="108" t="s">
        <v>292</v>
      </c>
      <c r="D14" s="108"/>
      <c r="E14" s="108" t="s">
        <v>314</v>
      </c>
      <c r="F14" s="108" t="str">
        <f t="shared" si="1"/>
        <v>0603</v>
      </c>
      <c r="G14" s="110" t="s">
        <v>315</v>
      </c>
      <c r="H14" s="97"/>
      <c r="I14" s="97"/>
      <c r="J14" s="97"/>
      <c r="K14" s="108"/>
      <c r="L14" s="108"/>
      <c r="M14" s="108"/>
      <c r="N14" s="108"/>
      <c r="O14" s="108"/>
      <c r="P14" s="108"/>
      <c r="Q14" s="108"/>
      <c r="R14" s="108"/>
      <c r="S14" s="108"/>
      <c r="T14" s="97"/>
      <c r="U14" s="97"/>
      <c r="V14" s="97"/>
      <c r="W14" s="97"/>
      <c r="X14" s="97"/>
      <c r="Y14" s="97"/>
      <c r="Z14" s="97"/>
    </row>
    <row r="15" ht="12.0" customHeight="1">
      <c r="A15" s="107" t="s">
        <v>316</v>
      </c>
      <c r="B15" s="109">
        <v>16.0</v>
      </c>
      <c r="C15" s="108" t="s">
        <v>284</v>
      </c>
      <c r="D15" s="111"/>
      <c r="E15" s="108" t="s">
        <v>317</v>
      </c>
      <c r="F15" s="108" t="str">
        <f t="shared" si="1"/>
        <v>0603</v>
      </c>
      <c r="G15" s="107" t="s">
        <v>318</v>
      </c>
      <c r="H15" s="97"/>
      <c r="I15" s="97"/>
      <c r="J15" s="97"/>
      <c r="K15" s="108"/>
      <c r="L15" s="108"/>
      <c r="M15" s="108"/>
      <c r="N15" s="108"/>
      <c r="O15" s="108"/>
      <c r="P15" s="108"/>
      <c r="Q15" s="108"/>
      <c r="R15" s="108"/>
      <c r="S15" s="108"/>
      <c r="T15" s="97"/>
      <c r="U15" s="97"/>
      <c r="V15" s="97"/>
      <c r="W15" s="97"/>
      <c r="X15" s="97"/>
      <c r="Y15" s="97"/>
      <c r="Z15" s="97"/>
    </row>
    <row r="16" ht="12.0" customHeight="1">
      <c r="A16" s="107" t="s">
        <v>319</v>
      </c>
      <c r="B16" s="109">
        <v>12.0</v>
      </c>
      <c r="C16" s="108" t="s">
        <v>320</v>
      </c>
      <c r="D16" s="108" t="s">
        <v>321</v>
      </c>
      <c r="E16" s="108" t="s">
        <v>322</v>
      </c>
      <c r="F16" s="108" t="str">
        <f t="shared" si="1"/>
        <v>0603</v>
      </c>
      <c r="G16" s="107" t="s">
        <v>323</v>
      </c>
      <c r="H16" s="97"/>
      <c r="I16" s="97" t="s">
        <v>324</v>
      </c>
      <c r="J16" s="97"/>
      <c r="K16" s="108"/>
      <c r="L16" s="108"/>
      <c r="M16" s="108"/>
      <c r="N16" s="108"/>
      <c r="O16" s="108"/>
      <c r="P16" s="108"/>
      <c r="Q16" s="108"/>
      <c r="R16" s="108"/>
      <c r="S16" s="108"/>
      <c r="T16" s="97"/>
      <c r="U16" s="97"/>
      <c r="V16" s="97"/>
      <c r="W16" s="97"/>
      <c r="X16" s="97"/>
      <c r="Y16" s="97"/>
      <c r="Z16" s="97"/>
    </row>
    <row r="17" ht="12.0" customHeight="1">
      <c r="A17" s="107" t="s">
        <v>325</v>
      </c>
      <c r="B17" s="109">
        <v>8.0</v>
      </c>
      <c r="C17" s="108" t="s">
        <v>320</v>
      </c>
      <c r="D17" s="108" t="s">
        <v>326</v>
      </c>
      <c r="E17" s="108" t="s">
        <v>327</v>
      </c>
      <c r="F17" s="108" t="str">
        <f t="shared" si="1"/>
        <v>0603</v>
      </c>
      <c r="G17" s="108" t="s">
        <v>328</v>
      </c>
      <c r="H17" s="97"/>
      <c r="I17" s="97" t="s">
        <v>329</v>
      </c>
      <c r="J17" s="97"/>
      <c r="K17" s="108"/>
      <c r="L17" s="108"/>
      <c r="M17" s="108"/>
      <c r="N17" s="108"/>
      <c r="O17" s="108"/>
      <c r="P17" s="108"/>
      <c r="Q17" s="108"/>
      <c r="R17" s="108"/>
      <c r="S17" s="108"/>
      <c r="T17" s="97"/>
      <c r="U17" s="97"/>
      <c r="V17" s="97"/>
      <c r="W17" s="97"/>
      <c r="X17" s="97"/>
      <c r="Y17" s="97"/>
      <c r="Z17" s="97"/>
    </row>
    <row r="18" ht="21.75" customHeight="1">
      <c r="A18" s="107" t="s">
        <v>330</v>
      </c>
      <c r="B18" s="109">
        <v>26.0</v>
      </c>
      <c r="C18" s="108" t="s">
        <v>331</v>
      </c>
      <c r="D18" s="108" t="s">
        <v>332</v>
      </c>
      <c r="E18" s="108" t="s">
        <v>333</v>
      </c>
      <c r="F18" s="108" t="str">
        <f t="shared" si="1"/>
        <v>0603</v>
      </c>
      <c r="G18" s="107" t="s">
        <v>116</v>
      </c>
      <c r="H18" s="97"/>
      <c r="I18" s="97" t="s">
        <v>334</v>
      </c>
      <c r="J18" s="97"/>
      <c r="K18" s="108"/>
      <c r="L18" s="108"/>
      <c r="M18" s="108"/>
      <c r="N18" s="108"/>
      <c r="O18" s="108"/>
      <c r="P18" s="108"/>
      <c r="Q18" s="108"/>
      <c r="R18" s="108"/>
      <c r="S18" s="108"/>
      <c r="T18" s="97"/>
      <c r="U18" s="97"/>
      <c r="V18" s="97"/>
      <c r="W18" s="97"/>
      <c r="X18" s="97"/>
      <c r="Y18" s="97"/>
      <c r="Z18" s="97"/>
    </row>
    <row r="19" ht="21.75" customHeight="1">
      <c r="A19" s="107" t="s">
        <v>335</v>
      </c>
      <c r="B19" s="108">
        <v>2.0</v>
      </c>
      <c r="C19" s="108" t="s">
        <v>336</v>
      </c>
      <c r="D19" s="108" t="s">
        <v>332</v>
      </c>
      <c r="E19" s="108" t="s">
        <v>337</v>
      </c>
      <c r="F19" s="108" t="s">
        <v>338</v>
      </c>
      <c r="G19" s="108" t="s">
        <v>339</v>
      </c>
      <c r="H19" s="97"/>
      <c r="I19" s="97" t="s">
        <v>340</v>
      </c>
      <c r="J19" s="97"/>
      <c r="K19" s="108"/>
      <c r="L19" s="108"/>
      <c r="M19" s="108"/>
      <c r="N19" s="108"/>
      <c r="O19" s="108"/>
      <c r="P19" s="108"/>
      <c r="Q19" s="108"/>
      <c r="R19" s="108"/>
      <c r="S19" s="108"/>
      <c r="T19" s="97"/>
      <c r="U19" s="97"/>
      <c r="V19" s="97"/>
      <c r="W19" s="97"/>
      <c r="X19" s="97"/>
      <c r="Y19" s="97"/>
      <c r="Z19" s="97"/>
    </row>
    <row r="20" ht="10.5" customHeight="1">
      <c r="A20" s="107" t="s">
        <v>341</v>
      </c>
      <c r="B20" s="109">
        <v>2.0</v>
      </c>
      <c r="C20" s="108" t="s">
        <v>342</v>
      </c>
      <c r="D20" s="108"/>
      <c r="E20" s="108"/>
      <c r="F20" s="108" t="s">
        <v>343</v>
      </c>
      <c r="G20" s="108" t="s">
        <v>344</v>
      </c>
      <c r="H20" s="97"/>
      <c r="I20" s="97" t="s">
        <v>345</v>
      </c>
      <c r="J20" s="97"/>
      <c r="K20" s="108"/>
      <c r="L20" s="108"/>
      <c r="M20" s="108"/>
      <c r="N20" s="108"/>
      <c r="O20" s="108"/>
      <c r="P20" s="108"/>
      <c r="Q20" s="108"/>
      <c r="R20" s="108"/>
      <c r="S20" s="108"/>
      <c r="T20" s="97"/>
      <c r="U20" s="97"/>
      <c r="V20" s="97"/>
      <c r="W20" s="97"/>
      <c r="X20" s="97"/>
      <c r="Y20" s="97"/>
      <c r="Z20" s="97"/>
    </row>
    <row r="21" ht="12.0" customHeight="1">
      <c r="A21" s="107" t="s">
        <v>346</v>
      </c>
      <c r="B21" s="108">
        <v>1.0</v>
      </c>
      <c r="C21" s="108" t="s">
        <v>347</v>
      </c>
      <c r="D21" s="108" t="s">
        <v>348</v>
      </c>
      <c r="E21" s="108" t="s">
        <v>349</v>
      </c>
      <c r="F21" s="112">
        <v>1206.0</v>
      </c>
      <c r="G21" s="108" t="s">
        <v>350</v>
      </c>
      <c r="H21" s="97"/>
      <c r="I21" s="97" t="s">
        <v>351</v>
      </c>
      <c r="J21" s="97"/>
      <c r="K21" s="108"/>
      <c r="L21" s="108"/>
      <c r="M21" s="108"/>
      <c r="N21" s="108"/>
      <c r="O21" s="108"/>
      <c r="P21" s="108"/>
      <c r="Q21" s="108"/>
      <c r="R21" s="108"/>
      <c r="S21" s="108"/>
      <c r="T21" s="97"/>
      <c r="U21" s="97"/>
      <c r="V21" s="97"/>
      <c r="W21" s="97"/>
      <c r="X21" s="97"/>
      <c r="Y21" s="97"/>
      <c r="Z21" s="97"/>
    </row>
    <row r="22" ht="10.5" customHeight="1">
      <c r="A22" s="107" t="s">
        <v>352</v>
      </c>
      <c r="B22" s="108">
        <v>2.0</v>
      </c>
      <c r="C22" s="108" t="s">
        <v>353</v>
      </c>
      <c r="D22" s="108"/>
      <c r="E22" s="108"/>
      <c r="F22" s="108" t="s">
        <v>354</v>
      </c>
      <c r="G22" s="108"/>
      <c r="H22" s="97"/>
      <c r="I22" s="97" t="s">
        <v>355</v>
      </c>
      <c r="J22" s="97"/>
      <c r="K22" s="108"/>
      <c r="L22" s="108"/>
      <c r="M22" s="108"/>
      <c r="N22" s="108"/>
      <c r="O22" s="108"/>
      <c r="P22" s="108"/>
      <c r="Q22" s="108"/>
      <c r="R22" s="108"/>
      <c r="S22" s="108"/>
      <c r="T22" s="97"/>
      <c r="U22" s="97"/>
      <c r="V22" s="97"/>
      <c r="W22" s="97"/>
      <c r="X22" s="97"/>
      <c r="Y22" s="97"/>
      <c r="Z22" s="97"/>
    </row>
    <row r="23" ht="10.5" customHeight="1">
      <c r="A23" s="107" t="s">
        <v>356</v>
      </c>
      <c r="B23" s="108">
        <v>8.0</v>
      </c>
      <c r="C23" s="113" t="s">
        <v>357</v>
      </c>
      <c r="D23" s="113"/>
      <c r="E23" s="114"/>
      <c r="F23" s="113" t="s">
        <v>358</v>
      </c>
      <c r="G23" s="107" t="s">
        <v>359</v>
      </c>
      <c r="H23" s="113"/>
      <c r="I23" s="113" t="s">
        <v>360</v>
      </c>
      <c r="J23" s="97"/>
      <c r="K23" s="108"/>
      <c r="L23" s="108"/>
      <c r="M23" s="108"/>
      <c r="N23" s="108"/>
      <c r="O23" s="108"/>
      <c r="P23" s="108"/>
      <c r="Q23" s="108"/>
      <c r="R23" s="108"/>
      <c r="S23" s="108"/>
      <c r="T23" s="97"/>
      <c r="U23" s="97"/>
      <c r="V23" s="97"/>
      <c r="W23" s="97"/>
      <c r="X23" s="97"/>
      <c r="Y23" s="97"/>
      <c r="Z23" s="97"/>
    </row>
    <row r="24" ht="12.0" customHeight="1">
      <c r="A24" s="107" t="s">
        <v>361</v>
      </c>
      <c r="B24" s="108">
        <v>2.0</v>
      </c>
      <c r="C24" s="108" t="s">
        <v>362</v>
      </c>
      <c r="D24" s="108" t="s">
        <v>363</v>
      </c>
      <c r="E24" s="108" t="s">
        <v>364</v>
      </c>
      <c r="F24" s="108" t="s">
        <v>190</v>
      </c>
      <c r="G24" s="108" t="s">
        <v>365</v>
      </c>
      <c r="H24" s="97"/>
      <c r="I24" s="97" t="s">
        <v>366</v>
      </c>
      <c r="J24" s="97"/>
      <c r="K24" s="108"/>
      <c r="L24" s="108"/>
      <c r="M24" s="108"/>
      <c r="N24" s="108"/>
      <c r="O24" s="108"/>
      <c r="P24" s="108"/>
      <c r="Q24" s="108"/>
      <c r="R24" s="108"/>
      <c r="S24" s="108"/>
      <c r="T24" s="97"/>
      <c r="U24" s="97"/>
      <c r="V24" s="97"/>
      <c r="W24" s="97"/>
      <c r="X24" s="97"/>
      <c r="Y24" s="97"/>
      <c r="Z24" s="97"/>
    </row>
    <row r="25" ht="12.0" customHeight="1">
      <c r="A25" s="107" t="s">
        <v>193</v>
      </c>
      <c r="B25" s="109">
        <v>2.0</v>
      </c>
      <c r="C25" s="115" t="s">
        <v>367</v>
      </c>
      <c r="D25" s="115" t="s">
        <v>368</v>
      </c>
      <c r="E25" s="115"/>
      <c r="F25" s="113" t="str">
        <f>"0603"</f>
        <v>0603</v>
      </c>
      <c r="G25" s="116" t="s">
        <v>369</v>
      </c>
      <c r="H25" s="115"/>
      <c r="I25" s="113" t="s">
        <v>370</v>
      </c>
      <c r="J25" s="97"/>
      <c r="K25" s="108"/>
      <c r="L25" s="108"/>
      <c r="M25" s="108"/>
      <c r="N25" s="108"/>
      <c r="O25" s="108"/>
      <c r="P25" s="108"/>
      <c r="Q25" s="108"/>
      <c r="R25" s="108"/>
      <c r="S25" s="108"/>
      <c r="T25" s="97"/>
      <c r="U25" s="97"/>
      <c r="V25" s="97"/>
      <c r="W25" s="97"/>
      <c r="X25" s="97"/>
      <c r="Y25" s="97"/>
      <c r="Z25" s="97"/>
    </row>
    <row r="26" ht="12.75" customHeight="1">
      <c r="A26" s="117" t="s">
        <v>371</v>
      </c>
      <c r="B26" s="118"/>
      <c r="C26" s="118"/>
      <c r="D26" s="118"/>
      <c r="E26" s="118"/>
      <c r="F26" s="118"/>
      <c r="G26" s="119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06"/>
      <c r="U26" s="106"/>
      <c r="V26" s="106"/>
      <c r="W26" s="106"/>
      <c r="X26" s="106"/>
      <c r="Y26" s="106"/>
      <c r="Z26" s="106"/>
    </row>
    <row r="27" ht="10.5" customHeight="1">
      <c r="A27" s="107" t="s">
        <v>372</v>
      </c>
      <c r="B27" s="108">
        <v>12.0</v>
      </c>
      <c r="C27" s="108" t="s">
        <v>373</v>
      </c>
      <c r="D27" s="108"/>
      <c r="E27" s="108"/>
      <c r="F27" s="108"/>
      <c r="G27" s="108"/>
      <c r="H27" s="97"/>
      <c r="I27" s="97" t="s">
        <v>374</v>
      </c>
      <c r="J27" s="97"/>
      <c r="K27" s="108"/>
      <c r="L27" s="108"/>
      <c r="M27" s="108"/>
      <c r="N27" s="108"/>
      <c r="O27" s="108"/>
      <c r="P27" s="108"/>
      <c r="Q27" s="108"/>
      <c r="R27" s="108"/>
      <c r="S27" s="108"/>
      <c r="T27" s="97"/>
      <c r="U27" s="97"/>
      <c r="V27" s="97"/>
      <c r="W27" s="97"/>
      <c r="X27" s="97"/>
      <c r="Y27" s="97"/>
      <c r="Z27" s="97"/>
    </row>
    <row r="28" ht="10.5" customHeight="1">
      <c r="A28" s="107" t="s">
        <v>375</v>
      </c>
      <c r="B28" s="108">
        <v>4.0</v>
      </c>
      <c r="C28" s="108" t="s">
        <v>376</v>
      </c>
      <c r="D28" s="108"/>
      <c r="E28" s="108"/>
      <c r="F28" s="108"/>
      <c r="G28" s="110" t="s">
        <v>377</v>
      </c>
      <c r="H28" s="97"/>
      <c r="I28" s="108" t="s">
        <v>378</v>
      </c>
      <c r="J28" s="97"/>
      <c r="K28" s="108"/>
      <c r="L28" s="108"/>
      <c r="M28" s="108"/>
      <c r="N28" s="108"/>
      <c r="O28" s="108"/>
      <c r="P28" s="108"/>
      <c r="Q28" s="108"/>
      <c r="R28" s="108"/>
      <c r="S28" s="108"/>
      <c r="T28" s="97"/>
      <c r="U28" s="97"/>
      <c r="V28" s="97"/>
      <c r="W28" s="97"/>
      <c r="X28" s="97"/>
      <c r="Y28" s="97"/>
      <c r="Z28" s="97"/>
    </row>
    <row r="29" ht="10.5" customHeight="1">
      <c r="A29" s="107" t="s">
        <v>379</v>
      </c>
      <c r="B29" s="109">
        <v>4.0</v>
      </c>
      <c r="C29" s="108" t="s">
        <v>380</v>
      </c>
      <c r="D29" s="107"/>
      <c r="E29" s="107"/>
      <c r="F29" s="107"/>
      <c r="G29" s="110" t="s">
        <v>381</v>
      </c>
      <c r="H29" s="97"/>
      <c r="I29" s="108" t="s">
        <v>382</v>
      </c>
      <c r="J29" s="97"/>
      <c r="K29" s="108"/>
      <c r="L29" s="108"/>
      <c r="M29" s="108"/>
      <c r="N29" s="108"/>
      <c r="O29" s="108"/>
      <c r="P29" s="108"/>
      <c r="Q29" s="108"/>
      <c r="R29" s="108"/>
      <c r="S29" s="108"/>
      <c r="T29" s="97"/>
      <c r="U29" s="97"/>
      <c r="V29" s="97"/>
      <c r="W29" s="97"/>
      <c r="X29" s="97"/>
      <c r="Y29" s="97"/>
      <c r="Z29" s="97"/>
    </row>
    <row r="30" ht="10.5" customHeight="1">
      <c r="A30" s="107" t="s">
        <v>379</v>
      </c>
      <c r="B30" s="109">
        <v>4.0</v>
      </c>
      <c r="C30" s="108" t="s">
        <v>383</v>
      </c>
      <c r="D30" s="107"/>
      <c r="E30" s="107"/>
      <c r="F30" s="107"/>
      <c r="G30" s="110"/>
      <c r="H30" s="97"/>
      <c r="I30" s="108" t="s">
        <v>384</v>
      </c>
      <c r="J30" s="97"/>
      <c r="K30" s="108"/>
      <c r="L30" s="108"/>
      <c r="M30" s="108"/>
      <c r="N30" s="108"/>
      <c r="O30" s="108"/>
      <c r="P30" s="108"/>
      <c r="Q30" s="108"/>
      <c r="R30" s="108"/>
      <c r="S30" s="108"/>
      <c r="T30" s="97"/>
      <c r="U30" s="97"/>
      <c r="V30" s="97"/>
      <c r="W30" s="97"/>
      <c r="X30" s="97"/>
      <c r="Y30" s="97"/>
      <c r="Z30" s="97"/>
    </row>
    <row r="31" ht="10.5" customHeight="1">
      <c r="A31" s="107" t="s">
        <v>385</v>
      </c>
      <c r="B31" s="109">
        <v>4.0</v>
      </c>
      <c r="C31" s="113" t="s">
        <v>386</v>
      </c>
      <c r="D31" s="115"/>
      <c r="E31" s="115"/>
      <c r="F31" s="115"/>
      <c r="G31" s="113"/>
      <c r="H31" s="113"/>
      <c r="I31" s="121" t="s">
        <v>387</v>
      </c>
      <c r="J31" s="97"/>
      <c r="K31" s="108"/>
      <c r="L31" s="108"/>
      <c r="M31" s="108"/>
      <c r="N31" s="108"/>
      <c r="O31" s="108"/>
      <c r="P31" s="108"/>
      <c r="Q31" s="108"/>
      <c r="R31" s="108"/>
      <c r="S31" s="108"/>
      <c r="T31" s="97"/>
      <c r="U31" s="97"/>
      <c r="V31" s="97"/>
      <c r="W31" s="97"/>
      <c r="X31" s="97"/>
      <c r="Y31" s="97"/>
      <c r="Z31" s="97"/>
    </row>
    <row r="32" ht="10.5" customHeight="1">
      <c r="A32" s="107" t="s">
        <v>388</v>
      </c>
      <c r="B32" s="109">
        <v>4.0</v>
      </c>
      <c r="C32" s="108" t="s">
        <v>389</v>
      </c>
      <c r="D32" s="108"/>
      <c r="E32" s="108"/>
      <c r="F32" s="108"/>
      <c r="G32" s="108"/>
      <c r="H32" s="97"/>
      <c r="I32" s="97" t="s">
        <v>390</v>
      </c>
      <c r="J32" s="97"/>
      <c r="K32" s="108"/>
      <c r="L32" s="108"/>
      <c r="M32" s="108"/>
      <c r="N32" s="108"/>
      <c r="O32" s="108"/>
      <c r="P32" s="108"/>
      <c r="Q32" s="108"/>
      <c r="R32" s="108"/>
      <c r="S32" s="108"/>
      <c r="T32" s="97"/>
      <c r="U32" s="97"/>
      <c r="V32" s="97"/>
      <c r="W32" s="97"/>
      <c r="X32" s="97"/>
      <c r="Y32" s="97"/>
      <c r="Z32" s="97"/>
    </row>
    <row r="33" ht="12.0" customHeight="1">
      <c r="A33" s="122" t="s">
        <v>391</v>
      </c>
      <c r="B33" s="123"/>
      <c r="C33" s="122"/>
      <c r="D33" s="122"/>
      <c r="E33" s="124"/>
      <c r="F33" s="124"/>
      <c r="G33" s="123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06"/>
      <c r="U33" s="106"/>
      <c r="V33" s="106"/>
      <c r="W33" s="106"/>
      <c r="X33" s="106"/>
      <c r="Y33" s="106"/>
      <c r="Z33" s="106"/>
    </row>
    <row r="34" ht="10.5" customHeight="1">
      <c r="A34" s="107" t="s">
        <v>392</v>
      </c>
      <c r="B34" s="113">
        <v>1.0</v>
      </c>
      <c r="C34" s="113" t="s">
        <v>393</v>
      </c>
      <c r="D34" s="113"/>
      <c r="E34" s="113"/>
      <c r="F34" s="113"/>
      <c r="G34" s="113" t="s">
        <v>394</v>
      </c>
      <c r="H34" s="113"/>
      <c r="I34" s="113"/>
      <c r="J34" s="97"/>
      <c r="K34" s="108"/>
      <c r="L34" s="108"/>
      <c r="M34" s="108"/>
      <c r="N34" s="108"/>
      <c r="O34" s="108"/>
      <c r="P34" s="108"/>
      <c r="Q34" s="108"/>
      <c r="R34" s="108"/>
      <c r="S34" s="108"/>
      <c r="T34" s="97"/>
      <c r="U34" s="97"/>
      <c r="V34" s="97"/>
      <c r="W34" s="97"/>
      <c r="X34" s="97"/>
      <c r="Y34" s="97"/>
      <c r="Z34" s="97"/>
    </row>
    <row r="35" ht="10.5" customHeight="1">
      <c r="A35" s="125" t="s">
        <v>395</v>
      </c>
      <c r="B35" s="125"/>
      <c r="C35" s="125" t="s">
        <v>396</v>
      </c>
      <c r="D35" s="125"/>
      <c r="E35" s="125"/>
      <c r="F35" s="125"/>
      <c r="G35" s="125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</row>
    <row r="36" ht="12.0" customHeight="1">
      <c r="A36" s="108"/>
      <c r="B36" s="108"/>
      <c r="C36" s="115"/>
      <c r="D36" s="108"/>
      <c r="E36" s="108"/>
      <c r="F36" s="108"/>
      <c r="G36" s="108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 ht="12.0" customHeight="1">
      <c r="A37" s="108"/>
      <c r="B37" s="108"/>
      <c r="C37" s="108"/>
      <c r="D37" s="108"/>
      <c r="E37" s="108"/>
      <c r="F37" s="108"/>
      <c r="G37" s="108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ht="12.0" customHeight="1">
      <c r="A38" s="108"/>
      <c r="B38" s="108"/>
      <c r="C38" s="108"/>
      <c r="D38" s="108"/>
      <c r="E38" s="108"/>
      <c r="F38" s="108"/>
      <c r="G38" s="108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 ht="12.0" customHeight="1">
      <c r="A39" s="108"/>
      <c r="B39" s="108"/>
      <c r="C39" s="108"/>
      <c r="D39" s="108"/>
      <c r="E39" s="108"/>
      <c r="F39" s="108"/>
      <c r="G39" s="108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 ht="12.0" customHeight="1">
      <c r="A40" s="108"/>
      <c r="B40" s="108"/>
      <c r="C40" s="108"/>
      <c r="D40" s="108"/>
      <c r="E40" s="108"/>
      <c r="F40" s="108"/>
      <c r="G40" s="108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 ht="12.0" customHeight="1">
      <c r="A41" s="108"/>
      <c r="B41" s="108"/>
      <c r="C41" s="108"/>
      <c r="D41" s="108"/>
      <c r="E41" s="108"/>
      <c r="F41" s="108"/>
      <c r="G41" s="108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 ht="12.0" customHeight="1">
      <c r="A42" s="108"/>
      <c r="B42" s="108"/>
      <c r="C42" s="108"/>
      <c r="D42" s="108"/>
      <c r="E42" s="108"/>
      <c r="F42" s="108"/>
      <c r="G42" s="108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ht="12.0" customHeight="1">
      <c r="A43" s="108"/>
      <c r="B43" s="108"/>
      <c r="C43" s="108"/>
      <c r="D43" s="108"/>
      <c r="E43" s="108"/>
      <c r="F43" s="108"/>
      <c r="G43" s="108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 ht="12.0" customHeight="1">
      <c r="A44" s="108"/>
      <c r="B44" s="108"/>
      <c r="C44" s="108"/>
      <c r="D44" s="108"/>
      <c r="E44" s="108"/>
      <c r="F44" s="108"/>
      <c r="G44" s="108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 ht="12.0" customHeight="1">
      <c r="A45" s="108"/>
      <c r="B45" s="108"/>
      <c r="C45" s="108"/>
      <c r="D45" s="108"/>
      <c r="E45" s="108"/>
      <c r="F45" s="108"/>
      <c r="G45" s="108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 ht="12.0" customHeight="1">
      <c r="A46" s="108"/>
      <c r="B46" s="108"/>
      <c r="C46" s="108"/>
      <c r="D46" s="108"/>
      <c r="E46" s="108"/>
      <c r="F46" s="108"/>
      <c r="G46" s="108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 ht="12.0" customHeight="1">
      <c r="A47" s="108"/>
      <c r="B47" s="108"/>
      <c r="C47" s="108"/>
      <c r="D47" s="108"/>
      <c r="E47" s="108"/>
      <c r="F47" s="108"/>
      <c r="G47" s="108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 ht="12.0" customHeight="1">
      <c r="A48" s="108"/>
      <c r="B48" s="108"/>
      <c r="C48" s="108"/>
      <c r="D48" s="108"/>
      <c r="E48" s="108"/>
      <c r="F48" s="108"/>
      <c r="G48" s="108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 ht="12.0" customHeight="1">
      <c r="A49" s="108"/>
      <c r="B49" s="108"/>
      <c r="C49" s="108"/>
      <c r="D49" s="108"/>
      <c r="E49" s="108"/>
      <c r="F49" s="108"/>
      <c r="G49" s="108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 ht="12.0" customHeight="1">
      <c r="A50" s="108"/>
      <c r="B50" s="108"/>
      <c r="C50" s="108"/>
      <c r="D50" s="108"/>
      <c r="E50" s="108"/>
      <c r="F50" s="108"/>
      <c r="G50" s="108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 ht="12.0" customHeight="1">
      <c r="A51" s="108"/>
      <c r="B51" s="108"/>
      <c r="C51" s="108"/>
      <c r="D51" s="108"/>
      <c r="E51" s="108"/>
      <c r="F51" s="108"/>
      <c r="G51" s="108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 ht="12.0" customHeight="1">
      <c r="A52" s="108"/>
      <c r="B52" s="108"/>
      <c r="C52" s="108"/>
      <c r="D52" s="108"/>
      <c r="E52" s="108"/>
      <c r="F52" s="108"/>
      <c r="G52" s="108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 ht="12.0" customHeight="1">
      <c r="A53" s="108"/>
      <c r="B53" s="108"/>
      <c r="C53" s="108"/>
      <c r="D53" s="108"/>
      <c r="E53" s="108"/>
      <c r="F53" s="108"/>
      <c r="G53" s="108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 ht="12.0" customHeight="1">
      <c r="A54" s="108"/>
      <c r="B54" s="108"/>
      <c r="C54" s="108"/>
      <c r="D54" s="108"/>
      <c r="E54" s="108"/>
      <c r="F54" s="108"/>
      <c r="G54" s="108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 ht="12.0" customHeight="1">
      <c r="A55" s="108"/>
      <c r="B55" s="108"/>
      <c r="C55" s="108"/>
      <c r="D55" s="108"/>
      <c r="E55" s="108"/>
      <c r="F55" s="108"/>
      <c r="G55" s="108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 ht="12.0" customHeight="1">
      <c r="A56" s="108"/>
      <c r="B56" s="108"/>
      <c r="C56" s="108"/>
      <c r="D56" s="108"/>
      <c r="E56" s="108"/>
      <c r="F56" s="108"/>
      <c r="G56" s="108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 ht="12.0" customHeight="1">
      <c r="A57" s="108"/>
      <c r="B57" s="108"/>
      <c r="C57" s="108"/>
      <c r="D57" s="108"/>
      <c r="E57" s="108"/>
      <c r="F57" s="108"/>
      <c r="G57" s="10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 ht="12.0" customHeight="1">
      <c r="A58" s="108"/>
      <c r="B58" s="108"/>
      <c r="C58" s="108"/>
      <c r="D58" s="108"/>
      <c r="E58" s="108"/>
      <c r="F58" s="108"/>
      <c r="G58" s="108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 ht="12.0" customHeight="1">
      <c r="A59" s="108"/>
      <c r="B59" s="108"/>
      <c r="C59" s="108"/>
      <c r="D59" s="108"/>
      <c r="E59" s="108"/>
      <c r="F59" s="108"/>
      <c r="G59" s="108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ht="12.0" customHeight="1">
      <c r="A60" s="108"/>
      <c r="B60" s="108"/>
      <c r="C60" s="108"/>
      <c r="D60" s="108"/>
      <c r="E60" s="108"/>
      <c r="F60" s="108"/>
      <c r="G60" s="108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ht="12.0" customHeight="1">
      <c r="A61" s="108"/>
      <c r="B61" s="108"/>
      <c r="C61" s="108"/>
      <c r="D61" s="108"/>
      <c r="E61" s="108"/>
      <c r="F61" s="108"/>
      <c r="G61" s="10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ht="12.0" customHeight="1">
      <c r="A62" s="108"/>
      <c r="B62" s="108"/>
      <c r="C62" s="108"/>
      <c r="D62" s="108"/>
      <c r="E62" s="108"/>
      <c r="F62" s="108"/>
      <c r="G62" s="108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ht="12.0" customHeight="1">
      <c r="A63" s="108"/>
      <c r="B63" s="108"/>
      <c r="C63" s="108"/>
      <c r="D63" s="108"/>
      <c r="E63" s="108"/>
      <c r="F63" s="108"/>
      <c r="G63" s="108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ht="12.0" customHeight="1">
      <c r="A64" s="108"/>
      <c r="B64" s="108"/>
      <c r="C64" s="108"/>
      <c r="D64" s="108"/>
      <c r="E64" s="108"/>
      <c r="F64" s="108"/>
      <c r="G64" s="108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ht="12.0" customHeight="1">
      <c r="A65" s="108"/>
      <c r="B65" s="108"/>
      <c r="C65" s="108"/>
      <c r="D65" s="108"/>
      <c r="E65" s="108"/>
      <c r="F65" s="108"/>
      <c r="G65" s="10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ht="12.0" customHeight="1">
      <c r="A66" s="108"/>
      <c r="B66" s="108"/>
      <c r="C66" s="108"/>
      <c r="D66" s="108"/>
      <c r="E66" s="108"/>
      <c r="F66" s="108"/>
      <c r="G66" s="108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 ht="12.0" customHeight="1">
      <c r="A67" s="108"/>
      <c r="B67" s="108"/>
      <c r="C67" s="108"/>
      <c r="D67" s="108"/>
      <c r="E67" s="108"/>
      <c r="F67" s="108"/>
      <c r="G67" s="108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ht="12.0" customHeight="1">
      <c r="A68" s="108"/>
      <c r="B68" s="108"/>
      <c r="C68" s="108"/>
      <c r="D68" s="108"/>
      <c r="E68" s="108"/>
      <c r="F68" s="108"/>
      <c r="G68" s="108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 ht="12.0" customHeight="1">
      <c r="A69" s="108"/>
      <c r="B69" s="108"/>
      <c r="C69" s="108"/>
      <c r="D69" s="108"/>
      <c r="E69" s="108"/>
      <c r="F69" s="108"/>
      <c r="G69" s="10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ht="12.0" customHeight="1">
      <c r="A70" s="108"/>
      <c r="B70" s="108"/>
      <c r="C70" s="108"/>
      <c r="D70" s="108"/>
      <c r="E70" s="108"/>
      <c r="F70" s="108"/>
      <c r="G70" s="108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 ht="12.0" customHeight="1">
      <c r="A71" s="108"/>
      <c r="B71" s="108"/>
      <c r="C71" s="108"/>
      <c r="D71" s="108"/>
      <c r="E71" s="108"/>
      <c r="F71" s="108"/>
      <c r="G71" s="108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 ht="12.0" customHeight="1">
      <c r="A72" s="108"/>
      <c r="B72" s="108"/>
      <c r="C72" s="108"/>
      <c r="D72" s="108"/>
      <c r="E72" s="108"/>
      <c r="F72" s="108"/>
      <c r="G72" s="108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 ht="12.0" customHeight="1">
      <c r="A73" s="108"/>
      <c r="B73" s="108"/>
      <c r="C73" s="108"/>
      <c r="D73" s="108"/>
      <c r="E73" s="108"/>
      <c r="F73" s="108"/>
      <c r="G73" s="108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 ht="12.0" customHeight="1">
      <c r="A74" s="108"/>
      <c r="B74" s="108"/>
      <c r="C74" s="108"/>
      <c r="D74" s="108"/>
      <c r="E74" s="108"/>
      <c r="F74" s="108"/>
      <c r="G74" s="108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 ht="12.0" customHeight="1">
      <c r="A75" s="108"/>
      <c r="B75" s="108"/>
      <c r="C75" s="108"/>
      <c r="D75" s="108"/>
      <c r="E75" s="108"/>
      <c r="F75" s="108"/>
      <c r="G75" s="108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 ht="12.0" customHeight="1">
      <c r="A76" s="108"/>
      <c r="B76" s="108"/>
      <c r="C76" s="108"/>
      <c r="D76" s="108"/>
      <c r="E76" s="108"/>
      <c r="F76" s="108"/>
      <c r="G76" s="108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 ht="12.0" customHeight="1">
      <c r="A77" s="108"/>
      <c r="B77" s="108"/>
      <c r="C77" s="108"/>
      <c r="D77" s="108"/>
      <c r="E77" s="108"/>
      <c r="F77" s="108"/>
      <c r="G77" s="10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 ht="12.0" customHeight="1">
      <c r="A78" s="108"/>
      <c r="B78" s="108"/>
      <c r="C78" s="108"/>
      <c r="D78" s="108"/>
      <c r="E78" s="108"/>
      <c r="F78" s="108"/>
      <c r="G78" s="108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 ht="12.0" customHeight="1">
      <c r="A79" s="108"/>
      <c r="B79" s="108"/>
      <c r="C79" s="108"/>
      <c r="D79" s="108"/>
      <c r="E79" s="108"/>
      <c r="F79" s="108"/>
      <c r="G79" s="108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 ht="12.0" customHeight="1">
      <c r="A80" s="108"/>
      <c r="B80" s="108"/>
      <c r="C80" s="108"/>
      <c r="D80" s="108"/>
      <c r="E80" s="108"/>
      <c r="F80" s="108"/>
      <c r="G80" s="108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 ht="12.0" customHeight="1">
      <c r="A81" s="108"/>
      <c r="B81" s="108"/>
      <c r="C81" s="108"/>
      <c r="D81" s="108"/>
      <c r="E81" s="108"/>
      <c r="F81" s="108"/>
      <c r="G81" s="108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 ht="12.0" customHeight="1">
      <c r="A82" s="108"/>
      <c r="B82" s="108"/>
      <c r="C82" s="108"/>
      <c r="D82" s="108"/>
      <c r="E82" s="108"/>
      <c r="F82" s="108"/>
      <c r="G82" s="108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 ht="12.0" customHeight="1">
      <c r="A83" s="108"/>
      <c r="B83" s="108"/>
      <c r="C83" s="108"/>
      <c r="D83" s="108"/>
      <c r="E83" s="108"/>
      <c r="F83" s="108"/>
      <c r="G83" s="108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 ht="12.0" customHeight="1">
      <c r="A84" s="108"/>
      <c r="B84" s="108"/>
      <c r="C84" s="108"/>
      <c r="D84" s="108"/>
      <c r="E84" s="108"/>
      <c r="F84" s="108"/>
      <c r="G84" s="108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 ht="12.0" customHeight="1">
      <c r="A85" s="108"/>
      <c r="B85" s="108"/>
      <c r="C85" s="108"/>
      <c r="D85" s="108"/>
      <c r="E85" s="108"/>
      <c r="F85" s="108"/>
      <c r="G85" s="10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 ht="12.0" customHeight="1">
      <c r="A86" s="108"/>
      <c r="B86" s="108"/>
      <c r="C86" s="108"/>
      <c r="D86" s="108"/>
      <c r="E86" s="108"/>
      <c r="F86" s="108"/>
      <c r="G86" s="108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 ht="12.0" customHeight="1">
      <c r="A87" s="108"/>
      <c r="B87" s="108"/>
      <c r="C87" s="108"/>
      <c r="D87" s="108"/>
      <c r="E87" s="108"/>
      <c r="F87" s="108"/>
      <c r="G87" s="108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 ht="12.0" customHeight="1">
      <c r="A88" s="108"/>
      <c r="B88" s="108"/>
      <c r="C88" s="108"/>
      <c r="D88" s="108"/>
      <c r="E88" s="108"/>
      <c r="F88" s="108"/>
      <c r="G88" s="108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 ht="12.0" customHeight="1">
      <c r="A89" s="108"/>
      <c r="B89" s="108"/>
      <c r="C89" s="108"/>
      <c r="D89" s="108"/>
      <c r="E89" s="108"/>
      <c r="F89" s="108"/>
      <c r="G89" s="108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ht="12.0" customHeight="1">
      <c r="A90" s="108"/>
      <c r="B90" s="108"/>
      <c r="C90" s="108"/>
      <c r="D90" s="108"/>
      <c r="E90" s="108"/>
      <c r="F90" s="108"/>
      <c r="G90" s="108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ht="12.0" customHeight="1">
      <c r="A91" s="108"/>
      <c r="B91" s="108"/>
      <c r="C91" s="108"/>
      <c r="D91" s="108"/>
      <c r="E91" s="108"/>
      <c r="F91" s="108"/>
      <c r="G91" s="108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 ht="12.0" customHeight="1">
      <c r="A92" s="108"/>
      <c r="B92" s="108"/>
      <c r="C92" s="108"/>
      <c r="D92" s="108"/>
      <c r="E92" s="108"/>
      <c r="F92" s="108"/>
      <c r="G92" s="108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 ht="12.0" customHeight="1">
      <c r="A93" s="108"/>
      <c r="B93" s="108"/>
      <c r="C93" s="108"/>
      <c r="D93" s="108"/>
      <c r="E93" s="108"/>
      <c r="F93" s="108"/>
      <c r="G93" s="108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ht="12.0" customHeight="1">
      <c r="A94" s="108"/>
      <c r="B94" s="108"/>
      <c r="C94" s="108"/>
      <c r="D94" s="108"/>
      <c r="E94" s="108"/>
      <c r="F94" s="108"/>
      <c r="G94" s="108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ht="12.0" customHeight="1">
      <c r="A95" s="108"/>
      <c r="B95" s="108"/>
      <c r="C95" s="108"/>
      <c r="D95" s="108"/>
      <c r="E95" s="108"/>
      <c r="F95" s="108"/>
      <c r="G95" s="108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ht="12.0" customHeight="1">
      <c r="A96" s="108"/>
      <c r="B96" s="108"/>
      <c r="C96" s="108"/>
      <c r="D96" s="108"/>
      <c r="E96" s="108"/>
      <c r="F96" s="108"/>
      <c r="G96" s="108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ht="12.0" customHeight="1">
      <c r="A97" s="108"/>
      <c r="B97" s="108"/>
      <c r="C97" s="108"/>
      <c r="D97" s="108"/>
      <c r="E97" s="108"/>
      <c r="F97" s="108"/>
      <c r="G97" s="10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ht="12.0" customHeight="1">
      <c r="A98" s="108"/>
      <c r="B98" s="108"/>
      <c r="C98" s="108"/>
      <c r="D98" s="108"/>
      <c r="E98" s="108"/>
      <c r="F98" s="108"/>
      <c r="G98" s="108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ht="12.0" customHeight="1">
      <c r="A99" s="108"/>
      <c r="B99" s="108"/>
      <c r="C99" s="108"/>
      <c r="D99" s="108"/>
      <c r="E99" s="108"/>
      <c r="F99" s="108"/>
      <c r="G99" s="108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ht="12.0" customHeight="1">
      <c r="A100" s="108"/>
      <c r="B100" s="108"/>
      <c r="C100" s="108"/>
      <c r="D100" s="108"/>
      <c r="E100" s="108"/>
      <c r="F100" s="108"/>
      <c r="G100" s="108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ht="12.0" customHeight="1">
      <c r="A101" s="108"/>
      <c r="B101" s="108"/>
      <c r="C101" s="108"/>
      <c r="D101" s="108"/>
      <c r="E101" s="108"/>
      <c r="F101" s="108"/>
      <c r="G101" s="108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ht="12.0" customHeight="1">
      <c r="A102" s="108"/>
      <c r="B102" s="108"/>
      <c r="C102" s="108"/>
      <c r="D102" s="108"/>
      <c r="E102" s="108"/>
      <c r="F102" s="108"/>
      <c r="G102" s="108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ht="12.0" customHeight="1">
      <c r="A103" s="108"/>
      <c r="B103" s="108"/>
      <c r="C103" s="108"/>
      <c r="D103" s="108"/>
      <c r="E103" s="108"/>
      <c r="F103" s="108"/>
      <c r="G103" s="108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ht="12.0" customHeight="1">
      <c r="A104" s="108"/>
      <c r="B104" s="108"/>
      <c r="C104" s="108"/>
      <c r="D104" s="108"/>
      <c r="E104" s="108"/>
      <c r="F104" s="108"/>
      <c r="G104" s="108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ht="12.0" customHeight="1">
      <c r="A105" s="108"/>
      <c r="B105" s="108"/>
      <c r="C105" s="108"/>
      <c r="D105" s="108"/>
      <c r="E105" s="108"/>
      <c r="F105" s="108"/>
      <c r="G105" s="108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ht="12.0" customHeight="1">
      <c r="A106" s="108"/>
      <c r="B106" s="108"/>
      <c r="C106" s="108"/>
      <c r="D106" s="108"/>
      <c r="E106" s="108"/>
      <c r="F106" s="108"/>
      <c r="G106" s="108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ht="12.0" customHeight="1">
      <c r="A107" s="108"/>
      <c r="B107" s="108"/>
      <c r="C107" s="108"/>
      <c r="D107" s="108"/>
      <c r="E107" s="108"/>
      <c r="F107" s="108"/>
      <c r="G107" s="108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ht="12.0" customHeight="1">
      <c r="A108" s="108"/>
      <c r="B108" s="108"/>
      <c r="C108" s="108"/>
      <c r="D108" s="108"/>
      <c r="E108" s="108"/>
      <c r="F108" s="108"/>
      <c r="G108" s="108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ht="12.0" customHeight="1">
      <c r="A109" s="108"/>
      <c r="B109" s="108"/>
      <c r="C109" s="108"/>
      <c r="D109" s="108"/>
      <c r="E109" s="108"/>
      <c r="F109" s="108"/>
      <c r="G109" s="108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ht="12.0" customHeight="1">
      <c r="A110" s="108"/>
      <c r="B110" s="108"/>
      <c r="C110" s="108"/>
      <c r="D110" s="108"/>
      <c r="E110" s="108"/>
      <c r="F110" s="108"/>
      <c r="G110" s="108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ht="12.0" customHeight="1">
      <c r="A111" s="108"/>
      <c r="B111" s="108"/>
      <c r="C111" s="108"/>
      <c r="D111" s="108"/>
      <c r="E111" s="108"/>
      <c r="F111" s="108"/>
      <c r="G111" s="108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ht="12.0" customHeight="1">
      <c r="A112" s="108"/>
      <c r="B112" s="108"/>
      <c r="C112" s="108"/>
      <c r="D112" s="108"/>
      <c r="E112" s="108"/>
      <c r="F112" s="108"/>
      <c r="G112" s="108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ht="12.0" customHeight="1">
      <c r="A113" s="108"/>
      <c r="B113" s="108"/>
      <c r="C113" s="108"/>
      <c r="D113" s="108"/>
      <c r="E113" s="108"/>
      <c r="F113" s="108"/>
      <c r="G113" s="108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ht="12.0" customHeight="1">
      <c r="A114" s="108"/>
      <c r="B114" s="108"/>
      <c r="C114" s="108"/>
      <c r="D114" s="108"/>
      <c r="E114" s="108"/>
      <c r="F114" s="108"/>
      <c r="G114" s="108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ht="12.0" customHeight="1">
      <c r="A115" s="108"/>
      <c r="B115" s="108"/>
      <c r="C115" s="108"/>
      <c r="D115" s="108"/>
      <c r="E115" s="108"/>
      <c r="F115" s="108"/>
      <c r="G115" s="108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ht="12.0" customHeight="1">
      <c r="A116" s="108"/>
      <c r="B116" s="108"/>
      <c r="C116" s="108"/>
      <c r="D116" s="108"/>
      <c r="E116" s="108"/>
      <c r="F116" s="108"/>
      <c r="G116" s="108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ht="12.0" customHeight="1">
      <c r="A117" s="108"/>
      <c r="B117" s="108"/>
      <c r="C117" s="108"/>
      <c r="D117" s="108"/>
      <c r="E117" s="108"/>
      <c r="F117" s="108"/>
      <c r="G117" s="10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ht="12.0" customHeight="1">
      <c r="A118" s="108"/>
      <c r="B118" s="108"/>
      <c r="C118" s="108"/>
      <c r="D118" s="108"/>
      <c r="E118" s="108"/>
      <c r="F118" s="108"/>
      <c r="G118" s="108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ht="12.0" customHeight="1">
      <c r="A119" s="108"/>
      <c r="B119" s="108"/>
      <c r="C119" s="108"/>
      <c r="D119" s="108"/>
      <c r="E119" s="108"/>
      <c r="F119" s="108"/>
      <c r="G119" s="108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ht="12.0" customHeight="1">
      <c r="A120" s="108"/>
      <c r="B120" s="108"/>
      <c r="C120" s="108"/>
      <c r="D120" s="108"/>
      <c r="E120" s="108"/>
      <c r="F120" s="108"/>
      <c r="G120" s="108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ht="12.0" customHeight="1">
      <c r="A121" s="108"/>
      <c r="B121" s="108"/>
      <c r="C121" s="108"/>
      <c r="D121" s="108"/>
      <c r="E121" s="108"/>
      <c r="F121" s="108"/>
      <c r="G121" s="10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ht="12.0" customHeight="1">
      <c r="A122" s="108"/>
      <c r="B122" s="108"/>
      <c r="C122" s="108"/>
      <c r="D122" s="108"/>
      <c r="E122" s="108"/>
      <c r="F122" s="108"/>
      <c r="G122" s="108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2.0" customHeight="1">
      <c r="A123" s="108"/>
      <c r="B123" s="108"/>
      <c r="C123" s="108"/>
      <c r="D123" s="108"/>
      <c r="E123" s="108"/>
      <c r="F123" s="108"/>
      <c r="G123" s="108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2.0" customHeight="1">
      <c r="A124" s="108"/>
      <c r="B124" s="108"/>
      <c r="C124" s="108"/>
      <c r="D124" s="108"/>
      <c r="E124" s="108"/>
      <c r="F124" s="108"/>
      <c r="G124" s="108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2.0" customHeight="1">
      <c r="A125" s="108"/>
      <c r="B125" s="108"/>
      <c r="C125" s="108"/>
      <c r="D125" s="108"/>
      <c r="E125" s="108"/>
      <c r="F125" s="108"/>
      <c r="G125" s="10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2.0" customHeight="1">
      <c r="A126" s="108"/>
      <c r="B126" s="108"/>
      <c r="C126" s="108"/>
      <c r="D126" s="108"/>
      <c r="E126" s="108"/>
      <c r="F126" s="108"/>
      <c r="G126" s="108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2.0" customHeight="1">
      <c r="A127" s="108"/>
      <c r="B127" s="108"/>
      <c r="C127" s="108"/>
      <c r="D127" s="108"/>
      <c r="E127" s="108"/>
      <c r="F127" s="108"/>
      <c r="G127" s="108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2.0" customHeight="1">
      <c r="A128" s="108"/>
      <c r="B128" s="108"/>
      <c r="C128" s="108"/>
      <c r="D128" s="108"/>
      <c r="E128" s="108"/>
      <c r="F128" s="108"/>
      <c r="G128" s="108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2.0" customHeight="1">
      <c r="A129" s="108"/>
      <c r="B129" s="108"/>
      <c r="C129" s="108"/>
      <c r="D129" s="108"/>
      <c r="E129" s="108"/>
      <c r="F129" s="108"/>
      <c r="G129" s="108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2.0" customHeight="1">
      <c r="A130" s="108"/>
      <c r="B130" s="108"/>
      <c r="C130" s="108"/>
      <c r="D130" s="108"/>
      <c r="E130" s="108"/>
      <c r="F130" s="108"/>
      <c r="G130" s="108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2.0" customHeight="1">
      <c r="A131" s="108"/>
      <c r="B131" s="108"/>
      <c r="C131" s="108"/>
      <c r="D131" s="108"/>
      <c r="E131" s="108"/>
      <c r="F131" s="108"/>
      <c r="G131" s="108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2.0" customHeight="1">
      <c r="A132" s="108"/>
      <c r="B132" s="108"/>
      <c r="C132" s="108"/>
      <c r="D132" s="108"/>
      <c r="E132" s="108"/>
      <c r="F132" s="108"/>
      <c r="G132" s="108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2.0" customHeight="1">
      <c r="A133" s="108"/>
      <c r="B133" s="108"/>
      <c r="C133" s="108"/>
      <c r="D133" s="108"/>
      <c r="E133" s="108"/>
      <c r="F133" s="108"/>
      <c r="G133" s="10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2.0" customHeight="1">
      <c r="A134" s="108"/>
      <c r="B134" s="108"/>
      <c r="C134" s="108"/>
      <c r="D134" s="108"/>
      <c r="E134" s="108"/>
      <c r="F134" s="108"/>
      <c r="G134" s="108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2.0" customHeight="1">
      <c r="A135" s="108"/>
      <c r="B135" s="108"/>
      <c r="C135" s="108"/>
      <c r="D135" s="108"/>
      <c r="E135" s="108"/>
      <c r="F135" s="108"/>
      <c r="G135" s="108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2.0" customHeight="1">
      <c r="A136" s="108"/>
      <c r="B136" s="108"/>
      <c r="C136" s="108"/>
      <c r="D136" s="108"/>
      <c r="E136" s="108"/>
      <c r="F136" s="108"/>
      <c r="G136" s="108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2.0" customHeight="1">
      <c r="A137" s="108"/>
      <c r="B137" s="108"/>
      <c r="C137" s="108"/>
      <c r="D137" s="108"/>
      <c r="E137" s="108"/>
      <c r="F137" s="108"/>
      <c r="G137" s="108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2.0" customHeight="1">
      <c r="A138" s="108"/>
      <c r="B138" s="108"/>
      <c r="C138" s="108"/>
      <c r="D138" s="108"/>
      <c r="E138" s="108"/>
      <c r="F138" s="108"/>
      <c r="G138" s="108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2.0" customHeight="1">
      <c r="A139" s="108"/>
      <c r="B139" s="108"/>
      <c r="C139" s="108"/>
      <c r="D139" s="108"/>
      <c r="E139" s="108"/>
      <c r="F139" s="108"/>
      <c r="G139" s="108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2.0" customHeight="1">
      <c r="A140" s="108"/>
      <c r="B140" s="108"/>
      <c r="C140" s="108"/>
      <c r="D140" s="108"/>
      <c r="E140" s="108"/>
      <c r="F140" s="108"/>
      <c r="G140" s="108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2.0" customHeight="1">
      <c r="A141" s="108"/>
      <c r="B141" s="108"/>
      <c r="C141" s="108"/>
      <c r="D141" s="108"/>
      <c r="E141" s="108"/>
      <c r="F141" s="108"/>
      <c r="G141" s="10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2.0" customHeight="1">
      <c r="A142" s="108"/>
      <c r="B142" s="108"/>
      <c r="C142" s="108"/>
      <c r="D142" s="108"/>
      <c r="E142" s="108"/>
      <c r="F142" s="108"/>
      <c r="G142" s="108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2.0" customHeight="1">
      <c r="A143" s="108"/>
      <c r="B143" s="108"/>
      <c r="C143" s="108"/>
      <c r="D143" s="108"/>
      <c r="E143" s="108"/>
      <c r="F143" s="108"/>
      <c r="G143" s="108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2.0" customHeight="1">
      <c r="A144" s="108"/>
      <c r="B144" s="108"/>
      <c r="C144" s="108"/>
      <c r="D144" s="108"/>
      <c r="E144" s="108"/>
      <c r="F144" s="108"/>
      <c r="G144" s="108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2.0" customHeight="1">
      <c r="A145" s="108"/>
      <c r="B145" s="108"/>
      <c r="C145" s="108"/>
      <c r="D145" s="108"/>
      <c r="E145" s="108"/>
      <c r="F145" s="108"/>
      <c r="G145" s="10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2.0" customHeight="1">
      <c r="A146" s="108"/>
      <c r="B146" s="108"/>
      <c r="C146" s="108"/>
      <c r="D146" s="108"/>
      <c r="E146" s="108"/>
      <c r="F146" s="108"/>
      <c r="G146" s="108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2.0" customHeight="1">
      <c r="A147" s="108"/>
      <c r="B147" s="108"/>
      <c r="C147" s="108"/>
      <c r="D147" s="108"/>
      <c r="E147" s="108"/>
      <c r="F147" s="108"/>
      <c r="G147" s="108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2.0" customHeight="1">
      <c r="A148" s="108"/>
      <c r="B148" s="108"/>
      <c r="C148" s="108"/>
      <c r="D148" s="108"/>
      <c r="E148" s="108"/>
      <c r="F148" s="108"/>
      <c r="G148" s="108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2.0" customHeight="1">
      <c r="A149" s="108"/>
      <c r="B149" s="108"/>
      <c r="C149" s="108"/>
      <c r="D149" s="108"/>
      <c r="E149" s="108"/>
      <c r="F149" s="108"/>
      <c r="G149" s="108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2.0" customHeight="1">
      <c r="A150" s="108"/>
      <c r="B150" s="108"/>
      <c r="C150" s="108"/>
      <c r="D150" s="108"/>
      <c r="E150" s="108"/>
      <c r="F150" s="108"/>
      <c r="G150" s="108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2.0" customHeight="1">
      <c r="A151" s="108"/>
      <c r="B151" s="108"/>
      <c r="C151" s="108"/>
      <c r="D151" s="108"/>
      <c r="E151" s="108"/>
      <c r="F151" s="108"/>
      <c r="G151" s="108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2.0" customHeight="1">
      <c r="A152" s="108"/>
      <c r="B152" s="108"/>
      <c r="C152" s="108"/>
      <c r="D152" s="108"/>
      <c r="E152" s="108"/>
      <c r="F152" s="108"/>
      <c r="G152" s="108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2.0" customHeight="1">
      <c r="A153" s="108"/>
      <c r="B153" s="108"/>
      <c r="C153" s="108"/>
      <c r="D153" s="108"/>
      <c r="E153" s="108"/>
      <c r="F153" s="108"/>
      <c r="G153" s="108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2.0" customHeight="1">
      <c r="A154" s="108"/>
      <c r="B154" s="108"/>
      <c r="C154" s="108"/>
      <c r="D154" s="108"/>
      <c r="E154" s="108"/>
      <c r="F154" s="108"/>
      <c r="G154" s="108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2.0" customHeight="1">
      <c r="A155" s="108"/>
      <c r="B155" s="108"/>
      <c r="C155" s="108"/>
      <c r="D155" s="108"/>
      <c r="E155" s="108"/>
      <c r="F155" s="108"/>
      <c r="G155" s="108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2.0" customHeight="1">
      <c r="A156" s="108"/>
      <c r="B156" s="108"/>
      <c r="C156" s="108"/>
      <c r="D156" s="108"/>
      <c r="E156" s="108"/>
      <c r="F156" s="108"/>
      <c r="G156" s="108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2.0" customHeight="1">
      <c r="A157" s="108"/>
      <c r="B157" s="108"/>
      <c r="C157" s="108"/>
      <c r="D157" s="108"/>
      <c r="E157" s="108"/>
      <c r="F157" s="108"/>
      <c r="G157" s="108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2.0" customHeight="1">
      <c r="A158" s="108"/>
      <c r="B158" s="108"/>
      <c r="C158" s="108"/>
      <c r="D158" s="108"/>
      <c r="E158" s="108"/>
      <c r="F158" s="108"/>
      <c r="G158" s="108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2.0" customHeight="1">
      <c r="A159" s="108"/>
      <c r="B159" s="108"/>
      <c r="C159" s="108"/>
      <c r="D159" s="108"/>
      <c r="E159" s="108"/>
      <c r="F159" s="108"/>
      <c r="G159" s="108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2.0" customHeight="1">
      <c r="A160" s="108"/>
      <c r="B160" s="108"/>
      <c r="C160" s="108"/>
      <c r="D160" s="108"/>
      <c r="E160" s="108"/>
      <c r="F160" s="108"/>
      <c r="G160" s="108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2.0" customHeight="1">
      <c r="A161" s="108"/>
      <c r="B161" s="108"/>
      <c r="C161" s="108"/>
      <c r="D161" s="108"/>
      <c r="E161" s="108"/>
      <c r="F161" s="108"/>
      <c r="G161" s="108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2.0" customHeight="1">
      <c r="A162" s="108"/>
      <c r="B162" s="108"/>
      <c r="C162" s="108"/>
      <c r="D162" s="108"/>
      <c r="E162" s="108"/>
      <c r="F162" s="108"/>
      <c r="G162" s="108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2.0" customHeight="1">
      <c r="A163" s="108"/>
      <c r="B163" s="108"/>
      <c r="C163" s="108"/>
      <c r="D163" s="108"/>
      <c r="E163" s="108"/>
      <c r="F163" s="108"/>
      <c r="G163" s="108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2.0" customHeight="1">
      <c r="A164" s="108"/>
      <c r="B164" s="108"/>
      <c r="C164" s="108"/>
      <c r="D164" s="108"/>
      <c r="E164" s="108"/>
      <c r="F164" s="108"/>
      <c r="G164" s="108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2.0" customHeight="1">
      <c r="A165" s="108"/>
      <c r="B165" s="108"/>
      <c r="C165" s="108"/>
      <c r="D165" s="108"/>
      <c r="E165" s="108"/>
      <c r="F165" s="108"/>
      <c r="G165" s="108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2.0" customHeight="1">
      <c r="A166" s="108"/>
      <c r="B166" s="108"/>
      <c r="C166" s="108"/>
      <c r="D166" s="108"/>
      <c r="E166" s="108"/>
      <c r="F166" s="108"/>
      <c r="G166" s="108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2.0" customHeight="1">
      <c r="A167" s="108"/>
      <c r="B167" s="108"/>
      <c r="C167" s="108"/>
      <c r="D167" s="108"/>
      <c r="E167" s="108"/>
      <c r="F167" s="108"/>
      <c r="G167" s="108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2.0" customHeight="1">
      <c r="A168" s="108"/>
      <c r="B168" s="108"/>
      <c r="C168" s="108"/>
      <c r="D168" s="108"/>
      <c r="E168" s="108"/>
      <c r="F168" s="108"/>
      <c r="G168" s="108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2.0" customHeight="1">
      <c r="A169" s="108"/>
      <c r="B169" s="108"/>
      <c r="C169" s="108"/>
      <c r="D169" s="108"/>
      <c r="E169" s="108"/>
      <c r="F169" s="108"/>
      <c r="G169" s="108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2.0" customHeight="1">
      <c r="A170" s="108"/>
      <c r="B170" s="108"/>
      <c r="C170" s="108"/>
      <c r="D170" s="108"/>
      <c r="E170" s="108"/>
      <c r="F170" s="108"/>
      <c r="G170" s="108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2.0" customHeight="1">
      <c r="A171" s="108"/>
      <c r="B171" s="108"/>
      <c r="C171" s="108"/>
      <c r="D171" s="108"/>
      <c r="E171" s="108"/>
      <c r="F171" s="108"/>
      <c r="G171" s="108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2.0" customHeight="1">
      <c r="A172" s="108"/>
      <c r="B172" s="108"/>
      <c r="C172" s="108"/>
      <c r="D172" s="108"/>
      <c r="E172" s="108"/>
      <c r="F172" s="108"/>
      <c r="G172" s="108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2.0" customHeight="1">
      <c r="A173" s="108"/>
      <c r="B173" s="108"/>
      <c r="C173" s="108"/>
      <c r="D173" s="108"/>
      <c r="E173" s="108"/>
      <c r="F173" s="108"/>
      <c r="G173" s="10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2.0" customHeight="1">
      <c r="A174" s="108"/>
      <c r="B174" s="108"/>
      <c r="C174" s="108"/>
      <c r="D174" s="108"/>
      <c r="E174" s="108"/>
      <c r="F174" s="108"/>
      <c r="G174" s="108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2.0" customHeight="1">
      <c r="A175" s="108"/>
      <c r="B175" s="108"/>
      <c r="C175" s="108"/>
      <c r="D175" s="108"/>
      <c r="E175" s="108"/>
      <c r="F175" s="108"/>
      <c r="G175" s="108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2.0" customHeight="1">
      <c r="A176" s="108"/>
      <c r="B176" s="108"/>
      <c r="C176" s="108"/>
      <c r="D176" s="108"/>
      <c r="E176" s="108"/>
      <c r="F176" s="108"/>
      <c r="G176" s="108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2.0" customHeight="1">
      <c r="A177" s="108"/>
      <c r="B177" s="108"/>
      <c r="C177" s="108"/>
      <c r="D177" s="108"/>
      <c r="E177" s="108"/>
      <c r="F177" s="108"/>
      <c r="G177" s="108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2.0" customHeight="1">
      <c r="A178" s="108"/>
      <c r="B178" s="108"/>
      <c r="C178" s="108"/>
      <c r="D178" s="108"/>
      <c r="E178" s="108"/>
      <c r="F178" s="108"/>
      <c r="G178" s="108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2.0" customHeight="1">
      <c r="A179" s="108"/>
      <c r="B179" s="108"/>
      <c r="C179" s="108"/>
      <c r="D179" s="108"/>
      <c r="E179" s="108"/>
      <c r="F179" s="108"/>
      <c r="G179" s="108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2.0" customHeight="1">
      <c r="A180" s="108"/>
      <c r="B180" s="108"/>
      <c r="C180" s="108"/>
      <c r="D180" s="108"/>
      <c r="E180" s="108"/>
      <c r="F180" s="108"/>
      <c r="G180" s="108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2.0" customHeight="1">
      <c r="A181" s="108"/>
      <c r="B181" s="108"/>
      <c r="C181" s="108"/>
      <c r="D181" s="108"/>
      <c r="E181" s="108"/>
      <c r="F181" s="108"/>
      <c r="G181" s="10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2.0" customHeight="1">
      <c r="A182" s="108"/>
      <c r="B182" s="108"/>
      <c r="C182" s="108"/>
      <c r="D182" s="108"/>
      <c r="E182" s="108"/>
      <c r="F182" s="108"/>
      <c r="G182" s="108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2.0" customHeight="1">
      <c r="A183" s="108"/>
      <c r="B183" s="108"/>
      <c r="C183" s="108"/>
      <c r="D183" s="108"/>
      <c r="E183" s="108"/>
      <c r="F183" s="108"/>
      <c r="G183" s="108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2.0" customHeight="1">
      <c r="A184" s="108"/>
      <c r="B184" s="108"/>
      <c r="C184" s="108"/>
      <c r="D184" s="108"/>
      <c r="E184" s="108"/>
      <c r="F184" s="108"/>
      <c r="G184" s="108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2.0" customHeight="1">
      <c r="A185" s="108"/>
      <c r="B185" s="108"/>
      <c r="C185" s="108"/>
      <c r="D185" s="108"/>
      <c r="E185" s="108"/>
      <c r="F185" s="108"/>
      <c r="G185" s="108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2.0" customHeight="1">
      <c r="A186" s="108"/>
      <c r="B186" s="108"/>
      <c r="C186" s="108"/>
      <c r="D186" s="108"/>
      <c r="E186" s="108"/>
      <c r="F186" s="108"/>
      <c r="G186" s="108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2.0" customHeight="1">
      <c r="A187" s="108"/>
      <c r="B187" s="108"/>
      <c r="C187" s="108"/>
      <c r="D187" s="108"/>
      <c r="E187" s="108"/>
      <c r="F187" s="108"/>
      <c r="G187" s="108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2.0" customHeight="1">
      <c r="A188" s="108"/>
      <c r="B188" s="108"/>
      <c r="C188" s="108"/>
      <c r="D188" s="108"/>
      <c r="E188" s="108"/>
      <c r="F188" s="108"/>
      <c r="G188" s="108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2.0" customHeight="1">
      <c r="A189" s="108"/>
      <c r="B189" s="108"/>
      <c r="C189" s="108"/>
      <c r="D189" s="108"/>
      <c r="E189" s="108"/>
      <c r="F189" s="108"/>
      <c r="G189" s="108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2.0" customHeight="1">
      <c r="A190" s="108"/>
      <c r="B190" s="108"/>
      <c r="C190" s="108"/>
      <c r="D190" s="108"/>
      <c r="E190" s="108"/>
      <c r="F190" s="108"/>
      <c r="G190" s="108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2.0" customHeight="1">
      <c r="A191" s="108"/>
      <c r="B191" s="108"/>
      <c r="C191" s="108"/>
      <c r="D191" s="108"/>
      <c r="E191" s="108"/>
      <c r="F191" s="108"/>
      <c r="G191" s="108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2.0" customHeight="1">
      <c r="A192" s="108"/>
      <c r="B192" s="108"/>
      <c r="C192" s="108"/>
      <c r="D192" s="108"/>
      <c r="E192" s="108"/>
      <c r="F192" s="108"/>
      <c r="G192" s="108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2.0" customHeight="1">
      <c r="A193" s="108"/>
      <c r="B193" s="108"/>
      <c r="C193" s="108"/>
      <c r="D193" s="108"/>
      <c r="E193" s="108"/>
      <c r="F193" s="108"/>
      <c r="G193" s="10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2.0" customHeight="1">
      <c r="A194" s="108"/>
      <c r="B194" s="108"/>
      <c r="C194" s="108"/>
      <c r="D194" s="108"/>
      <c r="E194" s="108"/>
      <c r="F194" s="108"/>
      <c r="G194" s="108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2.0" customHeight="1">
      <c r="A195" s="108"/>
      <c r="B195" s="108"/>
      <c r="C195" s="108"/>
      <c r="D195" s="108"/>
      <c r="E195" s="108"/>
      <c r="F195" s="108"/>
      <c r="G195" s="108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2.0" customHeight="1">
      <c r="A196" s="108"/>
      <c r="B196" s="108"/>
      <c r="C196" s="108"/>
      <c r="D196" s="108"/>
      <c r="E196" s="108"/>
      <c r="F196" s="108"/>
      <c r="G196" s="10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2.0" customHeight="1">
      <c r="A197" s="108"/>
      <c r="B197" s="108"/>
      <c r="C197" s="108"/>
      <c r="D197" s="108"/>
      <c r="E197" s="108"/>
      <c r="F197" s="108"/>
      <c r="G197" s="10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2.0" customHeight="1">
      <c r="A198" s="108"/>
      <c r="B198" s="108"/>
      <c r="C198" s="108"/>
      <c r="D198" s="108"/>
      <c r="E198" s="108"/>
      <c r="F198" s="108"/>
      <c r="G198" s="108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2.0" customHeight="1">
      <c r="A199" s="108"/>
      <c r="B199" s="108"/>
      <c r="C199" s="108"/>
      <c r="D199" s="108"/>
      <c r="E199" s="108"/>
      <c r="F199" s="108"/>
      <c r="G199" s="108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2.0" customHeight="1">
      <c r="A200" s="108"/>
      <c r="B200" s="108"/>
      <c r="C200" s="108"/>
      <c r="D200" s="108"/>
      <c r="E200" s="108"/>
      <c r="F200" s="108"/>
      <c r="G200" s="108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2.0" customHeight="1">
      <c r="A201" s="108"/>
      <c r="B201" s="108"/>
      <c r="C201" s="108"/>
      <c r="D201" s="108"/>
      <c r="E201" s="108"/>
      <c r="F201" s="108"/>
      <c r="G201" s="10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2.0" customHeight="1">
      <c r="A202" s="108"/>
      <c r="B202" s="108"/>
      <c r="C202" s="108"/>
      <c r="D202" s="108"/>
      <c r="E202" s="108"/>
      <c r="F202" s="108"/>
      <c r="G202" s="108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2.0" customHeight="1">
      <c r="A203" s="108"/>
      <c r="B203" s="108"/>
      <c r="C203" s="108"/>
      <c r="D203" s="108"/>
      <c r="E203" s="108"/>
      <c r="F203" s="108"/>
      <c r="G203" s="108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2.0" customHeight="1">
      <c r="A204" s="108"/>
      <c r="B204" s="108"/>
      <c r="C204" s="108"/>
      <c r="D204" s="108"/>
      <c r="E204" s="108"/>
      <c r="F204" s="108"/>
      <c r="G204" s="108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2.0" customHeight="1">
      <c r="A205" s="108"/>
      <c r="B205" s="108"/>
      <c r="C205" s="108"/>
      <c r="D205" s="108"/>
      <c r="E205" s="108"/>
      <c r="F205" s="108"/>
      <c r="G205" s="10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2.0" customHeight="1">
      <c r="A206" s="108"/>
      <c r="B206" s="108"/>
      <c r="C206" s="108"/>
      <c r="D206" s="108"/>
      <c r="E206" s="108"/>
      <c r="F206" s="108"/>
      <c r="G206" s="108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2.0" customHeight="1">
      <c r="A207" s="108"/>
      <c r="B207" s="108"/>
      <c r="C207" s="108"/>
      <c r="D207" s="108"/>
      <c r="E207" s="108"/>
      <c r="F207" s="108"/>
      <c r="G207" s="108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2.0" customHeight="1">
      <c r="A208" s="108"/>
      <c r="B208" s="108"/>
      <c r="C208" s="108"/>
      <c r="D208" s="108"/>
      <c r="E208" s="108"/>
      <c r="F208" s="108"/>
      <c r="G208" s="108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2.0" customHeight="1">
      <c r="A209" s="108"/>
      <c r="B209" s="108"/>
      <c r="C209" s="108"/>
      <c r="D209" s="108"/>
      <c r="E209" s="108"/>
      <c r="F209" s="108"/>
      <c r="G209" s="10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2.0" customHeight="1">
      <c r="A210" s="108"/>
      <c r="B210" s="108"/>
      <c r="C210" s="108"/>
      <c r="D210" s="108"/>
      <c r="E210" s="108"/>
      <c r="F210" s="108"/>
      <c r="G210" s="108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2.0" customHeight="1">
      <c r="A211" s="108"/>
      <c r="B211" s="108"/>
      <c r="C211" s="108"/>
      <c r="D211" s="108"/>
      <c r="E211" s="108"/>
      <c r="F211" s="108"/>
      <c r="G211" s="108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2.0" customHeight="1">
      <c r="A212" s="108"/>
      <c r="B212" s="108"/>
      <c r="C212" s="108"/>
      <c r="D212" s="108"/>
      <c r="E212" s="108"/>
      <c r="F212" s="108"/>
      <c r="G212" s="108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2.0" customHeight="1">
      <c r="A213" s="108"/>
      <c r="B213" s="108"/>
      <c r="C213" s="108"/>
      <c r="D213" s="108"/>
      <c r="E213" s="108"/>
      <c r="F213" s="108"/>
      <c r="G213" s="10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2.0" customHeight="1">
      <c r="A214" s="108"/>
      <c r="B214" s="108"/>
      <c r="C214" s="108"/>
      <c r="D214" s="108"/>
      <c r="E214" s="108"/>
      <c r="F214" s="108"/>
      <c r="G214" s="108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2.0" customHeight="1">
      <c r="A215" s="108"/>
      <c r="B215" s="108"/>
      <c r="C215" s="108"/>
      <c r="D215" s="108"/>
      <c r="E215" s="108"/>
      <c r="F215" s="108"/>
      <c r="G215" s="108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2.0" customHeight="1">
      <c r="A216" s="108"/>
      <c r="B216" s="108"/>
      <c r="C216" s="108"/>
      <c r="D216" s="108"/>
      <c r="E216" s="108"/>
      <c r="F216" s="108"/>
      <c r="G216" s="108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2.0" customHeight="1">
      <c r="A217" s="108"/>
      <c r="B217" s="108"/>
      <c r="C217" s="108"/>
      <c r="D217" s="108"/>
      <c r="E217" s="108"/>
      <c r="F217" s="108"/>
      <c r="G217" s="10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2.0" customHeight="1">
      <c r="A218" s="108"/>
      <c r="B218" s="108"/>
      <c r="C218" s="108"/>
      <c r="D218" s="108"/>
      <c r="E218" s="108"/>
      <c r="F218" s="108"/>
      <c r="G218" s="108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2.0" customHeight="1">
      <c r="A219" s="108"/>
      <c r="B219" s="108"/>
      <c r="C219" s="108"/>
      <c r="D219" s="108"/>
      <c r="E219" s="108"/>
      <c r="F219" s="108"/>
      <c r="G219" s="108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2.0" customHeight="1">
      <c r="A220" s="108"/>
      <c r="B220" s="108"/>
      <c r="C220" s="108"/>
      <c r="D220" s="108"/>
      <c r="E220" s="108"/>
      <c r="F220" s="108"/>
      <c r="G220" s="108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2.0" customHeight="1">
      <c r="A221" s="108"/>
      <c r="B221" s="108"/>
      <c r="C221" s="108"/>
      <c r="D221" s="108"/>
      <c r="E221" s="108"/>
      <c r="F221" s="108"/>
      <c r="G221" s="10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2.0" customHeight="1">
      <c r="A222" s="108"/>
      <c r="B222" s="108"/>
      <c r="C222" s="108"/>
      <c r="D222" s="108"/>
      <c r="E222" s="108"/>
      <c r="F222" s="108"/>
      <c r="G222" s="108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2.0" customHeight="1">
      <c r="A223" s="108"/>
      <c r="B223" s="108"/>
      <c r="C223" s="108"/>
      <c r="D223" s="108"/>
      <c r="E223" s="108"/>
      <c r="F223" s="108"/>
      <c r="G223" s="108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2.0" customHeight="1">
      <c r="A224" s="108"/>
      <c r="B224" s="108"/>
      <c r="C224" s="108"/>
      <c r="D224" s="108"/>
      <c r="E224" s="108"/>
      <c r="F224" s="108"/>
      <c r="G224" s="108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2.0" customHeight="1">
      <c r="A225" s="108"/>
      <c r="B225" s="108"/>
      <c r="C225" s="108"/>
      <c r="D225" s="108"/>
      <c r="E225" s="108"/>
      <c r="F225" s="108"/>
      <c r="G225" s="10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2.0" customHeight="1">
      <c r="A226" s="108"/>
      <c r="B226" s="108"/>
      <c r="C226" s="108"/>
      <c r="D226" s="108"/>
      <c r="E226" s="108"/>
      <c r="F226" s="108"/>
      <c r="G226" s="108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2.0" customHeight="1">
      <c r="A227" s="108"/>
      <c r="B227" s="108"/>
      <c r="C227" s="108"/>
      <c r="D227" s="108"/>
      <c r="E227" s="108"/>
      <c r="F227" s="108"/>
      <c r="G227" s="108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2.0" customHeight="1">
      <c r="A228" s="108"/>
      <c r="B228" s="108"/>
      <c r="C228" s="108"/>
      <c r="D228" s="108"/>
      <c r="E228" s="108"/>
      <c r="F228" s="108"/>
      <c r="G228" s="108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2.0" customHeight="1">
      <c r="A229" s="108"/>
      <c r="B229" s="108"/>
      <c r="C229" s="108"/>
      <c r="D229" s="108"/>
      <c r="E229" s="108"/>
      <c r="F229" s="108"/>
      <c r="G229" s="10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2.0" customHeight="1">
      <c r="A230" s="108"/>
      <c r="B230" s="108"/>
      <c r="C230" s="108"/>
      <c r="D230" s="108"/>
      <c r="E230" s="108"/>
      <c r="F230" s="108"/>
      <c r="G230" s="108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2.0" customHeight="1">
      <c r="A231" s="108"/>
      <c r="B231" s="108"/>
      <c r="C231" s="108"/>
      <c r="D231" s="108"/>
      <c r="E231" s="108"/>
      <c r="F231" s="108"/>
      <c r="G231" s="108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2.0" customHeight="1">
      <c r="A232" s="108"/>
      <c r="B232" s="108"/>
      <c r="C232" s="108"/>
      <c r="D232" s="108"/>
      <c r="E232" s="108"/>
      <c r="F232" s="108"/>
      <c r="G232" s="108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2.0" customHeight="1">
      <c r="A233" s="108"/>
      <c r="B233" s="108"/>
      <c r="C233" s="108"/>
      <c r="D233" s="108"/>
      <c r="E233" s="108"/>
      <c r="F233" s="108"/>
      <c r="G233" s="10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2.0" customHeight="1">
      <c r="A234" s="108"/>
      <c r="B234" s="108"/>
      <c r="C234" s="108"/>
      <c r="D234" s="108"/>
      <c r="E234" s="108"/>
      <c r="F234" s="108"/>
      <c r="G234" s="108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2.0" customHeight="1">
      <c r="A235" s="108"/>
      <c r="B235" s="108"/>
      <c r="C235" s="108"/>
      <c r="D235" s="108"/>
      <c r="E235" s="108"/>
      <c r="F235" s="108"/>
      <c r="G235" s="108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2.0" customHeight="1">
      <c r="A236" s="108"/>
      <c r="B236" s="108"/>
      <c r="C236" s="108"/>
      <c r="D236" s="108"/>
      <c r="E236" s="108"/>
      <c r="F236" s="108"/>
      <c r="G236" s="108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2.0" customHeight="1">
      <c r="A237" s="108"/>
      <c r="B237" s="108"/>
      <c r="C237" s="108"/>
      <c r="D237" s="108"/>
      <c r="E237" s="108"/>
      <c r="F237" s="108"/>
      <c r="G237" s="10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2.0" customHeight="1">
      <c r="A238" s="108"/>
      <c r="B238" s="108"/>
      <c r="C238" s="108"/>
      <c r="D238" s="108"/>
      <c r="E238" s="108"/>
      <c r="F238" s="108"/>
      <c r="G238" s="108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2.0" customHeight="1">
      <c r="A239" s="108"/>
      <c r="B239" s="108"/>
      <c r="C239" s="108"/>
      <c r="D239" s="108"/>
      <c r="E239" s="108"/>
      <c r="F239" s="108"/>
      <c r="G239" s="108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2.0" customHeight="1">
      <c r="A240" s="108"/>
      <c r="B240" s="108"/>
      <c r="C240" s="108"/>
      <c r="D240" s="108"/>
      <c r="E240" s="108"/>
      <c r="F240" s="108"/>
      <c r="G240" s="108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2.0" customHeight="1">
      <c r="A241" s="108"/>
      <c r="B241" s="108"/>
      <c r="C241" s="108"/>
      <c r="D241" s="108"/>
      <c r="E241" s="108"/>
      <c r="F241" s="108"/>
      <c r="G241" s="10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2.0" customHeight="1">
      <c r="A242" s="108"/>
      <c r="B242" s="108"/>
      <c r="C242" s="108"/>
      <c r="D242" s="108"/>
      <c r="E242" s="108"/>
      <c r="F242" s="108"/>
      <c r="G242" s="108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2.0" customHeight="1">
      <c r="A243" s="108"/>
      <c r="B243" s="108"/>
      <c r="C243" s="108"/>
      <c r="D243" s="108"/>
      <c r="E243" s="108"/>
      <c r="F243" s="108"/>
      <c r="G243" s="108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2.0" customHeight="1">
      <c r="A244" s="108"/>
      <c r="B244" s="108"/>
      <c r="C244" s="108"/>
      <c r="D244" s="108"/>
      <c r="E244" s="108"/>
      <c r="F244" s="108"/>
      <c r="G244" s="108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2.0" customHeight="1">
      <c r="A245" s="108"/>
      <c r="B245" s="108"/>
      <c r="C245" s="108"/>
      <c r="D245" s="108"/>
      <c r="E245" s="108"/>
      <c r="F245" s="108"/>
      <c r="G245" s="108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2.0" customHeight="1">
      <c r="A246" s="108"/>
      <c r="B246" s="108"/>
      <c r="C246" s="108"/>
      <c r="D246" s="108"/>
      <c r="E246" s="108"/>
      <c r="F246" s="108"/>
      <c r="G246" s="108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2.0" customHeight="1">
      <c r="A247" s="108"/>
      <c r="B247" s="108"/>
      <c r="C247" s="108"/>
      <c r="D247" s="108"/>
      <c r="E247" s="108"/>
      <c r="F247" s="108"/>
      <c r="G247" s="108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2.0" customHeight="1">
      <c r="A248" s="108"/>
      <c r="B248" s="108"/>
      <c r="C248" s="108"/>
      <c r="D248" s="108"/>
      <c r="E248" s="108"/>
      <c r="F248" s="108"/>
      <c r="G248" s="108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2.0" customHeight="1">
      <c r="A249" s="108"/>
      <c r="B249" s="108"/>
      <c r="C249" s="108"/>
      <c r="D249" s="108"/>
      <c r="E249" s="108"/>
      <c r="F249" s="108"/>
      <c r="G249" s="108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2.0" customHeight="1">
      <c r="A250" s="108"/>
      <c r="B250" s="108"/>
      <c r="C250" s="108"/>
      <c r="D250" s="108"/>
      <c r="E250" s="108"/>
      <c r="F250" s="108"/>
      <c r="G250" s="108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2.0" customHeight="1">
      <c r="A251" s="108"/>
      <c r="B251" s="108"/>
      <c r="C251" s="108"/>
      <c r="D251" s="108"/>
      <c r="E251" s="108"/>
      <c r="F251" s="108"/>
      <c r="G251" s="108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2.0" customHeight="1">
      <c r="A252" s="108"/>
      <c r="B252" s="108"/>
      <c r="C252" s="108"/>
      <c r="D252" s="108"/>
      <c r="E252" s="108"/>
      <c r="F252" s="108"/>
      <c r="G252" s="108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2.0" customHeight="1">
      <c r="A253" s="108"/>
      <c r="B253" s="108"/>
      <c r="C253" s="108"/>
      <c r="D253" s="108"/>
      <c r="E253" s="108"/>
      <c r="F253" s="108"/>
      <c r="G253" s="108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2.0" customHeight="1">
      <c r="A254" s="108"/>
      <c r="B254" s="108"/>
      <c r="C254" s="108"/>
      <c r="D254" s="108"/>
      <c r="E254" s="108"/>
      <c r="F254" s="108"/>
      <c r="G254" s="108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2.0" customHeight="1">
      <c r="A255" s="108"/>
      <c r="B255" s="108"/>
      <c r="C255" s="108"/>
      <c r="D255" s="108"/>
      <c r="E255" s="108"/>
      <c r="F255" s="108"/>
      <c r="G255" s="108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2.0" customHeight="1">
      <c r="A256" s="108"/>
      <c r="B256" s="108"/>
      <c r="C256" s="108"/>
      <c r="D256" s="108"/>
      <c r="E256" s="108"/>
      <c r="F256" s="108"/>
      <c r="G256" s="108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2.0" customHeight="1">
      <c r="A257" s="108"/>
      <c r="B257" s="108"/>
      <c r="C257" s="108"/>
      <c r="D257" s="108"/>
      <c r="E257" s="108"/>
      <c r="F257" s="108"/>
      <c r="G257" s="108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2.0" customHeight="1">
      <c r="A258" s="108"/>
      <c r="B258" s="108"/>
      <c r="C258" s="108"/>
      <c r="D258" s="108"/>
      <c r="E258" s="108"/>
      <c r="F258" s="108"/>
      <c r="G258" s="108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2.0" customHeight="1">
      <c r="A259" s="108"/>
      <c r="B259" s="108"/>
      <c r="C259" s="108"/>
      <c r="D259" s="108"/>
      <c r="E259" s="108"/>
      <c r="F259" s="108"/>
      <c r="G259" s="108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2.0" customHeight="1">
      <c r="A260" s="108"/>
      <c r="B260" s="108"/>
      <c r="C260" s="108"/>
      <c r="D260" s="108"/>
      <c r="E260" s="108"/>
      <c r="F260" s="108"/>
      <c r="G260" s="108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2.0" customHeight="1">
      <c r="A261" s="108"/>
      <c r="B261" s="108"/>
      <c r="C261" s="108"/>
      <c r="D261" s="108"/>
      <c r="E261" s="108"/>
      <c r="F261" s="108"/>
      <c r="G261" s="108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2.0" customHeight="1">
      <c r="A262" s="108"/>
      <c r="B262" s="108"/>
      <c r="C262" s="108"/>
      <c r="D262" s="108"/>
      <c r="E262" s="108"/>
      <c r="F262" s="108"/>
      <c r="G262" s="108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2.0" customHeight="1">
      <c r="A263" s="108"/>
      <c r="B263" s="108"/>
      <c r="C263" s="108"/>
      <c r="D263" s="108"/>
      <c r="E263" s="108"/>
      <c r="F263" s="108"/>
      <c r="G263" s="108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2.0" customHeight="1">
      <c r="A264" s="108"/>
      <c r="B264" s="108"/>
      <c r="C264" s="108"/>
      <c r="D264" s="108"/>
      <c r="E264" s="108"/>
      <c r="F264" s="108"/>
      <c r="G264" s="108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2.0" customHeight="1">
      <c r="A265" s="108"/>
      <c r="B265" s="108"/>
      <c r="C265" s="108"/>
      <c r="D265" s="108"/>
      <c r="E265" s="108"/>
      <c r="F265" s="108"/>
      <c r="G265" s="108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2.0" customHeight="1">
      <c r="A266" s="108"/>
      <c r="B266" s="108"/>
      <c r="C266" s="108"/>
      <c r="D266" s="108"/>
      <c r="E266" s="108"/>
      <c r="F266" s="108"/>
      <c r="G266" s="108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2.0" customHeight="1">
      <c r="A267" s="108"/>
      <c r="B267" s="108"/>
      <c r="C267" s="108"/>
      <c r="D267" s="108"/>
      <c r="E267" s="108"/>
      <c r="F267" s="108"/>
      <c r="G267" s="108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2.0" customHeight="1">
      <c r="A268" s="108"/>
      <c r="B268" s="108"/>
      <c r="C268" s="108"/>
      <c r="D268" s="108"/>
      <c r="E268" s="108"/>
      <c r="F268" s="108"/>
      <c r="G268" s="108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2.0" customHeight="1">
      <c r="A269" s="108"/>
      <c r="B269" s="108"/>
      <c r="C269" s="108"/>
      <c r="D269" s="108"/>
      <c r="E269" s="108"/>
      <c r="F269" s="108"/>
      <c r="G269" s="108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2.0" customHeight="1">
      <c r="A270" s="108"/>
      <c r="B270" s="108"/>
      <c r="C270" s="108"/>
      <c r="D270" s="108"/>
      <c r="E270" s="108"/>
      <c r="F270" s="108"/>
      <c r="G270" s="108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2.0" customHeight="1">
      <c r="A271" s="108"/>
      <c r="B271" s="108"/>
      <c r="C271" s="108"/>
      <c r="D271" s="108"/>
      <c r="E271" s="108"/>
      <c r="F271" s="108"/>
      <c r="G271" s="108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2.0" customHeight="1">
      <c r="A272" s="108"/>
      <c r="B272" s="108"/>
      <c r="C272" s="108"/>
      <c r="D272" s="108"/>
      <c r="E272" s="108"/>
      <c r="F272" s="108"/>
      <c r="G272" s="108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2.0" customHeight="1">
      <c r="A273" s="108"/>
      <c r="B273" s="108"/>
      <c r="C273" s="108"/>
      <c r="D273" s="108"/>
      <c r="E273" s="108"/>
      <c r="F273" s="108"/>
      <c r="G273" s="108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2.0" customHeight="1">
      <c r="A274" s="108"/>
      <c r="B274" s="108"/>
      <c r="C274" s="108"/>
      <c r="D274" s="108"/>
      <c r="E274" s="108"/>
      <c r="F274" s="108"/>
      <c r="G274" s="108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2.0" customHeight="1">
      <c r="A275" s="108"/>
      <c r="B275" s="108"/>
      <c r="C275" s="108"/>
      <c r="D275" s="108"/>
      <c r="E275" s="108"/>
      <c r="F275" s="108"/>
      <c r="G275" s="108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2.0" customHeight="1">
      <c r="A276" s="108"/>
      <c r="B276" s="108"/>
      <c r="C276" s="108"/>
      <c r="D276" s="108"/>
      <c r="E276" s="108"/>
      <c r="F276" s="108"/>
      <c r="G276" s="108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2.0" customHeight="1">
      <c r="A277" s="108"/>
      <c r="B277" s="108"/>
      <c r="C277" s="108"/>
      <c r="D277" s="108"/>
      <c r="E277" s="108"/>
      <c r="F277" s="108"/>
      <c r="G277" s="108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2.0" customHeight="1">
      <c r="A278" s="108"/>
      <c r="B278" s="108"/>
      <c r="C278" s="108"/>
      <c r="D278" s="108"/>
      <c r="E278" s="108"/>
      <c r="F278" s="108"/>
      <c r="G278" s="108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2.0" customHeight="1">
      <c r="A279" s="108"/>
      <c r="B279" s="108"/>
      <c r="C279" s="108"/>
      <c r="D279" s="108"/>
      <c r="E279" s="108"/>
      <c r="F279" s="108"/>
      <c r="G279" s="108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2.0" customHeight="1">
      <c r="A280" s="108"/>
      <c r="B280" s="108"/>
      <c r="C280" s="108"/>
      <c r="D280" s="108"/>
      <c r="E280" s="108"/>
      <c r="F280" s="108"/>
      <c r="G280" s="108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2.0" customHeight="1">
      <c r="A281" s="108"/>
      <c r="B281" s="108"/>
      <c r="C281" s="108"/>
      <c r="D281" s="108"/>
      <c r="E281" s="108"/>
      <c r="F281" s="108"/>
      <c r="G281" s="108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2.0" customHeight="1">
      <c r="A282" s="108"/>
      <c r="B282" s="108"/>
      <c r="C282" s="108"/>
      <c r="D282" s="108"/>
      <c r="E282" s="108"/>
      <c r="F282" s="108"/>
      <c r="G282" s="108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2.0" customHeight="1">
      <c r="A283" s="108"/>
      <c r="B283" s="108"/>
      <c r="C283" s="108"/>
      <c r="D283" s="108"/>
      <c r="E283" s="108"/>
      <c r="F283" s="108"/>
      <c r="G283" s="108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2.0" customHeight="1">
      <c r="A284" s="108"/>
      <c r="B284" s="108"/>
      <c r="C284" s="108"/>
      <c r="D284" s="108"/>
      <c r="E284" s="108"/>
      <c r="F284" s="108"/>
      <c r="G284" s="108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2.0" customHeight="1">
      <c r="A285" s="108"/>
      <c r="B285" s="108"/>
      <c r="C285" s="108"/>
      <c r="D285" s="108"/>
      <c r="E285" s="108"/>
      <c r="F285" s="108"/>
      <c r="G285" s="108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2.0" customHeight="1">
      <c r="A286" s="108"/>
      <c r="B286" s="108"/>
      <c r="C286" s="108"/>
      <c r="D286" s="108"/>
      <c r="E286" s="108"/>
      <c r="F286" s="108"/>
      <c r="G286" s="108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2.0" customHeight="1">
      <c r="A287" s="108"/>
      <c r="B287" s="108"/>
      <c r="C287" s="108"/>
      <c r="D287" s="108"/>
      <c r="E287" s="108"/>
      <c r="F287" s="108"/>
      <c r="G287" s="108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2.0" customHeight="1">
      <c r="A288" s="108"/>
      <c r="B288" s="108"/>
      <c r="C288" s="108"/>
      <c r="D288" s="108"/>
      <c r="E288" s="108"/>
      <c r="F288" s="108"/>
      <c r="G288" s="108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2.0" customHeight="1">
      <c r="A289" s="108"/>
      <c r="B289" s="108"/>
      <c r="C289" s="108"/>
      <c r="D289" s="108"/>
      <c r="E289" s="108"/>
      <c r="F289" s="108"/>
      <c r="G289" s="108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2.0" customHeight="1">
      <c r="A290" s="108"/>
      <c r="B290" s="108"/>
      <c r="C290" s="108"/>
      <c r="D290" s="108"/>
      <c r="E290" s="108"/>
      <c r="F290" s="108"/>
      <c r="G290" s="108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2.0" customHeight="1">
      <c r="A291" s="108"/>
      <c r="B291" s="108"/>
      <c r="C291" s="108"/>
      <c r="D291" s="108"/>
      <c r="E291" s="108"/>
      <c r="F291" s="108"/>
      <c r="G291" s="108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2.0" customHeight="1">
      <c r="A292" s="108"/>
      <c r="B292" s="108"/>
      <c r="C292" s="108"/>
      <c r="D292" s="108"/>
      <c r="E292" s="108"/>
      <c r="F292" s="108"/>
      <c r="G292" s="108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2.0" customHeight="1">
      <c r="A293" s="108"/>
      <c r="B293" s="108"/>
      <c r="C293" s="108"/>
      <c r="D293" s="108"/>
      <c r="E293" s="108"/>
      <c r="F293" s="108"/>
      <c r="G293" s="108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2.0" customHeight="1">
      <c r="A294" s="108"/>
      <c r="B294" s="108"/>
      <c r="C294" s="108"/>
      <c r="D294" s="108"/>
      <c r="E294" s="108"/>
      <c r="F294" s="108"/>
      <c r="G294" s="108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2.0" customHeight="1">
      <c r="A295" s="108"/>
      <c r="B295" s="108"/>
      <c r="C295" s="108"/>
      <c r="D295" s="108"/>
      <c r="E295" s="108"/>
      <c r="F295" s="108"/>
      <c r="G295" s="108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2.0" customHeight="1">
      <c r="A296" s="108"/>
      <c r="B296" s="108"/>
      <c r="C296" s="108"/>
      <c r="D296" s="108"/>
      <c r="E296" s="108"/>
      <c r="F296" s="108"/>
      <c r="G296" s="108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2.0" customHeight="1">
      <c r="A297" s="108"/>
      <c r="B297" s="108"/>
      <c r="C297" s="108"/>
      <c r="D297" s="108"/>
      <c r="E297" s="108"/>
      <c r="F297" s="108"/>
      <c r="G297" s="108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2.0" customHeight="1">
      <c r="A298" s="108"/>
      <c r="B298" s="108"/>
      <c r="C298" s="108"/>
      <c r="D298" s="108"/>
      <c r="E298" s="108"/>
      <c r="F298" s="108"/>
      <c r="G298" s="108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2.0" customHeight="1">
      <c r="A299" s="108"/>
      <c r="B299" s="108"/>
      <c r="C299" s="108"/>
      <c r="D299" s="108"/>
      <c r="E299" s="108"/>
      <c r="F299" s="108"/>
      <c r="G299" s="108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2.0" customHeight="1">
      <c r="A300" s="108"/>
      <c r="B300" s="108"/>
      <c r="C300" s="108"/>
      <c r="D300" s="108"/>
      <c r="E300" s="108"/>
      <c r="F300" s="108"/>
      <c r="G300" s="108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2.0" customHeight="1">
      <c r="A301" s="108"/>
      <c r="B301" s="108"/>
      <c r="C301" s="108"/>
      <c r="D301" s="108"/>
      <c r="E301" s="108"/>
      <c r="F301" s="108"/>
      <c r="G301" s="108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2.0" customHeight="1">
      <c r="A302" s="108"/>
      <c r="B302" s="108"/>
      <c r="C302" s="108"/>
      <c r="D302" s="108"/>
      <c r="E302" s="108"/>
      <c r="F302" s="108"/>
      <c r="G302" s="108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2.0" customHeight="1">
      <c r="A303" s="108"/>
      <c r="B303" s="108"/>
      <c r="C303" s="108"/>
      <c r="D303" s="108"/>
      <c r="E303" s="108"/>
      <c r="F303" s="108"/>
      <c r="G303" s="108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2.0" customHeight="1">
      <c r="A304" s="108"/>
      <c r="B304" s="108"/>
      <c r="C304" s="108"/>
      <c r="D304" s="108"/>
      <c r="E304" s="108"/>
      <c r="F304" s="108"/>
      <c r="G304" s="108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2.0" customHeight="1">
      <c r="A305" s="108"/>
      <c r="B305" s="108"/>
      <c r="C305" s="108"/>
      <c r="D305" s="108"/>
      <c r="E305" s="108"/>
      <c r="F305" s="108"/>
      <c r="G305" s="108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2.0" customHeight="1">
      <c r="A306" s="108"/>
      <c r="B306" s="108"/>
      <c r="C306" s="108"/>
      <c r="D306" s="108"/>
      <c r="E306" s="108"/>
      <c r="F306" s="108"/>
      <c r="G306" s="108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2.0" customHeight="1">
      <c r="A307" s="108"/>
      <c r="B307" s="108"/>
      <c r="C307" s="108"/>
      <c r="D307" s="108"/>
      <c r="E307" s="108"/>
      <c r="F307" s="108"/>
      <c r="G307" s="108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2.0" customHeight="1">
      <c r="A308" s="108"/>
      <c r="B308" s="108"/>
      <c r="C308" s="108"/>
      <c r="D308" s="108"/>
      <c r="E308" s="108"/>
      <c r="F308" s="108"/>
      <c r="G308" s="108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2.0" customHeight="1">
      <c r="A309" s="108"/>
      <c r="B309" s="108"/>
      <c r="C309" s="108"/>
      <c r="D309" s="108"/>
      <c r="E309" s="108"/>
      <c r="F309" s="108"/>
      <c r="G309" s="108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2.0" customHeight="1">
      <c r="A310" s="108"/>
      <c r="B310" s="108"/>
      <c r="C310" s="108"/>
      <c r="D310" s="108"/>
      <c r="E310" s="108"/>
      <c r="F310" s="108"/>
      <c r="G310" s="108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2.0" customHeight="1">
      <c r="A311" s="108"/>
      <c r="B311" s="108"/>
      <c r="C311" s="108"/>
      <c r="D311" s="108"/>
      <c r="E311" s="108"/>
      <c r="F311" s="108"/>
      <c r="G311" s="108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2.0" customHeight="1">
      <c r="A312" s="108"/>
      <c r="B312" s="108"/>
      <c r="C312" s="108"/>
      <c r="D312" s="108"/>
      <c r="E312" s="108"/>
      <c r="F312" s="108"/>
      <c r="G312" s="108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2.0" customHeight="1">
      <c r="A313" s="108"/>
      <c r="B313" s="108"/>
      <c r="C313" s="108"/>
      <c r="D313" s="108"/>
      <c r="E313" s="108"/>
      <c r="F313" s="108"/>
      <c r="G313" s="108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2.0" customHeight="1">
      <c r="A314" s="108"/>
      <c r="B314" s="108"/>
      <c r="C314" s="108"/>
      <c r="D314" s="108"/>
      <c r="E314" s="108"/>
      <c r="F314" s="108"/>
      <c r="G314" s="108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2.0" customHeight="1">
      <c r="A315" s="108"/>
      <c r="B315" s="108"/>
      <c r="C315" s="108"/>
      <c r="D315" s="108"/>
      <c r="E315" s="108"/>
      <c r="F315" s="108"/>
      <c r="G315" s="108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2.0" customHeight="1">
      <c r="A316" s="108"/>
      <c r="B316" s="108"/>
      <c r="C316" s="108"/>
      <c r="D316" s="108"/>
      <c r="E316" s="108"/>
      <c r="F316" s="108"/>
      <c r="G316" s="108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2.0" customHeight="1">
      <c r="A317" s="108"/>
      <c r="B317" s="108"/>
      <c r="C317" s="108"/>
      <c r="D317" s="108"/>
      <c r="E317" s="108"/>
      <c r="F317" s="108"/>
      <c r="G317" s="108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2.0" customHeight="1">
      <c r="A318" s="108"/>
      <c r="B318" s="108"/>
      <c r="C318" s="108"/>
      <c r="D318" s="108"/>
      <c r="E318" s="108"/>
      <c r="F318" s="108"/>
      <c r="G318" s="108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2.0" customHeight="1">
      <c r="A319" s="108"/>
      <c r="B319" s="108"/>
      <c r="C319" s="108"/>
      <c r="D319" s="108"/>
      <c r="E319" s="108"/>
      <c r="F319" s="108"/>
      <c r="G319" s="108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2.0" customHeight="1">
      <c r="A320" s="108"/>
      <c r="B320" s="108"/>
      <c r="C320" s="108"/>
      <c r="D320" s="108"/>
      <c r="E320" s="108"/>
      <c r="F320" s="108"/>
      <c r="G320" s="108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2.0" customHeight="1">
      <c r="A321" s="108"/>
      <c r="B321" s="108"/>
      <c r="C321" s="108"/>
      <c r="D321" s="108"/>
      <c r="E321" s="108"/>
      <c r="F321" s="108"/>
      <c r="G321" s="108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2.0" customHeight="1">
      <c r="A322" s="108"/>
      <c r="B322" s="108"/>
      <c r="C322" s="108"/>
      <c r="D322" s="108"/>
      <c r="E322" s="108"/>
      <c r="F322" s="108"/>
      <c r="G322" s="108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2.0" customHeight="1">
      <c r="A323" s="108"/>
      <c r="B323" s="108"/>
      <c r="C323" s="108"/>
      <c r="D323" s="108"/>
      <c r="E323" s="108"/>
      <c r="F323" s="108"/>
      <c r="G323" s="108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2.0" customHeight="1">
      <c r="A324" s="108"/>
      <c r="B324" s="108"/>
      <c r="C324" s="108"/>
      <c r="D324" s="108"/>
      <c r="E324" s="108"/>
      <c r="F324" s="108"/>
      <c r="G324" s="108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2.0" customHeight="1">
      <c r="A325" s="108"/>
      <c r="B325" s="108"/>
      <c r="C325" s="108"/>
      <c r="D325" s="108"/>
      <c r="E325" s="108"/>
      <c r="F325" s="108"/>
      <c r="G325" s="108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2.0" customHeight="1">
      <c r="A326" s="108"/>
      <c r="B326" s="108"/>
      <c r="C326" s="108"/>
      <c r="D326" s="108"/>
      <c r="E326" s="108"/>
      <c r="F326" s="108"/>
      <c r="G326" s="108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2.0" customHeight="1">
      <c r="A327" s="108"/>
      <c r="B327" s="108"/>
      <c r="C327" s="108"/>
      <c r="D327" s="108"/>
      <c r="E327" s="108"/>
      <c r="F327" s="108"/>
      <c r="G327" s="108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2.0" customHeight="1">
      <c r="A328" s="108"/>
      <c r="B328" s="108"/>
      <c r="C328" s="108"/>
      <c r="D328" s="108"/>
      <c r="E328" s="108"/>
      <c r="F328" s="108"/>
      <c r="G328" s="108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2.0" customHeight="1">
      <c r="A329" s="108"/>
      <c r="B329" s="108"/>
      <c r="C329" s="108"/>
      <c r="D329" s="108"/>
      <c r="E329" s="108"/>
      <c r="F329" s="108"/>
      <c r="G329" s="108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2.0" customHeight="1">
      <c r="A330" s="108"/>
      <c r="B330" s="108"/>
      <c r="C330" s="108"/>
      <c r="D330" s="108"/>
      <c r="E330" s="108"/>
      <c r="F330" s="108"/>
      <c r="G330" s="108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2.0" customHeight="1">
      <c r="A331" s="108"/>
      <c r="B331" s="108"/>
      <c r="C331" s="108"/>
      <c r="D331" s="108"/>
      <c r="E331" s="108"/>
      <c r="F331" s="108"/>
      <c r="G331" s="108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2.0" customHeight="1">
      <c r="A332" s="108"/>
      <c r="B332" s="108"/>
      <c r="C332" s="108"/>
      <c r="D332" s="108"/>
      <c r="E332" s="108"/>
      <c r="F332" s="108"/>
      <c r="G332" s="108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2.0" customHeight="1">
      <c r="A333" s="108"/>
      <c r="B333" s="108"/>
      <c r="C333" s="108"/>
      <c r="D333" s="108"/>
      <c r="E333" s="108"/>
      <c r="F333" s="108"/>
      <c r="G333" s="108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2.0" customHeight="1">
      <c r="A334" s="108"/>
      <c r="B334" s="108"/>
      <c r="C334" s="108"/>
      <c r="D334" s="108"/>
      <c r="E334" s="108"/>
      <c r="F334" s="108"/>
      <c r="G334" s="108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2.0" customHeight="1">
      <c r="A335" s="108"/>
      <c r="B335" s="108"/>
      <c r="C335" s="108"/>
      <c r="D335" s="108"/>
      <c r="E335" s="108"/>
      <c r="F335" s="108"/>
      <c r="G335" s="108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2.0" customHeight="1">
      <c r="A336" s="108"/>
      <c r="B336" s="108"/>
      <c r="C336" s="108"/>
      <c r="D336" s="108"/>
      <c r="E336" s="108"/>
      <c r="F336" s="108"/>
      <c r="G336" s="108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2.0" customHeight="1">
      <c r="A337" s="108"/>
      <c r="B337" s="108"/>
      <c r="C337" s="108"/>
      <c r="D337" s="108"/>
      <c r="E337" s="108"/>
      <c r="F337" s="108"/>
      <c r="G337" s="108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2.0" customHeight="1">
      <c r="A338" s="108"/>
      <c r="B338" s="108"/>
      <c r="C338" s="108"/>
      <c r="D338" s="108"/>
      <c r="E338" s="108"/>
      <c r="F338" s="108"/>
      <c r="G338" s="108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2.0" customHeight="1">
      <c r="A339" s="108"/>
      <c r="B339" s="108"/>
      <c r="C339" s="108"/>
      <c r="D339" s="108"/>
      <c r="E339" s="108"/>
      <c r="F339" s="108"/>
      <c r="G339" s="108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2.0" customHeight="1">
      <c r="A340" s="108"/>
      <c r="B340" s="108"/>
      <c r="C340" s="108"/>
      <c r="D340" s="108"/>
      <c r="E340" s="108"/>
      <c r="F340" s="108"/>
      <c r="G340" s="108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2.0" customHeight="1">
      <c r="A341" s="108"/>
      <c r="B341" s="108"/>
      <c r="C341" s="108"/>
      <c r="D341" s="108"/>
      <c r="E341" s="108"/>
      <c r="F341" s="108"/>
      <c r="G341" s="108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2.0" customHeight="1">
      <c r="A342" s="108"/>
      <c r="B342" s="108"/>
      <c r="C342" s="108"/>
      <c r="D342" s="108"/>
      <c r="E342" s="108"/>
      <c r="F342" s="108"/>
      <c r="G342" s="108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2.0" customHeight="1">
      <c r="A343" s="108"/>
      <c r="B343" s="108"/>
      <c r="C343" s="108"/>
      <c r="D343" s="108"/>
      <c r="E343" s="108"/>
      <c r="F343" s="108"/>
      <c r="G343" s="108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2.0" customHeight="1">
      <c r="A344" s="108"/>
      <c r="B344" s="108"/>
      <c r="C344" s="108"/>
      <c r="D344" s="108"/>
      <c r="E344" s="108"/>
      <c r="F344" s="108"/>
      <c r="G344" s="108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2.0" customHeight="1">
      <c r="A345" s="108"/>
      <c r="B345" s="108"/>
      <c r="C345" s="108"/>
      <c r="D345" s="108"/>
      <c r="E345" s="108"/>
      <c r="F345" s="108"/>
      <c r="G345" s="108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2.0" customHeight="1">
      <c r="A346" s="108"/>
      <c r="B346" s="108"/>
      <c r="C346" s="108"/>
      <c r="D346" s="108"/>
      <c r="E346" s="108"/>
      <c r="F346" s="108"/>
      <c r="G346" s="108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2.0" customHeight="1">
      <c r="A347" s="108"/>
      <c r="B347" s="108"/>
      <c r="C347" s="108"/>
      <c r="D347" s="108"/>
      <c r="E347" s="108"/>
      <c r="F347" s="108"/>
      <c r="G347" s="108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2.0" customHeight="1">
      <c r="A348" s="108"/>
      <c r="B348" s="108"/>
      <c r="C348" s="108"/>
      <c r="D348" s="108"/>
      <c r="E348" s="108"/>
      <c r="F348" s="108"/>
      <c r="G348" s="108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2.0" customHeight="1">
      <c r="A349" s="108"/>
      <c r="B349" s="108"/>
      <c r="C349" s="108"/>
      <c r="D349" s="108"/>
      <c r="E349" s="108"/>
      <c r="F349" s="108"/>
      <c r="G349" s="108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2.0" customHeight="1">
      <c r="A350" s="108"/>
      <c r="B350" s="108"/>
      <c r="C350" s="108"/>
      <c r="D350" s="108"/>
      <c r="E350" s="108"/>
      <c r="F350" s="108"/>
      <c r="G350" s="108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2.0" customHeight="1">
      <c r="A351" s="108"/>
      <c r="B351" s="108"/>
      <c r="C351" s="108"/>
      <c r="D351" s="108"/>
      <c r="E351" s="108"/>
      <c r="F351" s="108"/>
      <c r="G351" s="108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2.0" customHeight="1">
      <c r="A352" s="108"/>
      <c r="B352" s="108"/>
      <c r="C352" s="108"/>
      <c r="D352" s="108"/>
      <c r="E352" s="108"/>
      <c r="F352" s="108"/>
      <c r="G352" s="108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2.0" customHeight="1">
      <c r="A353" s="108"/>
      <c r="B353" s="108"/>
      <c r="C353" s="108"/>
      <c r="D353" s="108"/>
      <c r="E353" s="108"/>
      <c r="F353" s="108"/>
      <c r="G353" s="108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2.0" customHeight="1">
      <c r="A354" s="108"/>
      <c r="B354" s="108"/>
      <c r="C354" s="108"/>
      <c r="D354" s="108"/>
      <c r="E354" s="108"/>
      <c r="F354" s="108"/>
      <c r="G354" s="108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2.0" customHeight="1">
      <c r="A355" s="108"/>
      <c r="B355" s="108"/>
      <c r="C355" s="108"/>
      <c r="D355" s="108"/>
      <c r="E355" s="108"/>
      <c r="F355" s="108"/>
      <c r="G355" s="108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2.0" customHeight="1">
      <c r="A356" s="108"/>
      <c r="B356" s="108"/>
      <c r="C356" s="108"/>
      <c r="D356" s="108"/>
      <c r="E356" s="108"/>
      <c r="F356" s="108"/>
      <c r="G356" s="108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2.0" customHeight="1">
      <c r="A357" s="108"/>
      <c r="B357" s="108"/>
      <c r="C357" s="108"/>
      <c r="D357" s="108"/>
      <c r="E357" s="108"/>
      <c r="F357" s="108"/>
      <c r="G357" s="108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2.0" customHeight="1">
      <c r="A358" s="108"/>
      <c r="B358" s="108"/>
      <c r="C358" s="108"/>
      <c r="D358" s="108"/>
      <c r="E358" s="108"/>
      <c r="F358" s="108"/>
      <c r="G358" s="108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2.0" customHeight="1">
      <c r="A359" s="108"/>
      <c r="B359" s="108"/>
      <c r="C359" s="108"/>
      <c r="D359" s="108"/>
      <c r="E359" s="108"/>
      <c r="F359" s="108"/>
      <c r="G359" s="10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2.0" customHeight="1">
      <c r="A360" s="108"/>
      <c r="B360" s="108"/>
      <c r="C360" s="108"/>
      <c r="D360" s="108"/>
      <c r="E360" s="108"/>
      <c r="F360" s="108"/>
      <c r="G360" s="108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2.0" customHeight="1">
      <c r="A361" s="108"/>
      <c r="B361" s="108"/>
      <c r="C361" s="108"/>
      <c r="D361" s="108"/>
      <c r="E361" s="108"/>
      <c r="F361" s="108"/>
      <c r="G361" s="108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2.0" customHeight="1">
      <c r="A362" s="108"/>
      <c r="B362" s="108"/>
      <c r="C362" s="108"/>
      <c r="D362" s="108"/>
      <c r="E362" s="108"/>
      <c r="F362" s="108"/>
      <c r="G362" s="108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2.0" customHeight="1">
      <c r="A363" s="108"/>
      <c r="B363" s="108"/>
      <c r="C363" s="108"/>
      <c r="D363" s="108"/>
      <c r="E363" s="108"/>
      <c r="F363" s="108"/>
      <c r="G363" s="108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2.0" customHeight="1">
      <c r="A364" s="108"/>
      <c r="B364" s="108"/>
      <c r="C364" s="108"/>
      <c r="D364" s="108"/>
      <c r="E364" s="108"/>
      <c r="F364" s="108"/>
      <c r="G364" s="108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2.0" customHeight="1">
      <c r="A365" s="108"/>
      <c r="B365" s="108"/>
      <c r="C365" s="108"/>
      <c r="D365" s="108"/>
      <c r="E365" s="108"/>
      <c r="F365" s="108"/>
      <c r="G365" s="108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2.0" customHeight="1">
      <c r="A366" s="108"/>
      <c r="B366" s="108"/>
      <c r="C366" s="108"/>
      <c r="D366" s="108"/>
      <c r="E366" s="108"/>
      <c r="F366" s="108"/>
      <c r="G366" s="108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2.0" customHeight="1">
      <c r="A367" s="108"/>
      <c r="B367" s="108"/>
      <c r="C367" s="108"/>
      <c r="D367" s="108"/>
      <c r="E367" s="108"/>
      <c r="F367" s="108"/>
      <c r="G367" s="108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2.0" customHeight="1">
      <c r="A368" s="108"/>
      <c r="B368" s="108"/>
      <c r="C368" s="108"/>
      <c r="D368" s="108"/>
      <c r="E368" s="108"/>
      <c r="F368" s="108"/>
      <c r="G368" s="108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2.0" customHeight="1">
      <c r="A369" s="108"/>
      <c r="B369" s="108"/>
      <c r="C369" s="108"/>
      <c r="D369" s="108"/>
      <c r="E369" s="108"/>
      <c r="F369" s="108"/>
      <c r="G369" s="108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2.0" customHeight="1">
      <c r="A370" s="108"/>
      <c r="B370" s="108"/>
      <c r="C370" s="108"/>
      <c r="D370" s="108"/>
      <c r="E370" s="108"/>
      <c r="F370" s="108"/>
      <c r="G370" s="108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2.0" customHeight="1">
      <c r="A371" s="108"/>
      <c r="B371" s="108"/>
      <c r="C371" s="108"/>
      <c r="D371" s="108"/>
      <c r="E371" s="108"/>
      <c r="F371" s="108"/>
      <c r="G371" s="108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2.0" customHeight="1">
      <c r="A372" s="108"/>
      <c r="B372" s="108"/>
      <c r="C372" s="108"/>
      <c r="D372" s="108"/>
      <c r="E372" s="108"/>
      <c r="F372" s="108"/>
      <c r="G372" s="108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2.0" customHeight="1">
      <c r="A373" s="108"/>
      <c r="B373" s="108"/>
      <c r="C373" s="108"/>
      <c r="D373" s="108"/>
      <c r="E373" s="108"/>
      <c r="F373" s="108"/>
      <c r="G373" s="108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2.0" customHeight="1">
      <c r="A374" s="108"/>
      <c r="B374" s="108"/>
      <c r="C374" s="108"/>
      <c r="D374" s="108"/>
      <c r="E374" s="108"/>
      <c r="F374" s="108"/>
      <c r="G374" s="108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2.0" customHeight="1">
      <c r="A375" s="108"/>
      <c r="B375" s="108"/>
      <c r="C375" s="108"/>
      <c r="D375" s="108"/>
      <c r="E375" s="108"/>
      <c r="F375" s="108"/>
      <c r="G375" s="108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2.0" customHeight="1">
      <c r="A376" s="108"/>
      <c r="B376" s="108"/>
      <c r="C376" s="108"/>
      <c r="D376" s="108"/>
      <c r="E376" s="108"/>
      <c r="F376" s="108"/>
      <c r="G376" s="108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2.0" customHeight="1">
      <c r="A377" s="108"/>
      <c r="B377" s="108"/>
      <c r="C377" s="108"/>
      <c r="D377" s="108"/>
      <c r="E377" s="108"/>
      <c r="F377" s="108"/>
      <c r="G377" s="108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2.0" customHeight="1">
      <c r="A378" s="108"/>
      <c r="B378" s="108"/>
      <c r="C378" s="108"/>
      <c r="D378" s="108"/>
      <c r="E378" s="108"/>
      <c r="F378" s="108"/>
      <c r="G378" s="108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2.0" customHeight="1">
      <c r="A379" s="108"/>
      <c r="B379" s="108"/>
      <c r="C379" s="108"/>
      <c r="D379" s="108"/>
      <c r="E379" s="108"/>
      <c r="F379" s="108"/>
      <c r="G379" s="108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2.0" customHeight="1">
      <c r="A380" s="108"/>
      <c r="B380" s="108"/>
      <c r="C380" s="108"/>
      <c r="D380" s="108"/>
      <c r="E380" s="108"/>
      <c r="F380" s="108"/>
      <c r="G380" s="108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2.0" customHeight="1">
      <c r="A381" s="108"/>
      <c r="B381" s="108"/>
      <c r="C381" s="108"/>
      <c r="D381" s="108"/>
      <c r="E381" s="108"/>
      <c r="F381" s="108"/>
      <c r="G381" s="108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2.0" customHeight="1">
      <c r="A382" s="108"/>
      <c r="B382" s="108"/>
      <c r="C382" s="108"/>
      <c r="D382" s="108"/>
      <c r="E382" s="108"/>
      <c r="F382" s="108"/>
      <c r="G382" s="108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2.0" customHeight="1">
      <c r="A383" s="108"/>
      <c r="B383" s="108"/>
      <c r="C383" s="108"/>
      <c r="D383" s="108"/>
      <c r="E383" s="108"/>
      <c r="F383" s="108"/>
      <c r="G383" s="108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2.0" customHeight="1">
      <c r="A384" s="108"/>
      <c r="B384" s="108"/>
      <c r="C384" s="108"/>
      <c r="D384" s="108"/>
      <c r="E384" s="108"/>
      <c r="F384" s="108"/>
      <c r="G384" s="108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2.0" customHeight="1">
      <c r="A385" s="108"/>
      <c r="B385" s="108"/>
      <c r="C385" s="108"/>
      <c r="D385" s="108"/>
      <c r="E385" s="108"/>
      <c r="F385" s="108"/>
      <c r="G385" s="108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2.0" customHeight="1">
      <c r="A386" s="108"/>
      <c r="B386" s="108"/>
      <c r="C386" s="108"/>
      <c r="D386" s="108"/>
      <c r="E386" s="108"/>
      <c r="F386" s="108"/>
      <c r="G386" s="108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2.0" customHeight="1">
      <c r="A387" s="108"/>
      <c r="B387" s="108"/>
      <c r="C387" s="108"/>
      <c r="D387" s="108"/>
      <c r="E387" s="108"/>
      <c r="F387" s="108"/>
      <c r="G387" s="108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2.0" customHeight="1">
      <c r="A388" s="108"/>
      <c r="B388" s="108"/>
      <c r="C388" s="108"/>
      <c r="D388" s="108"/>
      <c r="E388" s="108"/>
      <c r="F388" s="108"/>
      <c r="G388" s="108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2.0" customHeight="1">
      <c r="A389" s="108"/>
      <c r="B389" s="108"/>
      <c r="C389" s="108"/>
      <c r="D389" s="108"/>
      <c r="E389" s="108"/>
      <c r="F389" s="108"/>
      <c r="G389" s="108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2.0" customHeight="1">
      <c r="A390" s="108"/>
      <c r="B390" s="108"/>
      <c r="C390" s="108"/>
      <c r="D390" s="108"/>
      <c r="E390" s="108"/>
      <c r="F390" s="108"/>
      <c r="G390" s="108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2.0" customHeight="1">
      <c r="A391" s="108"/>
      <c r="B391" s="108"/>
      <c r="C391" s="108"/>
      <c r="D391" s="108"/>
      <c r="E391" s="108"/>
      <c r="F391" s="108"/>
      <c r="G391" s="108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2.0" customHeight="1">
      <c r="A392" s="108"/>
      <c r="B392" s="108"/>
      <c r="C392" s="108"/>
      <c r="D392" s="108"/>
      <c r="E392" s="108"/>
      <c r="F392" s="108"/>
      <c r="G392" s="108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2.0" customHeight="1">
      <c r="A393" s="108"/>
      <c r="B393" s="108"/>
      <c r="C393" s="108"/>
      <c r="D393" s="108"/>
      <c r="E393" s="108"/>
      <c r="F393" s="108"/>
      <c r="G393" s="108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2.0" customHeight="1">
      <c r="A394" s="108"/>
      <c r="B394" s="108"/>
      <c r="C394" s="108"/>
      <c r="D394" s="108"/>
      <c r="E394" s="108"/>
      <c r="F394" s="108"/>
      <c r="G394" s="108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2.0" customHeight="1">
      <c r="A395" s="108"/>
      <c r="B395" s="108"/>
      <c r="C395" s="108"/>
      <c r="D395" s="108"/>
      <c r="E395" s="108"/>
      <c r="F395" s="108"/>
      <c r="G395" s="108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2.0" customHeight="1">
      <c r="A396" s="108"/>
      <c r="B396" s="108"/>
      <c r="C396" s="108"/>
      <c r="D396" s="108"/>
      <c r="E396" s="108"/>
      <c r="F396" s="108"/>
      <c r="G396" s="108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2.0" customHeight="1">
      <c r="A397" s="108"/>
      <c r="B397" s="108"/>
      <c r="C397" s="108"/>
      <c r="D397" s="108"/>
      <c r="E397" s="108"/>
      <c r="F397" s="108"/>
      <c r="G397" s="108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2.0" customHeight="1">
      <c r="A398" s="108"/>
      <c r="B398" s="108"/>
      <c r="C398" s="108"/>
      <c r="D398" s="108"/>
      <c r="E398" s="108"/>
      <c r="F398" s="108"/>
      <c r="G398" s="108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2.0" customHeight="1">
      <c r="A399" s="108"/>
      <c r="B399" s="108"/>
      <c r="C399" s="108"/>
      <c r="D399" s="108"/>
      <c r="E399" s="108"/>
      <c r="F399" s="108"/>
      <c r="G399" s="108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2.0" customHeight="1">
      <c r="A400" s="108"/>
      <c r="B400" s="108"/>
      <c r="C400" s="108"/>
      <c r="D400" s="108"/>
      <c r="E400" s="108"/>
      <c r="F400" s="108"/>
      <c r="G400" s="108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2.0" customHeight="1">
      <c r="A401" s="108"/>
      <c r="B401" s="108"/>
      <c r="C401" s="108"/>
      <c r="D401" s="108"/>
      <c r="E401" s="108"/>
      <c r="F401" s="108"/>
      <c r="G401" s="108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2.0" customHeight="1">
      <c r="A402" s="108"/>
      <c r="B402" s="108"/>
      <c r="C402" s="108"/>
      <c r="D402" s="108"/>
      <c r="E402" s="108"/>
      <c r="F402" s="108"/>
      <c r="G402" s="108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2.0" customHeight="1">
      <c r="A403" s="108"/>
      <c r="B403" s="108"/>
      <c r="C403" s="108"/>
      <c r="D403" s="108"/>
      <c r="E403" s="108"/>
      <c r="F403" s="108"/>
      <c r="G403" s="108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2.0" customHeight="1">
      <c r="A404" s="108"/>
      <c r="B404" s="108"/>
      <c r="C404" s="108"/>
      <c r="D404" s="108"/>
      <c r="E404" s="108"/>
      <c r="F404" s="108"/>
      <c r="G404" s="108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2.0" customHeight="1">
      <c r="A405" s="108"/>
      <c r="B405" s="108"/>
      <c r="C405" s="108"/>
      <c r="D405" s="108"/>
      <c r="E405" s="108"/>
      <c r="F405" s="108"/>
      <c r="G405" s="108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2.0" customHeight="1">
      <c r="A406" s="108"/>
      <c r="B406" s="108"/>
      <c r="C406" s="108"/>
      <c r="D406" s="108"/>
      <c r="E406" s="108"/>
      <c r="F406" s="108"/>
      <c r="G406" s="108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2.0" customHeight="1">
      <c r="A407" s="108"/>
      <c r="B407" s="108"/>
      <c r="C407" s="108"/>
      <c r="D407" s="108"/>
      <c r="E407" s="108"/>
      <c r="F407" s="108"/>
      <c r="G407" s="108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2.0" customHeight="1">
      <c r="A408" s="108"/>
      <c r="B408" s="108"/>
      <c r="C408" s="108"/>
      <c r="D408" s="108"/>
      <c r="E408" s="108"/>
      <c r="F408" s="108"/>
      <c r="G408" s="108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2.0" customHeight="1">
      <c r="A409" s="108"/>
      <c r="B409" s="108"/>
      <c r="C409" s="108"/>
      <c r="D409" s="108"/>
      <c r="E409" s="108"/>
      <c r="F409" s="108"/>
      <c r="G409" s="108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2.0" customHeight="1">
      <c r="A410" s="108"/>
      <c r="B410" s="108"/>
      <c r="C410" s="108"/>
      <c r="D410" s="108"/>
      <c r="E410" s="108"/>
      <c r="F410" s="108"/>
      <c r="G410" s="108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2.0" customHeight="1">
      <c r="A411" s="108"/>
      <c r="B411" s="108"/>
      <c r="C411" s="108"/>
      <c r="D411" s="108"/>
      <c r="E411" s="108"/>
      <c r="F411" s="108"/>
      <c r="G411" s="108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2.0" customHeight="1">
      <c r="A412" s="108"/>
      <c r="B412" s="108"/>
      <c r="C412" s="108"/>
      <c r="D412" s="108"/>
      <c r="E412" s="108"/>
      <c r="F412" s="108"/>
      <c r="G412" s="108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2.0" customHeight="1">
      <c r="A413" s="108"/>
      <c r="B413" s="108"/>
      <c r="C413" s="108"/>
      <c r="D413" s="108"/>
      <c r="E413" s="108"/>
      <c r="F413" s="108"/>
      <c r="G413" s="108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2.0" customHeight="1">
      <c r="A414" s="108"/>
      <c r="B414" s="108"/>
      <c r="C414" s="108"/>
      <c r="D414" s="108"/>
      <c r="E414" s="108"/>
      <c r="F414" s="108"/>
      <c r="G414" s="108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2.0" customHeight="1">
      <c r="A415" s="108"/>
      <c r="B415" s="108"/>
      <c r="C415" s="108"/>
      <c r="D415" s="108"/>
      <c r="E415" s="108"/>
      <c r="F415" s="108"/>
      <c r="G415" s="108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2.0" customHeight="1">
      <c r="A416" s="108"/>
      <c r="B416" s="108"/>
      <c r="C416" s="108"/>
      <c r="D416" s="108"/>
      <c r="E416" s="108"/>
      <c r="F416" s="108"/>
      <c r="G416" s="108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2.0" customHeight="1">
      <c r="A417" s="108"/>
      <c r="B417" s="108"/>
      <c r="C417" s="108"/>
      <c r="D417" s="108"/>
      <c r="E417" s="108"/>
      <c r="F417" s="108"/>
      <c r="G417" s="108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2.0" customHeight="1">
      <c r="A418" s="108"/>
      <c r="B418" s="108"/>
      <c r="C418" s="108"/>
      <c r="D418" s="108"/>
      <c r="E418" s="108"/>
      <c r="F418" s="108"/>
      <c r="G418" s="108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2.0" customHeight="1">
      <c r="A419" s="108"/>
      <c r="B419" s="108"/>
      <c r="C419" s="108"/>
      <c r="D419" s="108"/>
      <c r="E419" s="108"/>
      <c r="F419" s="108"/>
      <c r="G419" s="108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2.0" customHeight="1">
      <c r="A420" s="108"/>
      <c r="B420" s="108"/>
      <c r="C420" s="108"/>
      <c r="D420" s="108"/>
      <c r="E420" s="108"/>
      <c r="F420" s="108"/>
      <c r="G420" s="108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2.0" customHeight="1">
      <c r="A421" s="108"/>
      <c r="B421" s="108"/>
      <c r="C421" s="108"/>
      <c r="D421" s="108"/>
      <c r="E421" s="108"/>
      <c r="F421" s="108"/>
      <c r="G421" s="108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2.0" customHeight="1">
      <c r="A422" s="108"/>
      <c r="B422" s="108"/>
      <c r="C422" s="108"/>
      <c r="D422" s="108"/>
      <c r="E422" s="108"/>
      <c r="F422" s="108"/>
      <c r="G422" s="108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2.0" customHeight="1">
      <c r="A423" s="108"/>
      <c r="B423" s="108"/>
      <c r="C423" s="108"/>
      <c r="D423" s="108"/>
      <c r="E423" s="108"/>
      <c r="F423" s="108"/>
      <c r="G423" s="108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2.0" customHeight="1">
      <c r="A424" s="108"/>
      <c r="B424" s="108"/>
      <c r="C424" s="108"/>
      <c r="D424" s="108"/>
      <c r="E424" s="108"/>
      <c r="F424" s="108"/>
      <c r="G424" s="108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2.0" customHeight="1">
      <c r="A425" s="108"/>
      <c r="B425" s="108"/>
      <c r="C425" s="108"/>
      <c r="D425" s="108"/>
      <c r="E425" s="108"/>
      <c r="F425" s="108"/>
      <c r="G425" s="108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2.0" customHeight="1">
      <c r="A426" s="108"/>
      <c r="B426" s="108"/>
      <c r="C426" s="108"/>
      <c r="D426" s="108"/>
      <c r="E426" s="108"/>
      <c r="F426" s="108"/>
      <c r="G426" s="108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2.0" customHeight="1">
      <c r="A427" s="108"/>
      <c r="B427" s="108"/>
      <c r="C427" s="108"/>
      <c r="D427" s="108"/>
      <c r="E427" s="108"/>
      <c r="F427" s="108"/>
      <c r="G427" s="108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2.0" customHeight="1">
      <c r="A428" s="108"/>
      <c r="B428" s="108"/>
      <c r="C428" s="108"/>
      <c r="D428" s="108"/>
      <c r="E428" s="108"/>
      <c r="F428" s="108"/>
      <c r="G428" s="108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2.0" customHeight="1">
      <c r="A429" s="108"/>
      <c r="B429" s="108"/>
      <c r="C429" s="108"/>
      <c r="D429" s="108"/>
      <c r="E429" s="108"/>
      <c r="F429" s="108"/>
      <c r="G429" s="108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2.0" customHeight="1">
      <c r="A430" s="108"/>
      <c r="B430" s="108"/>
      <c r="C430" s="108"/>
      <c r="D430" s="108"/>
      <c r="E430" s="108"/>
      <c r="F430" s="108"/>
      <c r="G430" s="108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2.0" customHeight="1">
      <c r="A431" s="108"/>
      <c r="B431" s="108"/>
      <c r="C431" s="108"/>
      <c r="D431" s="108"/>
      <c r="E431" s="108"/>
      <c r="F431" s="108"/>
      <c r="G431" s="108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2.0" customHeight="1">
      <c r="A432" s="108"/>
      <c r="B432" s="108"/>
      <c r="C432" s="108"/>
      <c r="D432" s="108"/>
      <c r="E432" s="108"/>
      <c r="F432" s="108"/>
      <c r="G432" s="108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2.0" customHeight="1">
      <c r="A433" s="108"/>
      <c r="B433" s="108"/>
      <c r="C433" s="108"/>
      <c r="D433" s="108"/>
      <c r="E433" s="108"/>
      <c r="F433" s="108"/>
      <c r="G433" s="108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2.0" customHeight="1">
      <c r="A434" s="108"/>
      <c r="B434" s="108"/>
      <c r="C434" s="108"/>
      <c r="D434" s="108"/>
      <c r="E434" s="108"/>
      <c r="F434" s="108"/>
      <c r="G434" s="108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2.0" customHeight="1">
      <c r="A435" s="108"/>
      <c r="B435" s="108"/>
      <c r="C435" s="108"/>
      <c r="D435" s="108"/>
      <c r="E435" s="108"/>
      <c r="F435" s="108"/>
      <c r="G435" s="108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2.0" customHeight="1">
      <c r="A436" s="108"/>
      <c r="B436" s="108"/>
      <c r="C436" s="108"/>
      <c r="D436" s="108"/>
      <c r="E436" s="108"/>
      <c r="F436" s="108"/>
      <c r="G436" s="108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2.0" customHeight="1">
      <c r="A437" s="108"/>
      <c r="B437" s="108"/>
      <c r="C437" s="108"/>
      <c r="D437" s="108"/>
      <c r="E437" s="108"/>
      <c r="F437" s="108"/>
      <c r="G437" s="108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2.0" customHeight="1">
      <c r="A438" s="108"/>
      <c r="B438" s="108"/>
      <c r="C438" s="108"/>
      <c r="D438" s="108"/>
      <c r="E438" s="108"/>
      <c r="F438" s="108"/>
      <c r="G438" s="108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2.0" customHeight="1">
      <c r="A439" s="108"/>
      <c r="B439" s="108"/>
      <c r="C439" s="108"/>
      <c r="D439" s="108"/>
      <c r="E439" s="108"/>
      <c r="F439" s="108"/>
      <c r="G439" s="108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2.0" customHeight="1">
      <c r="A440" s="108"/>
      <c r="B440" s="108"/>
      <c r="C440" s="108"/>
      <c r="D440" s="108"/>
      <c r="E440" s="108"/>
      <c r="F440" s="108"/>
      <c r="G440" s="108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2.0" customHeight="1">
      <c r="A441" s="108"/>
      <c r="B441" s="108"/>
      <c r="C441" s="108"/>
      <c r="D441" s="108"/>
      <c r="E441" s="108"/>
      <c r="F441" s="108"/>
      <c r="G441" s="108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2.0" customHeight="1">
      <c r="A442" s="108"/>
      <c r="B442" s="108"/>
      <c r="C442" s="108"/>
      <c r="D442" s="108"/>
      <c r="E442" s="108"/>
      <c r="F442" s="108"/>
      <c r="G442" s="108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2.0" customHeight="1">
      <c r="A443" s="108"/>
      <c r="B443" s="108"/>
      <c r="C443" s="108"/>
      <c r="D443" s="108"/>
      <c r="E443" s="108"/>
      <c r="F443" s="108"/>
      <c r="G443" s="108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2.0" customHeight="1">
      <c r="A444" s="108"/>
      <c r="B444" s="108"/>
      <c r="C444" s="108"/>
      <c r="D444" s="108"/>
      <c r="E444" s="108"/>
      <c r="F444" s="108"/>
      <c r="G444" s="108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2.0" customHeight="1">
      <c r="A445" s="108"/>
      <c r="B445" s="108"/>
      <c r="C445" s="108"/>
      <c r="D445" s="108"/>
      <c r="E445" s="108"/>
      <c r="F445" s="108"/>
      <c r="G445" s="108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2.0" customHeight="1">
      <c r="A446" s="108"/>
      <c r="B446" s="108"/>
      <c r="C446" s="108"/>
      <c r="D446" s="108"/>
      <c r="E446" s="108"/>
      <c r="F446" s="108"/>
      <c r="G446" s="108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2.0" customHeight="1">
      <c r="A447" s="108"/>
      <c r="B447" s="108"/>
      <c r="C447" s="108"/>
      <c r="D447" s="108"/>
      <c r="E447" s="108"/>
      <c r="F447" s="108"/>
      <c r="G447" s="108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2.0" customHeight="1">
      <c r="A448" s="108"/>
      <c r="B448" s="108"/>
      <c r="C448" s="108"/>
      <c r="D448" s="108"/>
      <c r="E448" s="108"/>
      <c r="F448" s="108"/>
      <c r="G448" s="108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2.0" customHeight="1">
      <c r="A449" s="108"/>
      <c r="B449" s="108"/>
      <c r="C449" s="108"/>
      <c r="D449" s="108"/>
      <c r="E449" s="108"/>
      <c r="F449" s="108"/>
      <c r="G449" s="108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2.0" customHeight="1">
      <c r="A450" s="108"/>
      <c r="B450" s="108"/>
      <c r="C450" s="108"/>
      <c r="D450" s="108"/>
      <c r="E450" s="108"/>
      <c r="F450" s="108"/>
      <c r="G450" s="108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2.0" customHeight="1">
      <c r="A451" s="108"/>
      <c r="B451" s="108"/>
      <c r="C451" s="108"/>
      <c r="D451" s="108"/>
      <c r="E451" s="108"/>
      <c r="F451" s="108"/>
      <c r="G451" s="108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2.0" customHeight="1">
      <c r="A452" s="108"/>
      <c r="B452" s="108"/>
      <c r="C452" s="108"/>
      <c r="D452" s="108"/>
      <c r="E452" s="108"/>
      <c r="F452" s="108"/>
      <c r="G452" s="108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2.0" customHeight="1">
      <c r="A453" s="108"/>
      <c r="B453" s="108"/>
      <c r="C453" s="108"/>
      <c r="D453" s="108"/>
      <c r="E453" s="108"/>
      <c r="F453" s="108"/>
      <c r="G453" s="108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2.0" customHeight="1">
      <c r="A454" s="108"/>
      <c r="B454" s="108"/>
      <c r="C454" s="108"/>
      <c r="D454" s="108"/>
      <c r="E454" s="108"/>
      <c r="F454" s="108"/>
      <c r="G454" s="108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2.0" customHeight="1">
      <c r="A455" s="108"/>
      <c r="B455" s="108"/>
      <c r="C455" s="108"/>
      <c r="D455" s="108"/>
      <c r="E455" s="108"/>
      <c r="F455" s="108"/>
      <c r="G455" s="108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2.0" customHeight="1">
      <c r="A456" s="108"/>
      <c r="B456" s="108"/>
      <c r="C456" s="108"/>
      <c r="D456" s="108"/>
      <c r="E456" s="108"/>
      <c r="F456" s="108"/>
      <c r="G456" s="108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2.0" customHeight="1">
      <c r="A457" s="108"/>
      <c r="B457" s="108"/>
      <c r="C457" s="108"/>
      <c r="D457" s="108"/>
      <c r="E457" s="108"/>
      <c r="F457" s="108"/>
      <c r="G457" s="108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2.0" customHeight="1">
      <c r="A458" s="108"/>
      <c r="B458" s="108"/>
      <c r="C458" s="108"/>
      <c r="D458" s="108"/>
      <c r="E458" s="108"/>
      <c r="F458" s="108"/>
      <c r="G458" s="108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2.0" customHeight="1">
      <c r="A459" s="108"/>
      <c r="B459" s="108"/>
      <c r="C459" s="108"/>
      <c r="D459" s="108"/>
      <c r="E459" s="108"/>
      <c r="F459" s="108"/>
      <c r="G459" s="108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2.0" customHeight="1">
      <c r="A460" s="108"/>
      <c r="B460" s="108"/>
      <c r="C460" s="108"/>
      <c r="D460" s="108"/>
      <c r="E460" s="108"/>
      <c r="F460" s="108"/>
      <c r="G460" s="108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2.0" customHeight="1">
      <c r="A461" s="108"/>
      <c r="B461" s="108"/>
      <c r="C461" s="108"/>
      <c r="D461" s="108"/>
      <c r="E461" s="108"/>
      <c r="F461" s="108"/>
      <c r="G461" s="108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2.0" customHeight="1">
      <c r="A462" s="108"/>
      <c r="B462" s="108"/>
      <c r="C462" s="108"/>
      <c r="D462" s="108"/>
      <c r="E462" s="108"/>
      <c r="F462" s="108"/>
      <c r="G462" s="108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2.0" customHeight="1">
      <c r="A463" s="108"/>
      <c r="B463" s="108"/>
      <c r="C463" s="108"/>
      <c r="D463" s="108"/>
      <c r="E463" s="108"/>
      <c r="F463" s="108"/>
      <c r="G463" s="108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2.0" customHeight="1">
      <c r="A464" s="108"/>
      <c r="B464" s="108"/>
      <c r="C464" s="108"/>
      <c r="D464" s="108"/>
      <c r="E464" s="108"/>
      <c r="F464" s="108"/>
      <c r="G464" s="108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2.0" customHeight="1">
      <c r="A465" s="108"/>
      <c r="B465" s="108"/>
      <c r="C465" s="108"/>
      <c r="D465" s="108"/>
      <c r="E465" s="108"/>
      <c r="F465" s="108"/>
      <c r="G465" s="108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2.0" customHeight="1">
      <c r="A466" s="108"/>
      <c r="B466" s="108"/>
      <c r="C466" s="108"/>
      <c r="D466" s="108"/>
      <c r="E466" s="108"/>
      <c r="F466" s="108"/>
      <c r="G466" s="108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2.0" customHeight="1">
      <c r="A467" s="108"/>
      <c r="B467" s="108"/>
      <c r="C467" s="108"/>
      <c r="D467" s="108"/>
      <c r="E467" s="108"/>
      <c r="F467" s="108"/>
      <c r="G467" s="108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2.0" customHeight="1">
      <c r="A468" s="108"/>
      <c r="B468" s="108"/>
      <c r="C468" s="108"/>
      <c r="D468" s="108"/>
      <c r="E468" s="108"/>
      <c r="F468" s="108"/>
      <c r="G468" s="108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2.0" customHeight="1">
      <c r="A469" s="108"/>
      <c r="B469" s="108"/>
      <c r="C469" s="108"/>
      <c r="D469" s="108"/>
      <c r="E469" s="108"/>
      <c r="F469" s="108"/>
      <c r="G469" s="108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2.0" customHeight="1">
      <c r="A470" s="108"/>
      <c r="B470" s="108"/>
      <c r="C470" s="108"/>
      <c r="D470" s="108"/>
      <c r="E470" s="108"/>
      <c r="F470" s="108"/>
      <c r="G470" s="108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2.0" customHeight="1">
      <c r="A471" s="108"/>
      <c r="B471" s="108"/>
      <c r="C471" s="108"/>
      <c r="D471" s="108"/>
      <c r="E471" s="108"/>
      <c r="F471" s="108"/>
      <c r="G471" s="108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2.0" customHeight="1">
      <c r="A472" s="108"/>
      <c r="B472" s="108"/>
      <c r="C472" s="108"/>
      <c r="D472" s="108"/>
      <c r="E472" s="108"/>
      <c r="F472" s="108"/>
      <c r="G472" s="108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2.0" customHeight="1">
      <c r="A473" s="108"/>
      <c r="B473" s="108"/>
      <c r="C473" s="108"/>
      <c r="D473" s="108"/>
      <c r="E473" s="108"/>
      <c r="F473" s="108"/>
      <c r="G473" s="108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2.0" customHeight="1">
      <c r="A474" s="108"/>
      <c r="B474" s="108"/>
      <c r="C474" s="108"/>
      <c r="D474" s="108"/>
      <c r="E474" s="108"/>
      <c r="F474" s="108"/>
      <c r="G474" s="108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2.0" customHeight="1">
      <c r="A475" s="108"/>
      <c r="B475" s="108"/>
      <c r="C475" s="108"/>
      <c r="D475" s="108"/>
      <c r="E475" s="108"/>
      <c r="F475" s="108"/>
      <c r="G475" s="108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2.0" customHeight="1">
      <c r="A476" s="108"/>
      <c r="B476" s="108"/>
      <c r="C476" s="108"/>
      <c r="D476" s="108"/>
      <c r="E476" s="108"/>
      <c r="F476" s="108"/>
      <c r="G476" s="108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2.0" customHeight="1">
      <c r="A477" s="108"/>
      <c r="B477" s="108"/>
      <c r="C477" s="108"/>
      <c r="D477" s="108"/>
      <c r="E477" s="108"/>
      <c r="F477" s="108"/>
      <c r="G477" s="108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2.0" customHeight="1">
      <c r="A478" s="108"/>
      <c r="B478" s="108"/>
      <c r="C478" s="108"/>
      <c r="D478" s="108"/>
      <c r="E478" s="108"/>
      <c r="F478" s="108"/>
      <c r="G478" s="108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2.0" customHeight="1">
      <c r="A479" s="108"/>
      <c r="B479" s="108"/>
      <c r="C479" s="108"/>
      <c r="D479" s="108"/>
      <c r="E479" s="108"/>
      <c r="F479" s="108"/>
      <c r="G479" s="108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2.0" customHeight="1">
      <c r="A480" s="108"/>
      <c r="B480" s="108"/>
      <c r="C480" s="108"/>
      <c r="D480" s="108"/>
      <c r="E480" s="108"/>
      <c r="F480" s="108"/>
      <c r="G480" s="108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2.0" customHeight="1">
      <c r="A481" s="108"/>
      <c r="B481" s="108"/>
      <c r="C481" s="108"/>
      <c r="D481" s="108"/>
      <c r="E481" s="108"/>
      <c r="F481" s="108"/>
      <c r="G481" s="108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2.0" customHeight="1">
      <c r="A482" s="108"/>
      <c r="B482" s="108"/>
      <c r="C482" s="108"/>
      <c r="D482" s="108"/>
      <c r="E482" s="108"/>
      <c r="F482" s="108"/>
      <c r="G482" s="108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2.0" customHeight="1">
      <c r="A483" s="108"/>
      <c r="B483" s="108"/>
      <c r="C483" s="108"/>
      <c r="D483" s="108"/>
      <c r="E483" s="108"/>
      <c r="F483" s="108"/>
      <c r="G483" s="108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2.0" customHeight="1">
      <c r="A484" s="108"/>
      <c r="B484" s="108"/>
      <c r="C484" s="108"/>
      <c r="D484" s="108"/>
      <c r="E484" s="108"/>
      <c r="F484" s="108"/>
      <c r="G484" s="108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2.0" customHeight="1">
      <c r="A485" s="108"/>
      <c r="B485" s="108"/>
      <c r="C485" s="108"/>
      <c r="D485" s="108"/>
      <c r="E485" s="108"/>
      <c r="F485" s="108"/>
      <c r="G485" s="108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2.0" customHeight="1">
      <c r="A486" s="108"/>
      <c r="B486" s="108"/>
      <c r="C486" s="108"/>
      <c r="D486" s="108"/>
      <c r="E486" s="108"/>
      <c r="F486" s="108"/>
      <c r="G486" s="108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2.0" customHeight="1">
      <c r="A487" s="108"/>
      <c r="B487" s="108"/>
      <c r="C487" s="108"/>
      <c r="D487" s="108"/>
      <c r="E487" s="108"/>
      <c r="F487" s="108"/>
      <c r="G487" s="108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2.0" customHeight="1">
      <c r="A488" s="108"/>
      <c r="B488" s="108"/>
      <c r="C488" s="108"/>
      <c r="D488" s="108"/>
      <c r="E488" s="108"/>
      <c r="F488" s="108"/>
      <c r="G488" s="108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2.0" customHeight="1">
      <c r="A489" s="108"/>
      <c r="B489" s="108"/>
      <c r="C489" s="108"/>
      <c r="D489" s="108"/>
      <c r="E489" s="108"/>
      <c r="F489" s="108"/>
      <c r="G489" s="108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2.0" customHeight="1">
      <c r="A490" s="108"/>
      <c r="B490" s="108"/>
      <c r="C490" s="108"/>
      <c r="D490" s="108"/>
      <c r="E490" s="108"/>
      <c r="F490" s="108"/>
      <c r="G490" s="108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2.0" customHeight="1">
      <c r="A491" s="108"/>
      <c r="B491" s="108"/>
      <c r="C491" s="108"/>
      <c r="D491" s="108"/>
      <c r="E491" s="108"/>
      <c r="F491" s="108"/>
      <c r="G491" s="108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2.0" customHeight="1">
      <c r="A492" s="108"/>
      <c r="B492" s="108"/>
      <c r="C492" s="108"/>
      <c r="D492" s="108"/>
      <c r="E492" s="108"/>
      <c r="F492" s="108"/>
      <c r="G492" s="108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2.0" customHeight="1">
      <c r="A493" s="108"/>
      <c r="B493" s="108"/>
      <c r="C493" s="108"/>
      <c r="D493" s="108"/>
      <c r="E493" s="108"/>
      <c r="F493" s="108"/>
      <c r="G493" s="108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2.0" customHeight="1">
      <c r="A494" s="108"/>
      <c r="B494" s="108"/>
      <c r="C494" s="108"/>
      <c r="D494" s="108"/>
      <c r="E494" s="108"/>
      <c r="F494" s="108"/>
      <c r="G494" s="108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2.0" customHeight="1">
      <c r="A495" s="108"/>
      <c r="B495" s="108"/>
      <c r="C495" s="108"/>
      <c r="D495" s="108"/>
      <c r="E495" s="108"/>
      <c r="F495" s="108"/>
      <c r="G495" s="108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2.0" customHeight="1">
      <c r="A496" s="108"/>
      <c r="B496" s="108"/>
      <c r="C496" s="108"/>
      <c r="D496" s="108"/>
      <c r="E496" s="108"/>
      <c r="F496" s="108"/>
      <c r="G496" s="108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2.0" customHeight="1">
      <c r="A497" s="108"/>
      <c r="B497" s="108"/>
      <c r="C497" s="108"/>
      <c r="D497" s="108"/>
      <c r="E497" s="108"/>
      <c r="F497" s="108"/>
      <c r="G497" s="108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2.0" customHeight="1">
      <c r="A498" s="108"/>
      <c r="B498" s="108"/>
      <c r="C498" s="108"/>
      <c r="D498" s="108"/>
      <c r="E498" s="108"/>
      <c r="F498" s="108"/>
      <c r="G498" s="108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2.0" customHeight="1">
      <c r="A499" s="108"/>
      <c r="B499" s="108"/>
      <c r="C499" s="108"/>
      <c r="D499" s="108"/>
      <c r="E499" s="108"/>
      <c r="F499" s="108"/>
      <c r="G499" s="108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2.0" customHeight="1">
      <c r="A500" s="108"/>
      <c r="B500" s="108"/>
      <c r="C500" s="108"/>
      <c r="D500" s="108"/>
      <c r="E500" s="108"/>
      <c r="F500" s="108"/>
      <c r="G500" s="108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2.0" customHeight="1">
      <c r="A501" s="108"/>
      <c r="B501" s="108"/>
      <c r="C501" s="108"/>
      <c r="D501" s="108"/>
      <c r="E501" s="108"/>
      <c r="F501" s="108"/>
      <c r="G501" s="108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2.0" customHeight="1">
      <c r="A502" s="108"/>
      <c r="B502" s="108"/>
      <c r="C502" s="108"/>
      <c r="D502" s="108"/>
      <c r="E502" s="108"/>
      <c r="F502" s="108"/>
      <c r="G502" s="108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2.0" customHeight="1">
      <c r="A503" s="108"/>
      <c r="B503" s="108"/>
      <c r="C503" s="108"/>
      <c r="D503" s="108"/>
      <c r="E503" s="108"/>
      <c r="F503" s="108"/>
      <c r="G503" s="108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2.0" customHeight="1">
      <c r="A504" s="108"/>
      <c r="B504" s="108"/>
      <c r="C504" s="108"/>
      <c r="D504" s="108"/>
      <c r="E504" s="108"/>
      <c r="F504" s="108"/>
      <c r="G504" s="108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2.0" customHeight="1">
      <c r="A505" s="108"/>
      <c r="B505" s="108"/>
      <c r="C505" s="108"/>
      <c r="D505" s="108"/>
      <c r="E505" s="108"/>
      <c r="F505" s="108"/>
      <c r="G505" s="108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2.0" customHeight="1">
      <c r="A506" s="108"/>
      <c r="B506" s="108"/>
      <c r="C506" s="108"/>
      <c r="D506" s="108"/>
      <c r="E506" s="108"/>
      <c r="F506" s="108"/>
      <c r="G506" s="108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2.0" customHeight="1">
      <c r="A507" s="108"/>
      <c r="B507" s="108"/>
      <c r="C507" s="108"/>
      <c r="D507" s="108"/>
      <c r="E507" s="108"/>
      <c r="F507" s="108"/>
      <c r="G507" s="108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2.0" customHeight="1">
      <c r="A508" s="108"/>
      <c r="B508" s="108"/>
      <c r="C508" s="108"/>
      <c r="D508" s="108"/>
      <c r="E508" s="108"/>
      <c r="F508" s="108"/>
      <c r="G508" s="108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2.0" customHeight="1">
      <c r="A509" s="108"/>
      <c r="B509" s="108"/>
      <c r="C509" s="108"/>
      <c r="D509" s="108"/>
      <c r="E509" s="108"/>
      <c r="F509" s="108"/>
      <c r="G509" s="108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2.0" customHeight="1">
      <c r="A510" s="108"/>
      <c r="B510" s="108"/>
      <c r="C510" s="108"/>
      <c r="D510" s="108"/>
      <c r="E510" s="108"/>
      <c r="F510" s="108"/>
      <c r="G510" s="108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2.0" customHeight="1">
      <c r="A511" s="108"/>
      <c r="B511" s="108"/>
      <c r="C511" s="108"/>
      <c r="D511" s="108"/>
      <c r="E511" s="108"/>
      <c r="F511" s="108"/>
      <c r="G511" s="108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2.0" customHeight="1">
      <c r="A512" s="108"/>
      <c r="B512" s="108"/>
      <c r="C512" s="108"/>
      <c r="D512" s="108"/>
      <c r="E512" s="108"/>
      <c r="F512" s="108"/>
      <c r="G512" s="108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2.0" customHeight="1">
      <c r="A513" s="108"/>
      <c r="B513" s="108"/>
      <c r="C513" s="108"/>
      <c r="D513" s="108"/>
      <c r="E513" s="108"/>
      <c r="F513" s="108"/>
      <c r="G513" s="108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2.0" customHeight="1">
      <c r="A514" s="108"/>
      <c r="B514" s="108"/>
      <c r="C514" s="108"/>
      <c r="D514" s="108"/>
      <c r="E514" s="108"/>
      <c r="F514" s="108"/>
      <c r="G514" s="108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2.0" customHeight="1">
      <c r="A515" s="108"/>
      <c r="B515" s="108"/>
      <c r="C515" s="108"/>
      <c r="D515" s="108"/>
      <c r="E515" s="108"/>
      <c r="F515" s="108"/>
      <c r="G515" s="108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2.0" customHeight="1">
      <c r="A516" s="108"/>
      <c r="B516" s="108"/>
      <c r="C516" s="108"/>
      <c r="D516" s="108"/>
      <c r="E516" s="108"/>
      <c r="F516" s="108"/>
      <c r="G516" s="108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2.0" customHeight="1">
      <c r="A517" s="108"/>
      <c r="B517" s="108"/>
      <c r="C517" s="108"/>
      <c r="D517" s="108"/>
      <c r="E517" s="108"/>
      <c r="F517" s="108"/>
      <c r="G517" s="108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2.0" customHeight="1">
      <c r="A518" s="108"/>
      <c r="B518" s="108"/>
      <c r="C518" s="108"/>
      <c r="D518" s="108"/>
      <c r="E518" s="108"/>
      <c r="F518" s="108"/>
      <c r="G518" s="108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2.0" customHeight="1">
      <c r="A519" s="108"/>
      <c r="B519" s="108"/>
      <c r="C519" s="108"/>
      <c r="D519" s="108"/>
      <c r="E519" s="108"/>
      <c r="F519" s="108"/>
      <c r="G519" s="108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2.0" customHeight="1">
      <c r="A520" s="108"/>
      <c r="B520" s="108"/>
      <c r="C520" s="108"/>
      <c r="D520" s="108"/>
      <c r="E520" s="108"/>
      <c r="F520" s="108"/>
      <c r="G520" s="108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2.0" customHeight="1">
      <c r="A521" s="108"/>
      <c r="B521" s="108"/>
      <c r="C521" s="108"/>
      <c r="D521" s="108"/>
      <c r="E521" s="108"/>
      <c r="F521" s="108"/>
      <c r="G521" s="108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2.0" customHeight="1">
      <c r="A522" s="108"/>
      <c r="B522" s="108"/>
      <c r="C522" s="108"/>
      <c r="D522" s="108"/>
      <c r="E522" s="108"/>
      <c r="F522" s="108"/>
      <c r="G522" s="108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2.0" customHeight="1">
      <c r="A523" s="108"/>
      <c r="B523" s="108"/>
      <c r="C523" s="108"/>
      <c r="D523" s="108"/>
      <c r="E523" s="108"/>
      <c r="F523" s="108"/>
      <c r="G523" s="108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2.0" customHeight="1">
      <c r="A524" s="108"/>
      <c r="B524" s="108"/>
      <c r="C524" s="108"/>
      <c r="D524" s="108"/>
      <c r="E524" s="108"/>
      <c r="F524" s="108"/>
      <c r="G524" s="108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2.0" customHeight="1">
      <c r="A525" s="108"/>
      <c r="B525" s="108"/>
      <c r="C525" s="108"/>
      <c r="D525" s="108"/>
      <c r="E525" s="108"/>
      <c r="F525" s="108"/>
      <c r="G525" s="108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2.0" customHeight="1">
      <c r="A526" s="108"/>
      <c r="B526" s="108"/>
      <c r="C526" s="108"/>
      <c r="D526" s="108"/>
      <c r="E526" s="108"/>
      <c r="F526" s="108"/>
      <c r="G526" s="108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2.0" customHeight="1">
      <c r="A527" s="108"/>
      <c r="B527" s="108"/>
      <c r="C527" s="108"/>
      <c r="D527" s="108"/>
      <c r="E527" s="108"/>
      <c r="F527" s="108"/>
      <c r="G527" s="108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2.0" customHeight="1">
      <c r="A528" s="108"/>
      <c r="B528" s="108"/>
      <c r="C528" s="108"/>
      <c r="D528" s="108"/>
      <c r="E528" s="108"/>
      <c r="F528" s="108"/>
      <c r="G528" s="108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2.0" customHeight="1">
      <c r="A529" s="108"/>
      <c r="B529" s="108"/>
      <c r="C529" s="108"/>
      <c r="D529" s="108"/>
      <c r="E529" s="108"/>
      <c r="F529" s="108"/>
      <c r="G529" s="108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2.0" customHeight="1">
      <c r="A530" s="108"/>
      <c r="B530" s="108"/>
      <c r="C530" s="108"/>
      <c r="D530" s="108"/>
      <c r="E530" s="108"/>
      <c r="F530" s="108"/>
      <c r="G530" s="108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2.0" customHeight="1">
      <c r="A531" s="108"/>
      <c r="B531" s="108"/>
      <c r="C531" s="108"/>
      <c r="D531" s="108"/>
      <c r="E531" s="108"/>
      <c r="F531" s="108"/>
      <c r="G531" s="108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2.0" customHeight="1">
      <c r="A532" s="108"/>
      <c r="B532" s="108"/>
      <c r="C532" s="108"/>
      <c r="D532" s="108"/>
      <c r="E532" s="108"/>
      <c r="F532" s="108"/>
      <c r="G532" s="108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2.0" customHeight="1">
      <c r="A533" s="108"/>
      <c r="B533" s="108"/>
      <c r="C533" s="108"/>
      <c r="D533" s="108"/>
      <c r="E533" s="108"/>
      <c r="F533" s="108"/>
      <c r="G533" s="108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2.0" customHeight="1">
      <c r="A534" s="108"/>
      <c r="B534" s="108"/>
      <c r="C534" s="108"/>
      <c r="D534" s="108"/>
      <c r="E534" s="108"/>
      <c r="F534" s="108"/>
      <c r="G534" s="108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2.0" customHeight="1">
      <c r="A535" s="108"/>
      <c r="B535" s="108"/>
      <c r="C535" s="108"/>
      <c r="D535" s="108"/>
      <c r="E535" s="108"/>
      <c r="F535" s="108"/>
      <c r="G535" s="108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2.0" customHeight="1">
      <c r="A536" s="108"/>
      <c r="B536" s="108"/>
      <c r="C536" s="108"/>
      <c r="D536" s="108"/>
      <c r="E536" s="108"/>
      <c r="F536" s="108"/>
      <c r="G536" s="108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2.0" customHeight="1">
      <c r="A537" s="108"/>
      <c r="B537" s="108"/>
      <c r="C537" s="108"/>
      <c r="D537" s="108"/>
      <c r="E537" s="108"/>
      <c r="F537" s="108"/>
      <c r="G537" s="108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2.0" customHeight="1">
      <c r="A538" s="108"/>
      <c r="B538" s="108"/>
      <c r="C538" s="108"/>
      <c r="D538" s="108"/>
      <c r="E538" s="108"/>
      <c r="F538" s="108"/>
      <c r="G538" s="108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2.0" customHeight="1">
      <c r="A539" s="108"/>
      <c r="B539" s="108"/>
      <c r="C539" s="108"/>
      <c r="D539" s="108"/>
      <c r="E539" s="108"/>
      <c r="F539" s="108"/>
      <c r="G539" s="108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2.0" customHeight="1">
      <c r="A540" s="108"/>
      <c r="B540" s="108"/>
      <c r="C540" s="108"/>
      <c r="D540" s="108"/>
      <c r="E540" s="108"/>
      <c r="F540" s="108"/>
      <c r="G540" s="108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2.0" customHeight="1">
      <c r="A541" s="108"/>
      <c r="B541" s="108"/>
      <c r="C541" s="108"/>
      <c r="D541" s="108"/>
      <c r="E541" s="108"/>
      <c r="F541" s="108"/>
      <c r="G541" s="108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2.0" customHeight="1">
      <c r="A542" s="108"/>
      <c r="B542" s="108"/>
      <c r="C542" s="108"/>
      <c r="D542" s="108"/>
      <c r="E542" s="108"/>
      <c r="F542" s="108"/>
      <c r="G542" s="108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2.0" customHeight="1">
      <c r="A543" s="108"/>
      <c r="B543" s="108"/>
      <c r="C543" s="108"/>
      <c r="D543" s="108"/>
      <c r="E543" s="108"/>
      <c r="F543" s="108"/>
      <c r="G543" s="108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2.0" customHeight="1">
      <c r="A544" s="108"/>
      <c r="B544" s="108"/>
      <c r="C544" s="108"/>
      <c r="D544" s="108"/>
      <c r="E544" s="108"/>
      <c r="F544" s="108"/>
      <c r="G544" s="108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2.0" customHeight="1">
      <c r="A545" s="108"/>
      <c r="B545" s="108"/>
      <c r="C545" s="108"/>
      <c r="D545" s="108"/>
      <c r="E545" s="108"/>
      <c r="F545" s="108"/>
      <c r="G545" s="108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2.0" customHeight="1">
      <c r="A546" s="108"/>
      <c r="B546" s="108"/>
      <c r="C546" s="108"/>
      <c r="D546" s="108"/>
      <c r="E546" s="108"/>
      <c r="F546" s="108"/>
      <c r="G546" s="108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2.0" customHeight="1">
      <c r="A547" s="108"/>
      <c r="B547" s="108"/>
      <c r="C547" s="108"/>
      <c r="D547" s="108"/>
      <c r="E547" s="108"/>
      <c r="F547" s="108"/>
      <c r="G547" s="108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2.0" customHeight="1">
      <c r="A548" s="108"/>
      <c r="B548" s="108"/>
      <c r="C548" s="108"/>
      <c r="D548" s="108"/>
      <c r="E548" s="108"/>
      <c r="F548" s="108"/>
      <c r="G548" s="108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2.0" customHeight="1">
      <c r="A549" s="108"/>
      <c r="B549" s="108"/>
      <c r="C549" s="108"/>
      <c r="D549" s="108"/>
      <c r="E549" s="108"/>
      <c r="F549" s="108"/>
      <c r="G549" s="108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2.0" customHeight="1">
      <c r="A550" s="108"/>
      <c r="B550" s="108"/>
      <c r="C550" s="108"/>
      <c r="D550" s="108"/>
      <c r="E550" s="108"/>
      <c r="F550" s="108"/>
      <c r="G550" s="108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2.0" customHeight="1">
      <c r="A551" s="108"/>
      <c r="B551" s="108"/>
      <c r="C551" s="108"/>
      <c r="D551" s="108"/>
      <c r="E551" s="108"/>
      <c r="F551" s="108"/>
      <c r="G551" s="108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2.0" customHeight="1">
      <c r="A552" s="108"/>
      <c r="B552" s="108"/>
      <c r="C552" s="108"/>
      <c r="D552" s="108"/>
      <c r="E552" s="108"/>
      <c r="F552" s="108"/>
      <c r="G552" s="108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2.0" customHeight="1">
      <c r="A553" s="108"/>
      <c r="B553" s="108"/>
      <c r="C553" s="108"/>
      <c r="D553" s="108"/>
      <c r="E553" s="108"/>
      <c r="F553" s="108"/>
      <c r="G553" s="108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2.0" customHeight="1">
      <c r="A554" s="108"/>
      <c r="B554" s="108"/>
      <c r="C554" s="108"/>
      <c r="D554" s="108"/>
      <c r="E554" s="108"/>
      <c r="F554" s="108"/>
      <c r="G554" s="108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2.0" customHeight="1">
      <c r="A555" s="108"/>
      <c r="B555" s="108"/>
      <c r="C555" s="108"/>
      <c r="D555" s="108"/>
      <c r="E555" s="108"/>
      <c r="F555" s="108"/>
      <c r="G555" s="108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2.0" customHeight="1">
      <c r="A556" s="108"/>
      <c r="B556" s="108"/>
      <c r="C556" s="108"/>
      <c r="D556" s="108"/>
      <c r="E556" s="108"/>
      <c r="F556" s="108"/>
      <c r="G556" s="108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2.0" customHeight="1">
      <c r="A557" s="108"/>
      <c r="B557" s="108"/>
      <c r="C557" s="108"/>
      <c r="D557" s="108"/>
      <c r="E557" s="108"/>
      <c r="F557" s="108"/>
      <c r="G557" s="108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2.0" customHeight="1">
      <c r="A558" s="108"/>
      <c r="B558" s="108"/>
      <c r="C558" s="108"/>
      <c r="D558" s="108"/>
      <c r="E558" s="108"/>
      <c r="F558" s="108"/>
      <c r="G558" s="108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2.0" customHeight="1">
      <c r="A559" s="108"/>
      <c r="B559" s="108"/>
      <c r="C559" s="108"/>
      <c r="D559" s="108"/>
      <c r="E559" s="108"/>
      <c r="F559" s="108"/>
      <c r="G559" s="108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2.0" customHeight="1">
      <c r="A560" s="108"/>
      <c r="B560" s="108"/>
      <c r="C560" s="108"/>
      <c r="D560" s="108"/>
      <c r="E560" s="108"/>
      <c r="F560" s="108"/>
      <c r="G560" s="108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2.0" customHeight="1">
      <c r="A561" s="108"/>
      <c r="B561" s="108"/>
      <c r="C561" s="108"/>
      <c r="D561" s="108"/>
      <c r="E561" s="108"/>
      <c r="F561" s="108"/>
      <c r="G561" s="108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2.0" customHeight="1">
      <c r="A562" s="108"/>
      <c r="B562" s="108"/>
      <c r="C562" s="108"/>
      <c r="D562" s="108"/>
      <c r="E562" s="108"/>
      <c r="F562" s="108"/>
      <c r="G562" s="108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2.0" customHeight="1">
      <c r="A563" s="108"/>
      <c r="B563" s="108"/>
      <c r="C563" s="108"/>
      <c r="D563" s="108"/>
      <c r="E563" s="108"/>
      <c r="F563" s="108"/>
      <c r="G563" s="108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2.0" customHeight="1">
      <c r="A564" s="108"/>
      <c r="B564" s="108"/>
      <c r="C564" s="108"/>
      <c r="D564" s="108"/>
      <c r="E564" s="108"/>
      <c r="F564" s="108"/>
      <c r="G564" s="108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2.0" customHeight="1">
      <c r="A565" s="108"/>
      <c r="B565" s="108"/>
      <c r="C565" s="108"/>
      <c r="D565" s="108"/>
      <c r="E565" s="108"/>
      <c r="F565" s="108"/>
      <c r="G565" s="108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2.0" customHeight="1">
      <c r="A566" s="108"/>
      <c r="B566" s="108"/>
      <c r="C566" s="108"/>
      <c r="D566" s="108"/>
      <c r="E566" s="108"/>
      <c r="F566" s="108"/>
      <c r="G566" s="108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2.0" customHeight="1">
      <c r="A567" s="108"/>
      <c r="B567" s="108"/>
      <c r="C567" s="108"/>
      <c r="D567" s="108"/>
      <c r="E567" s="108"/>
      <c r="F567" s="108"/>
      <c r="G567" s="108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2.0" customHeight="1">
      <c r="A568" s="108"/>
      <c r="B568" s="108"/>
      <c r="C568" s="108"/>
      <c r="D568" s="108"/>
      <c r="E568" s="108"/>
      <c r="F568" s="108"/>
      <c r="G568" s="108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2.0" customHeight="1">
      <c r="A569" s="108"/>
      <c r="B569" s="108"/>
      <c r="C569" s="108"/>
      <c r="D569" s="108"/>
      <c r="E569" s="108"/>
      <c r="F569" s="108"/>
      <c r="G569" s="108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2.0" customHeight="1">
      <c r="A570" s="108"/>
      <c r="B570" s="108"/>
      <c r="C570" s="108"/>
      <c r="D570" s="108"/>
      <c r="E570" s="108"/>
      <c r="F570" s="108"/>
      <c r="G570" s="108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2.0" customHeight="1">
      <c r="A571" s="108"/>
      <c r="B571" s="108"/>
      <c r="C571" s="108"/>
      <c r="D571" s="108"/>
      <c r="E571" s="108"/>
      <c r="F571" s="108"/>
      <c r="G571" s="108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2.0" customHeight="1">
      <c r="A572" s="108"/>
      <c r="B572" s="108"/>
      <c r="C572" s="108"/>
      <c r="D572" s="108"/>
      <c r="E572" s="108"/>
      <c r="F572" s="108"/>
      <c r="G572" s="108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2.0" customHeight="1">
      <c r="A573" s="108"/>
      <c r="B573" s="108"/>
      <c r="C573" s="108"/>
      <c r="D573" s="108"/>
      <c r="E573" s="108"/>
      <c r="F573" s="108"/>
      <c r="G573" s="108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2.0" customHeight="1">
      <c r="A574" s="108"/>
      <c r="B574" s="108"/>
      <c r="C574" s="108"/>
      <c r="D574" s="108"/>
      <c r="E574" s="108"/>
      <c r="F574" s="108"/>
      <c r="G574" s="108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2.0" customHeight="1">
      <c r="A575" s="108"/>
      <c r="B575" s="108"/>
      <c r="C575" s="108"/>
      <c r="D575" s="108"/>
      <c r="E575" s="108"/>
      <c r="F575" s="108"/>
      <c r="G575" s="108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2.0" customHeight="1">
      <c r="A576" s="108"/>
      <c r="B576" s="108"/>
      <c r="C576" s="108"/>
      <c r="D576" s="108"/>
      <c r="E576" s="108"/>
      <c r="F576" s="108"/>
      <c r="G576" s="108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2.0" customHeight="1">
      <c r="A577" s="108"/>
      <c r="B577" s="108"/>
      <c r="C577" s="108"/>
      <c r="D577" s="108"/>
      <c r="E577" s="108"/>
      <c r="F577" s="108"/>
      <c r="G577" s="108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2.0" customHeight="1">
      <c r="A578" s="108"/>
      <c r="B578" s="108"/>
      <c r="C578" s="108"/>
      <c r="D578" s="108"/>
      <c r="E578" s="108"/>
      <c r="F578" s="108"/>
      <c r="G578" s="108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2.0" customHeight="1">
      <c r="A579" s="108"/>
      <c r="B579" s="108"/>
      <c r="C579" s="108"/>
      <c r="D579" s="108"/>
      <c r="E579" s="108"/>
      <c r="F579" s="108"/>
      <c r="G579" s="108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2.0" customHeight="1">
      <c r="A580" s="108"/>
      <c r="B580" s="108"/>
      <c r="C580" s="108"/>
      <c r="D580" s="108"/>
      <c r="E580" s="108"/>
      <c r="F580" s="108"/>
      <c r="G580" s="108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2.0" customHeight="1">
      <c r="A581" s="108"/>
      <c r="B581" s="108"/>
      <c r="C581" s="108"/>
      <c r="D581" s="108"/>
      <c r="E581" s="108"/>
      <c r="F581" s="108"/>
      <c r="G581" s="108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2.0" customHeight="1">
      <c r="A582" s="108"/>
      <c r="B582" s="108"/>
      <c r="C582" s="108"/>
      <c r="D582" s="108"/>
      <c r="E582" s="108"/>
      <c r="F582" s="108"/>
      <c r="G582" s="108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2.0" customHeight="1">
      <c r="A583" s="108"/>
      <c r="B583" s="108"/>
      <c r="C583" s="108"/>
      <c r="D583" s="108"/>
      <c r="E583" s="108"/>
      <c r="F583" s="108"/>
      <c r="G583" s="108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2.0" customHeight="1">
      <c r="A584" s="108"/>
      <c r="B584" s="108"/>
      <c r="C584" s="108"/>
      <c r="D584" s="108"/>
      <c r="E584" s="108"/>
      <c r="F584" s="108"/>
      <c r="G584" s="108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2.0" customHeight="1">
      <c r="A585" s="108"/>
      <c r="B585" s="108"/>
      <c r="C585" s="108"/>
      <c r="D585" s="108"/>
      <c r="E585" s="108"/>
      <c r="F585" s="108"/>
      <c r="G585" s="108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2.0" customHeight="1">
      <c r="A586" s="108"/>
      <c r="B586" s="108"/>
      <c r="C586" s="108"/>
      <c r="D586" s="108"/>
      <c r="E586" s="108"/>
      <c r="F586" s="108"/>
      <c r="G586" s="108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2.0" customHeight="1">
      <c r="A587" s="108"/>
      <c r="B587" s="108"/>
      <c r="C587" s="108"/>
      <c r="D587" s="108"/>
      <c r="E587" s="108"/>
      <c r="F587" s="108"/>
      <c r="G587" s="108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2.0" customHeight="1">
      <c r="A588" s="108"/>
      <c r="B588" s="108"/>
      <c r="C588" s="108"/>
      <c r="D588" s="108"/>
      <c r="E588" s="108"/>
      <c r="F588" s="108"/>
      <c r="G588" s="108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2.0" customHeight="1">
      <c r="A589" s="108"/>
      <c r="B589" s="108"/>
      <c r="C589" s="108"/>
      <c r="D589" s="108"/>
      <c r="E589" s="108"/>
      <c r="F589" s="108"/>
      <c r="G589" s="108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2.0" customHeight="1">
      <c r="A590" s="108"/>
      <c r="B590" s="108"/>
      <c r="C590" s="108"/>
      <c r="D590" s="108"/>
      <c r="E590" s="108"/>
      <c r="F590" s="108"/>
      <c r="G590" s="108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2.0" customHeight="1">
      <c r="A591" s="108"/>
      <c r="B591" s="108"/>
      <c r="C591" s="108"/>
      <c r="D591" s="108"/>
      <c r="E591" s="108"/>
      <c r="F591" s="108"/>
      <c r="G591" s="108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2.0" customHeight="1">
      <c r="A592" s="108"/>
      <c r="B592" s="108"/>
      <c r="C592" s="108"/>
      <c r="D592" s="108"/>
      <c r="E592" s="108"/>
      <c r="F592" s="108"/>
      <c r="G592" s="108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2.0" customHeight="1">
      <c r="A593" s="108"/>
      <c r="B593" s="108"/>
      <c r="C593" s="108"/>
      <c r="D593" s="108"/>
      <c r="E593" s="108"/>
      <c r="F593" s="108"/>
      <c r="G593" s="108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2.0" customHeight="1">
      <c r="A594" s="108"/>
      <c r="B594" s="108"/>
      <c r="C594" s="108"/>
      <c r="D594" s="108"/>
      <c r="E594" s="108"/>
      <c r="F594" s="108"/>
      <c r="G594" s="108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2.0" customHeight="1">
      <c r="A595" s="108"/>
      <c r="B595" s="108"/>
      <c r="C595" s="108"/>
      <c r="D595" s="108"/>
      <c r="E595" s="108"/>
      <c r="F595" s="108"/>
      <c r="G595" s="108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2.0" customHeight="1">
      <c r="A596" s="108"/>
      <c r="B596" s="108"/>
      <c r="C596" s="108"/>
      <c r="D596" s="108"/>
      <c r="E596" s="108"/>
      <c r="F596" s="108"/>
      <c r="G596" s="108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2.0" customHeight="1">
      <c r="A597" s="108"/>
      <c r="B597" s="108"/>
      <c r="C597" s="108"/>
      <c r="D597" s="108"/>
      <c r="E597" s="108"/>
      <c r="F597" s="108"/>
      <c r="G597" s="108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2.0" customHeight="1">
      <c r="A598" s="108"/>
      <c r="B598" s="108"/>
      <c r="C598" s="108"/>
      <c r="D598" s="108"/>
      <c r="E598" s="108"/>
      <c r="F598" s="108"/>
      <c r="G598" s="108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2.0" customHeight="1">
      <c r="A599" s="108"/>
      <c r="B599" s="108"/>
      <c r="C599" s="108"/>
      <c r="D599" s="108"/>
      <c r="E599" s="108"/>
      <c r="F599" s="108"/>
      <c r="G599" s="108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2.0" customHeight="1">
      <c r="A600" s="108"/>
      <c r="B600" s="108"/>
      <c r="C600" s="108"/>
      <c r="D600" s="108"/>
      <c r="E600" s="108"/>
      <c r="F600" s="108"/>
      <c r="G600" s="108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2.0" customHeight="1">
      <c r="A601" s="108"/>
      <c r="B601" s="108"/>
      <c r="C601" s="108"/>
      <c r="D601" s="108"/>
      <c r="E601" s="108"/>
      <c r="F601" s="108"/>
      <c r="G601" s="108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2.0" customHeight="1">
      <c r="A602" s="108"/>
      <c r="B602" s="108"/>
      <c r="C602" s="108"/>
      <c r="D602" s="108"/>
      <c r="E602" s="108"/>
      <c r="F602" s="108"/>
      <c r="G602" s="108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2.0" customHeight="1">
      <c r="A603" s="108"/>
      <c r="B603" s="108"/>
      <c r="C603" s="108"/>
      <c r="D603" s="108"/>
      <c r="E603" s="108"/>
      <c r="F603" s="108"/>
      <c r="G603" s="108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2.0" customHeight="1">
      <c r="A604" s="108"/>
      <c r="B604" s="108"/>
      <c r="C604" s="108"/>
      <c r="D604" s="108"/>
      <c r="E604" s="108"/>
      <c r="F604" s="108"/>
      <c r="G604" s="108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2.0" customHeight="1">
      <c r="A605" s="108"/>
      <c r="B605" s="108"/>
      <c r="C605" s="108"/>
      <c r="D605" s="108"/>
      <c r="E605" s="108"/>
      <c r="F605" s="108"/>
      <c r="G605" s="108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2.0" customHeight="1">
      <c r="A606" s="108"/>
      <c r="B606" s="108"/>
      <c r="C606" s="108"/>
      <c r="D606" s="108"/>
      <c r="E606" s="108"/>
      <c r="F606" s="108"/>
      <c r="G606" s="108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2.0" customHeight="1">
      <c r="A607" s="108"/>
      <c r="B607" s="108"/>
      <c r="C607" s="108"/>
      <c r="D607" s="108"/>
      <c r="E607" s="108"/>
      <c r="F607" s="108"/>
      <c r="G607" s="108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2.0" customHeight="1">
      <c r="A608" s="108"/>
      <c r="B608" s="108"/>
      <c r="C608" s="108"/>
      <c r="D608" s="108"/>
      <c r="E608" s="108"/>
      <c r="F608" s="108"/>
      <c r="G608" s="108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2.0" customHeight="1">
      <c r="A609" s="108"/>
      <c r="B609" s="108"/>
      <c r="C609" s="108"/>
      <c r="D609" s="108"/>
      <c r="E609" s="108"/>
      <c r="F609" s="108"/>
      <c r="G609" s="108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2.0" customHeight="1">
      <c r="A610" s="108"/>
      <c r="B610" s="108"/>
      <c r="C610" s="108"/>
      <c r="D610" s="108"/>
      <c r="E610" s="108"/>
      <c r="F610" s="108"/>
      <c r="G610" s="108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2.0" customHeight="1">
      <c r="A611" s="108"/>
      <c r="B611" s="108"/>
      <c r="C611" s="108"/>
      <c r="D611" s="108"/>
      <c r="E611" s="108"/>
      <c r="F611" s="108"/>
      <c r="G611" s="108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2.0" customHeight="1">
      <c r="A612" s="108"/>
      <c r="B612" s="108"/>
      <c r="C612" s="108"/>
      <c r="D612" s="108"/>
      <c r="E612" s="108"/>
      <c r="F612" s="108"/>
      <c r="G612" s="108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2.0" customHeight="1">
      <c r="A613" s="108"/>
      <c r="B613" s="108"/>
      <c r="C613" s="108"/>
      <c r="D613" s="108"/>
      <c r="E613" s="108"/>
      <c r="F613" s="108"/>
      <c r="G613" s="108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2.0" customHeight="1">
      <c r="A614" s="108"/>
      <c r="B614" s="108"/>
      <c r="C614" s="108"/>
      <c r="D614" s="108"/>
      <c r="E614" s="108"/>
      <c r="F614" s="108"/>
      <c r="G614" s="108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2.0" customHeight="1">
      <c r="A615" s="108"/>
      <c r="B615" s="108"/>
      <c r="C615" s="108"/>
      <c r="D615" s="108"/>
      <c r="E615" s="108"/>
      <c r="F615" s="108"/>
      <c r="G615" s="108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2.0" customHeight="1">
      <c r="A616" s="108"/>
      <c r="B616" s="108"/>
      <c r="C616" s="108"/>
      <c r="D616" s="108"/>
      <c r="E616" s="108"/>
      <c r="F616" s="108"/>
      <c r="G616" s="108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2.0" customHeight="1">
      <c r="A617" s="108"/>
      <c r="B617" s="108"/>
      <c r="C617" s="108"/>
      <c r="D617" s="108"/>
      <c r="E617" s="108"/>
      <c r="F617" s="108"/>
      <c r="G617" s="108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2.0" customHeight="1">
      <c r="A618" s="108"/>
      <c r="B618" s="108"/>
      <c r="C618" s="108"/>
      <c r="D618" s="108"/>
      <c r="E618" s="108"/>
      <c r="F618" s="108"/>
      <c r="G618" s="108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2.0" customHeight="1">
      <c r="A619" s="108"/>
      <c r="B619" s="108"/>
      <c r="C619" s="108"/>
      <c r="D619" s="108"/>
      <c r="E619" s="108"/>
      <c r="F619" s="108"/>
      <c r="G619" s="108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2.0" customHeight="1">
      <c r="A620" s="108"/>
      <c r="B620" s="108"/>
      <c r="C620" s="108"/>
      <c r="D620" s="108"/>
      <c r="E620" s="108"/>
      <c r="F620" s="108"/>
      <c r="G620" s="108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2.0" customHeight="1">
      <c r="A621" s="108"/>
      <c r="B621" s="108"/>
      <c r="C621" s="108"/>
      <c r="D621" s="108"/>
      <c r="E621" s="108"/>
      <c r="F621" s="108"/>
      <c r="G621" s="108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2.0" customHeight="1">
      <c r="A622" s="108"/>
      <c r="B622" s="108"/>
      <c r="C622" s="108"/>
      <c r="D622" s="108"/>
      <c r="E622" s="108"/>
      <c r="F622" s="108"/>
      <c r="G622" s="108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2.0" customHeight="1">
      <c r="A623" s="108"/>
      <c r="B623" s="108"/>
      <c r="C623" s="108"/>
      <c r="D623" s="108"/>
      <c r="E623" s="108"/>
      <c r="F623" s="108"/>
      <c r="G623" s="108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2.0" customHeight="1">
      <c r="A624" s="108"/>
      <c r="B624" s="108"/>
      <c r="C624" s="108"/>
      <c r="D624" s="108"/>
      <c r="E624" s="108"/>
      <c r="F624" s="108"/>
      <c r="G624" s="108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2.0" customHeight="1">
      <c r="A625" s="108"/>
      <c r="B625" s="108"/>
      <c r="C625" s="108"/>
      <c r="D625" s="108"/>
      <c r="E625" s="108"/>
      <c r="F625" s="108"/>
      <c r="G625" s="108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2.0" customHeight="1">
      <c r="A626" s="108"/>
      <c r="B626" s="108"/>
      <c r="C626" s="108"/>
      <c r="D626" s="108"/>
      <c r="E626" s="108"/>
      <c r="F626" s="108"/>
      <c r="G626" s="108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2.0" customHeight="1">
      <c r="A627" s="108"/>
      <c r="B627" s="108"/>
      <c r="C627" s="108"/>
      <c r="D627" s="108"/>
      <c r="E627" s="108"/>
      <c r="F627" s="108"/>
      <c r="G627" s="108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2.0" customHeight="1">
      <c r="A628" s="108"/>
      <c r="B628" s="108"/>
      <c r="C628" s="108"/>
      <c r="D628" s="108"/>
      <c r="E628" s="108"/>
      <c r="F628" s="108"/>
      <c r="G628" s="108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2.0" customHeight="1">
      <c r="A629" s="108"/>
      <c r="B629" s="108"/>
      <c r="C629" s="108"/>
      <c r="D629" s="108"/>
      <c r="E629" s="108"/>
      <c r="F629" s="108"/>
      <c r="G629" s="108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2.0" customHeight="1">
      <c r="A630" s="108"/>
      <c r="B630" s="108"/>
      <c r="C630" s="108"/>
      <c r="D630" s="108"/>
      <c r="E630" s="108"/>
      <c r="F630" s="108"/>
      <c r="G630" s="108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2.0" customHeight="1">
      <c r="A631" s="108"/>
      <c r="B631" s="108"/>
      <c r="C631" s="108"/>
      <c r="D631" s="108"/>
      <c r="E631" s="108"/>
      <c r="F631" s="108"/>
      <c r="G631" s="108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2.0" customHeight="1">
      <c r="A632" s="108"/>
      <c r="B632" s="108"/>
      <c r="C632" s="108"/>
      <c r="D632" s="108"/>
      <c r="E632" s="108"/>
      <c r="F632" s="108"/>
      <c r="G632" s="108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2.0" customHeight="1">
      <c r="A633" s="108"/>
      <c r="B633" s="108"/>
      <c r="C633" s="108"/>
      <c r="D633" s="108"/>
      <c r="E633" s="108"/>
      <c r="F633" s="108"/>
      <c r="G633" s="108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2.0" customHeight="1">
      <c r="A634" s="108"/>
      <c r="B634" s="108"/>
      <c r="C634" s="108"/>
      <c r="D634" s="108"/>
      <c r="E634" s="108"/>
      <c r="F634" s="108"/>
      <c r="G634" s="108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2.0" customHeight="1">
      <c r="A635" s="108"/>
      <c r="B635" s="108"/>
      <c r="C635" s="108"/>
      <c r="D635" s="108"/>
      <c r="E635" s="108"/>
      <c r="F635" s="108"/>
      <c r="G635" s="108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2.0" customHeight="1">
      <c r="A636" s="108"/>
      <c r="B636" s="108"/>
      <c r="C636" s="108"/>
      <c r="D636" s="108"/>
      <c r="E636" s="108"/>
      <c r="F636" s="108"/>
      <c r="G636" s="108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2.0" customHeight="1">
      <c r="A637" s="108"/>
      <c r="B637" s="108"/>
      <c r="C637" s="108"/>
      <c r="D637" s="108"/>
      <c r="E637" s="108"/>
      <c r="F637" s="108"/>
      <c r="G637" s="108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2.0" customHeight="1">
      <c r="A638" s="108"/>
      <c r="B638" s="108"/>
      <c r="C638" s="108"/>
      <c r="D638" s="108"/>
      <c r="E638" s="108"/>
      <c r="F638" s="108"/>
      <c r="G638" s="108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2.0" customHeight="1">
      <c r="A639" s="108"/>
      <c r="B639" s="108"/>
      <c r="C639" s="108"/>
      <c r="D639" s="108"/>
      <c r="E639" s="108"/>
      <c r="F639" s="108"/>
      <c r="G639" s="108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2.0" customHeight="1">
      <c r="A640" s="108"/>
      <c r="B640" s="108"/>
      <c r="C640" s="108"/>
      <c r="D640" s="108"/>
      <c r="E640" s="108"/>
      <c r="F640" s="108"/>
      <c r="G640" s="108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2.0" customHeight="1">
      <c r="A641" s="108"/>
      <c r="B641" s="108"/>
      <c r="C641" s="108"/>
      <c r="D641" s="108"/>
      <c r="E641" s="108"/>
      <c r="F641" s="108"/>
      <c r="G641" s="108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2.0" customHeight="1">
      <c r="A642" s="108"/>
      <c r="B642" s="108"/>
      <c r="C642" s="108"/>
      <c r="D642" s="108"/>
      <c r="E642" s="108"/>
      <c r="F642" s="108"/>
      <c r="G642" s="108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2.0" customHeight="1">
      <c r="A643" s="108"/>
      <c r="B643" s="108"/>
      <c r="C643" s="108"/>
      <c r="D643" s="108"/>
      <c r="E643" s="108"/>
      <c r="F643" s="108"/>
      <c r="G643" s="108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2.0" customHeight="1">
      <c r="A644" s="108"/>
      <c r="B644" s="108"/>
      <c r="C644" s="108"/>
      <c r="D644" s="108"/>
      <c r="E644" s="108"/>
      <c r="F644" s="108"/>
      <c r="G644" s="108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2.0" customHeight="1">
      <c r="A645" s="108"/>
      <c r="B645" s="108"/>
      <c r="C645" s="108"/>
      <c r="D645" s="108"/>
      <c r="E645" s="108"/>
      <c r="F645" s="108"/>
      <c r="G645" s="108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2.0" customHeight="1">
      <c r="A646" s="108"/>
      <c r="B646" s="108"/>
      <c r="C646" s="108"/>
      <c r="D646" s="108"/>
      <c r="E646" s="108"/>
      <c r="F646" s="108"/>
      <c r="G646" s="108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2.0" customHeight="1">
      <c r="A647" s="108"/>
      <c r="B647" s="108"/>
      <c r="C647" s="108"/>
      <c r="D647" s="108"/>
      <c r="E647" s="108"/>
      <c r="F647" s="108"/>
      <c r="G647" s="108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2.0" customHeight="1">
      <c r="A648" s="108"/>
      <c r="B648" s="108"/>
      <c r="C648" s="108"/>
      <c r="D648" s="108"/>
      <c r="E648" s="108"/>
      <c r="F648" s="108"/>
      <c r="G648" s="108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2.0" customHeight="1">
      <c r="A649" s="108"/>
      <c r="B649" s="108"/>
      <c r="C649" s="108"/>
      <c r="D649" s="108"/>
      <c r="E649" s="108"/>
      <c r="F649" s="108"/>
      <c r="G649" s="108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2.0" customHeight="1">
      <c r="A650" s="108"/>
      <c r="B650" s="108"/>
      <c r="C650" s="108"/>
      <c r="D650" s="108"/>
      <c r="E650" s="108"/>
      <c r="F650" s="108"/>
      <c r="G650" s="108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2.0" customHeight="1">
      <c r="A651" s="108"/>
      <c r="B651" s="108"/>
      <c r="C651" s="108"/>
      <c r="D651" s="108"/>
      <c r="E651" s="108"/>
      <c r="F651" s="108"/>
      <c r="G651" s="108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2.0" customHeight="1">
      <c r="A652" s="108"/>
      <c r="B652" s="108"/>
      <c r="C652" s="108"/>
      <c r="D652" s="108"/>
      <c r="E652" s="108"/>
      <c r="F652" s="108"/>
      <c r="G652" s="108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2.0" customHeight="1">
      <c r="A653" s="108"/>
      <c r="B653" s="108"/>
      <c r="C653" s="108"/>
      <c r="D653" s="108"/>
      <c r="E653" s="108"/>
      <c r="F653" s="108"/>
      <c r="G653" s="108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2.0" customHeight="1">
      <c r="A654" s="108"/>
      <c r="B654" s="108"/>
      <c r="C654" s="108"/>
      <c r="D654" s="108"/>
      <c r="E654" s="108"/>
      <c r="F654" s="108"/>
      <c r="G654" s="108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2.0" customHeight="1">
      <c r="A655" s="108"/>
      <c r="B655" s="108"/>
      <c r="C655" s="108"/>
      <c r="D655" s="108"/>
      <c r="E655" s="108"/>
      <c r="F655" s="108"/>
      <c r="G655" s="108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2.0" customHeight="1">
      <c r="A656" s="108"/>
      <c r="B656" s="108"/>
      <c r="C656" s="108"/>
      <c r="D656" s="108"/>
      <c r="E656" s="108"/>
      <c r="F656" s="108"/>
      <c r="G656" s="108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2.0" customHeight="1">
      <c r="A657" s="108"/>
      <c r="B657" s="108"/>
      <c r="C657" s="108"/>
      <c r="D657" s="108"/>
      <c r="E657" s="108"/>
      <c r="F657" s="108"/>
      <c r="G657" s="108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2.0" customHeight="1">
      <c r="A658" s="108"/>
      <c r="B658" s="108"/>
      <c r="C658" s="108"/>
      <c r="D658" s="108"/>
      <c r="E658" s="108"/>
      <c r="F658" s="108"/>
      <c r="G658" s="108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2.0" customHeight="1">
      <c r="A659" s="108"/>
      <c r="B659" s="108"/>
      <c r="C659" s="108"/>
      <c r="D659" s="108"/>
      <c r="E659" s="108"/>
      <c r="F659" s="108"/>
      <c r="G659" s="108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2.0" customHeight="1">
      <c r="A660" s="108"/>
      <c r="B660" s="108"/>
      <c r="C660" s="108"/>
      <c r="D660" s="108"/>
      <c r="E660" s="108"/>
      <c r="F660" s="108"/>
      <c r="G660" s="108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2.0" customHeight="1">
      <c r="A661" s="108"/>
      <c r="B661" s="108"/>
      <c r="C661" s="108"/>
      <c r="D661" s="108"/>
      <c r="E661" s="108"/>
      <c r="F661" s="108"/>
      <c r="G661" s="108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2.0" customHeight="1">
      <c r="A662" s="108"/>
      <c r="B662" s="108"/>
      <c r="C662" s="108"/>
      <c r="D662" s="108"/>
      <c r="E662" s="108"/>
      <c r="F662" s="108"/>
      <c r="G662" s="108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2.0" customHeight="1">
      <c r="A663" s="108"/>
      <c r="B663" s="108"/>
      <c r="C663" s="108"/>
      <c r="D663" s="108"/>
      <c r="E663" s="108"/>
      <c r="F663" s="108"/>
      <c r="G663" s="108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2.0" customHeight="1">
      <c r="A664" s="108"/>
      <c r="B664" s="108"/>
      <c r="C664" s="108"/>
      <c r="D664" s="108"/>
      <c r="E664" s="108"/>
      <c r="F664" s="108"/>
      <c r="G664" s="108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2.0" customHeight="1">
      <c r="A665" s="108"/>
      <c r="B665" s="108"/>
      <c r="C665" s="108"/>
      <c r="D665" s="108"/>
      <c r="E665" s="108"/>
      <c r="F665" s="108"/>
      <c r="G665" s="108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2.0" customHeight="1">
      <c r="A666" s="108"/>
      <c r="B666" s="108"/>
      <c r="C666" s="108"/>
      <c r="D666" s="108"/>
      <c r="E666" s="108"/>
      <c r="F666" s="108"/>
      <c r="G666" s="108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2.0" customHeight="1">
      <c r="A667" s="108"/>
      <c r="B667" s="108"/>
      <c r="C667" s="108"/>
      <c r="D667" s="108"/>
      <c r="E667" s="108"/>
      <c r="F667" s="108"/>
      <c r="G667" s="108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2.0" customHeight="1">
      <c r="A668" s="108"/>
      <c r="B668" s="108"/>
      <c r="C668" s="108"/>
      <c r="D668" s="108"/>
      <c r="E668" s="108"/>
      <c r="F668" s="108"/>
      <c r="G668" s="108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2.0" customHeight="1">
      <c r="A669" s="108"/>
      <c r="B669" s="108"/>
      <c r="C669" s="108"/>
      <c r="D669" s="108"/>
      <c r="E669" s="108"/>
      <c r="F669" s="108"/>
      <c r="G669" s="108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2.0" customHeight="1">
      <c r="A670" s="108"/>
      <c r="B670" s="108"/>
      <c r="C670" s="108"/>
      <c r="D670" s="108"/>
      <c r="E670" s="108"/>
      <c r="F670" s="108"/>
      <c r="G670" s="108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2.0" customHeight="1">
      <c r="A671" s="108"/>
      <c r="B671" s="108"/>
      <c r="C671" s="108"/>
      <c r="D671" s="108"/>
      <c r="E671" s="108"/>
      <c r="F671" s="108"/>
      <c r="G671" s="108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2.0" customHeight="1">
      <c r="A672" s="108"/>
      <c r="B672" s="108"/>
      <c r="C672" s="108"/>
      <c r="D672" s="108"/>
      <c r="E672" s="108"/>
      <c r="F672" s="108"/>
      <c r="G672" s="108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2.0" customHeight="1">
      <c r="A673" s="108"/>
      <c r="B673" s="108"/>
      <c r="C673" s="108"/>
      <c r="D673" s="108"/>
      <c r="E673" s="108"/>
      <c r="F673" s="108"/>
      <c r="G673" s="108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2.0" customHeight="1">
      <c r="A674" s="108"/>
      <c r="B674" s="108"/>
      <c r="C674" s="108"/>
      <c r="D674" s="108"/>
      <c r="E674" s="108"/>
      <c r="F674" s="108"/>
      <c r="G674" s="108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2.0" customHeight="1">
      <c r="A675" s="108"/>
      <c r="B675" s="108"/>
      <c r="C675" s="108"/>
      <c r="D675" s="108"/>
      <c r="E675" s="108"/>
      <c r="F675" s="108"/>
      <c r="G675" s="108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2.0" customHeight="1">
      <c r="A676" s="108"/>
      <c r="B676" s="108"/>
      <c r="C676" s="108"/>
      <c r="D676" s="108"/>
      <c r="E676" s="108"/>
      <c r="F676" s="108"/>
      <c r="G676" s="108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2.0" customHeight="1">
      <c r="A677" s="108"/>
      <c r="B677" s="108"/>
      <c r="C677" s="108"/>
      <c r="D677" s="108"/>
      <c r="E677" s="108"/>
      <c r="F677" s="108"/>
      <c r="G677" s="108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2.0" customHeight="1">
      <c r="A678" s="108"/>
      <c r="B678" s="108"/>
      <c r="C678" s="108"/>
      <c r="D678" s="108"/>
      <c r="E678" s="108"/>
      <c r="F678" s="108"/>
      <c r="G678" s="108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2.0" customHeight="1">
      <c r="A679" s="108"/>
      <c r="B679" s="108"/>
      <c r="C679" s="108"/>
      <c r="D679" s="108"/>
      <c r="E679" s="108"/>
      <c r="F679" s="108"/>
      <c r="G679" s="108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2.0" customHeight="1">
      <c r="A680" s="108"/>
      <c r="B680" s="108"/>
      <c r="C680" s="108"/>
      <c r="D680" s="108"/>
      <c r="E680" s="108"/>
      <c r="F680" s="108"/>
      <c r="G680" s="108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2.0" customHeight="1">
      <c r="A681" s="108"/>
      <c r="B681" s="108"/>
      <c r="C681" s="108"/>
      <c r="D681" s="108"/>
      <c r="E681" s="108"/>
      <c r="F681" s="108"/>
      <c r="G681" s="108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2.0" customHeight="1">
      <c r="A682" s="108"/>
      <c r="B682" s="108"/>
      <c r="C682" s="108"/>
      <c r="D682" s="108"/>
      <c r="E682" s="108"/>
      <c r="F682" s="108"/>
      <c r="G682" s="108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2.0" customHeight="1">
      <c r="A683" s="108"/>
      <c r="B683" s="108"/>
      <c r="C683" s="108"/>
      <c r="D683" s="108"/>
      <c r="E683" s="108"/>
      <c r="F683" s="108"/>
      <c r="G683" s="108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2.0" customHeight="1">
      <c r="A684" s="108"/>
      <c r="B684" s="108"/>
      <c r="C684" s="108"/>
      <c r="D684" s="108"/>
      <c r="E684" s="108"/>
      <c r="F684" s="108"/>
      <c r="G684" s="108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2.0" customHeight="1">
      <c r="A685" s="108"/>
      <c r="B685" s="108"/>
      <c r="C685" s="108"/>
      <c r="D685" s="108"/>
      <c r="E685" s="108"/>
      <c r="F685" s="108"/>
      <c r="G685" s="108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2.0" customHeight="1">
      <c r="A686" s="108"/>
      <c r="B686" s="108"/>
      <c r="C686" s="108"/>
      <c r="D686" s="108"/>
      <c r="E686" s="108"/>
      <c r="F686" s="108"/>
      <c r="G686" s="108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2.0" customHeight="1">
      <c r="A687" s="108"/>
      <c r="B687" s="108"/>
      <c r="C687" s="108"/>
      <c r="D687" s="108"/>
      <c r="E687" s="108"/>
      <c r="F687" s="108"/>
      <c r="G687" s="108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2.0" customHeight="1">
      <c r="A688" s="108"/>
      <c r="B688" s="108"/>
      <c r="C688" s="108"/>
      <c r="D688" s="108"/>
      <c r="E688" s="108"/>
      <c r="F688" s="108"/>
      <c r="G688" s="108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2.0" customHeight="1">
      <c r="A689" s="108"/>
      <c r="B689" s="108"/>
      <c r="C689" s="108"/>
      <c r="D689" s="108"/>
      <c r="E689" s="108"/>
      <c r="F689" s="108"/>
      <c r="G689" s="108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2.0" customHeight="1">
      <c r="A690" s="108"/>
      <c r="B690" s="108"/>
      <c r="C690" s="108"/>
      <c r="D690" s="108"/>
      <c r="E690" s="108"/>
      <c r="F690" s="108"/>
      <c r="G690" s="108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2.0" customHeight="1">
      <c r="A691" s="108"/>
      <c r="B691" s="108"/>
      <c r="C691" s="108"/>
      <c r="D691" s="108"/>
      <c r="E691" s="108"/>
      <c r="F691" s="108"/>
      <c r="G691" s="108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2.0" customHeight="1">
      <c r="A692" s="108"/>
      <c r="B692" s="108"/>
      <c r="C692" s="108"/>
      <c r="D692" s="108"/>
      <c r="E692" s="108"/>
      <c r="F692" s="108"/>
      <c r="G692" s="108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2.0" customHeight="1">
      <c r="A693" s="108"/>
      <c r="B693" s="108"/>
      <c r="C693" s="108"/>
      <c r="D693" s="108"/>
      <c r="E693" s="108"/>
      <c r="F693" s="108"/>
      <c r="G693" s="108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2.0" customHeight="1">
      <c r="A694" s="108"/>
      <c r="B694" s="108"/>
      <c r="C694" s="108"/>
      <c r="D694" s="108"/>
      <c r="E694" s="108"/>
      <c r="F694" s="108"/>
      <c r="G694" s="108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2.0" customHeight="1">
      <c r="A695" s="108"/>
      <c r="B695" s="108"/>
      <c r="C695" s="108"/>
      <c r="D695" s="108"/>
      <c r="E695" s="108"/>
      <c r="F695" s="108"/>
      <c r="G695" s="108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2.0" customHeight="1">
      <c r="A696" s="108"/>
      <c r="B696" s="108"/>
      <c r="C696" s="108"/>
      <c r="D696" s="108"/>
      <c r="E696" s="108"/>
      <c r="F696" s="108"/>
      <c r="G696" s="108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2.0" customHeight="1">
      <c r="A697" s="108"/>
      <c r="B697" s="108"/>
      <c r="C697" s="108"/>
      <c r="D697" s="108"/>
      <c r="E697" s="108"/>
      <c r="F697" s="108"/>
      <c r="G697" s="108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2.0" customHeight="1">
      <c r="A698" s="108"/>
      <c r="B698" s="108"/>
      <c r="C698" s="108"/>
      <c r="D698" s="108"/>
      <c r="E698" s="108"/>
      <c r="F698" s="108"/>
      <c r="G698" s="108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2.0" customHeight="1">
      <c r="A699" s="108"/>
      <c r="B699" s="108"/>
      <c r="C699" s="108"/>
      <c r="D699" s="108"/>
      <c r="E699" s="108"/>
      <c r="F699" s="108"/>
      <c r="G699" s="108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2.0" customHeight="1">
      <c r="A700" s="108"/>
      <c r="B700" s="108"/>
      <c r="C700" s="108"/>
      <c r="D700" s="108"/>
      <c r="E700" s="108"/>
      <c r="F700" s="108"/>
      <c r="G700" s="108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2.0" customHeight="1">
      <c r="A701" s="108"/>
      <c r="B701" s="108"/>
      <c r="C701" s="108"/>
      <c r="D701" s="108"/>
      <c r="E701" s="108"/>
      <c r="F701" s="108"/>
      <c r="G701" s="108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2.0" customHeight="1">
      <c r="A702" s="108"/>
      <c r="B702" s="108"/>
      <c r="C702" s="108"/>
      <c r="D702" s="108"/>
      <c r="E702" s="108"/>
      <c r="F702" s="108"/>
      <c r="G702" s="108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2.0" customHeight="1">
      <c r="A703" s="108"/>
      <c r="B703" s="108"/>
      <c r="C703" s="108"/>
      <c r="D703" s="108"/>
      <c r="E703" s="108"/>
      <c r="F703" s="108"/>
      <c r="G703" s="108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2.0" customHeight="1">
      <c r="A704" s="108"/>
      <c r="B704" s="108"/>
      <c r="C704" s="108"/>
      <c r="D704" s="108"/>
      <c r="E704" s="108"/>
      <c r="F704" s="108"/>
      <c r="G704" s="108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2.0" customHeight="1">
      <c r="A705" s="108"/>
      <c r="B705" s="108"/>
      <c r="C705" s="108"/>
      <c r="D705" s="108"/>
      <c r="E705" s="108"/>
      <c r="F705" s="108"/>
      <c r="G705" s="108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2.0" customHeight="1">
      <c r="A706" s="108"/>
      <c r="B706" s="108"/>
      <c r="C706" s="108"/>
      <c r="D706" s="108"/>
      <c r="E706" s="108"/>
      <c r="F706" s="108"/>
      <c r="G706" s="108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2.0" customHeight="1">
      <c r="A707" s="108"/>
      <c r="B707" s="108"/>
      <c r="C707" s="108"/>
      <c r="D707" s="108"/>
      <c r="E707" s="108"/>
      <c r="F707" s="108"/>
      <c r="G707" s="108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2.0" customHeight="1">
      <c r="A708" s="108"/>
      <c r="B708" s="108"/>
      <c r="C708" s="108"/>
      <c r="D708" s="108"/>
      <c r="E708" s="108"/>
      <c r="F708" s="108"/>
      <c r="G708" s="108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2.0" customHeight="1">
      <c r="A709" s="108"/>
      <c r="B709" s="108"/>
      <c r="C709" s="108"/>
      <c r="D709" s="108"/>
      <c r="E709" s="108"/>
      <c r="F709" s="108"/>
      <c r="G709" s="108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2.0" customHeight="1">
      <c r="A710" s="108"/>
      <c r="B710" s="108"/>
      <c r="C710" s="108"/>
      <c r="D710" s="108"/>
      <c r="E710" s="108"/>
      <c r="F710" s="108"/>
      <c r="G710" s="108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2.0" customHeight="1">
      <c r="A711" s="108"/>
      <c r="B711" s="108"/>
      <c r="C711" s="108"/>
      <c r="D711" s="108"/>
      <c r="E711" s="108"/>
      <c r="F711" s="108"/>
      <c r="G711" s="108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2.0" customHeight="1">
      <c r="A712" s="108"/>
      <c r="B712" s="108"/>
      <c r="C712" s="108"/>
      <c r="D712" s="108"/>
      <c r="E712" s="108"/>
      <c r="F712" s="108"/>
      <c r="G712" s="108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2.0" customHeight="1">
      <c r="A713" s="108"/>
      <c r="B713" s="108"/>
      <c r="C713" s="108"/>
      <c r="D713" s="108"/>
      <c r="E713" s="108"/>
      <c r="F713" s="108"/>
      <c r="G713" s="108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2.0" customHeight="1">
      <c r="A714" s="108"/>
      <c r="B714" s="108"/>
      <c r="C714" s="108"/>
      <c r="D714" s="108"/>
      <c r="E714" s="108"/>
      <c r="F714" s="108"/>
      <c r="G714" s="108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2.0" customHeight="1">
      <c r="A715" s="108"/>
      <c r="B715" s="108"/>
      <c r="C715" s="108"/>
      <c r="D715" s="108"/>
      <c r="E715" s="108"/>
      <c r="F715" s="108"/>
      <c r="G715" s="108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2.0" customHeight="1">
      <c r="A716" s="108"/>
      <c r="B716" s="108"/>
      <c r="C716" s="108"/>
      <c r="D716" s="108"/>
      <c r="E716" s="108"/>
      <c r="F716" s="108"/>
      <c r="G716" s="108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2.0" customHeight="1">
      <c r="A717" s="108"/>
      <c r="B717" s="108"/>
      <c r="C717" s="108"/>
      <c r="D717" s="108"/>
      <c r="E717" s="108"/>
      <c r="F717" s="108"/>
      <c r="G717" s="108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2.0" customHeight="1">
      <c r="A718" s="108"/>
      <c r="B718" s="108"/>
      <c r="C718" s="108"/>
      <c r="D718" s="108"/>
      <c r="E718" s="108"/>
      <c r="F718" s="108"/>
      <c r="G718" s="108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2.0" customHeight="1">
      <c r="A719" s="108"/>
      <c r="B719" s="108"/>
      <c r="C719" s="108"/>
      <c r="D719" s="108"/>
      <c r="E719" s="108"/>
      <c r="F719" s="108"/>
      <c r="G719" s="108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2.0" customHeight="1">
      <c r="A720" s="108"/>
      <c r="B720" s="108"/>
      <c r="C720" s="108"/>
      <c r="D720" s="108"/>
      <c r="E720" s="108"/>
      <c r="F720" s="108"/>
      <c r="G720" s="108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2.0" customHeight="1">
      <c r="A721" s="108"/>
      <c r="B721" s="108"/>
      <c r="C721" s="108"/>
      <c r="D721" s="108"/>
      <c r="E721" s="108"/>
      <c r="F721" s="108"/>
      <c r="G721" s="108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2.0" customHeight="1">
      <c r="A722" s="108"/>
      <c r="B722" s="108"/>
      <c r="C722" s="108"/>
      <c r="D722" s="108"/>
      <c r="E722" s="108"/>
      <c r="F722" s="108"/>
      <c r="G722" s="108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2.0" customHeight="1">
      <c r="A723" s="108"/>
      <c r="B723" s="108"/>
      <c r="C723" s="108"/>
      <c r="D723" s="108"/>
      <c r="E723" s="108"/>
      <c r="F723" s="108"/>
      <c r="G723" s="108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2.0" customHeight="1">
      <c r="A724" s="108"/>
      <c r="B724" s="108"/>
      <c r="C724" s="108"/>
      <c r="D724" s="108"/>
      <c r="E724" s="108"/>
      <c r="F724" s="108"/>
      <c r="G724" s="108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2.0" customHeight="1">
      <c r="A725" s="108"/>
      <c r="B725" s="108"/>
      <c r="C725" s="108"/>
      <c r="D725" s="108"/>
      <c r="E725" s="108"/>
      <c r="F725" s="108"/>
      <c r="G725" s="108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2.0" customHeight="1">
      <c r="A726" s="108"/>
      <c r="B726" s="108"/>
      <c r="C726" s="108"/>
      <c r="D726" s="108"/>
      <c r="E726" s="108"/>
      <c r="F726" s="108"/>
      <c r="G726" s="108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2.0" customHeight="1">
      <c r="A727" s="108"/>
      <c r="B727" s="108"/>
      <c r="C727" s="108"/>
      <c r="D727" s="108"/>
      <c r="E727" s="108"/>
      <c r="F727" s="108"/>
      <c r="G727" s="108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2.0" customHeight="1">
      <c r="A728" s="108"/>
      <c r="B728" s="108"/>
      <c r="C728" s="108"/>
      <c r="D728" s="108"/>
      <c r="E728" s="108"/>
      <c r="F728" s="108"/>
      <c r="G728" s="108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2.0" customHeight="1">
      <c r="A729" s="108"/>
      <c r="B729" s="108"/>
      <c r="C729" s="108"/>
      <c r="D729" s="108"/>
      <c r="E729" s="108"/>
      <c r="F729" s="108"/>
      <c r="G729" s="108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2.0" customHeight="1">
      <c r="A730" s="108"/>
      <c r="B730" s="108"/>
      <c r="C730" s="108"/>
      <c r="D730" s="108"/>
      <c r="E730" s="108"/>
      <c r="F730" s="108"/>
      <c r="G730" s="108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2.0" customHeight="1">
      <c r="A731" s="108"/>
      <c r="B731" s="108"/>
      <c r="C731" s="108"/>
      <c r="D731" s="108"/>
      <c r="E731" s="108"/>
      <c r="F731" s="108"/>
      <c r="G731" s="108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2.0" customHeight="1">
      <c r="A732" s="108"/>
      <c r="B732" s="108"/>
      <c r="C732" s="108"/>
      <c r="D732" s="108"/>
      <c r="E732" s="108"/>
      <c r="F732" s="108"/>
      <c r="G732" s="108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2.0" customHeight="1">
      <c r="A733" s="108"/>
      <c r="B733" s="108"/>
      <c r="C733" s="108"/>
      <c r="D733" s="108"/>
      <c r="E733" s="108"/>
      <c r="F733" s="108"/>
      <c r="G733" s="108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2.0" customHeight="1">
      <c r="A734" s="108"/>
      <c r="B734" s="108"/>
      <c r="C734" s="108"/>
      <c r="D734" s="108"/>
      <c r="E734" s="108"/>
      <c r="F734" s="108"/>
      <c r="G734" s="108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2.0" customHeight="1">
      <c r="A735" s="108"/>
      <c r="B735" s="108"/>
      <c r="C735" s="108"/>
      <c r="D735" s="108"/>
      <c r="E735" s="108"/>
      <c r="F735" s="108"/>
      <c r="G735" s="108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2.0" customHeight="1">
      <c r="A736" s="108"/>
      <c r="B736" s="108"/>
      <c r="C736" s="108"/>
      <c r="D736" s="108"/>
      <c r="E736" s="108"/>
      <c r="F736" s="108"/>
      <c r="G736" s="108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2.0" customHeight="1">
      <c r="A737" s="108"/>
      <c r="B737" s="108"/>
      <c r="C737" s="108"/>
      <c r="D737" s="108"/>
      <c r="E737" s="108"/>
      <c r="F737" s="108"/>
      <c r="G737" s="108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2.0" customHeight="1">
      <c r="A738" s="108"/>
      <c r="B738" s="108"/>
      <c r="C738" s="108"/>
      <c r="D738" s="108"/>
      <c r="E738" s="108"/>
      <c r="F738" s="108"/>
      <c r="G738" s="108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2.0" customHeight="1">
      <c r="A739" s="108"/>
      <c r="B739" s="108"/>
      <c r="C739" s="108"/>
      <c r="D739" s="108"/>
      <c r="E739" s="108"/>
      <c r="F739" s="108"/>
      <c r="G739" s="108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2.0" customHeight="1">
      <c r="A740" s="108"/>
      <c r="B740" s="108"/>
      <c r="C740" s="108"/>
      <c r="D740" s="108"/>
      <c r="E740" s="108"/>
      <c r="F740" s="108"/>
      <c r="G740" s="108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2.0" customHeight="1">
      <c r="A741" s="108"/>
      <c r="B741" s="108"/>
      <c r="C741" s="108"/>
      <c r="D741" s="108"/>
      <c r="E741" s="108"/>
      <c r="F741" s="108"/>
      <c r="G741" s="108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2.0" customHeight="1">
      <c r="A742" s="108"/>
      <c r="B742" s="108"/>
      <c r="C742" s="108"/>
      <c r="D742" s="108"/>
      <c r="E742" s="108"/>
      <c r="F742" s="108"/>
      <c r="G742" s="108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2.0" customHeight="1">
      <c r="A743" s="108"/>
      <c r="B743" s="108"/>
      <c r="C743" s="108"/>
      <c r="D743" s="108"/>
      <c r="E743" s="108"/>
      <c r="F743" s="108"/>
      <c r="G743" s="108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2.0" customHeight="1">
      <c r="A744" s="108"/>
      <c r="B744" s="108"/>
      <c r="C744" s="108"/>
      <c r="D744" s="108"/>
      <c r="E744" s="108"/>
      <c r="F744" s="108"/>
      <c r="G744" s="108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2.0" customHeight="1">
      <c r="A745" s="108"/>
      <c r="B745" s="108"/>
      <c r="C745" s="108"/>
      <c r="D745" s="108"/>
      <c r="E745" s="108"/>
      <c r="F745" s="108"/>
      <c r="G745" s="108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2.0" customHeight="1">
      <c r="A746" s="108"/>
      <c r="B746" s="108"/>
      <c r="C746" s="108"/>
      <c r="D746" s="108"/>
      <c r="E746" s="108"/>
      <c r="F746" s="108"/>
      <c r="G746" s="108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2.0" customHeight="1">
      <c r="A747" s="108"/>
      <c r="B747" s="108"/>
      <c r="C747" s="108"/>
      <c r="D747" s="108"/>
      <c r="E747" s="108"/>
      <c r="F747" s="108"/>
      <c r="G747" s="108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2.0" customHeight="1">
      <c r="A748" s="108"/>
      <c r="B748" s="108"/>
      <c r="C748" s="108"/>
      <c r="D748" s="108"/>
      <c r="E748" s="108"/>
      <c r="F748" s="108"/>
      <c r="G748" s="108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2.0" customHeight="1">
      <c r="A749" s="108"/>
      <c r="B749" s="108"/>
      <c r="C749" s="108"/>
      <c r="D749" s="108"/>
      <c r="E749" s="108"/>
      <c r="F749" s="108"/>
      <c r="G749" s="108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2.0" customHeight="1">
      <c r="A750" s="108"/>
      <c r="B750" s="108"/>
      <c r="C750" s="108"/>
      <c r="D750" s="108"/>
      <c r="E750" s="108"/>
      <c r="F750" s="108"/>
      <c r="G750" s="108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2.0" customHeight="1">
      <c r="A751" s="108"/>
      <c r="B751" s="108"/>
      <c r="C751" s="108"/>
      <c r="D751" s="108"/>
      <c r="E751" s="108"/>
      <c r="F751" s="108"/>
      <c r="G751" s="108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2.0" customHeight="1">
      <c r="A752" s="108"/>
      <c r="B752" s="108"/>
      <c r="C752" s="108"/>
      <c r="D752" s="108"/>
      <c r="E752" s="108"/>
      <c r="F752" s="108"/>
      <c r="G752" s="108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2.0" customHeight="1">
      <c r="A753" s="108"/>
      <c r="B753" s="108"/>
      <c r="C753" s="108"/>
      <c r="D753" s="108"/>
      <c r="E753" s="108"/>
      <c r="F753" s="108"/>
      <c r="G753" s="108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2.0" customHeight="1">
      <c r="A754" s="108"/>
      <c r="B754" s="108"/>
      <c r="C754" s="108"/>
      <c r="D754" s="108"/>
      <c r="E754" s="108"/>
      <c r="F754" s="108"/>
      <c r="G754" s="108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2.0" customHeight="1">
      <c r="A755" s="108"/>
      <c r="B755" s="108"/>
      <c r="C755" s="108"/>
      <c r="D755" s="108"/>
      <c r="E755" s="108"/>
      <c r="F755" s="108"/>
      <c r="G755" s="108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2.0" customHeight="1">
      <c r="A756" s="108"/>
      <c r="B756" s="108"/>
      <c r="C756" s="108"/>
      <c r="D756" s="108"/>
      <c r="E756" s="108"/>
      <c r="F756" s="108"/>
      <c r="G756" s="108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2.0" customHeight="1">
      <c r="A757" s="108"/>
      <c r="B757" s="108"/>
      <c r="C757" s="108"/>
      <c r="D757" s="108"/>
      <c r="E757" s="108"/>
      <c r="F757" s="108"/>
      <c r="G757" s="108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2.0" customHeight="1">
      <c r="A758" s="108"/>
      <c r="B758" s="108"/>
      <c r="C758" s="108"/>
      <c r="D758" s="108"/>
      <c r="E758" s="108"/>
      <c r="F758" s="108"/>
      <c r="G758" s="108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2.0" customHeight="1">
      <c r="A759" s="108"/>
      <c r="B759" s="108"/>
      <c r="C759" s="108"/>
      <c r="D759" s="108"/>
      <c r="E759" s="108"/>
      <c r="F759" s="108"/>
      <c r="G759" s="108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2.0" customHeight="1">
      <c r="A760" s="108"/>
      <c r="B760" s="108"/>
      <c r="C760" s="108"/>
      <c r="D760" s="108"/>
      <c r="E760" s="108"/>
      <c r="F760" s="108"/>
      <c r="G760" s="108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2.0" customHeight="1">
      <c r="A761" s="108"/>
      <c r="B761" s="108"/>
      <c r="C761" s="108"/>
      <c r="D761" s="108"/>
      <c r="E761" s="108"/>
      <c r="F761" s="108"/>
      <c r="G761" s="108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2.0" customHeight="1">
      <c r="A762" s="108"/>
      <c r="B762" s="108"/>
      <c r="C762" s="108"/>
      <c r="D762" s="108"/>
      <c r="E762" s="108"/>
      <c r="F762" s="108"/>
      <c r="G762" s="108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2.0" customHeight="1">
      <c r="A763" s="108"/>
      <c r="B763" s="108"/>
      <c r="C763" s="108"/>
      <c r="D763" s="108"/>
      <c r="E763" s="108"/>
      <c r="F763" s="108"/>
      <c r="G763" s="108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2.0" customHeight="1">
      <c r="A764" s="108"/>
      <c r="B764" s="108"/>
      <c r="C764" s="108"/>
      <c r="D764" s="108"/>
      <c r="E764" s="108"/>
      <c r="F764" s="108"/>
      <c r="G764" s="108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2.0" customHeight="1">
      <c r="A765" s="108"/>
      <c r="B765" s="108"/>
      <c r="C765" s="108"/>
      <c r="D765" s="108"/>
      <c r="E765" s="108"/>
      <c r="F765" s="108"/>
      <c r="G765" s="108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2.0" customHeight="1">
      <c r="A766" s="108"/>
      <c r="B766" s="108"/>
      <c r="C766" s="108"/>
      <c r="D766" s="108"/>
      <c r="E766" s="108"/>
      <c r="F766" s="108"/>
      <c r="G766" s="108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2.0" customHeight="1">
      <c r="A767" s="108"/>
      <c r="B767" s="108"/>
      <c r="C767" s="108"/>
      <c r="D767" s="108"/>
      <c r="E767" s="108"/>
      <c r="F767" s="108"/>
      <c r="G767" s="108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2.0" customHeight="1">
      <c r="A768" s="108"/>
      <c r="B768" s="108"/>
      <c r="C768" s="108"/>
      <c r="D768" s="108"/>
      <c r="E768" s="108"/>
      <c r="F768" s="108"/>
      <c r="G768" s="108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2.0" customHeight="1">
      <c r="A769" s="108"/>
      <c r="B769" s="108"/>
      <c r="C769" s="108"/>
      <c r="D769" s="108"/>
      <c r="E769" s="108"/>
      <c r="F769" s="108"/>
      <c r="G769" s="108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2.0" customHeight="1">
      <c r="A770" s="108"/>
      <c r="B770" s="108"/>
      <c r="C770" s="108"/>
      <c r="D770" s="108"/>
      <c r="E770" s="108"/>
      <c r="F770" s="108"/>
      <c r="G770" s="108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2.0" customHeight="1">
      <c r="A771" s="108"/>
      <c r="B771" s="108"/>
      <c r="C771" s="108"/>
      <c r="D771" s="108"/>
      <c r="E771" s="108"/>
      <c r="F771" s="108"/>
      <c r="G771" s="108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2.0" customHeight="1">
      <c r="A772" s="108"/>
      <c r="B772" s="108"/>
      <c r="C772" s="108"/>
      <c r="D772" s="108"/>
      <c r="E772" s="108"/>
      <c r="F772" s="108"/>
      <c r="G772" s="108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2.0" customHeight="1">
      <c r="A773" s="108"/>
      <c r="B773" s="108"/>
      <c r="C773" s="108"/>
      <c r="D773" s="108"/>
      <c r="E773" s="108"/>
      <c r="F773" s="108"/>
      <c r="G773" s="108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2.0" customHeight="1">
      <c r="A774" s="108"/>
      <c r="B774" s="108"/>
      <c r="C774" s="108"/>
      <c r="D774" s="108"/>
      <c r="E774" s="108"/>
      <c r="F774" s="108"/>
      <c r="G774" s="108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2.0" customHeight="1">
      <c r="A775" s="108"/>
      <c r="B775" s="108"/>
      <c r="C775" s="108"/>
      <c r="D775" s="108"/>
      <c r="E775" s="108"/>
      <c r="F775" s="108"/>
      <c r="G775" s="108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2.0" customHeight="1">
      <c r="A776" s="108"/>
      <c r="B776" s="108"/>
      <c r="C776" s="108"/>
      <c r="D776" s="108"/>
      <c r="E776" s="108"/>
      <c r="F776" s="108"/>
      <c r="G776" s="108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2.0" customHeight="1">
      <c r="A777" s="108"/>
      <c r="B777" s="108"/>
      <c r="C777" s="108"/>
      <c r="D777" s="108"/>
      <c r="E777" s="108"/>
      <c r="F777" s="108"/>
      <c r="G777" s="108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2.0" customHeight="1">
      <c r="A778" s="108"/>
      <c r="B778" s="108"/>
      <c r="C778" s="108"/>
      <c r="D778" s="108"/>
      <c r="E778" s="108"/>
      <c r="F778" s="108"/>
      <c r="G778" s="108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2.0" customHeight="1">
      <c r="A779" s="108"/>
      <c r="B779" s="108"/>
      <c r="C779" s="108"/>
      <c r="D779" s="108"/>
      <c r="E779" s="108"/>
      <c r="F779" s="108"/>
      <c r="G779" s="108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2.0" customHeight="1">
      <c r="A780" s="108"/>
      <c r="B780" s="108"/>
      <c r="C780" s="108"/>
      <c r="D780" s="108"/>
      <c r="E780" s="108"/>
      <c r="F780" s="108"/>
      <c r="G780" s="108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2.0" customHeight="1">
      <c r="A781" s="108"/>
      <c r="B781" s="108"/>
      <c r="C781" s="108"/>
      <c r="D781" s="108"/>
      <c r="E781" s="108"/>
      <c r="F781" s="108"/>
      <c r="G781" s="108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2.0" customHeight="1">
      <c r="A782" s="108"/>
      <c r="B782" s="108"/>
      <c r="C782" s="108"/>
      <c r="D782" s="108"/>
      <c r="E782" s="108"/>
      <c r="F782" s="108"/>
      <c r="G782" s="108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2.0" customHeight="1">
      <c r="A783" s="108"/>
      <c r="B783" s="108"/>
      <c r="C783" s="108"/>
      <c r="D783" s="108"/>
      <c r="E783" s="108"/>
      <c r="F783" s="108"/>
      <c r="G783" s="108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2.0" customHeight="1">
      <c r="A784" s="108"/>
      <c r="B784" s="108"/>
      <c r="C784" s="108"/>
      <c r="D784" s="108"/>
      <c r="E784" s="108"/>
      <c r="F784" s="108"/>
      <c r="G784" s="108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2.0" customHeight="1">
      <c r="A785" s="108"/>
      <c r="B785" s="108"/>
      <c r="C785" s="108"/>
      <c r="D785" s="108"/>
      <c r="E785" s="108"/>
      <c r="F785" s="108"/>
      <c r="G785" s="108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2.0" customHeight="1">
      <c r="A786" s="108"/>
      <c r="B786" s="108"/>
      <c r="C786" s="108"/>
      <c r="D786" s="108"/>
      <c r="E786" s="108"/>
      <c r="F786" s="108"/>
      <c r="G786" s="108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2.0" customHeight="1">
      <c r="A787" s="108"/>
      <c r="B787" s="108"/>
      <c r="C787" s="108"/>
      <c r="D787" s="108"/>
      <c r="E787" s="108"/>
      <c r="F787" s="108"/>
      <c r="G787" s="108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2.0" customHeight="1">
      <c r="A788" s="108"/>
      <c r="B788" s="108"/>
      <c r="C788" s="108"/>
      <c r="D788" s="108"/>
      <c r="E788" s="108"/>
      <c r="F788" s="108"/>
      <c r="G788" s="108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2.0" customHeight="1">
      <c r="A789" s="108"/>
      <c r="B789" s="108"/>
      <c r="C789" s="108"/>
      <c r="D789" s="108"/>
      <c r="E789" s="108"/>
      <c r="F789" s="108"/>
      <c r="G789" s="108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2.0" customHeight="1">
      <c r="A790" s="108"/>
      <c r="B790" s="108"/>
      <c r="C790" s="108"/>
      <c r="D790" s="108"/>
      <c r="E790" s="108"/>
      <c r="F790" s="108"/>
      <c r="G790" s="108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2.0" customHeight="1">
      <c r="A791" s="108"/>
      <c r="B791" s="108"/>
      <c r="C791" s="108"/>
      <c r="D791" s="108"/>
      <c r="E791" s="108"/>
      <c r="F791" s="108"/>
      <c r="G791" s="108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2.0" customHeight="1">
      <c r="A792" s="108"/>
      <c r="B792" s="108"/>
      <c r="C792" s="108"/>
      <c r="D792" s="108"/>
      <c r="E792" s="108"/>
      <c r="F792" s="108"/>
      <c r="G792" s="108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2.0" customHeight="1">
      <c r="A793" s="108"/>
      <c r="B793" s="108"/>
      <c r="C793" s="108"/>
      <c r="D793" s="108"/>
      <c r="E793" s="108"/>
      <c r="F793" s="108"/>
      <c r="G793" s="108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2.0" customHeight="1">
      <c r="A794" s="108"/>
      <c r="B794" s="108"/>
      <c r="C794" s="108"/>
      <c r="D794" s="108"/>
      <c r="E794" s="108"/>
      <c r="F794" s="108"/>
      <c r="G794" s="108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2.0" customHeight="1">
      <c r="A795" s="108"/>
      <c r="B795" s="108"/>
      <c r="C795" s="108"/>
      <c r="D795" s="108"/>
      <c r="E795" s="108"/>
      <c r="F795" s="108"/>
      <c r="G795" s="108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2.0" customHeight="1">
      <c r="A796" s="108"/>
      <c r="B796" s="108"/>
      <c r="C796" s="108"/>
      <c r="D796" s="108"/>
      <c r="E796" s="108"/>
      <c r="F796" s="108"/>
      <c r="G796" s="108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2.0" customHeight="1">
      <c r="A797" s="108"/>
      <c r="B797" s="108"/>
      <c r="C797" s="108"/>
      <c r="D797" s="108"/>
      <c r="E797" s="108"/>
      <c r="F797" s="108"/>
      <c r="G797" s="108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2.0" customHeight="1">
      <c r="A798" s="108"/>
      <c r="B798" s="108"/>
      <c r="C798" s="108"/>
      <c r="D798" s="108"/>
      <c r="E798" s="108"/>
      <c r="F798" s="108"/>
      <c r="G798" s="108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2.0" customHeight="1">
      <c r="A799" s="108"/>
      <c r="B799" s="108"/>
      <c r="C799" s="108"/>
      <c r="D799" s="108"/>
      <c r="E799" s="108"/>
      <c r="F799" s="108"/>
      <c r="G799" s="108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2.0" customHeight="1">
      <c r="A800" s="108"/>
      <c r="B800" s="108"/>
      <c r="C800" s="108"/>
      <c r="D800" s="108"/>
      <c r="E800" s="108"/>
      <c r="F800" s="108"/>
      <c r="G800" s="108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2.0" customHeight="1">
      <c r="A801" s="108"/>
      <c r="B801" s="108"/>
      <c r="C801" s="108"/>
      <c r="D801" s="108"/>
      <c r="E801" s="108"/>
      <c r="F801" s="108"/>
      <c r="G801" s="108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2.0" customHeight="1">
      <c r="A802" s="108"/>
      <c r="B802" s="108"/>
      <c r="C802" s="108"/>
      <c r="D802" s="108"/>
      <c r="E802" s="108"/>
      <c r="F802" s="108"/>
      <c r="G802" s="108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2.0" customHeight="1">
      <c r="A803" s="108"/>
      <c r="B803" s="108"/>
      <c r="C803" s="108"/>
      <c r="D803" s="108"/>
      <c r="E803" s="108"/>
      <c r="F803" s="108"/>
      <c r="G803" s="108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2.0" customHeight="1">
      <c r="A804" s="108"/>
      <c r="B804" s="108"/>
      <c r="C804" s="108"/>
      <c r="D804" s="108"/>
      <c r="E804" s="108"/>
      <c r="F804" s="108"/>
      <c r="G804" s="108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2.0" customHeight="1">
      <c r="A805" s="108"/>
      <c r="B805" s="108"/>
      <c r="C805" s="108"/>
      <c r="D805" s="108"/>
      <c r="E805" s="108"/>
      <c r="F805" s="108"/>
      <c r="G805" s="108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2.0" customHeight="1">
      <c r="A806" s="108"/>
      <c r="B806" s="108"/>
      <c r="C806" s="108"/>
      <c r="D806" s="108"/>
      <c r="E806" s="108"/>
      <c r="F806" s="108"/>
      <c r="G806" s="108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2.0" customHeight="1">
      <c r="A807" s="108"/>
      <c r="B807" s="108"/>
      <c r="C807" s="108"/>
      <c r="D807" s="108"/>
      <c r="E807" s="108"/>
      <c r="F807" s="108"/>
      <c r="G807" s="108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2.0" customHeight="1">
      <c r="A808" s="108"/>
      <c r="B808" s="108"/>
      <c r="C808" s="108"/>
      <c r="D808" s="108"/>
      <c r="E808" s="108"/>
      <c r="F808" s="108"/>
      <c r="G808" s="108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2.0" customHeight="1">
      <c r="A809" s="108"/>
      <c r="B809" s="108"/>
      <c r="C809" s="108"/>
      <c r="D809" s="108"/>
      <c r="E809" s="108"/>
      <c r="F809" s="108"/>
      <c r="G809" s="108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2.0" customHeight="1">
      <c r="A810" s="108"/>
      <c r="B810" s="108"/>
      <c r="C810" s="108"/>
      <c r="D810" s="108"/>
      <c r="E810" s="108"/>
      <c r="F810" s="108"/>
      <c r="G810" s="108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2.0" customHeight="1">
      <c r="A811" s="108"/>
      <c r="B811" s="108"/>
      <c r="C811" s="108"/>
      <c r="D811" s="108"/>
      <c r="E811" s="108"/>
      <c r="F811" s="108"/>
      <c r="G811" s="108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2.0" customHeight="1">
      <c r="A812" s="108"/>
      <c r="B812" s="108"/>
      <c r="C812" s="108"/>
      <c r="D812" s="108"/>
      <c r="E812" s="108"/>
      <c r="F812" s="108"/>
      <c r="G812" s="108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2.0" customHeight="1">
      <c r="A813" s="108"/>
      <c r="B813" s="108"/>
      <c r="C813" s="108"/>
      <c r="D813" s="108"/>
      <c r="E813" s="108"/>
      <c r="F813" s="108"/>
      <c r="G813" s="108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2.0" customHeight="1">
      <c r="A814" s="108"/>
      <c r="B814" s="108"/>
      <c r="C814" s="108"/>
      <c r="D814" s="108"/>
      <c r="E814" s="108"/>
      <c r="F814" s="108"/>
      <c r="G814" s="108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2.0" customHeight="1">
      <c r="A815" s="108"/>
      <c r="B815" s="108"/>
      <c r="C815" s="108"/>
      <c r="D815" s="108"/>
      <c r="E815" s="108"/>
      <c r="F815" s="108"/>
      <c r="G815" s="108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2.0" customHeight="1">
      <c r="A816" s="108"/>
      <c r="B816" s="108"/>
      <c r="C816" s="108"/>
      <c r="D816" s="108"/>
      <c r="E816" s="108"/>
      <c r="F816" s="108"/>
      <c r="G816" s="108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2.0" customHeight="1">
      <c r="A817" s="108"/>
      <c r="B817" s="108"/>
      <c r="C817" s="108"/>
      <c r="D817" s="108"/>
      <c r="E817" s="108"/>
      <c r="F817" s="108"/>
      <c r="G817" s="108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2.0" customHeight="1">
      <c r="A818" s="108"/>
      <c r="B818" s="108"/>
      <c r="C818" s="108"/>
      <c r="D818" s="108"/>
      <c r="E818" s="108"/>
      <c r="F818" s="108"/>
      <c r="G818" s="108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2.0" customHeight="1">
      <c r="A819" s="108"/>
      <c r="B819" s="108"/>
      <c r="C819" s="108"/>
      <c r="D819" s="108"/>
      <c r="E819" s="108"/>
      <c r="F819" s="108"/>
      <c r="G819" s="108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2.0" customHeight="1">
      <c r="A820" s="108"/>
      <c r="B820" s="108"/>
      <c r="C820" s="108"/>
      <c r="D820" s="108"/>
      <c r="E820" s="108"/>
      <c r="F820" s="108"/>
      <c r="G820" s="108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2.0" customHeight="1">
      <c r="A821" s="108"/>
      <c r="B821" s="108"/>
      <c r="C821" s="108"/>
      <c r="D821" s="108"/>
      <c r="E821" s="108"/>
      <c r="F821" s="108"/>
      <c r="G821" s="108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2.0" customHeight="1">
      <c r="A822" s="108"/>
      <c r="B822" s="108"/>
      <c r="C822" s="108"/>
      <c r="D822" s="108"/>
      <c r="E822" s="108"/>
      <c r="F822" s="108"/>
      <c r="G822" s="108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2.0" customHeight="1">
      <c r="A823" s="108"/>
      <c r="B823" s="108"/>
      <c r="C823" s="108"/>
      <c r="D823" s="108"/>
      <c r="E823" s="108"/>
      <c r="F823" s="108"/>
      <c r="G823" s="108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2.0" customHeight="1">
      <c r="A824" s="108"/>
      <c r="B824" s="108"/>
      <c r="C824" s="108"/>
      <c r="D824" s="108"/>
      <c r="E824" s="108"/>
      <c r="F824" s="108"/>
      <c r="G824" s="108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2.0" customHeight="1">
      <c r="A825" s="108"/>
      <c r="B825" s="108"/>
      <c r="C825" s="108"/>
      <c r="D825" s="108"/>
      <c r="E825" s="108"/>
      <c r="F825" s="108"/>
      <c r="G825" s="108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2.0" customHeight="1">
      <c r="A826" s="108"/>
      <c r="B826" s="108"/>
      <c r="C826" s="108"/>
      <c r="D826" s="108"/>
      <c r="E826" s="108"/>
      <c r="F826" s="108"/>
      <c r="G826" s="108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2.0" customHeight="1">
      <c r="A827" s="108"/>
      <c r="B827" s="108"/>
      <c r="C827" s="108"/>
      <c r="D827" s="108"/>
      <c r="E827" s="108"/>
      <c r="F827" s="108"/>
      <c r="G827" s="108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2.0" customHeight="1">
      <c r="A828" s="108"/>
      <c r="B828" s="108"/>
      <c r="C828" s="108"/>
      <c r="D828" s="108"/>
      <c r="E828" s="108"/>
      <c r="F828" s="108"/>
      <c r="G828" s="108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2.0" customHeight="1">
      <c r="A829" s="108"/>
      <c r="B829" s="108"/>
      <c r="C829" s="108"/>
      <c r="D829" s="108"/>
      <c r="E829" s="108"/>
      <c r="F829" s="108"/>
      <c r="G829" s="108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2.0" customHeight="1">
      <c r="A830" s="108"/>
      <c r="B830" s="108"/>
      <c r="C830" s="108"/>
      <c r="D830" s="108"/>
      <c r="E830" s="108"/>
      <c r="F830" s="108"/>
      <c r="G830" s="108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2.0" customHeight="1">
      <c r="A831" s="108"/>
      <c r="B831" s="108"/>
      <c r="C831" s="108"/>
      <c r="D831" s="108"/>
      <c r="E831" s="108"/>
      <c r="F831" s="108"/>
      <c r="G831" s="108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2.0" customHeight="1">
      <c r="A832" s="108"/>
      <c r="B832" s="108"/>
      <c r="C832" s="108"/>
      <c r="D832" s="108"/>
      <c r="E832" s="108"/>
      <c r="F832" s="108"/>
      <c r="G832" s="108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2.0" customHeight="1">
      <c r="A833" s="108"/>
      <c r="B833" s="108"/>
      <c r="C833" s="108"/>
      <c r="D833" s="108"/>
      <c r="E833" s="108"/>
      <c r="F833" s="108"/>
      <c r="G833" s="108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2.0" customHeight="1">
      <c r="A834" s="108"/>
      <c r="B834" s="108"/>
      <c r="C834" s="108"/>
      <c r="D834" s="108"/>
      <c r="E834" s="108"/>
      <c r="F834" s="108"/>
      <c r="G834" s="108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2.0" customHeight="1">
      <c r="A835" s="108"/>
      <c r="B835" s="108"/>
      <c r="C835" s="108"/>
      <c r="D835" s="108"/>
      <c r="E835" s="108"/>
      <c r="F835" s="108"/>
      <c r="G835" s="108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2.0" customHeight="1">
      <c r="A836" s="108"/>
      <c r="B836" s="108"/>
      <c r="C836" s="108"/>
      <c r="D836" s="108"/>
      <c r="E836" s="108"/>
      <c r="F836" s="108"/>
      <c r="G836" s="108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2.0" customHeight="1">
      <c r="A837" s="108"/>
      <c r="B837" s="108"/>
      <c r="C837" s="108"/>
      <c r="D837" s="108"/>
      <c r="E837" s="108"/>
      <c r="F837" s="108"/>
      <c r="G837" s="108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2.0" customHeight="1">
      <c r="A838" s="108"/>
      <c r="B838" s="108"/>
      <c r="C838" s="108"/>
      <c r="D838" s="108"/>
      <c r="E838" s="108"/>
      <c r="F838" s="108"/>
      <c r="G838" s="108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2.0" customHeight="1">
      <c r="A839" s="108"/>
      <c r="B839" s="108"/>
      <c r="C839" s="108"/>
      <c r="D839" s="108"/>
      <c r="E839" s="108"/>
      <c r="F839" s="108"/>
      <c r="G839" s="108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2.0" customHeight="1">
      <c r="A840" s="108"/>
      <c r="B840" s="108"/>
      <c r="C840" s="108"/>
      <c r="D840" s="108"/>
      <c r="E840" s="108"/>
      <c r="F840" s="108"/>
      <c r="G840" s="108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2.0" customHeight="1">
      <c r="A841" s="108"/>
      <c r="B841" s="108"/>
      <c r="C841" s="108"/>
      <c r="D841" s="108"/>
      <c r="E841" s="108"/>
      <c r="F841" s="108"/>
      <c r="G841" s="108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2.0" customHeight="1">
      <c r="A842" s="108"/>
      <c r="B842" s="108"/>
      <c r="C842" s="108"/>
      <c r="D842" s="108"/>
      <c r="E842" s="108"/>
      <c r="F842" s="108"/>
      <c r="G842" s="108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2.0" customHeight="1">
      <c r="A843" s="108"/>
      <c r="B843" s="108"/>
      <c r="C843" s="108"/>
      <c r="D843" s="108"/>
      <c r="E843" s="108"/>
      <c r="F843" s="108"/>
      <c r="G843" s="108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2.0" customHeight="1">
      <c r="A844" s="108"/>
      <c r="B844" s="108"/>
      <c r="C844" s="108"/>
      <c r="D844" s="108"/>
      <c r="E844" s="108"/>
      <c r="F844" s="108"/>
      <c r="G844" s="108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2.0" customHeight="1">
      <c r="A845" s="108"/>
      <c r="B845" s="108"/>
      <c r="C845" s="108"/>
      <c r="D845" s="108"/>
      <c r="E845" s="108"/>
      <c r="F845" s="108"/>
      <c r="G845" s="108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2.0" customHeight="1">
      <c r="A846" s="108"/>
      <c r="B846" s="108"/>
      <c r="C846" s="108"/>
      <c r="D846" s="108"/>
      <c r="E846" s="108"/>
      <c r="F846" s="108"/>
      <c r="G846" s="108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2.0" customHeight="1">
      <c r="A847" s="108"/>
      <c r="B847" s="108"/>
      <c r="C847" s="108"/>
      <c r="D847" s="108"/>
      <c r="E847" s="108"/>
      <c r="F847" s="108"/>
      <c r="G847" s="108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2.0" customHeight="1">
      <c r="A848" s="108"/>
      <c r="B848" s="108"/>
      <c r="C848" s="108"/>
      <c r="D848" s="108"/>
      <c r="E848" s="108"/>
      <c r="F848" s="108"/>
      <c r="G848" s="108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2.0" customHeight="1">
      <c r="A849" s="108"/>
      <c r="B849" s="108"/>
      <c r="C849" s="108"/>
      <c r="D849" s="108"/>
      <c r="E849" s="108"/>
      <c r="F849" s="108"/>
      <c r="G849" s="108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2.0" customHeight="1">
      <c r="A850" s="108"/>
      <c r="B850" s="108"/>
      <c r="C850" s="108"/>
      <c r="D850" s="108"/>
      <c r="E850" s="108"/>
      <c r="F850" s="108"/>
      <c r="G850" s="108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2.0" customHeight="1">
      <c r="A851" s="108"/>
      <c r="B851" s="108"/>
      <c r="C851" s="108"/>
      <c r="D851" s="108"/>
      <c r="E851" s="108"/>
      <c r="F851" s="108"/>
      <c r="G851" s="108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2.0" customHeight="1">
      <c r="A852" s="108"/>
      <c r="B852" s="108"/>
      <c r="C852" s="108"/>
      <c r="D852" s="108"/>
      <c r="E852" s="108"/>
      <c r="F852" s="108"/>
      <c r="G852" s="108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2.0" customHeight="1">
      <c r="A853" s="108"/>
      <c r="B853" s="108"/>
      <c r="C853" s="108"/>
      <c r="D853" s="108"/>
      <c r="E853" s="108"/>
      <c r="F853" s="108"/>
      <c r="G853" s="108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2.0" customHeight="1">
      <c r="A854" s="108"/>
      <c r="B854" s="108"/>
      <c r="C854" s="108"/>
      <c r="D854" s="108"/>
      <c r="E854" s="108"/>
      <c r="F854" s="108"/>
      <c r="G854" s="108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2.0" customHeight="1">
      <c r="A855" s="108"/>
      <c r="B855" s="108"/>
      <c r="C855" s="108"/>
      <c r="D855" s="108"/>
      <c r="E855" s="108"/>
      <c r="F855" s="108"/>
      <c r="G855" s="108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2.0" customHeight="1">
      <c r="A856" s="108"/>
      <c r="B856" s="108"/>
      <c r="C856" s="108"/>
      <c r="D856" s="108"/>
      <c r="E856" s="108"/>
      <c r="F856" s="108"/>
      <c r="G856" s="108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2.0" customHeight="1">
      <c r="A857" s="108"/>
      <c r="B857" s="108"/>
      <c r="C857" s="108"/>
      <c r="D857" s="108"/>
      <c r="E857" s="108"/>
      <c r="F857" s="108"/>
      <c r="G857" s="108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2.0" customHeight="1">
      <c r="A858" s="108"/>
      <c r="B858" s="108"/>
      <c r="C858" s="108"/>
      <c r="D858" s="108"/>
      <c r="E858" s="108"/>
      <c r="F858" s="108"/>
      <c r="G858" s="108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2.0" customHeight="1">
      <c r="A859" s="108"/>
      <c r="B859" s="108"/>
      <c r="C859" s="108"/>
      <c r="D859" s="108"/>
      <c r="E859" s="108"/>
      <c r="F859" s="108"/>
      <c r="G859" s="108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2.0" customHeight="1">
      <c r="A860" s="108"/>
      <c r="B860" s="108"/>
      <c r="C860" s="108"/>
      <c r="D860" s="108"/>
      <c r="E860" s="108"/>
      <c r="F860" s="108"/>
      <c r="G860" s="108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2.0" customHeight="1">
      <c r="A861" s="108"/>
      <c r="B861" s="108"/>
      <c r="C861" s="108"/>
      <c r="D861" s="108"/>
      <c r="E861" s="108"/>
      <c r="F861" s="108"/>
      <c r="G861" s="108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2.0" customHeight="1">
      <c r="A862" s="108"/>
      <c r="B862" s="108"/>
      <c r="C862" s="108"/>
      <c r="D862" s="108"/>
      <c r="E862" s="108"/>
      <c r="F862" s="108"/>
      <c r="G862" s="108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2.0" customHeight="1">
      <c r="A863" s="108"/>
      <c r="B863" s="108"/>
      <c r="C863" s="108"/>
      <c r="D863" s="108"/>
      <c r="E863" s="108"/>
      <c r="F863" s="108"/>
      <c r="G863" s="108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2.0" customHeight="1">
      <c r="A864" s="108"/>
      <c r="B864" s="108"/>
      <c r="C864" s="108"/>
      <c r="D864" s="108"/>
      <c r="E864" s="108"/>
      <c r="F864" s="108"/>
      <c r="G864" s="108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2.0" customHeight="1">
      <c r="A865" s="108"/>
      <c r="B865" s="108"/>
      <c r="C865" s="108"/>
      <c r="D865" s="108"/>
      <c r="E865" s="108"/>
      <c r="F865" s="108"/>
      <c r="G865" s="108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2.0" customHeight="1">
      <c r="A866" s="108"/>
      <c r="B866" s="108"/>
      <c r="C866" s="108"/>
      <c r="D866" s="108"/>
      <c r="E866" s="108"/>
      <c r="F866" s="108"/>
      <c r="G866" s="108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2.0" customHeight="1">
      <c r="A867" s="108"/>
      <c r="B867" s="108"/>
      <c r="C867" s="108"/>
      <c r="D867" s="108"/>
      <c r="E867" s="108"/>
      <c r="F867" s="108"/>
      <c r="G867" s="108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2.0" customHeight="1">
      <c r="A868" s="108"/>
      <c r="B868" s="108"/>
      <c r="C868" s="108"/>
      <c r="D868" s="108"/>
      <c r="E868" s="108"/>
      <c r="F868" s="108"/>
      <c r="G868" s="108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2.0" customHeight="1">
      <c r="A869" s="108"/>
      <c r="B869" s="108"/>
      <c r="C869" s="108"/>
      <c r="D869" s="108"/>
      <c r="E869" s="108"/>
      <c r="F869" s="108"/>
      <c r="G869" s="108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2.0" customHeight="1">
      <c r="A870" s="108"/>
      <c r="B870" s="108"/>
      <c r="C870" s="108"/>
      <c r="D870" s="108"/>
      <c r="E870" s="108"/>
      <c r="F870" s="108"/>
      <c r="G870" s="108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2.0" customHeight="1">
      <c r="A871" s="108"/>
      <c r="B871" s="108"/>
      <c r="C871" s="108"/>
      <c r="D871" s="108"/>
      <c r="E871" s="108"/>
      <c r="F871" s="108"/>
      <c r="G871" s="108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2.0" customHeight="1">
      <c r="A872" s="108"/>
      <c r="B872" s="108"/>
      <c r="C872" s="108"/>
      <c r="D872" s="108"/>
      <c r="E872" s="108"/>
      <c r="F872" s="108"/>
      <c r="G872" s="108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2.0" customHeight="1">
      <c r="A873" s="108"/>
      <c r="B873" s="108"/>
      <c r="C873" s="108"/>
      <c r="D873" s="108"/>
      <c r="E873" s="108"/>
      <c r="F873" s="108"/>
      <c r="G873" s="108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2.0" customHeight="1">
      <c r="A874" s="108"/>
      <c r="B874" s="108"/>
      <c r="C874" s="108"/>
      <c r="D874" s="108"/>
      <c r="E874" s="108"/>
      <c r="F874" s="108"/>
      <c r="G874" s="108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2.0" customHeight="1">
      <c r="A875" s="108"/>
      <c r="B875" s="108"/>
      <c r="C875" s="108"/>
      <c r="D875" s="108"/>
      <c r="E875" s="108"/>
      <c r="F875" s="108"/>
      <c r="G875" s="108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2.0" customHeight="1">
      <c r="A876" s="108"/>
      <c r="B876" s="108"/>
      <c r="C876" s="108"/>
      <c r="D876" s="108"/>
      <c r="E876" s="108"/>
      <c r="F876" s="108"/>
      <c r="G876" s="108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2.0" customHeight="1">
      <c r="A877" s="108"/>
      <c r="B877" s="108"/>
      <c r="C877" s="108"/>
      <c r="D877" s="108"/>
      <c r="E877" s="108"/>
      <c r="F877" s="108"/>
      <c r="G877" s="108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2.0" customHeight="1">
      <c r="A878" s="108"/>
      <c r="B878" s="108"/>
      <c r="C878" s="108"/>
      <c r="D878" s="108"/>
      <c r="E878" s="108"/>
      <c r="F878" s="108"/>
      <c r="G878" s="108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2.0" customHeight="1">
      <c r="A879" s="108"/>
      <c r="B879" s="108"/>
      <c r="C879" s="108"/>
      <c r="D879" s="108"/>
      <c r="E879" s="108"/>
      <c r="F879" s="108"/>
      <c r="G879" s="108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2.0" customHeight="1">
      <c r="A880" s="108"/>
      <c r="B880" s="108"/>
      <c r="C880" s="108"/>
      <c r="D880" s="108"/>
      <c r="E880" s="108"/>
      <c r="F880" s="108"/>
      <c r="G880" s="108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2.0" customHeight="1">
      <c r="A881" s="108"/>
      <c r="B881" s="108"/>
      <c r="C881" s="108"/>
      <c r="D881" s="108"/>
      <c r="E881" s="108"/>
      <c r="F881" s="108"/>
      <c r="G881" s="108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2.0" customHeight="1">
      <c r="A882" s="108"/>
      <c r="B882" s="108"/>
      <c r="C882" s="108"/>
      <c r="D882" s="108"/>
      <c r="E882" s="108"/>
      <c r="F882" s="108"/>
      <c r="G882" s="108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2.0" customHeight="1">
      <c r="A883" s="108"/>
      <c r="B883" s="108"/>
      <c r="C883" s="108"/>
      <c r="D883" s="108"/>
      <c r="E883" s="108"/>
      <c r="F883" s="108"/>
      <c r="G883" s="108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2.0" customHeight="1">
      <c r="A884" s="108"/>
      <c r="B884" s="108"/>
      <c r="C884" s="108"/>
      <c r="D884" s="108"/>
      <c r="E884" s="108"/>
      <c r="F884" s="108"/>
      <c r="G884" s="108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2.0" customHeight="1">
      <c r="A885" s="108"/>
      <c r="B885" s="108"/>
      <c r="C885" s="108"/>
      <c r="D885" s="108"/>
      <c r="E885" s="108"/>
      <c r="F885" s="108"/>
      <c r="G885" s="108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2.0" customHeight="1">
      <c r="A886" s="108"/>
      <c r="B886" s="108"/>
      <c r="C886" s="108"/>
      <c r="D886" s="108"/>
      <c r="E886" s="108"/>
      <c r="F886" s="108"/>
      <c r="G886" s="108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2.0" customHeight="1">
      <c r="A887" s="108"/>
      <c r="B887" s="108"/>
      <c r="C887" s="108"/>
      <c r="D887" s="108"/>
      <c r="E887" s="108"/>
      <c r="F887" s="108"/>
      <c r="G887" s="108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2.0" customHeight="1">
      <c r="A888" s="108"/>
      <c r="B888" s="108"/>
      <c r="C888" s="108"/>
      <c r="D888" s="108"/>
      <c r="E888" s="108"/>
      <c r="F888" s="108"/>
      <c r="G888" s="108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2.0" customHeight="1">
      <c r="A889" s="108"/>
      <c r="B889" s="108"/>
      <c r="C889" s="108"/>
      <c r="D889" s="108"/>
      <c r="E889" s="108"/>
      <c r="F889" s="108"/>
      <c r="G889" s="108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2.0" customHeight="1">
      <c r="A890" s="108"/>
      <c r="B890" s="108"/>
      <c r="C890" s="108"/>
      <c r="D890" s="108"/>
      <c r="E890" s="108"/>
      <c r="F890" s="108"/>
      <c r="G890" s="108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2.0" customHeight="1">
      <c r="A891" s="108"/>
      <c r="B891" s="108"/>
      <c r="C891" s="108"/>
      <c r="D891" s="108"/>
      <c r="E891" s="108"/>
      <c r="F891" s="108"/>
      <c r="G891" s="108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2.0" customHeight="1">
      <c r="A892" s="108"/>
      <c r="B892" s="108"/>
      <c r="C892" s="108"/>
      <c r="D892" s="108"/>
      <c r="E892" s="108"/>
      <c r="F892" s="108"/>
      <c r="G892" s="108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2.0" customHeight="1">
      <c r="A893" s="108"/>
      <c r="B893" s="108"/>
      <c r="C893" s="108"/>
      <c r="D893" s="108"/>
      <c r="E893" s="108"/>
      <c r="F893" s="108"/>
      <c r="G893" s="108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2.0" customHeight="1">
      <c r="A894" s="108"/>
      <c r="B894" s="108"/>
      <c r="C894" s="108"/>
      <c r="D894" s="108"/>
      <c r="E894" s="108"/>
      <c r="F894" s="108"/>
      <c r="G894" s="108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2.0" customHeight="1">
      <c r="A895" s="108"/>
      <c r="B895" s="108"/>
      <c r="C895" s="108"/>
      <c r="D895" s="108"/>
      <c r="E895" s="108"/>
      <c r="F895" s="108"/>
      <c r="G895" s="108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2.0" customHeight="1">
      <c r="A896" s="108"/>
      <c r="B896" s="108"/>
      <c r="C896" s="108"/>
      <c r="D896" s="108"/>
      <c r="E896" s="108"/>
      <c r="F896" s="108"/>
      <c r="G896" s="108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2.0" customHeight="1">
      <c r="A897" s="108"/>
      <c r="B897" s="108"/>
      <c r="C897" s="108"/>
      <c r="D897" s="108"/>
      <c r="E897" s="108"/>
      <c r="F897" s="108"/>
      <c r="G897" s="108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2.0" customHeight="1">
      <c r="A898" s="108"/>
      <c r="B898" s="108"/>
      <c r="C898" s="108"/>
      <c r="D898" s="108"/>
      <c r="E898" s="108"/>
      <c r="F898" s="108"/>
      <c r="G898" s="108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2.0" customHeight="1">
      <c r="A899" s="108"/>
      <c r="B899" s="108"/>
      <c r="C899" s="108"/>
      <c r="D899" s="108"/>
      <c r="E899" s="108"/>
      <c r="F899" s="108"/>
      <c r="G899" s="108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2.0" customHeight="1">
      <c r="A900" s="108"/>
      <c r="B900" s="108"/>
      <c r="C900" s="108"/>
      <c r="D900" s="108"/>
      <c r="E900" s="108"/>
      <c r="F900" s="108"/>
      <c r="G900" s="108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2.0" customHeight="1">
      <c r="A901" s="108"/>
      <c r="B901" s="108"/>
      <c r="C901" s="108"/>
      <c r="D901" s="108"/>
      <c r="E901" s="108"/>
      <c r="F901" s="108"/>
      <c r="G901" s="108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2.0" customHeight="1">
      <c r="A902" s="108"/>
      <c r="B902" s="108"/>
      <c r="C902" s="108"/>
      <c r="D902" s="108"/>
      <c r="E902" s="108"/>
      <c r="F902" s="108"/>
      <c r="G902" s="108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2.0" customHeight="1">
      <c r="A903" s="108"/>
      <c r="B903" s="108"/>
      <c r="C903" s="108"/>
      <c r="D903" s="108"/>
      <c r="E903" s="108"/>
      <c r="F903" s="108"/>
      <c r="G903" s="108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2.0" customHeight="1">
      <c r="A904" s="108"/>
      <c r="B904" s="108"/>
      <c r="C904" s="108"/>
      <c r="D904" s="108"/>
      <c r="E904" s="108"/>
      <c r="F904" s="108"/>
      <c r="G904" s="108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2.0" customHeight="1">
      <c r="A905" s="108"/>
      <c r="B905" s="108"/>
      <c r="C905" s="108"/>
      <c r="D905" s="108"/>
      <c r="E905" s="108"/>
      <c r="F905" s="108"/>
      <c r="G905" s="108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2.0" customHeight="1">
      <c r="A906" s="108"/>
      <c r="B906" s="108"/>
      <c r="C906" s="108"/>
      <c r="D906" s="108"/>
      <c r="E906" s="108"/>
      <c r="F906" s="108"/>
      <c r="G906" s="108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2.0" customHeight="1">
      <c r="A907" s="108"/>
      <c r="B907" s="108"/>
      <c r="C907" s="108"/>
      <c r="D907" s="108"/>
      <c r="E907" s="108"/>
      <c r="F907" s="108"/>
      <c r="G907" s="108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2.0" customHeight="1">
      <c r="A908" s="108"/>
      <c r="B908" s="108"/>
      <c r="C908" s="108"/>
      <c r="D908" s="108"/>
      <c r="E908" s="108"/>
      <c r="F908" s="108"/>
      <c r="G908" s="108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2.0" customHeight="1">
      <c r="A909" s="108"/>
      <c r="B909" s="108"/>
      <c r="C909" s="108"/>
      <c r="D909" s="108"/>
      <c r="E909" s="108"/>
      <c r="F909" s="108"/>
      <c r="G909" s="108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2.0" customHeight="1">
      <c r="A910" s="108"/>
      <c r="B910" s="108"/>
      <c r="C910" s="108"/>
      <c r="D910" s="108"/>
      <c r="E910" s="108"/>
      <c r="F910" s="108"/>
      <c r="G910" s="108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2.0" customHeight="1">
      <c r="A911" s="108"/>
      <c r="B911" s="108"/>
      <c r="C911" s="108"/>
      <c r="D911" s="108"/>
      <c r="E911" s="108"/>
      <c r="F911" s="108"/>
      <c r="G911" s="108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2.0" customHeight="1">
      <c r="A912" s="108"/>
      <c r="B912" s="108"/>
      <c r="C912" s="108"/>
      <c r="D912" s="108"/>
      <c r="E912" s="108"/>
      <c r="F912" s="108"/>
      <c r="G912" s="108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2.0" customHeight="1">
      <c r="A913" s="108"/>
      <c r="B913" s="108"/>
      <c r="C913" s="108"/>
      <c r="D913" s="108"/>
      <c r="E913" s="108"/>
      <c r="F913" s="108"/>
      <c r="G913" s="108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2.0" customHeight="1">
      <c r="A914" s="108"/>
      <c r="B914" s="108"/>
      <c r="C914" s="108"/>
      <c r="D914" s="108"/>
      <c r="E914" s="108"/>
      <c r="F914" s="108"/>
      <c r="G914" s="108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2.0" customHeight="1">
      <c r="A915" s="108"/>
      <c r="B915" s="108"/>
      <c r="C915" s="108"/>
      <c r="D915" s="108"/>
      <c r="E915" s="108"/>
      <c r="F915" s="108"/>
      <c r="G915" s="108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2.0" customHeight="1">
      <c r="A916" s="108"/>
      <c r="B916" s="108"/>
      <c r="C916" s="108"/>
      <c r="D916" s="108"/>
      <c r="E916" s="108"/>
      <c r="F916" s="108"/>
      <c r="G916" s="108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2.0" customHeight="1">
      <c r="A917" s="108"/>
      <c r="B917" s="108"/>
      <c r="C917" s="108"/>
      <c r="D917" s="108"/>
      <c r="E917" s="108"/>
      <c r="F917" s="108"/>
      <c r="G917" s="108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2.0" customHeight="1">
      <c r="A918" s="108"/>
      <c r="B918" s="108"/>
      <c r="C918" s="108"/>
      <c r="D918" s="108"/>
      <c r="E918" s="108"/>
      <c r="F918" s="108"/>
      <c r="G918" s="108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2.0" customHeight="1">
      <c r="A919" s="108"/>
      <c r="B919" s="108"/>
      <c r="C919" s="108"/>
      <c r="D919" s="108"/>
      <c r="E919" s="108"/>
      <c r="F919" s="108"/>
      <c r="G919" s="108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2.0" customHeight="1">
      <c r="A920" s="108"/>
      <c r="B920" s="108"/>
      <c r="C920" s="108"/>
      <c r="D920" s="108"/>
      <c r="E920" s="108"/>
      <c r="F920" s="108"/>
      <c r="G920" s="108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2.0" customHeight="1">
      <c r="A921" s="108"/>
      <c r="B921" s="108"/>
      <c r="C921" s="108"/>
      <c r="D921" s="108"/>
      <c r="E921" s="108"/>
      <c r="F921" s="108"/>
      <c r="G921" s="108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2.0" customHeight="1">
      <c r="A922" s="108"/>
      <c r="B922" s="108"/>
      <c r="C922" s="108"/>
      <c r="D922" s="108"/>
      <c r="E922" s="108"/>
      <c r="F922" s="108"/>
      <c r="G922" s="108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2.0" customHeight="1">
      <c r="A923" s="108"/>
      <c r="B923" s="108"/>
      <c r="C923" s="108"/>
      <c r="D923" s="108"/>
      <c r="E923" s="108"/>
      <c r="F923" s="108"/>
      <c r="G923" s="108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2.0" customHeight="1">
      <c r="A924" s="108"/>
      <c r="B924" s="108"/>
      <c r="C924" s="108"/>
      <c r="D924" s="108"/>
      <c r="E924" s="108"/>
      <c r="F924" s="108"/>
      <c r="G924" s="108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2.0" customHeight="1">
      <c r="A925" s="108"/>
      <c r="B925" s="108"/>
      <c r="C925" s="108"/>
      <c r="D925" s="108"/>
      <c r="E925" s="108"/>
      <c r="F925" s="108"/>
      <c r="G925" s="108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2.0" customHeight="1">
      <c r="A926" s="108"/>
      <c r="B926" s="108"/>
      <c r="C926" s="108"/>
      <c r="D926" s="108"/>
      <c r="E926" s="108"/>
      <c r="F926" s="108"/>
      <c r="G926" s="108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2.0" customHeight="1">
      <c r="A927" s="108"/>
      <c r="B927" s="108"/>
      <c r="C927" s="108"/>
      <c r="D927" s="108"/>
      <c r="E927" s="108"/>
      <c r="F927" s="108"/>
      <c r="G927" s="108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2.0" customHeight="1">
      <c r="A928" s="108"/>
      <c r="B928" s="108"/>
      <c r="C928" s="108"/>
      <c r="D928" s="108"/>
      <c r="E928" s="108"/>
      <c r="F928" s="108"/>
      <c r="G928" s="108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2.0" customHeight="1">
      <c r="A929" s="108"/>
      <c r="B929" s="108"/>
      <c r="C929" s="108"/>
      <c r="D929" s="108"/>
      <c r="E929" s="108"/>
      <c r="F929" s="108"/>
      <c r="G929" s="108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2.0" customHeight="1">
      <c r="A930" s="108"/>
      <c r="B930" s="108"/>
      <c r="C930" s="108"/>
      <c r="D930" s="108"/>
      <c r="E930" s="108"/>
      <c r="F930" s="108"/>
      <c r="G930" s="108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2.0" customHeight="1">
      <c r="A931" s="108"/>
      <c r="B931" s="108"/>
      <c r="C931" s="108"/>
      <c r="D931" s="108"/>
      <c r="E931" s="108"/>
      <c r="F931" s="108"/>
      <c r="G931" s="108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2.0" customHeight="1">
      <c r="A932" s="108"/>
      <c r="B932" s="108"/>
      <c r="C932" s="108"/>
      <c r="D932" s="108"/>
      <c r="E932" s="108"/>
      <c r="F932" s="108"/>
      <c r="G932" s="108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2.0" customHeight="1">
      <c r="A933" s="108"/>
      <c r="B933" s="108"/>
      <c r="C933" s="108"/>
      <c r="D933" s="108"/>
      <c r="E933" s="108"/>
      <c r="F933" s="108"/>
      <c r="G933" s="108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2.0" customHeight="1">
      <c r="A934" s="108"/>
      <c r="B934" s="108"/>
      <c r="C934" s="108"/>
      <c r="D934" s="108"/>
      <c r="E934" s="108"/>
      <c r="F934" s="108"/>
      <c r="G934" s="108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2.0" customHeight="1">
      <c r="A935" s="108"/>
      <c r="B935" s="108"/>
      <c r="C935" s="108"/>
      <c r="D935" s="108"/>
      <c r="E935" s="108"/>
      <c r="F935" s="108"/>
      <c r="G935" s="108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2.0" customHeight="1">
      <c r="A936" s="108"/>
      <c r="B936" s="108"/>
      <c r="C936" s="108"/>
      <c r="D936" s="108"/>
      <c r="E936" s="108"/>
      <c r="F936" s="108"/>
      <c r="G936" s="108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2.0" customHeight="1">
      <c r="A937" s="108"/>
      <c r="B937" s="108"/>
      <c r="C937" s="108"/>
      <c r="D937" s="108"/>
      <c r="E937" s="108"/>
      <c r="F937" s="108"/>
      <c r="G937" s="108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2.0" customHeight="1">
      <c r="A938" s="108"/>
      <c r="B938" s="108"/>
      <c r="C938" s="108"/>
      <c r="D938" s="108"/>
      <c r="E938" s="108"/>
      <c r="F938" s="108"/>
      <c r="G938" s="108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2.0" customHeight="1">
      <c r="A939" s="108"/>
      <c r="B939" s="108"/>
      <c r="C939" s="108"/>
      <c r="D939" s="108"/>
      <c r="E939" s="108"/>
      <c r="F939" s="108"/>
      <c r="G939" s="108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2.0" customHeight="1">
      <c r="A940" s="108"/>
      <c r="B940" s="108"/>
      <c r="C940" s="108"/>
      <c r="D940" s="108"/>
      <c r="E940" s="108"/>
      <c r="F940" s="108"/>
      <c r="G940" s="108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2.0" customHeight="1">
      <c r="A941" s="108"/>
      <c r="B941" s="108"/>
      <c r="C941" s="108"/>
      <c r="D941" s="108"/>
      <c r="E941" s="108"/>
      <c r="F941" s="108"/>
      <c r="G941" s="108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2.0" customHeight="1">
      <c r="A942" s="108"/>
      <c r="B942" s="108"/>
      <c r="C942" s="108"/>
      <c r="D942" s="108"/>
      <c r="E942" s="108"/>
      <c r="F942" s="108"/>
      <c r="G942" s="108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2.0" customHeight="1">
      <c r="A943" s="108"/>
      <c r="B943" s="108"/>
      <c r="C943" s="108"/>
      <c r="D943" s="108"/>
      <c r="E943" s="108"/>
      <c r="F943" s="108"/>
      <c r="G943" s="108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2.0" customHeight="1">
      <c r="A944" s="108"/>
      <c r="B944" s="108"/>
      <c r="C944" s="108"/>
      <c r="D944" s="108"/>
      <c r="E944" s="108"/>
      <c r="F944" s="108"/>
      <c r="G944" s="108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2.0" customHeight="1">
      <c r="A945" s="108"/>
      <c r="B945" s="108"/>
      <c r="C945" s="108"/>
      <c r="D945" s="108"/>
      <c r="E945" s="108"/>
      <c r="F945" s="108"/>
      <c r="G945" s="108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2.0" customHeight="1">
      <c r="A946" s="108"/>
      <c r="B946" s="108"/>
      <c r="C946" s="108"/>
      <c r="D946" s="108"/>
      <c r="E946" s="108"/>
      <c r="F946" s="108"/>
      <c r="G946" s="108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2.0" customHeight="1">
      <c r="A947" s="108"/>
      <c r="B947" s="108"/>
      <c r="C947" s="108"/>
      <c r="D947" s="108"/>
      <c r="E947" s="108"/>
      <c r="F947" s="108"/>
      <c r="G947" s="108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2.0" customHeight="1">
      <c r="A948" s="108"/>
      <c r="B948" s="108"/>
      <c r="C948" s="108"/>
      <c r="D948" s="108"/>
      <c r="E948" s="108"/>
      <c r="F948" s="108"/>
      <c r="G948" s="108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2.0" customHeight="1">
      <c r="A949" s="108"/>
      <c r="B949" s="108"/>
      <c r="C949" s="108"/>
      <c r="D949" s="108"/>
      <c r="E949" s="108"/>
      <c r="F949" s="108"/>
      <c r="G949" s="108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2.0" customHeight="1">
      <c r="A950" s="108"/>
      <c r="B950" s="108"/>
      <c r="C950" s="108"/>
      <c r="D950" s="108"/>
      <c r="E950" s="108"/>
      <c r="F950" s="108"/>
      <c r="G950" s="108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2.0" customHeight="1">
      <c r="A951" s="108"/>
      <c r="B951" s="108"/>
      <c r="C951" s="108"/>
      <c r="D951" s="108"/>
      <c r="E951" s="108"/>
      <c r="F951" s="108"/>
      <c r="G951" s="108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2.0" customHeight="1">
      <c r="A952" s="108"/>
      <c r="B952" s="108"/>
      <c r="C952" s="108"/>
      <c r="D952" s="108"/>
      <c r="E952" s="108"/>
      <c r="F952" s="108"/>
      <c r="G952" s="108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2.0" customHeight="1">
      <c r="A953" s="108"/>
      <c r="B953" s="108"/>
      <c r="C953" s="108"/>
      <c r="D953" s="108"/>
      <c r="E953" s="108"/>
      <c r="F953" s="108"/>
      <c r="G953" s="108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2.0" customHeight="1">
      <c r="A954" s="108"/>
      <c r="B954" s="108"/>
      <c r="C954" s="108"/>
      <c r="D954" s="108"/>
      <c r="E954" s="108"/>
      <c r="F954" s="108"/>
      <c r="G954" s="108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2.0" customHeight="1">
      <c r="A955" s="108"/>
      <c r="B955" s="108"/>
      <c r="C955" s="108"/>
      <c r="D955" s="108"/>
      <c r="E955" s="108"/>
      <c r="F955" s="108"/>
      <c r="G955" s="108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2.0" customHeight="1">
      <c r="A956" s="108"/>
      <c r="B956" s="108"/>
      <c r="C956" s="108"/>
      <c r="D956" s="108"/>
      <c r="E956" s="108"/>
      <c r="F956" s="108"/>
      <c r="G956" s="108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2.0" customHeight="1">
      <c r="A957" s="108"/>
      <c r="B957" s="108"/>
      <c r="C957" s="108"/>
      <c r="D957" s="108"/>
      <c r="E957" s="108"/>
      <c r="F957" s="108"/>
      <c r="G957" s="108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2.0" customHeight="1">
      <c r="A958" s="108"/>
      <c r="B958" s="108"/>
      <c r="C958" s="108"/>
      <c r="D958" s="108"/>
      <c r="E958" s="108"/>
      <c r="F958" s="108"/>
      <c r="G958" s="108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2.0" customHeight="1">
      <c r="A959" s="108"/>
      <c r="B959" s="108"/>
      <c r="C959" s="108"/>
      <c r="D959" s="108"/>
      <c r="E959" s="108"/>
      <c r="F959" s="108"/>
      <c r="G959" s="108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2.0" customHeight="1">
      <c r="A960" s="108"/>
      <c r="B960" s="108"/>
      <c r="C960" s="108"/>
      <c r="D960" s="108"/>
      <c r="E960" s="108"/>
      <c r="F960" s="108"/>
      <c r="G960" s="108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2.0" customHeight="1">
      <c r="A961" s="108"/>
      <c r="B961" s="108"/>
      <c r="C961" s="108"/>
      <c r="D961" s="108"/>
      <c r="E961" s="108"/>
      <c r="F961" s="108"/>
      <c r="G961" s="108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2.0" customHeight="1">
      <c r="A962" s="108"/>
      <c r="B962" s="108"/>
      <c r="C962" s="108"/>
      <c r="D962" s="108"/>
      <c r="E962" s="108"/>
      <c r="F962" s="108"/>
      <c r="G962" s="108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2.0" customHeight="1">
      <c r="A963" s="108"/>
      <c r="B963" s="108"/>
      <c r="C963" s="108"/>
      <c r="D963" s="108"/>
      <c r="E963" s="108"/>
      <c r="F963" s="108"/>
      <c r="G963" s="108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2.0" customHeight="1">
      <c r="A964" s="108"/>
      <c r="B964" s="108"/>
      <c r="C964" s="108"/>
      <c r="D964" s="108"/>
      <c r="E964" s="108"/>
      <c r="F964" s="108"/>
      <c r="G964" s="108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2.0" customHeight="1">
      <c r="A965" s="108"/>
      <c r="B965" s="108"/>
      <c r="C965" s="108"/>
      <c r="D965" s="108"/>
      <c r="E965" s="108"/>
      <c r="F965" s="108"/>
      <c r="G965" s="108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2.0" customHeight="1">
      <c r="A966" s="108"/>
      <c r="B966" s="108"/>
      <c r="C966" s="108"/>
      <c r="D966" s="108"/>
      <c r="E966" s="108"/>
      <c r="F966" s="108"/>
      <c r="G966" s="108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2.0" customHeight="1">
      <c r="A967" s="108"/>
      <c r="B967" s="108"/>
      <c r="C967" s="108"/>
      <c r="D967" s="108"/>
      <c r="E967" s="108"/>
      <c r="F967" s="108"/>
      <c r="G967" s="108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2.0" customHeight="1">
      <c r="A968" s="108"/>
      <c r="B968" s="108"/>
      <c r="C968" s="108"/>
      <c r="D968" s="108"/>
      <c r="E968" s="108"/>
      <c r="F968" s="108"/>
      <c r="G968" s="108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2.0" customHeight="1">
      <c r="A969" s="108"/>
      <c r="B969" s="108"/>
      <c r="C969" s="108"/>
      <c r="D969" s="108"/>
      <c r="E969" s="108"/>
      <c r="F969" s="108"/>
      <c r="G969" s="108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2.0" customHeight="1">
      <c r="A970" s="108"/>
      <c r="B970" s="108"/>
      <c r="C970" s="108"/>
      <c r="D970" s="108"/>
      <c r="E970" s="108"/>
      <c r="F970" s="108"/>
      <c r="G970" s="108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2.0" customHeight="1">
      <c r="A971" s="108"/>
      <c r="B971" s="108"/>
      <c r="C971" s="108"/>
      <c r="D971" s="108"/>
      <c r="E971" s="108"/>
      <c r="F971" s="108"/>
      <c r="G971" s="108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2.0" customHeight="1">
      <c r="A972" s="108"/>
      <c r="B972" s="108"/>
      <c r="C972" s="108"/>
      <c r="D972" s="108"/>
      <c r="E972" s="108"/>
      <c r="F972" s="108"/>
      <c r="G972" s="108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2.0" customHeight="1">
      <c r="A973" s="108"/>
      <c r="B973" s="108"/>
      <c r="C973" s="108"/>
      <c r="D973" s="108"/>
      <c r="E973" s="108"/>
      <c r="F973" s="108"/>
      <c r="G973" s="108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2.0" customHeight="1">
      <c r="A974" s="108"/>
      <c r="B974" s="108"/>
      <c r="C974" s="108"/>
      <c r="D974" s="108"/>
      <c r="E974" s="108"/>
      <c r="F974" s="108"/>
      <c r="G974" s="108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2.0" customHeight="1">
      <c r="A975" s="108"/>
      <c r="B975" s="108"/>
      <c r="C975" s="108"/>
      <c r="D975" s="108"/>
      <c r="E975" s="108"/>
      <c r="F975" s="108"/>
      <c r="G975" s="108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2.0" customHeight="1">
      <c r="A976" s="108"/>
      <c r="B976" s="108"/>
      <c r="C976" s="108"/>
      <c r="D976" s="108"/>
      <c r="E976" s="108"/>
      <c r="F976" s="108"/>
      <c r="G976" s="108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2.0" customHeight="1">
      <c r="A977" s="108"/>
      <c r="B977" s="108"/>
      <c r="C977" s="108"/>
      <c r="D977" s="108"/>
      <c r="E977" s="108"/>
      <c r="F977" s="108"/>
      <c r="G977" s="108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2.0" customHeight="1">
      <c r="A978" s="108"/>
      <c r="B978" s="108"/>
      <c r="C978" s="108"/>
      <c r="D978" s="108"/>
      <c r="E978" s="108"/>
      <c r="F978" s="108"/>
      <c r="G978" s="108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2.0" customHeight="1">
      <c r="A979" s="108"/>
      <c r="B979" s="108"/>
      <c r="C979" s="108"/>
      <c r="D979" s="108"/>
      <c r="E979" s="108"/>
      <c r="F979" s="108"/>
      <c r="G979" s="108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2.0" customHeight="1">
      <c r="A980" s="108"/>
      <c r="B980" s="108"/>
      <c r="C980" s="108"/>
      <c r="D980" s="108"/>
      <c r="E980" s="108"/>
      <c r="F980" s="108"/>
      <c r="G980" s="108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2.0" customHeight="1">
      <c r="A981" s="108"/>
      <c r="B981" s="108"/>
      <c r="C981" s="108"/>
      <c r="D981" s="108"/>
      <c r="E981" s="108"/>
      <c r="F981" s="108"/>
      <c r="G981" s="108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2.0" customHeight="1">
      <c r="A982" s="108"/>
      <c r="B982" s="108"/>
      <c r="C982" s="108"/>
      <c r="D982" s="108"/>
      <c r="E982" s="108"/>
      <c r="F982" s="108"/>
      <c r="G982" s="108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2.0" customHeight="1">
      <c r="A983" s="108"/>
      <c r="B983" s="108"/>
      <c r="C983" s="108"/>
      <c r="D983" s="108"/>
      <c r="E983" s="108"/>
      <c r="F983" s="108"/>
      <c r="G983" s="108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2.0" customHeight="1">
      <c r="A984" s="108"/>
      <c r="B984" s="108"/>
      <c r="C984" s="108"/>
      <c r="D984" s="108"/>
      <c r="E984" s="108"/>
      <c r="F984" s="108"/>
      <c r="G984" s="108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2.0" customHeight="1">
      <c r="A985" s="108"/>
      <c r="B985" s="108"/>
      <c r="C985" s="108"/>
      <c r="D985" s="108"/>
      <c r="E985" s="108"/>
      <c r="F985" s="108"/>
      <c r="G985" s="108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2.0" customHeight="1">
      <c r="A986" s="108"/>
      <c r="B986" s="108"/>
      <c r="C986" s="108"/>
      <c r="D986" s="108"/>
      <c r="E986" s="108"/>
      <c r="F986" s="108"/>
      <c r="G986" s="108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2.0" customHeight="1">
      <c r="A987" s="108"/>
      <c r="B987" s="108"/>
      <c r="C987" s="108"/>
      <c r="D987" s="108"/>
      <c r="E987" s="108"/>
      <c r="F987" s="108"/>
      <c r="G987" s="108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2.0" customHeight="1">
      <c r="A988" s="108"/>
      <c r="B988" s="108"/>
      <c r="C988" s="108"/>
      <c r="D988" s="108"/>
      <c r="E988" s="108"/>
      <c r="F988" s="108"/>
      <c r="G988" s="108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2.0" customHeight="1">
      <c r="A989" s="108"/>
      <c r="B989" s="108"/>
      <c r="C989" s="108"/>
      <c r="D989" s="108"/>
      <c r="E989" s="108"/>
      <c r="F989" s="108"/>
      <c r="G989" s="108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2.0" customHeight="1">
      <c r="A990" s="108"/>
      <c r="B990" s="108"/>
      <c r="C990" s="108"/>
      <c r="D990" s="108"/>
      <c r="E990" s="108"/>
      <c r="F990" s="108"/>
      <c r="G990" s="108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2.0" customHeight="1">
      <c r="A991" s="108"/>
      <c r="B991" s="108"/>
      <c r="C991" s="108"/>
      <c r="D991" s="108"/>
      <c r="E991" s="108"/>
      <c r="F991" s="108"/>
      <c r="G991" s="108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2.0" customHeight="1">
      <c r="A992" s="108"/>
      <c r="B992" s="108"/>
      <c r="C992" s="108"/>
      <c r="D992" s="108"/>
      <c r="E992" s="108"/>
      <c r="F992" s="108"/>
      <c r="G992" s="108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2.0" customHeight="1">
      <c r="A993" s="108"/>
      <c r="B993" s="108"/>
      <c r="C993" s="108"/>
      <c r="D993" s="108"/>
      <c r="E993" s="108"/>
      <c r="F993" s="108"/>
      <c r="G993" s="108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2.0" customHeight="1">
      <c r="A994" s="108"/>
      <c r="B994" s="108"/>
      <c r="C994" s="108"/>
      <c r="D994" s="108"/>
      <c r="E994" s="108"/>
      <c r="F994" s="108"/>
      <c r="G994" s="108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2.0" customHeight="1">
      <c r="A995" s="108"/>
      <c r="B995" s="108"/>
      <c r="C995" s="108"/>
      <c r="D995" s="108"/>
      <c r="E995" s="108"/>
      <c r="F995" s="108"/>
      <c r="G995" s="108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2.0" customHeight="1">
      <c r="A996" s="108"/>
      <c r="B996" s="108"/>
      <c r="C996" s="108"/>
      <c r="D996" s="108"/>
      <c r="E996" s="108"/>
      <c r="F996" s="108"/>
      <c r="G996" s="108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2.0" customHeight="1">
      <c r="A997" s="108"/>
      <c r="B997" s="108"/>
      <c r="C997" s="108"/>
      <c r="D997" s="108"/>
      <c r="E997" s="108"/>
      <c r="F997" s="108"/>
      <c r="G997" s="108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2.0" customHeight="1">
      <c r="A998" s="108"/>
      <c r="B998" s="108"/>
      <c r="C998" s="108"/>
      <c r="D998" s="108"/>
      <c r="E998" s="108"/>
      <c r="F998" s="108"/>
      <c r="G998" s="108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2.0" customHeight="1">
      <c r="A999" s="108"/>
      <c r="B999" s="108"/>
      <c r="C999" s="108"/>
      <c r="D999" s="108"/>
      <c r="E999" s="108"/>
      <c r="F999" s="108"/>
      <c r="G999" s="108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2.0" customHeight="1">
      <c r="A1000" s="108"/>
      <c r="B1000" s="108"/>
      <c r="C1000" s="108"/>
      <c r="D1000" s="108"/>
      <c r="E1000" s="108"/>
      <c r="F1000" s="108"/>
      <c r="G1000" s="108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3">
    <mergeCell ref="A1:J1"/>
    <mergeCell ref="A3:G3"/>
    <mergeCell ref="A26:G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3.86"/>
    <col customWidth="1" min="3" max="3" width="29.86"/>
    <col customWidth="1" min="4" max="4" width="18.0"/>
    <col customWidth="1" min="5" max="5" width="5.43"/>
    <col customWidth="1" min="6" max="6" width="10.43"/>
    <col customWidth="1" min="7" max="7" width="21.57"/>
    <col customWidth="1" min="8" max="8" width="35.71"/>
  </cols>
  <sheetData>
    <row r="1" ht="27.75" customHeight="1">
      <c r="A1" s="127" t="s">
        <v>397</v>
      </c>
    </row>
    <row r="2" ht="10.5" customHeight="1">
      <c r="A2" s="79" t="s">
        <v>106</v>
      </c>
      <c r="B2" s="79" t="s">
        <v>95</v>
      </c>
      <c r="C2" s="79" t="s">
        <v>96</v>
      </c>
      <c r="D2" s="79" t="s">
        <v>97</v>
      </c>
      <c r="E2" s="80" t="s">
        <v>98</v>
      </c>
      <c r="F2" s="80" t="s">
        <v>99</v>
      </c>
      <c r="G2" s="81" t="s">
        <v>107</v>
      </c>
      <c r="H2" s="79" t="s">
        <v>109</v>
      </c>
    </row>
    <row r="3" ht="12.75" customHeight="1">
      <c r="A3" s="128" t="s">
        <v>280</v>
      </c>
      <c r="B3" s="129"/>
      <c r="C3" s="129"/>
      <c r="D3" s="129"/>
      <c r="E3" s="129"/>
      <c r="F3" s="129"/>
      <c r="G3" s="130"/>
      <c r="H3" s="131"/>
    </row>
    <row r="4" ht="10.5" customHeight="1">
      <c r="A4" s="97" t="s">
        <v>398</v>
      </c>
      <c r="B4" s="97">
        <v>1.0</v>
      </c>
      <c r="C4" s="97" t="s">
        <v>399</v>
      </c>
      <c r="D4" s="97"/>
      <c r="E4" s="132">
        <v>4.7</v>
      </c>
      <c r="F4" s="97" t="str">
        <f>"1206"</f>
        <v>1206</v>
      </c>
      <c r="G4" s="97" t="s">
        <v>400</v>
      </c>
      <c r="H4" s="97"/>
    </row>
    <row r="5" ht="10.5" customHeight="1">
      <c r="A5" s="97" t="s">
        <v>401</v>
      </c>
      <c r="B5" s="97">
        <v>14.0</v>
      </c>
      <c r="C5" s="97" t="s">
        <v>284</v>
      </c>
      <c r="D5" s="97"/>
      <c r="E5" s="132">
        <v>100.0</v>
      </c>
      <c r="F5" s="97" t="str">
        <f t="shared" ref="F5:F21" si="1">"0603"</f>
        <v>0603</v>
      </c>
      <c r="G5" s="97" t="s">
        <v>402</v>
      </c>
      <c r="H5" s="133"/>
    </row>
    <row r="6" ht="10.5" customHeight="1">
      <c r="A6" s="97" t="s">
        <v>403</v>
      </c>
      <c r="B6" s="97">
        <v>1.0</v>
      </c>
      <c r="C6" s="97" t="s">
        <v>284</v>
      </c>
      <c r="D6" s="97"/>
      <c r="E6" s="132">
        <v>330.0</v>
      </c>
      <c r="F6" s="97" t="str">
        <f t="shared" si="1"/>
        <v>0603</v>
      </c>
      <c r="G6" s="97" t="s">
        <v>155</v>
      </c>
      <c r="H6" s="133"/>
    </row>
    <row r="7" ht="10.5" customHeight="1">
      <c r="A7" s="97" t="s">
        <v>404</v>
      </c>
      <c r="B7" s="97">
        <v>6.0</v>
      </c>
      <c r="C7" s="97" t="s">
        <v>284</v>
      </c>
      <c r="D7" s="97"/>
      <c r="E7" s="132" t="s">
        <v>144</v>
      </c>
      <c r="F7" s="97" t="str">
        <f t="shared" si="1"/>
        <v>0603</v>
      </c>
      <c r="G7" s="97" t="s">
        <v>145</v>
      </c>
      <c r="H7" s="133"/>
    </row>
    <row r="8" ht="10.5" customHeight="1">
      <c r="A8" s="97" t="s">
        <v>405</v>
      </c>
      <c r="B8" s="97">
        <v>3.0</v>
      </c>
      <c r="C8" s="97" t="s">
        <v>284</v>
      </c>
      <c r="D8" s="97"/>
      <c r="E8" s="132" t="s">
        <v>132</v>
      </c>
      <c r="F8" s="97" t="str">
        <f t="shared" si="1"/>
        <v>0603</v>
      </c>
      <c r="G8" s="97" t="s">
        <v>133</v>
      </c>
      <c r="H8" s="133"/>
    </row>
    <row r="9" ht="10.5" customHeight="1">
      <c r="A9" s="97" t="s">
        <v>406</v>
      </c>
      <c r="B9" s="97">
        <v>11.0</v>
      </c>
      <c r="C9" s="97" t="s">
        <v>284</v>
      </c>
      <c r="D9" s="97"/>
      <c r="E9" s="132" t="s">
        <v>407</v>
      </c>
      <c r="F9" s="97" t="str">
        <f t="shared" si="1"/>
        <v>0603</v>
      </c>
      <c r="G9" s="97" t="s">
        <v>408</v>
      </c>
      <c r="H9" s="133"/>
    </row>
    <row r="10" ht="10.5" customHeight="1">
      <c r="A10" s="97" t="s">
        <v>409</v>
      </c>
      <c r="B10" s="97">
        <v>2.0</v>
      </c>
      <c r="C10" s="97" t="s">
        <v>284</v>
      </c>
      <c r="D10" s="97"/>
      <c r="E10" s="132" t="s">
        <v>410</v>
      </c>
      <c r="F10" s="97" t="str">
        <f t="shared" si="1"/>
        <v>0603</v>
      </c>
      <c r="G10" s="97" t="s">
        <v>411</v>
      </c>
      <c r="H10" s="133"/>
    </row>
    <row r="11" ht="10.5" customHeight="1">
      <c r="A11" s="97" t="s">
        <v>412</v>
      </c>
      <c r="B11" s="97">
        <v>2.0</v>
      </c>
      <c r="C11" s="97" t="s">
        <v>284</v>
      </c>
      <c r="D11" s="97"/>
      <c r="E11" s="132" t="s">
        <v>413</v>
      </c>
      <c r="F11" s="97" t="str">
        <f t="shared" si="1"/>
        <v>0603</v>
      </c>
      <c r="G11" s="97" t="s">
        <v>165</v>
      </c>
      <c r="H11" s="133"/>
    </row>
    <row r="12" ht="10.5" customHeight="1">
      <c r="A12" s="97" t="s">
        <v>414</v>
      </c>
      <c r="B12" s="97">
        <v>6.0</v>
      </c>
      <c r="C12" s="97" t="s">
        <v>284</v>
      </c>
      <c r="D12" s="97"/>
      <c r="E12" s="132" t="s">
        <v>120</v>
      </c>
      <c r="F12" s="97" t="str">
        <f t="shared" si="1"/>
        <v>0603</v>
      </c>
      <c r="G12" s="97" t="s">
        <v>129</v>
      </c>
      <c r="H12" s="133"/>
    </row>
    <row r="13" ht="10.5" customHeight="1">
      <c r="A13" s="97" t="s">
        <v>415</v>
      </c>
      <c r="B13" s="97">
        <v>1.0</v>
      </c>
      <c r="C13" s="97" t="s">
        <v>284</v>
      </c>
      <c r="D13" s="97"/>
      <c r="E13" s="132" t="s">
        <v>416</v>
      </c>
      <c r="F13" s="97" t="str">
        <f t="shared" si="1"/>
        <v>0603</v>
      </c>
      <c r="G13" s="97" t="s">
        <v>417</v>
      </c>
      <c r="H13" s="133"/>
    </row>
    <row r="14" ht="10.5" customHeight="1">
      <c r="A14" s="97" t="s">
        <v>418</v>
      </c>
      <c r="B14" s="97">
        <v>3.0</v>
      </c>
      <c r="C14" s="97" t="s">
        <v>284</v>
      </c>
      <c r="D14" s="97"/>
      <c r="E14" s="132" t="s">
        <v>419</v>
      </c>
      <c r="F14" s="97" t="str">
        <f t="shared" si="1"/>
        <v>0603</v>
      </c>
      <c r="G14" s="97" t="s">
        <v>151</v>
      </c>
      <c r="H14" s="133"/>
    </row>
    <row r="15" ht="10.5" customHeight="1">
      <c r="A15" s="97" t="s">
        <v>420</v>
      </c>
      <c r="B15" s="97">
        <v>2.0</v>
      </c>
      <c r="C15" s="97" t="s">
        <v>331</v>
      </c>
      <c r="D15" s="97"/>
      <c r="E15" s="132" t="s">
        <v>421</v>
      </c>
      <c r="F15" s="97" t="str">
        <f t="shared" si="1"/>
        <v>0603</v>
      </c>
      <c r="G15" s="97" t="s">
        <v>139</v>
      </c>
      <c r="H15" s="133"/>
    </row>
    <row r="16" ht="10.5" customHeight="1">
      <c r="A16" s="97" t="s">
        <v>422</v>
      </c>
      <c r="B16" s="97">
        <v>1.0</v>
      </c>
      <c r="C16" s="97" t="s">
        <v>331</v>
      </c>
      <c r="D16" s="97" t="s">
        <v>423</v>
      </c>
      <c r="E16" s="132" t="s">
        <v>322</v>
      </c>
      <c r="F16" s="97" t="str">
        <f t="shared" si="1"/>
        <v>0603</v>
      </c>
      <c r="G16" s="97" t="s">
        <v>424</v>
      </c>
      <c r="H16" s="133"/>
    </row>
    <row r="17" ht="10.5" customHeight="1">
      <c r="A17" s="97" t="s">
        <v>425</v>
      </c>
      <c r="B17" s="97">
        <v>2.0</v>
      </c>
      <c r="C17" s="97" t="s">
        <v>331</v>
      </c>
      <c r="D17" s="97" t="s">
        <v>423</v>
      </c>
      <c r="E17" s="132" t="s">
        <v>426</v>
      </c>
      <c r="F17" s="97" t="str">
        <f t="shared" si="1"/>
        <v>0603</v>
      </c>
      <c r="G17" s="97" t="s">
        <v>427</v>
      </c>
      <c r="H17" s="133"/>
    </row>
    <row r="18" ht="10.5" customHeight="1">
      <c r="A18" s="97" t="s">
        <v>428</v>
      </c>
      <c r="B18" s="97">
        <v>4.0</v>
      </c>
      <c r="C18" s="97" t="s">
        <v>331</v>
      </c>
      <c r="D18" s="97" t="s">
        <v>423</v>
      </c>
      <c r="E18" s="132" t="s">
        <v>429</v>
      </c>
      <c r="F18" s="97" t="str">
        <f t="shared" si="1"/>
        <v>0603</v>
      </c>
      <c r="G18" s="97" t="s">
        <v>430</v>
      </c>
      <c r="H18" s="133"/>
    </row>
    <row r="19" ht="10.5" customHeight="1">
      <c r="A19" s="97" t="s">
        <v>431</v>
      </c>
      <c r="B19" s="97">
        <v>14.0</v>
      </c>
      <c r="C19" s="97" t="s">
        <v>331</v>
      </c>
      <c r="D19" s="97" t="s">
        <v>432</v>
      </c>
      <c r="E19" s="132" t="s">
        <v>333</v>
      </c>
      <c r="F19" s="97" t="str">
        <f t="shared" si="1"/>
        <v>0603</v>
      </c>
      <c r="G19" s="97" t="s">
        <v>433</v>
      </c>
      <c r="H19" s="133"/>
    </row>
    <row r="20" ht="10.5" customHeight="1">
      <c r="A20" s="97" t="s">
        <v>434</v>
      </c>
      <c r="B20" s="97">
        <v>1.0</v>
      </c>
      <c r="C20" s="97" t="s">
        <v>331</v>
      </c>
      <c r="D20" s="97" t="s">
        <v>435</v>
      </c>
      <c r="E20" s="132" t="s">
        <v>436</v>
      </c>
      <c r="F20" s="97" t="str">
        <f t="shared" si="1"/>
        <v>0603</v>
      </c>
      <c r="G20" s="97" t="s">
        <v>437</v>
      </c>
      <c r="H20" s="133"/>
    </row>
    <row r="21" ht="10.5" customHeight="1">
      <c r="A21" s="97" t="s">
        <v>438</v>
      </c>
      <c r="B21" s="97">
        <v>2.0</v>
      </c>
      <c r="C21" s="97" t="s">
        <v>331</v>
      </c>
      <c r="D21" s="97" t="s">
        <v>439</v>
      </c>
      <c r="E21" s="132" t="s">
        <v>440</v>
      </c>
      <c r="F21" s="97" t="str">
        <f t="shared" si="1"/>
        <v>0603</v>
      </c>
      <c r="G21" s="97" t="s">
        <v>441</v>
      </c>
      <c r="H21" s="133"/>
    </row>
    <row r="22" ht="10.5" customHeight="1">
      <c r="A22" s="97" t="s">
        <v>442</v>
      </c>
      <c r="B22" s="97">
        <v>1.0</v>
      </c>
      <c r="C22" s="97" t="s">
        <v>443</v>
      </c>
      <c r="D22" s="97" t="s">
        <v>435</v>
      </c>
      <c r="E22" s="132" t="s">
        <v>444</v>
      </c>
      <c r="F22" s="97" t="s">
        <v>445</v>
      </c>
      <c r="G22" s="97" t="s">
        <v>446</v>
      </c>
      <c r="H22" s="97" t="s">
        <v>447</v>
      </c>
    </row>
    <row r="23" ht="10.5" customHeight="1">
      <c r="A23" s="97" t="s">
        <v>448</v>
      </c>
      <c r="B23" s="97">
        <v>2.0</v>
      </c>
      <c r="C23" s="97" t="s">
        <v>336</v>
      </c>
      <c r="D23" s="97" t="s">
        <v>432</v>
      </c>
      <c r="E23" s="132" t="s">
        <v>337</v>
      </c>
      <c r="F23" s="97" t="s">
        <v>338</v>
      </c>
      <c r="G23" s="97" t="s">
        <v>339</v>
      </c>
      <c r="H23" s="97" t="s">
        <v>449</v>
      </c>
    </row>
    <row r="24" ht="10.5" customHeight="1">
      <c r="A24" s="97" t="s">
        <v>450</v>
      </c>
      <c r="B24" s="97">
        <v>2.0</v>
      </c>
      <c r="C24" s="97" t="s">
        <v>336</v>
      </c>
      <c r="D24" s="97" t="s">
        <v>332</v>
      </c>
      <c r="E24" s="132" t="s">
        <v>451</v>
      </c>
      <c r="F24" s="97" t="s">
        <v>452</v>
      </c>
      <c r="G24" s="97" t="s">
        <v>160</v>
      </c>
      <c r="H24" s="97" t="s">
        <v>453</v>
      </c>
    </row>
    <row r="25" ht="10.5" customHeight="1">
      <c r="A25" s="97" t="s">
        <v>341</v>
      </c>
      <c r="B25" s="97">
        <v>2.0</v>
      </c>
      <c r="C25" s="97" t="s">
        <v>342</v>
      </c>
      <c r="D25" s="97"/>
      <c r="E25" s="132"/>
      <c r="F25" s="97" t="s">
        <v>343</v>
      </c>
      <c r="G25" s="97" t="s">
        <v>344</v>
      </c>
      <c r="H25" s="97" t="s">
        <v>345</v>
      </c>
    </row>
    <row r="26" ht="10.5" customHeight="1">
      <c r="A26" s="97" t="s">
        <v>454</v>
      </c>
      <c r="B26" s="97">
        <v>2.0</v>
      </c>
      <c r="C26" s="97" t="s">
        <v>455</v>
      </c>
      <c r="D26" s="97"/>
      <c r="E26" s="132"/>
      <c r="F26" s="97" t="s">
        <v>354</v>
      </c>
      <c r="G26" s="97" t="s">
        <v>456</v>
      </c>
      <c r="H26" s="134" t="s">
        <v>457</v>
      </c>
    </row>
    <row r="27" ht="10.5" customHeight="1">
      <c r="A27" s="97" t="s">
        <v>458</v>
      </c>
      <c r="B27" s="97">
        <v>1.0</v>
      </c>
      <c r="C27" s="97" t="s">
        <v>362</v>
      </c>
      <c r="D27" s="97" t="s">
        <v>459</v>
      </c>
      <c r="E27" s="132" t="s">
        <v>460</v>
      </c>
      <c r="F27" s="97" t="s">
        <v>190</v>
      </c>
      <c r="G27" s="97" t="s">
        <v>461</v>
      </c>
      <c r="H27" s="97" t="s">
        <v>462</v>
      </c>
    </row>
    <row r="28" ht="10.5" customHeight="1">
      <c r="A28" s="97" t="s">
        <v>463</v>
      </c>
      <c r="B28" s="97">
        <v>1.0</v>
      </c>
      <c r="C28" s="97" t="s">
        <v>464</v>
      </c>
      <c r="D28" s="97"/>
      <c r="E28" s="132"/>
      <c r="F28" s="97" t="s">
        <v>465</v>
      </c>
      <c r="G28" s="97" t="s">
        <v>466</v>
      </c>
      <c r="H28" s="97" t="s">
        <v>467</v>
      </c>
    </row>
    <row r="29" ht="10.5" customHeight="1">
      <c r="A29" s="97" t="s">
        <v>468</v>
      </c>
      <c r="B29" s="97">
        <v>1.0</v>
      </c>
      <c r="C29" s="97" t="s">
        <v>469</v>
      </c>
      <c r="D29" s="97"/>
      <c r="E29" s="132"/>
      <c r="F29" s="97" t="s">
        <v>470</v>
      </c>
      <c r="G29" s="97" t="s">
        <v>471</v>
      </c>
      <c r="H29" s="97" t="s">
        <v>472</v>
      </c>
    </row>
    <row r="30" ht="10.5" customHeight="1">
      <c r="A30" s="97" t="s">
        <v>473</v>
      </c>
      <c r="B30" s="97">
        <v>1.0</v>
      </c>
      <c r="C30" s="97" t="s">
        <v>474</v>
      </c>
      <c r="D30" s="97"/>
      <c r="E30" s="132" t="s">
        <v>475</v>
      </c>
      <c r="F30" s="97" t="s">
        <v>476</v>
      </c>
      <c r="G30" s="97" t="s">
        <v>477</v>
      </c>
      <c r="H30" s="97" t="s">
        <v>478</v>
      </c>
    </row>
    <row r="31" ht="10.5" customHeight="1">
      <c r="A31" s="97" t="s">
        <v>479</v>
      </c>
      <c r="B31" s="97">
        <v>1.0</v>
      </c>
      <c r="C31" s="134" t="s">
        <v>480</v>
      </c>
      <c r="D31" s="97"/>
      <c r="E31" s="132"/>
      <c r="F31" s="97" t="s">
        <v>465</v>
      </c>
      <c r="G31" s="97" t="s">
        <v>481</v>
      </c>
      <c r="H31" s="97" t="s">
        <v>482</v>
      </c>
    </row>
    <row r="32" ht="10.5" customHeight="1">
      <c r="A32" s="97" t="s">
        <v>483</v>
      </c>
      <c r="B32" s="97">
        <v>1.0</v>
      </c>
      <c r="C32" s="97" t="s">
        <v>362</v>
      </c>
      <c r="D32" s="97" t="s">
        <v>459</v>
      </c>
      <c r="E32" s="132" t="s">
        <v>364</v>
      </c>
      <c r="F32" s="97" t="s">
        <v>190</v>
      </c>
      <c r="G32" s="97" t="s">
        <v>484</v>
      </c>
      <c r="H32" s="97" t="s">
        <v>485</v>
      </c>
    </row>
    <row r="33" ht="10.5" customHeight="1">
      <c r="A33" s="97" t="s">
        <v>486</v>
      </c>
      <c r="B33" s="97">
        <v>1.0</v>
      </c>
      <c r="C33" s="97" t="s">
        <v>487</v>
      </c>
      <c r="D33" s="97"/>
      <c r="E33" s="132"/>
      <c r="F33" s="97" t="s">
        <v>465</v>
      </c>
      <c r="G33" s="97" t="s">
        <v>488</v>
      </c>
      <c r="H33" s="97" t="s">
        <v>489</v>
      </c>
    </row>
    <row r="34" ht="10.5" customHeight="1">
      <c r="A34" s="97" t="s">
        <v>490</v>
      </c>
      <c r="B34" s="97">
        <v>1.0</v>
      </c>
      <c r="C34" s="97" t="s">
        <v>491</v>
      </c>
      <c r="D34" s="97"/>
      <c r="E34" s="132"/>
      <c r="F34" s="97" t="s">
        <v>492</v>
      </c>
      <c r="G34" s="97" t="s">
        <v>493</v>
      </c>
      <c r="H34" s="97" t="s">
        <v>494</v>
      </c>
    </row>
    <row r="35" ht="10.5" customHeight="1">
      <c r="A35" s="97" t="s">
        <v>495</v>
      </c>
      <c r="B35" s="97">
        <v>1.0</v>
      </c>
      <c r="C35" s="97" t="s">
        <v>496</v>
      </c>
      <c r="D35" s="97"/>
      <c r="E35" s="132"/>
      <c r="F35" s="97" t="s">
        <v>497</v>
      </c>
      <c r="G35" s="97" t="s">
        <v>180</v>
      </c>
      <c r="H35" s="97" t="s">
        <v>498</v>
      </c>
    </row>
    <row r="36" ht="10.5" customHeight="1">
      <c r="A36" s="97" t="s">
        <v>499</v>
      </c>
      <c r="B36" s="97">
        <v>2.0</v>
      </c>
      <c r="C36" s="97" t="s">
        <v>500</v>
      </c>
      <c r="D36" s="97"/>
      <c r="E36" s="97"/>
      <c r="F36" s="97" t="s">
        <v>501</v>
      </c>
      <c r="G36" s="97" t="s">
        <v>502</v>
      </c>
      <c r="H36" s="97" t="s">
        <v>503</v>
      </c>
    </row>
    <row r="37" ht="10.5" customHeight="1">
      <c r="A37" s="97" t="s">
        <v>504</v>
      </c>
      <c r="B37" s="97">
        <v>5.0</v>
      </c>
      <c r="C37" s="97" t="s">
        <v>505</v>
      </c>
      <c r="D37" s="97"/>
      <c r="E37" s="97"/>
      <c r="F37" s="97" t="s">
        <v>190</v>
      </c>
      <c r="G37" s="97" t="s">
        <v>506</v>
      </c>
      <c r="H37" s="97" t="s">
        <v>507</v>
      </c>
    </row>
    <row r="38" ht="10.5" customHeight="1">
      <c r="A38" s="97" t="s">
        <v>508</v>
      </c>
      <c r="B38" s="97">
        <v>1.0</v>
      </c>
      <c r="C38" s="97" t="s">
        <v>509</v>
      </c>
      <c r="D38" s="97"/>
      <c r="E38" s="97"/>
      <c r="F38" s="97" t="s">
        <v>510</v>
      </c>
      <c r="G38" s="97" t="s">
        <v>511</v>
      </c>
      <c r="H38" s="97" t="s">
        <v>512</v>
      </c>
    </row>
    <row r="39" ht="12.75" customHeight="1">
      <c r="A39" s="117" t="s">
        <v>371</v>
      </c>
      <c r="B39" s="118"/>
      <c r="C39" s="118"/>
      <c r="D39" s="118"/>
      <c r="E39" s="118"/>
      <c r="F39" s="118"/>
      <c r="G39" s="119"/>
      <c r="H39" s="120"/>
    </row>
    <row r="40" ht="10.5" customHeight="1">
      <c r="A40" s="97" t="s">
        <v>513</v>
      </c>
      <c r="B40" s="97">
        <v>2.0</v>
      </c>
      <c r="C40" s="97" t="s">
        <v>514</v>
      </c>
      <c r="D40" s="97" t="s">
        <v>515</v>
      </c>
      <c r="E40" s="97"/>
      <c r="F40" s="97"/>
      <c r="G40" s="97" t="s">
        <v>516</v>
      </c>
      <c r="H40" s="97" t="s">
        <v>517</v>
      </c>
    </row>
    <row r="41" ht="10.5" customHeight="1">
      <c r="A41" s="97" t="s">
        <v>518</v>
      </c>
      <c r="B41" s="97">
        <v>6.0</v>
      </c>
      <c r="C41" s="97" t="s">
        <v>373</v>
      </c>
      <c r="D41" s="97"/>
      <c r="E41" s="97"/>
      <c r="F41" s="97"/>
      <c r="G41" s="97"/>
      <c r="H41" s="97" t="s">
        <v>374</v>
      </c>
    </row>
    <row r="42" ht="10.5" customHeight="1">
      <c r="A42" s="97" t="s">
        <v>519</v>
      </c>
      <c r="B42" s="97">
        <v>6.0</v>
      </c>
      <c r="C42" s="97" t="s">
        <v>389</v>
      </c>
      <c r="D42" s="97"/>
      <c r="E42" s="97"/>
      <c r="F42" s="97"/>
      <c r="G42" s="97"/>
      <c r="H42" s="97" t="s">
        <v>390</v>
      </c>
    </row>
    <row r="43" ht="18.0" customHeight="1">
      <c r="A43" s="97" t="s">
        <v>520</v>
      </c>
      <c r="B43" s="97">
        <v>1.0</v>
      </c>
      <c r="C43" s="97" t="s">
        <v>521</v>
      </c>
      <c r="D43" s="97"/>
      <c r="E43" s="97"/>
      <c r="F43" s="97"/>
      <c r="G43" s="135" t="str">
        <f>HYPERLINK("http://www.mouser.co.uk/search/ProductDetail.aspx?R=0virtualkey0virtualkeyPEC11R-4225F-S0024","652-PEC11R-4225F-S24")</f>
        <v>652-PEC11R-4225F-S24</v>
      </c>
      <c r="H43" s="134" t="s">
        <v>522</v>
      </c>
    </row>
    <row r="44" ht="10.5" customHeight="1">
      <c r="A44" s="122" t="s">
        <v>391</v>
      </c>
      <c r="B44" s="122"/>
      <c r="C44" s="122"/>
      <c r="D44" s="122"/>
      <c r="E44" s="124"/>
      <c r="F44" s="124"/>
      <c r="G44" s="123"/>
      <c r="H44" s="120"/>
    </row>
    <row r="45" ht="10.5" customHeight="1">
      <c r="A45" s="108" t="s">
        <v>523</v>
      </c>
      <c r="B45" s="108">
        <v>1.0</v>
      </c>
      <c r="C45" s="108" t="s">
        <v>524</v>
      </c>
      <c r="D45" s="108"/>
      <c r="E45" s="136"/>
      <c r="F45" s="136"/>
      <c r="G45" s="137" t="s">
        <v>394</v>
      </c>
      <c r="H45" s="108"/>
    </row>
    <row r="46" ht="10.5" customHeight="1">
      <c r="A46" s="108" t="s">
        <v>525</v>
      </c>
      <c r="B46" s="108">
        <v>1.0</v>
      </c>
      <c r="C46" s="108" t="s">
        <v>526</v>
      </c>
      <c r="D46" s="108"/>
      <c r="E46" s="136"/>
      <c r="F46" s="136"/>
      <c r="G46" s="138" t="s">
        <v>527</v>
      </c>
      <c r="H46" s="108"/>
    </row>
    <row r="47" ht="10.5" customHeight="1">
      <c r="A47" s="108" t="s">
        <v>528</v>
      </c>
      <c r="B47" s="108">
        <v>1.0</v>
      </c>
      <c r="C47" s="108" t="s">
        <v>529</v>
      </c>
      <c r="D47" s="108"/>
      <c r="E47" s="136"/>
      <c r="F47" s="136"/>
      <c r="G47" s="138" t="s">
        <v>530</v>
      </c>
      <c r="H47" s="108"/>
    </row>
    <row r="48" ht="10.5" customHeight="1">
      <c r="A48" s="122" t="s">
        <v>531</v>
      </c>
      <c r="B48" s="139"/>
      <c r="C48" s="139"/>
      <c r="D48" s="139"/>
      <c r="E48" s="140"/>
      <c r="F48" s="140"/>
      <c r="G48" s="141"/>
      <c r="H48" s="139"/>
    </row>
    <row r="49" ht="10.5" customHeight="1">
      <c r="A49" s="125" t="s">
        <v>395</v>
      </c>
      <c r="B49" s="125"/>
      <c r="C49" s="125" t="s">
        <v>532</v>
      </c>
      <c r="D49" s="125"/>
      <c r="E49" s="142"/>
      <c r="F49" s="142"/>
      <c r="G49" s="143"/>
      <c r="H49" s="125"/>
    </row>
  </sheetData>
  <mergeCells count="3">
    <mergeCell ref="A1:H1"/>
    <mergeCell ref="A3:G3"/>
    <mergeCell ref="A39:G39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3.86"/>
    <col customWidth="1" min="3" max="3" width="24.43"/>
    <col customWidth="1" min="4" max="4" width="15.71"/>
    <col customWidth="1" min="5" max="5" width="5.43"/>
    <col customWidth="1" min="6" max="6" width="13.29"/>
    <col customWidth="1" min="7" max="7" width="21.57"/>
    <col customWidth="1" min="8" max="8" width="38.0"/>
  </cols>
  <sheetData>
    <row r="1" ht="27.75" customHeight="1">
      <c r="A1" s="144" t="s">
        <v>533</v>
      </c>
    </row>
    <row r="2" ht="12.75" customHeight="1">
      <c r="A2" s="145" t="s">
        <v>106</v>
      </c>
      <c r="B2" s="146" t="s">
        <v>95</v>
      </c>
      <c r="C2" s="145" t="s">
        <v>96</v>
      </c>
      <c r="D2" s="145" t="s">
        <v>97</v>
      </c>
      <c r="E2" s="147" t="s">
        <v>98</v>
      </c>
      <c r="F2" s="147" t="s">
        <v>99</v>
      </c>
      <c r="G2" s="148" t="s">
        <v>107</v>
      </c>
      <c r="H2" s="145" t="s">
        <v>109</v>
      </c>
    </row>
    <row r="3" ht="11.25" customHeight="1">
      <c r="A3" s="149" t="s">
        <v>280</v>
      </c>
      <c r="B3" s="150"/>
      <c r="C3" s="150"/>
      <c r="D3" s="150"/>
      <c r="E3" s="150"/>
      <c r="F3" s="150"/>
      <c r="G3" s="151"/>
      <c r="H3" s="152"/>
    </row>
    <row r="4" ht="12.0" customHeight="1">
      <c r="A4" s="153" t="s">
        <v>534</v>
      </c>
      <c r="B4" s="154">
        <v>2.0</v>
      </c>
      <c r="C4" s="153" t="s">
        <v>284</v>
      </c>
      <c r="D4" s="153"/>
      <c r="E4" s="155">
        <v>220.0</v>
      </c>
      <c r="F4" s="153" t="str">
        <f t="shared" ref="F4:F9" si="1">"0603"</f>
        <v>0603</v>
      </c>
      <c r="G4" s="156" t="s">
        <v>535</v>
      </c>
      <c r="H4" s="157"/>
    </row>
    <row r="5" ht="12.0" customHeight="1">
      <c r="A5" s="153" t="s">
        <v>536</v>
      </c>
      <c r="B5" s="154">
        <v>4.0</v>
      </c>
      <c r="C5" s="153" t="s">
        <v>284</v>
      </c>
      <c r="D5" s="153"/>
      <c r="E5" s="153" t="s">
        <v>144</v>
      </c>
      <c r="F5" s="153" t="str">
        <f t="shared" si="1"/>
        <v>0603</v>
      </c>
      <c r="G5" s="156" t="s">
        <v>537</v>
      </c>
      <c r="H5" s="158"/>
    </row>
    <row r="6" ht="12.0" customHeight="1">
      <c r="A6" s="153" t="s">
        <v>538</v>
      </c>
      <c r="B6" s="154">
        <v>3.0</v>
      </c>
      <c r="C6" s="153" t="s">
        <v>284</v>
      </c>
      <c r="D6" s="153"/>
      <c r="E6" s="153" t="s">
        <v>132</v>
      </c>
      <c r="F6" s="153" t="str">
        <f t="shared" si="1"/>
        <v>0603</v>
      </c>
      <c r="G6" s="156" t="s">
        <v>539</v>
      </c>
      <c r="H6" s="158"/>
    </row>
    <row r="7" ht="12.0" customHeight="1">
      <c r="A7" s="153" t="s">
        <v>540</v>
      </c>
      <c r="B7" s="154">
        <v>8.0</v>
      </c>
      <c r="C7" s="153" t="s">
        <v>284</v>
      </c>
      <c r="D7" s="153"/>
      <c r="E7" s="159" t="s">
        <v>120</v>
      </c>
      <c r="F7" s="153" t="str">
        <f t="shared" si="1"/>
        <v>0603</v>
      </c>
      <c r="G7" s="156" t="s">
        <v>312</v>
      </c>
      <c r="H7" s="158"/>
    </row>
    <row r="8" ht="12.0" customHeight="1">
      <c r="A8" s="153" t="s">
        <v>541</v>
      </c>
      <c r="B8" s="154">
        <v>2.0</v>
      </c>
      <c r="C8" s="153" t="s">
        <v>331</v>
      </c>
      <c r="D8" s="153"/>
      <c r="E8" s="159" t="s">
        <v>429</v>
      </c>
      <c r="F8" s="153" t="str">
        <f t="shared" si="1"/>
        <v>0603</v>
      </c>
      <c r="G8" s="157" t="s">
        <v>430</v>
      </c>
      <c r="H8" s="158"/>
    </row>
    <row r="9" ht="12.0" customHeight="1">
      <c r="A9" s="153" t="s">
        <v>542</v>
      </c>
      <c r="B9" s="154">
        <v>5.0</v>
      </c>
      <c r="C9" s="153" t="s">
        <v>331</v>
      </c>
      <c r="D9" s="153" t="s">
        <v>432</v>
      </c>
      <c r="E9" s="153" t="s">
        <v>333</v>
      </c>
      <c r="F9" s="153" t="str">
        <f t="shared" si="1"/>
        <v>0603</v>
      </c>
      <c r="G9" s="153" t="s">
        <v>433</v>
      </c>
      <c r="H9" s="158"/>
    </row>
    <row r="10" ht="12.0" customHeight="1">
      <c r="A10" s="153" t="s">
        <v>543</v>
      </c>
      <c r="B10" s="154">
        <v>2.0</v>
      </c>
      <c r="C10" s="153" t="s">
        <v>336</v>
      </c>
      <c r="D10" s="153" t="s">
        <v>332</v>
      </c>
      <c r="E10" s="160" t="s">
        <v>337</v>
      </c>
      <c r="F10" s="159" t="s">
        <v>338</v>
      </c>
      <c r="G10" s="157" t="s">
        <v>339</v>
      </c>
      <c r="H10" s="161" t="s">
        <v>340</v>
      </c>
    </row>
    <row r="11" ht="12.0" customHeight="1">
      <c r="A11" s="161" t="s">
        <v>544</v>
      </c>
      <c r="B11" s="162">
        <v>1.0</v>
      </c>
      <c r="C11" s="161" t="s">
        <v>545</v>
      </c>
      <c r="D11" s="161" t="s">
        <v>546</v>
      </c>
      <c r="E11" s="161"/>
      <c r="F11" s="153" t="str">
        <f>"0603"</f>
        <v>0603</v>
      </c>
      <c r="G11" s="161" t="s">
        <v>547</v>
      </c>
      <c r="H11" s="161" t="s">
        <v>548</v>
      </c>
    </row>
    <row r="12" ht="12.0" customHeight="1">
      <c r="A12" s="153" t="s">
        <v>463</v>
      </c>
      <c r="B12" s="154">
        <v>1.0</v>
      </c>
      <c r="C12" s="153" t="s">
        <v>549</v>
      </c>
      <c r="D12" s="153"/>
      <c r="E12" s="153"/>
      <c r="F12" s="153" t="s">
        <v>550</v>
      </c>
      <c r="G12" s="153" t="s">
        <v>551</v>
      </c>
      <c r="H12" s="153" t="s">
        <v>552</v>
      </c>
    </row>
    <row r="13" ht="12.0" customHeight="1">
      <c r="A13" s="153" t="s">
        <v>553</v>
      </c>
      <c r="B13" s="154">
        <v>1.0</v>
      </c>
      <c r="C13" s="153" t="s">
        <v>362</v>
      </c>
      <c r="D13" s="153" t="s">
        <v>459</v>
      </c>
      <c r="E13" s="153" t="s">
        <v>554</v>
      </c>
      <c r="F13" s="153" t="s">
        <v>190</v>
      </c>
      <c r="G13" s="153" t="s">
        <v>555</v>
      </c>
      <c r="H13" s="153" t="s">
        <v>556</v>
      </c>
    </row>
    <row r="14" ht="12.0" customHeight="1">
      <c r="A14" s="153" t="s">
        <v>458</v>
      </c>
      <c r="B14" s="154">
        <v>1.0</v>
      </c>
      <c r="C14" s="153" t="s">
        <v>557</v>
      </c>
      <c r="D14" s="153"/>
      <c r="E14" s="153"/>
      <c r="F14" s="153" t="s">
        <v>492</v>
      </c>
      <c r="G14" s="153" t="s">
        <v>558</v>
      </c>
      <c r="H14" s="153" t="s">
        <v>559</v>
      </c>
    </row>
    <row r="15" ht="12.0" customHeight="1">
      <c r="A15" s="153" t="s">
        <v>560</v>
      </c>
      <c r="B15" s="154">
        <v>1.0</v>
      </c>
      <c r="C15" s="153" t="s">
        <v>561</v>
      </c>
      <c r="D15" s="153"/>
      <c r="E15" s="160" t="s">
        <v>554</v>
      </c>
      <c r="F15" s="159" t="s">
        <v>562</v>
      </c>
      <c r="G15" s="157" t="s">
        <v>563</v>
      </c>
      <c r="H15" s="161" t="s">
        <v>564</v>
      </c>
    </row>
    <row r="16" ht="12.0" customHeight="1">
      <c r="A16" s="153" t="s">
        <v>565</v>
      </c>
      <c r="B16" s="154">
        <v>1.0</v>
      </c>
      <c r="C16" s="161" t="s">
        <v>342</v>
      </c>
      <c r="D16" s="161"/>
      <c r="E16" s="161"/>
      <c r="F16" s="161" t="s">
        <v>343</v>
      </c>
      <c r="G16" s="161" t="s">
        <v>344</v>
      </c>
      <c r="H16" s="161" t="s">
        <v>345</v>
      </c>
    </row>
    <row r="17" ht="12.0" customHeight="1">
      <c r="A17" s="153" t="s">
        <v>566</v>
      </c>
      <c r="B17" s="154">
        <v>2.0</v>
      </c>
      <c r="C17" s="153" t="s">
        <v>505</v>
      </c>
      <c r="D17" s="153"/>
      <c r="E17" s="153"/>
      <c r="F17" s="153" t="s">
        <v>190</v>
      </c>
      <c r="G17" s="153" t="s">
        <v>506</v>
      </c>
      <c r="H17" s="161" t="s">
        <v>507</v>
      </c>
    </row>
    <row r="18" ht="11.25" customHeight="1">
      <c r="A18" s="163" t="s">
        <v>371</v>
      </c>
      <c r="B18" s="118"/>
      <c r="C18" s="118"/>
      <c r="D18" s="118"/>
      <c r="E18" s="118"/>
      <c r="F18" s="118"/>
      <c r="G18" s="119"/>
      <c r="H18" s="164"/>
    </row>
    <row r="19" ht="12.0" customHeight="1">
      <c r="A19" s="153" t="s">
        <v>567</v>
      </c>
      <c r="B19" s="154">
        <v>2.0</v>
      </c>
      <c r="C19" s="153" t="s">
        <v>568</v>
      </c>
      <c r="D19" s="153"/>
      <c r="E19" s="155"/>
      <c r="F19" s="153" t="s">
        <v>569</v>
      </c>
      <c r="G19" s="153" t="s">
        <v>381</v>
      </c>
      <c r="H19" s="161" t="s">
        <v>382</v>
      </c>
    </row>
    <row r="20" ht="12.0" customHeight="1">
      <c r="A20" s="153" t="s">
        <v>570</v>
      </c>
      <c r="B20" s="154">
        <v>2.0</v>
      </c>
      <c r="C20" s="153" t="s">
        <v>571</v>
      </c>
      <c r="D20" s="153" t="s">
        <v>572</v>
      </c>
      <c r="E20" s="159"/>
      <c r="F20" s="159"/>
      <c r="G20" s="153"/>
      <c r="H20" s="153" t="s">
        <v>573</v>
      </c>
    </row>
    <row r="21" ht="12.0" customHeight="1">
      <c r="A21" s="153" t="s">
        <v>574</v>
      </c>
      <c r="B21" s="154">
        <v>2.0</v>
      </c>
      <c r="C21" s="153" t="s">
        <v>575</v>
      </c>
      <c r="D21" s="153"/>
      <c r="E21" s="153"/>
      <c r="F21" s="153"/>
      <c r="G21" s="153" t="s">
        <v>576</v>
      </c>
      <c r="H21" s="153" t="s">
        <v>577</v>
      </c>
    </row>
    <row r="22" ht="12.0" customHeight="1">
      <c r="A22" s="153" t="s">
        <v>578</v>
      </c>
      <c r="B22" s="154">
        <v>2.0</v>
      </c>
      <c r="C22" s="153" t="s">
        <v>579</v>
      </c>
      <c r="D22" s="153"/>
      <c r="E22" s="153"/>
      <c r="F22" s="153"/>
      <c r="G22" s="153" t="s">
        <v>580</v>
      </c>
      <c r="H22" s="153" t="s">
        <v>581</v>
      </c>
    </row>
    <row r="23" ht="12.0" customHeight="1">
      <c r="A23" s="153" t="s">
        <v>582</v>
      </c>
      <c r="B23" s="154">
        <v>2.0</v>
      </c>
      <c r="C23" s="153" t="s">
        <v>389</v>
      </c>
      <c r="D23" s="153"/>
      <c r="E23" s="159"/>
      <c r="F23" s="159"/>
      <c r="G23" s="157"/>
      <c r="H23" s="153" t="s">
        <v>390</v>
      </c>
    </row>
    <row r="24" ht="12.0" customHeight="1">
      <c r="A24" s="153" t="s">
        <v>583</v>
      </c>
      <c r="B24" s="154">
        <v>8.0</v>
      </c>
      <c r="C24" s="153" t="s">
        <v>373</v>
      </c>
      <c r="D24" s="153"/>
      <c r="E24" s="153"/>
      <c r="F24" s="153"/>
      <c r="G24" s="153"/>
      <c r="H24" s="161" t="s">
        <v>374</v>
      </c>
    </row>
    <row r="25" ht="12.0" customHeight="1">
      <c r="A25" s="165" t="s">
        <v>391</v>
      </c>
      <c r="B25" s="166"/>
      <c r="C25" s="165"/>
      <c r="D25" s="165"/>
      <c r="E25" s="167"/>
      <c r="F25" s="167"/>
      <c r="G25" s="168"/>
      <c r="H25" s="164"/>
    </row>
    <row r="26" ht="12.0" customHeight="1">
      <c r="A26" s="153" t="s">
        <v>584</v>
      </c>
      <c r="B26" s="154">
        <v>1.0</v>
      </c>
      <c r="C26" s="153" t="s">
        <v>524</v>
      </c>
      <c r="D26" s="153"/>
      <c r="E26" s="159"/>
      <c r="F26" s="159"/>
      <c r="G26" s="161" t="s">
        <v>394</v>
      </c>
      <c r="H26" s="161"/>
    </row>
    <row r="27" ht="12.0" customHeight="1">
      <c r="A27" s="153" t="s">
        <v>585</v>
      </c>
      <c r="B27" s="154">
        <v>1.0</v>
      </c>
      <c r="C27" s="153" t="s">
        <v>586</v>
      </c>
      <c r="D27" s="153"/>
      <c r="E27" s="159"/>
      <c r="F27" s="159"/>
      <c r="G27" s="161" t="s">
        <v>587</v>
      </c>
      <c r="H27" s="161"/>
    </row>
    <row r="28" ht="12.0" customHeight="1">
      <c r="A28" s="165" t="s">
        <v>531</v>
      </c>
      <c r="B28" s="169"/>
      <c r="C28" s="164"/>
      <c r="D28" s="164"/>
      <c r="E28" s="170"/>
      <c r="F28" s="170"/>
      <c r="G28" s="164"/>
      <c r="H28" s="164"/>
    </row>
    <row r="29" ht="12.0" customHeight="1">
      <c r="A29" s="171" t="s">
        <v>395</v>
      </c>
      <c r="B29" s="172"/>
      <c r="C29" s="171" t="s">
        <v>588</v>
      </c>
      <c r="D29" s="171"/>
      <c r="E29" s="173"/>
      <c r="F29" s="173"/>
      <c r="G29" s="174"/>
      <c r="H29" s="171"/>
    </row>
  </sheetData>
  <mergeCells count="3">
    <mergeCell ref="A1:H1"/>
    <mergeCell ref="A3:G3"/>
    <mergeCell ref="A18:G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14"/>
    <col customWidth="1" min="2" max="2" width="3.86"/>
    <col customWidth="1" min="3" max="3" width="37.29"/>
    <col customWidth="1" min="4" max="4" width="12.57"/>
    <col customWidth="1" min="5" max="5" width="5.43"/>
    <col customWidth="1" min="6" max="6" width="10.43"/>
    <col customWidth="1" min="7" max="7" width="21.71"/>
    <col customWidth="1" min="8" max="8" width="42.43"/>
  </cols>
  <sheetData>
    <row r="1" ht="28.5" customHeight="1">
      <c r="A1" s="144" t="s">
        <v>589</v>
      </c>
    </row>
    <row r="2" ht="12.7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177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97" t="s">
        <v>590</v>
      </c>
      <c r="B4" s="97">
        <v>1.0</v>
      </c>
      <c r="C4" s="97" t="s">
        <v>399</v>
      </c>
      <c r="D4" s="97"/>
      <c r="E4" s="97">
        <v>4.7</v>
      </c>
      <c r="F4" s="183" t="s">
        <v>591</v>
      </c>
      <c r="G4" s="97" t="s">
        <v>400</v>
      </c>
      <c r="H4" s="97"/>
    </row>
    <row r="5" ht="12.0" customHeight="1">
      <c r="A5" s="97" t="s">
        <v>592</v>
      </c>
      <c r="B5" s="97">
        <v>10.0</v>
      </c>
      <c r="C5" s="97" t="s">
        <v>284</v>
      </c>
      <c r="D5" s="97"/>
      <c r="E5" s="97">
        <v>68.1</v>
      </c>
      <c r="F5" s="183" t="s">
        <v>593</v>
      </c>
      <c r="G5" s="97" t="s">
        <v>594</v>
      </c>
      <c r="H5" s="97"/>
    </row>
    <row r="6" ht="12.0" customHeight="1">
      <c r="A6" s="97" t="s">
        <v>595</v>
      </c>
      <c r="B6" s="97">
        <v>1.0</v>
      </c>
      <c r="C6" s="97" t="s">
        <v>284</v>
      </c>
      <c r="D6" s="97"/>
      <c r="E6" s="97">
        <v>470.0</v>
      </c>
      <c r="F6" s="183" t="s">
        <v>593</v>
      </c>
      <c r="G6" s="97" t="s">
        <v>596</v>
      </c>
      <c r="H6" s="97"/>
    </row>
    <row r="7" ht="12.0" customHeight="1">
      <c r="A7" s="97" t="s">
        <v>597</v>
      </c>
      <c r="B7" s="97">
        <v>2.0</v>
      </c>
      <c r="C7" s="97" t="s">
        <v>284</v>
      </c>
      <c r="D7" s="97"/>
      <c r="E7" s="97" t="s">
        <v>598</v>
      </c>
      <c r="F7" s="183" t="s">
        <v>593</v>
      </c>
      <c r="G7" s="97" t="s">
        <v>537</v>
      </c>
      <c r="H7" s="97"/>
    </row>
    <row r="8" ht="12.0" customHeight="1">
      <c r="A8" s="97" t="s">
        <v>599</v>
      </c>
      <c r="B8" s="97">
        <v>2.0</v>
      </c>
      <c r="C8" s="97" t="s">
        <v>284</v>
      </c>
      <c r="D8" s="97"/>
      <c r="E8" s="97" t="s">
        <v>600</v>
      </c>
      <c r="F8" s="183" t="s">
        <v>593</v>
      </c>
      <c r="G8" s="97" t="s">
        <v>601</v>
      </c>
      <c r="H8" s="97"/>
    </row>
    <row r="9" ht="12.0" customHeight="1">
      <c r="A9" s="97" t="s">
        <v>602</v>
      </c>
      <c r="B9" s="97">
        <v>2.0</v>
      </c>
      <c r="C9" s="97" t="s">
        <v>284</v>
      </c>
      <c r="D9" s="97"/>
      <c r="E9" s="97" t="s">
        <v>603</v>
      </c>
      <c r="F9" s="183" t="s">
        <v>593</v>
      </c>
      <c r="G9" s="97" t="s">
        <v>604</v>
      </c>
      <c r="H9" s="97"/>
    </row>
    <row r="10" ht="12.0" customHeight="1">
      <c r="A10" s="97" t="s">
        <v>605</v>
      </c>
      <c r="B10" s="97">
        <v>6.0</v>
      </c>
      <c r="C10" s="97" t="s">
        <v>284</v>
      </c>
      <c r="D10" s="97"/>
      <c r="E10" s="97" t="s">
        <v>606</v>
      </c>
      <c r="F10" s="183" t="s">
        <v>593</v>
      </c>
      <c r="G10" s="97" t="s">
        <v>607</v>
      </c>
      <c r="H10" s="97"/>
    </row>
    <row r="11" ht="12.0" customHeight="1">
      <c r="A11" s="97" t="s">
        <v>608</v>
      </c>
      <c r="B11" s="97">
        <v>4.0</v>
      </c>
      <c r="C11" s="97" t="s">
        <v>284</v>
      </c>
      <c r="D11" s="97"/>
      <c r="E11" s="97" t="s">
        <v>132</v>
      </c>
      <c r="F11" s="183" t="s">
        <v>593</v>
      </c>
      <c r="G11" s="97" t="s">
        <v>539</v>
      </c>
      <c r="H11" s="97"/>
    </row>
    <row r="12" ht="12.0" customHeight="1">
      <c r="A12" s="97" t="s">
        <v>609</v>
      </c>
      <c r="B12" s="97">
        <v>2.0</v>
      </c>
      <c r="C12" s="97" t="s">
        <v>284</v>
      </c>
      <c r="D12" s="97"/>
      <c r="E12" s="97" t="s">
        <v>610</v>
      </c>
      <c r="F12" s="183" t="s">
        <v>593</v>
      </c>
      <c r="G12" s="97" t="s">
        <v>611</v>
      </c>
      <c r="H12" s="97"/>
    </row>
    <row r="13" ht="12.0" customHeight="1">
      <c r="A13" s="97" t="s">
        <v>612</v>
      </c>
      <c r="B13" s="97">
        <v>3.0</v>
      </c>
      <c r="C13" s="97" t="s">
        <v>284</v>
      </c>
      <c r="D13" s="97"/>
      <c r="E13" s="97" t="s">
        <v>613</v>
      </c>
      <c r="F13" s="183" t="s">
        <v>593</v>
      </c>
      <c r="G13" s="97" t="s">
        <v>614</v>
      </c>
      <c r="H13" s="97"/>
    </row>
    <row r="14" ht="12.0" customHeight="1">
      <c r="A14" s="97" t="s">
        <v>615</v>
      </c>
      <c r="B14" s="97">
        <v>4.0</v>
      </c>
      <c r="C14" s="97" t="s">
        <v>284</v>
      </c>
      <c r="D14" s="97"/>
      <c r="E14" s="97" t="s">
        <v>410</v>
      </c>
      <c r="F14" s="183" t="s">
        <v>593</v>
      </c>
      <c r="G14" s="97" t="s">
        <v>616</v>
      </c>
      <c r="H14" s="97"/>
    </row>
    <row r="15" ht="12.0" customHeight="1">
      <c r="A15" s="97" t="s">
        <v>617</v>
      </c>
      <c r="B15" s="97">
        <v>1.0</v>
      </c>
      <c r="C15" s="97" t="s">
        <v>284</v>
      </c>
      <c r="D15" s="97"/>
      <c r="E15" s="97" t="s">
        <v>618</v>
      </c>
      <c r="F15" s="183" t="s">
        <v>593</v>
      </c>
      <c r="G15" s="97" t="s">
        <v>619</v>
      </c>
      <c r="H15" s="97"/>
    </row>
    <row r="16" ht="12.0" customHeight="1">
      <c r="A16" s="97" t="s">
        <v>620</v>
      </c>
      <c r="B16" s="97">
        <v>2.0</v>
      </c>
      <c r="C16" s="97" t="s">
        <v>284</v>
      </c>
      <c r="D16" s="97"/>
      <c r="E16" s="97" t="s">
        <v>305</v>
      </c>
      <c r="F16" s="183" t="s">
        <v>593</v>
      </c>
      <c r="G16" s="97" t="s">
        <v>621</v>
      </c>
      <c r="H16" s="97"/>
    </row>
    <row r="17" ht="12.0" customHeight="1">
      <c r="A17" s="97" t="s">
        <v>622</v>
      </c>
      <c r="B17" s="97">
        <v>8.0</v>
      </c>
      <c r="C17" s="97" t="s">
        <v>284</v>
      </c>
      <c r="D17" s="97"/>
      <c r="E17" s="97" t="s">
        <v>120</v>
      </c>
      <c r="F17" s="183" t="s">
        <v>593</v>
      </c>
      <c r="G17" s="97" t="s">
        <v>312</v>
      </c>
      <c r="H17" s="184"/>
    </row>
    <row r="18" ht="12.0" customHeight="1">
      <c r="A18" s="97" t="s">
        <v>623</v>
      </c>
      <c r="B18" s="97">
        <v>1.0</v>
      </c>
      <c r="C18" s="97" t="s">
        <v>284</v>
      </c>
      <c r="D18" s="97"/>
      <c r="E18" s="97" t="s">
        <v>624</v>
      </c>
      <c r="F18" s="183" t="s">
        <v>593</v>
      </c>
      <c r="G18" s="97" t="s">
        <v>625</v>
      </c>
      <c r="H18" s="97"/>
    </row>
    <row r="19" ht="12.0" customHeight="1">
      <c r="A19" s="97" t="s">
        <v>626</v>
      </c>
      <c r="B19" s="97">
        <v>5.0</v>
      </c>
      <c r="C19" s="97" t="s">
        <v>284</v>
      </c>
      <c r="D19" s="97"/>
      <c r="E19" s="97" t="s">
        <v>419</v>
      </c>
      <c r="F19" s="183" t="s">
        <v>593</v>
      </c>
      <c r="G19" s="97" t="s">
        <v>627</v>
      </c>
      <c r="H19" s="97"/>
    </row>
    <row r="20" ht="12.0" customHeight="1">
      <c r="A20" s="97" t="s">
        <v>628</v>
      </c>
      <c r="B20" s="97">
        <v>6.0</v>
      </c>
      <c r="C20" s="97" t="s">
        <v>331</v>
      </c>
      <c r="D20" s="97"/>
      <c r="E20" s="97" t="s">
        <v>421</v>
      </c>
      <c r="F20" s="183" t="s">
        <v>593</v>
      </c>
      <c r="G20" s="97" t="s">
        <v>139</v>
      </c>
      <c r="H20" s="97" t="s">
        <v>629</v>
      </c>
    </row>
    <row r="21" ht="12.0" customHeight="1">
      <c r="A21" s="97" t="s">
        <v>630</v>
      </c>
      <c r="B21" s="97">
        <v>2.0</v>
      </c>
      <c r="C21" s="97" t="s">
        <v>331</v>
      </c>
      <c r="D21" s="97" t="s">
        <v>631</v>
      </c>
      <c r="E21" s="97" t="s">
        <v>632</v>
      </c>
      <c r="F21" s="183" t="s">
        <v>593</v>
      </c>
      <c r="G21" s="97" t="s">
        <v>633</v>
      </c>
      <c r="H21" s="97" t="s">
        <v>634</v>
      </c>
    </row>
    <row r="22" ht="12.0" customHeight="1">
      <c r="A22" s="97" t="s">
        <v>635</v>
      </c>
      <c r="B22" s="97">
        <v>6.0</v>
      </c>
      <c r="C22" s="97" t="s">
        <v>331</v>
      </c>
      <c r="D22" s="97" t="s">
        <v>636</v>
      </c>
      <c r="E22" s="97" t="s">
        <v>429</v>
      </c>
      <c r="F22" s="183" t="s">
        <v>593</v>
      </c>
      <c r="G22" s="97" t="s">
        <v>430</v>
      </c>
      <c r="H22" s="97" t="s">
        <v>637</v>
      </c>
    </row>
    <row r="23" ht="12.0" customHeight="1">
      <c r="A23" s="97" t="s">
        <v>638</v>
      </c>
      <c r="B23" s="97">
        <v>19.0</v>
      </c>
      <c r="C23" s="97" t="s">
        <v>331</v>
      </c>
      <c r="D23" s="97" t="s">
        <v>432</v>
      </c>
      <c r="E23" s="97" t="s">
        <v>333</v>
      </c>
      <c r="F23" s="183" t="s">
        <v>593</v>
      </c>
      <c r="G23" s="97" t="s">
        <v>116</v>
      </c>
      <c r="H23" s="97" t="s">
        <v>334</v>
      </c>
    </row>
    <row r="24" ht="12.0" customHeight="1">
      <c r="A24" s="97" t="s">
        <v>639</v>
      </c>
      <c r="B24" s="97">
        <v>2.0</v>
      </c>
      <c r="C24" s="97" t="s">
        <v>331</v>
      </c>
      <c r="D24" s="97" t="s">
        <v>439</v>
      </c>
      <c r="E24" s="97" t="s">
        <v>440</v>
      </c>
      <c r="F24" s="183" t="s">
        <v>593</v>
      </c>
      <c r="G24" s="97" t="s">
        <v>441</v>
      </c>
      <c r="H24" s="97" t="s">
        <v>640</v>
      </c>
    </row>
    <row r="25" ht="12.0" customHeight="1">
      <c r="A25" s="97" t="s">
        <v>641</v>
      </c>
      <c r="B25" s="97">
        <v>2.0</v>
      </c>
      <c r="C25" s="97" t="s">
        <v>331</v>
      </c>
      <c r="D25" s="97" t="s">
        <v>439</v>
      </c>
      <c r="E25" s="97" t="s">
        <v>642</v>
      </c>
      <c r="F25" s="183" t="s">
        <v>643</v>
      </c>
      <c r="G25" s="97" t="s">
        <v>644</v>
      </c>
      <c r="H25" s="97" t="s">
        <v>645</v>
      </c>
    </row>
    <row r="26" ht="12.0" customHeight="1">
      <c r="A26" s="97" t="s">
        <v>646</v>
      </c>
      <c r="B26" s="97">
        <v>6.0</v>
      </c>
      <c r="C26" s="97" t="s">
        <v>336</v>
      </c>
      <c r="D26" s="97" t="s">
        <v>432</v>
      </c>
      <c r="E26" s="97" t="s">
        <v>444</v>
      </c>
      <c r="F26" s="183" t="s">
        <v>445</v>
      </c>
      <c r="G26" s="97" t="s">
        <v>647</v>
      </c>
      <c r="H26" s="97" t="s">
        <v>648</v>
      </c>
    </row>
    <row r="27" ht="12.0" customHeight="1">
      <c r="A27" s="97" t="s">
        <v>649</v>
      </c>
      <c r="B27" s="97">
        <v>2.0</v>
      </c>
      <c r="C27" s="97" t="s">
        <v>336</v>
      </c>
      <c r="D27" s="97" t="s">
        <v>432</v>
      </c>
      <c r="E27" s="97" t="s">
        <v>444</v>
      </c>
      <c r="F27" s="183" t="s">
        <v>650</v>
      </c>
      <c r="G27" s="110" t="s">
        <v>651</v>
      </c>
      <c r="H27" s="108" t="s">
        <v>652</v>
      </c>
    </row>
    <row r="28" ht="12.0" customHeight="1">
      <c r="A28" s="97" t="s">
        <v>653</v>
      </c>
      <c r="B28" s="97">
        <v>5.0</v>
      </c>
      <c r="C28" s="97" t="s">
        <v>336</v>
      </c>
      <c r="D28" s="97" t="s">
        <v>332</v>
      </c>
      <c r="E28" s="97" t="s">
        <v>451</v>
      </c>
      <c r="F28" s="183" t="s">
        <v>452</v>
      </c>
      <c r="G28" s="97" t="s">
        <v>160</v>
      </c>
      <c r="H28" s="97" t="s">
        <v>453</v>
      </c>
    </row>
    <row r="29" ht="10.5" customHeight="1">
      <c r="A29" s="97" t="s">
        <v>341</v>
      </c>
      <c r="B29" s="97">
        <v>2.0</v>
      </c>
      <c r="C29" s="97" t="s">
        <v>342</v>
      </c>
      <c r="D29" s="97"/>
      <c r="E29" s="97"/>
      <c r="F29" s="183" t="s">
        <v>343</v>
      </c>
      <c r="G29" s="97" t="s">
        <v>344</v>
      </c>
      <c r="H29" s="97" t="s">
        <v>345</v>
      </c>
    </row>
    <row r="30" ht="10.5" customHeight="1">
      <c r="A30" s="97" t="s">
        <v>553</v>
      </c>
      <c r="B30" s="97">
        <v>1.0</v>
      </c>
      <c r="C30" s="97" t="s">
        <v>455</v>
      </c>
      <c r="D30" s="97"/>
      <c r="E30" s="97"/>
      <c r="F30" s="183" t="s">
        <v>354</v>
      </c>
      <c r="G30" s="97" t="s">
        <v>456</v>
      </c>
      <c r="H30" s="97" t="s">
        <v>457</v>
      </c>
    </row>
    <row r="31" ht="12.0" customHeight="1">
      <c r="A31" s="97" t="s">
        <v>560</v>
      </c>
      <c r="B31" s="97">
        <v>1.0</v>
      </c>
      <c r="C31" s="97" t="s">
        <v>474</v>
      </c>
      <c r="D31" s="97"/>
      <c r="E31" s="97" t="s">
        <v>475</v>
      </c>
      <c r="F31" s="183" t="s">
        <v>476</v>
      </c>
      <c r="G31" s="97" t="s">
        <v>477</v>
      </c>
      <c r="H31" s="97" t="s">
        <v>478</v>
      </c>
    </row>
    <row r="32" ht="10.5" customHeight="1">
      <c r="A32" s="97" t="s">
        <v>458</v>
      </c>
      <c r="B32" s="97">
        <v>1.0</v>
      </c>
      <c r="C32" s="97" t="s">
        <v>557</v>
      </c>
      <c r="D32" s="97"/>
      <c r="E32" s="97"/>
      <c r="F32" s="183" t="s">
        <v>492</v>
      </c>
      <c r="G32" s="97" t="s">
        <v>558</v>
      </c>
      <c r="H32" s="97" t="s">
        <v>559</v>
      </c>
    </row>
    <row r="33" ht="12.0" customHeight="1">
      <c r="A33" s="97" t="s">
        <v>463</v>
      </c>
      <c r="B33" s="97">
        <v>1.0</v>
      </c>
      <c r="C33" s="134" t="s">
        <v>480</v>
      </c>
      <c r="D33" s="97"/>
      <c r="E33" s="97"/>
      <c r="F33" s="183" t="s">
        <v>465</v>
      </c>
      <c r="G33" s="97" t="s">
        <v>481</v>
      </c>
      <c r="H33" s="97" t="s">
        <v>482</v>
      </c>
    </row>
    <row r="34" ht="12.0" customHeight="1">
      <c r="A34" s="97" t="s">
        <v>468</v>
      </c>
      <c r="B34" s="97">
        <v>1.0</v>
      </c>
      <c r="C34" s="97" t="s">
        <v>654</v>
      </c>
      <c r="D34" s="97"/>
      <c r="E34" s="97"/>
      <c r="F34" s="183" t="s">
        <v>655</v>
      </c>
      <c r="G34" s="97" t="s">
        <v>656</v>
      </c>
      <c r="H34" s="97" t="s">
        <v>657</v>
      </c>
    </row>
    <row r="35" ht="12.0" customHeight="1">
      <c r="A35" s="97" t="s">
        <v>473</v>
      </c>
      <c r="B35" s="97">
        <v>1.0</v>
      </c>
      <c r="C35" s="97" t="s">
        <v>362</v>
      </c>
      <c r="D35" s="97" t="s">
        <v>459</v>
      </c>
      <c r="E35" s="97" t="s">
        <v>364</v>
      </c>
      <c r="F35" s="183" t="s">
        <v>190</v>
      </c>
      <c r="G35" s="97" t="s">
        <v>484</v>
      </c>
      <c r="H35" s="97" t="s">
        <v>485</v>
      </c>
    </row>
    <row r="36" ht="12.0" customHeight="1">
      <c r="A36" s="97" t="s">
        <v>479</v>
      </c>
      <c r="B36" s="97">
        <v>1.0</v>
      </c>
      <c r="C36" s="97" t="s">
        <v>474</v>
      </c>
      <c r="D36" s="97"/>
      <c r="E36" s="97" t="s">
        <v>475</v>
      </c>
      <c r="F36" s="183" t="s">
        <v>220</v>
      </c>
      <c r="G36" s="97" t="s">
        <v>221</v>
      </c>
      <c r="H36" s="97" t="s">
        <v>658</v>
      </c>
    </row>
    <row r="37" ht="10.5" customHeight="1">
      <c r="A37" s="97" t="s">
        <v>483</v>
      </c>
      <c r="B37" s="97">
        <v>1.0</v>
      </c>
      <c r="C37" s="97" t="s">
        <v>659</v>
      </c>
      <c r="D37" s="97"/>
      <c r="E37" s="97"/>
      <c r="F37" s="183" t="s">
        <v>660</v>
      </c>
      <c r="G37" s="97" t="s">
        <v>268</v>
      </c>
      <c r="H37" s="97" t="s">
        <v>661</v>
      </c>
    </row>
    <row r="38" ht="10.5" customHeight="1">
      <c r="A38" s="97" t="s">
        <v>662</v>
      </c>
      <c r="B38" s="97">
        <v>2.0</v>
      </c>
      <c r="C38" s="112" t="s">
        <v>491</v>
      </c>
      <c r="D38" s="112"/>
      <c r="E38" s="112"/>
      <c r="F38" s="112" t="s">
        <v>492</v>
      </c>
      <c r="G38" s="112" t="s">
        <v>493</v>
      </c>
      <c r="H38" s="97" t="s">
        <v>663</v>
      </c>
    </row>
    <row r="39" ht="10.5" customHeight="1">
      <c r="A39" s="97" t="s">
        <v>566</v>
      </c>
      <c r="B39" s="97">
        <v>2.0</v>
      </c>
      <c r="C39" s="97" t="s">
        <v>505</v>
      </c>
      <c r="D39" s="97"/>
      <c r="E39" s="97"/>
      <c r="F39" s="183" t="s">
        <v>190</v>
      </c>
      <c r="G39" s="97" t="s">
        <v>506</v>
      </c>
      <c r="H39" s="97" t="s">
        <v>507</v>
      </c>
    </row>
    <row r="40" ht="10.5" customHeight="1">
      <c r="A40" s="97" t="s">
        <v>664</v>
      </c>
      <c r="B40" s="97">
        <v>1.0</v>
      </c>
      <c r="C40" s="97" t="s">
        <v>496</v>
      </c>
      <c r="D40" s="97"/>
      <c r="E40" s="97"/>
      <c r="F40" s="183" t="s">
        <v>497</v>
      </c>
      <c r="G40" s="97" t="s">
        <v>180</v>
      </c>
      <c r="H40" s="97" t="s">
        <v>498</v>
      </c>
    </row>
    <row r="41" ht="12.0" customHeight="1">
      <c r="A41" s="97" t="s">
        <v>665</v>
      </c>
      <c r="B41" s="97">
        <v>1.0</v>
      </c>
      <c r="C41" s="97" t="s">
        <v>666</v>
      </c>
      <c r="D41" s="97"/>
      <c r="E41" s="132"/>
      <c r="F41" s="183" t="s">
        <v>497</v>
      </c>
      <c r="G41" s="97" t="s">
        <v>667</v>
      </c>
      <c r="H41" s="97" t="s">
        <v>668</v>
      </c>
    </row>
    <row r="42" ht="12.0" customHeight="1">
      <c r="A42" s="97" t="s">
        <v>669</v>
      </c>
      <c r="B42" s="97">
        <v>2.0</v>
      </c>
      <c r="C42" s="97" t="s">
        <v>500</v>
      </c>
      <c r="D42" s="97"/>
      <c r="E42" s="97"/>
      <c r="F42" s="183" t="s">
        <v>501</v>
      </c>
      <c r="G42" s="97" t="s">
        <v>502</v>
      </c>
      <c r="H42" s="97" t="s">
        <v>670</v>
      </c>
    </row>
    <row r="43" ht="12.75" customHeight="1">
      <c r="A43" s="117" t="s">
        <v>371</v>
      </c>
      <c r="B43" s="118"/>
      <c r="C43" s="118"/>
      <c r="D43" s="118"/>
      <c r="E43" s="118"/>
      <c r="F43" s="118"/>
      <c r="G43" s="119"/>
      <c r="H43" s="120"/>
    </row>
    <row r="44" ht="10.5" customHeight="1">
      <c r="A44" s="97" t="s">
        <v>372</v>
      </c>
      <c r="B44" s="97">
        <v>12.0</v>
      </c>
      <c r="C44" s="97" t="s">
        <v>373</v>
      </c>
      <c r="D44" s="97"/>
      <c r="E44" s="97"/>
      <c r="F44" s="97"/>
      <c r="G44" s="97"/>
      <c r="H44" s="97" t="s">
        <v>374</v>
      </c>
    </row>
    <row r="45" ht="10.5" customHeight="1">
      <c r="A45" s="97" t="s">
        <v>671</v>
      </c>
      <c r="B45" s="97">
        <v>6.0</v>
      </c>
      <c r="C45" s="97" t="s">
        <v>389</v>
      </c>
      <c r="D45" s="97"/>
      <c r="E45" s="97"/>
      <c r="F45" s="97"/>
      <c r="G45" s="97"/>
      <c r="H45" s="97" t="s">
        <v>390</v>
      </c>
    </row>
    <row r="46" ht="12.0" customHeight="1">
      <c r="A46" s="97" t="s">
        <v>672</v>
      </c>
      <c r="B46" s="97">
        <v>1.0</v>
      </c>
      <c r="C46" s="97" t="s">
        <v>673</v>
      </c>
      <c r="D46" s="97"/>
      <c r="E46" s="97"/>
      <c r="F46" s="97"/>
      <c r="G46" s="185" t="s">
        <v>674</v>
      </c>
      <c r="H46" s="97" t="s">
        <v>675</v>
      </c>
    </row>
    <row r="47" ht="12.0" customHeight="1">
      <c r="A47" s="97" t="s">
        <v>676</v>
      </c>
      <c r="B47" s="97">
        <v>4.0</v>
      </c>
      <c r="C47" s="97" t="s">
        <v>677</v>
      </c>
      <c r="D47" s="97"/>
      <c r="E47" s="97"/>
      <c r="F47" s="97"/>
      <c r="G47" s="97" t="s">
        <v>678</v>
      </c>
      <c r="H47" s="97" t="s">
        <v>679</v>
      </c>
    </row>
    <row r="48" ht="12.0" customHeight="1">
      <c r="A48" s="97" t="s">
        <v>520</v>
      </c>
      <c r="B48" s="97">
        <v>1.0</v>
      </c>
      <c r="C48" s="97" t="s">
        <v>680</v>
      </c>
      <c r="D48" s="97"/>
      <c r="E48" s="97"/>
      <c r="F48" s="97"/>
      <c r="G48" s="186" t="str">
        <f>HYPERLINK("http://www.mouser.co.uk/ProductDetail/E-Switch/LP4OA1PBCTG/?qs=sGAEpiMZZMufv8JNQ5fVHYtKSHsZaECCoPbaN8OG5%252bM%3d","612-LP4OA1PBCTG")</f>
        <v>612-LP4OA1PBCTG</v>
      </c>
      <c r="H48" s="97" t="s">
        <v>681</v>
      </c>
    </row>
    <row r="49" ht="12.0" customHeight="1">
      <c r="A49" s="97" t="s">
        <v>499</v>
      </c>
      <c r="B49" s="97">
        <v>2.0</v>
      </c>
      <c r="C49" s="97" t="s">
        <v>575</v>
      </c>
      <c r="D49" s="97"/>
      <c r="E49" s="97"/>
      <c r="F49" s="97"/>
      <c r="G49" s="97" t="s">
        <v>576</v>
      </c>
      <c r="H49" s="97" t="s">
        <v>577</v>
      </c>
    </row>
    <row r="50" ht="12.0" customHeight="1">
      <c r="A50" s="134" t="s">
        <v>682</v>
      </c>
      <c r="B50" s="97">
        <v>2.0</v>
      </c>
      <c r="C50" s="134" t="s">
        <v>579</v>
      </c>
      <c r="D50" s="97"/>
      <c r="E50" s="97"/>
      <c r="F50" s="97"/>
      <c r="G50" s="97" t="s">
        <v>580</v>
      </c>
      <c r="H50" s="97" t="s">
        <v>581</v>
      </c>
    </row>
    <row r="51" ht="12.0" customHeight="1">
      <c r="A51" s="122" t="s">
        <v>391</v>
      </c>
      <c r="B51" s="123"/>
      <c r="C51" s="122"/>
      <c r="D51" s="122"/>
      <c r="E51" s="187"/>
      <c r="F51" s="124"/>
      <c r="G51" s="123"/>
      <c r="H51" s="120"/>
    </row>
    <row r="52" ht="10.5" customHeight="1">
      <c r="A52" s="97" t="s">
        <v>683</v>
      </c>
      <c r="B52" s="97">
        <v>1.0</v>
      </c>
      <c r="C52" s="97" t="s">
        <v>684</v>
      </c>
      <c r="D52" s="97"/>
      <c r="E52" s="97"/>
      <c r="F52" s="97"/>
      <c r="G52" s="97" t="s">
        <v>530</v>
      </c>
      <c r="H52" s="97"/>
    </row>
    <row r="53" ht="10.5" customHeight="1">
      <c r="A53" s="97" t="s">
        <v>685</v>
      </c>
      <c r="B53" s="97">
        <v>1.0</v>
      </c>
      <c r="C53" s="97" t="s">
        <v>393</v>
      </c>
      <c r="D53" s="97"/>
      <c r="E53" s="97"/>
      <c r="F53" s="97"/>
      <c r="G53" s="97" t="s">
        <v>394</v>
      </c>
      <c r="H53" s="97"/>
    </row>
    <row r="54" ht="10.5" customHeight="1">
      <c r="A54" s="97" t="s">
        <v>686</v>
      </c>
      <c r="B54" s="97">
        <v>1.0</v>
      </c>
      <c r="C54" s="97" t="s">
        <v>687</v>
      </c>
      <c r="D54" s="97"/>
      <c r="E54" s="97"/>
      <c r="F54" s="97"/>
      <c r="G54" s="97" t="s">
        <v>527</v>
      </c>
      <c r="H54" s="97"/>
    </row>
    <row r="55" ht="12.0" customHeight="1">
      <c r="A55" s="122" t="s">
        <v>531</v>
      </c>
      <c r="B55" s="123"/>
      <c r="C55" s="122"/>
      <c r="D55" s="122"/>
      <c r="E55" s="187"/>
      <c r="F55" s="124"/>
      <c r="G55" s="123"/>
      <c r="H55" s="120"/>
    </row>
    <row r="56" ht="12.0" customHeight="1">
      <c r="A56" s="125" t="s">
        <v>395</v>
      </c>
      <c r="B56" s="188"/>
      <c r="C56" s="125" t="s">
        <v>688</v>
      </c>
      <c r="D56" s="125"/>
      <c r="E56" s="189"/>
      <c r="F56" s="142"/>
      <c r="G56" s="143"/>
      <c r="H56" s="125"/>
    </row>
  </sheetData>
  <mergeCells count="3">
    <mergeCell ref="A1:H1"/>
    <mergeCell ref="A3:G3"/>
    <mergeCell ref="A43:G43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3.86"/>
    <col customWidth="1" min="3" max="3" width="25.14"/>
    <col customWidth="1" min="4" max="4" width="16.57"/>
    <col customWidth="1" min="5" max="5" width="5.43"/>
    <col customWidth="1" min="6" max="6" width="10.43"/>
    <col customWidth="1" min="7" max="7" width="22.43"/>
    <col customWidth="1" min="8" max="8" width="35.71"/>
  </cols>
  <sheetData>
    <row r="1" ht="18.0" customHeight="1">
      <c r="A1" s="144" t="s">
        <v>689</v>
      </c>
    </row>
    <row r="2" ht="10.5" customHeight="1">
      <c r="A2" s="79" t="s">
        <v>106</v>
      </c>
      <c r="B2" s="81" t="s">
        <v>95</v>
      </c>
      <c r="C2" s="79" t="s">
        <v>96</v>
      </c>
      <c r="D2" s="79" t="s">
        <v>97</v>
      </c>
      <c r="E2" s="190" t="s">
        <v>98</v>
      </c>
      <c r="F2" s="80" t="s">
        <v>99</v>
      </c>
      <c r="G2" s="81" t="s">
        <v>107</v>
      </c>
      <c r="H2" s="79" t="s">
        <v>109</v>
      </c>
    </row>
    <row r="3" ht="12.75" customHeight="1">
      <c r="A3" s="128" t="s">
        <v>280</v>
      </c>
      <c r="B3" s="129"/>
      <c r="C3" s="129"/>
      <c r="D3" s="129"/>
      <c r="E3" s="129"/>
      <c r="F3" s="129"/>
      <c r="G3" s="130"/>
      <c r="H3" s="131"/>
    </row>
    <row r="4" ht="10.5" customHeight="1">
      <c r="A4" s="97" t="s">
        <v>690</v>
      </c>
      <c r="B4" s="97">
        <v>4.0</v>
      </c>
      <c r="C4" s="97" t="s">
        <v>284</v>
      </c>
      <c r="D4" s="97"/>
      <c r="E4" s="132">
        <v>100.0</v>
      </c>
      <c r="F4" s="97" t="str">
        <f t="shared" ref="F4:F19" si="1">"0603"</f>
        <v>0603</v>
      </c>
      <c r="G4" s="85" t="s">
        <v>402</v>
      </c>
      <c r="H4" s="133"/>
    </row>
    <row r="5" ht="10.5" customHeight="1">
      <c r="A5" s="97" t="s">
        <v>691</v>
      </c>
      <c r="B5" s="97">
        <v>1.0</v>
      </c>
      <c r="C5" s="97" t="s">
        <v>284</v>
      </c>
      <c r="D5" s="97"/>
      <c r="E5" s="132">
        <v>300.0</v>
      </c>
      <c r="F5" s="97" t="str">
        <f t="shared" si="1"/>
        <v>0603</v>
      </c>
      <c r="G5" s="85" t="s">
        <v>692</v>
      </c>
      <c r="H5" s="133"/>
    </row>
    <row r="6" ht="10.5" customHeight="1">
      <c r="A6" s="97" t="s">
        <v>693</v>
      </c>
      <c r="B6" s="97">
        <v>7.0</v>
      </c>
      <c r="C6" s="97" t="s">
        <v>284</v>
      </c>
      <c r="D6" s="97"/>
      <c r="E6" s="132" t="s">
        <v>144</v>
      </c>
      <c r="F6" s="97" t="str">
        <f t="shared" si="1"/>
        <v>0603</v>
      </c>
      <c r="G6" s="85" t="s">
        <v>145</v>
      </c>
      <c r="H6" s="133"/>
    </row>
    <row r="7" ht="10.5" customHeight="1">
      <c r="A7" s="97" t="s">
        <v>694</v>
      </c>
      <c r="B7" s="97">
        <v>1.0</v>
      </c>
      <c r="C7" s="97" t="s">
        <v>284</v>
      </c>
      <c r="D7" s="97"/>
      <c r="E7" s="132" t="s">
        <v>695</v>
      </c>
      <c r="F7" s="97" t="str">
        <f t="shared" si="1"/>
        <v>0603</v>
      </c>
      <c r="G7" s="85" t="s">
        <v>696</v>
      </c>
      <c r="H7" s="133"/>
    </row>
    <row r="8" ht="10.5" customHeight="1">
      <c r="A8" s="97" t="s">
        <v>697</v>
      </c>
      <c r="B8" s="97">
        <v>9.0</v>
      </c>
      <c r="C8" s="97" t="s">
        <v>284</v>
      </c>
      <c r="D8" s="97"/>
      <c r="E8" s="132" t="s">
        <v>132</v>
      </c>
      <c r="F8" s="97" t="str">
        <f t="shared" si="1"/>
        <v>0603</v>
      </c>
      <c r="G8" s="85" t="s">
        <v>133</v>
      </c>
      <c r="H8" s="133"/>
    </row>
    <row r="9" ht="10.5" customHeight="1">
      <c r="A9" s="97" t="s">
        <v>698</v>
      </c>
      <c r="B9" s="97">
        <v>8.0</v>
      </c>
      <c r="C9" s="97" t="s">
        <v>284</v>
      </c>
      <c r="D9" s="97"/>
      <c r="E9" s="132" t="s">
        <v>407</v>
      </c>
      <c r="F9" s="97" t="str">
        <f t="shared" si="1"/>
        <v>0603</v>
      </c>
      <c r="G9" s="85" t="s">
        <v>408</v>
      </c>
      <c r="H9" s="133"/>
    </row>
    <row r="10" ht="10.5" customHeight="1">
      <c r="A10" s="97" t="s">
        <v>699</v>
      </c>
      <c r="B10" s="97">
        <v>4.0</v>
      </c>
      <c r="C10" s="97" t="s">
        <v>284</v>
      </c>
      <c r="D10" s="97"/>
      <c r="E10" s="132" t="s">
        <v>613</v>
      </c>
      <c r="F10" s="97" t="str">
        <f t="shared" si="1"/>
        <v>0603</v>
      </c>
      <c r="G10" s="85" t="s">
        <v>700</v>
      </c>
      <c r="H10" s="133"/>
    </row>
    <row r="11" ht="10.5" customHeight="1">
      <c r="A11" s="97" t="s">
        <v>701</v>
      </c>
      <c r="B11" s="97">
        <v>2.0</v>
      </c>
      <c r="C11" s="97" t="s">
        <v>284</v>
      </c>
      <c r="D11" s="97"/>
      <c r="E11" s="132" t="s">
        <v>410</v>
      </c>
      <c r="F11" s="97" t="str">
        <f t="shared" si="1"/>
        <v>0603</v>
      </c>
      <c r="G11" s="85" t="s">
        <v>411</v>
      </c>
      <c r="H11" s="133"/>
    </row>
    <row r="12" ht="10.5" customHeight="1">
      <c r="A12" s="97" t="s">
        <v>702</v>
      </c>
      <c r="B12" s="97">
        <v>1.0</v>
      </c>
      <c r="C12" s="97" t="s">
        <v>284</v>
      </c>
      <c r="D12" s="97"/>
      <c r="E12" s="132" t="s">
        <v>703</v>
      </c>
      <c r="F12" s="97" t="str">
        <f t="shared" si="1"/>
        <v>0603</v>
      </c>
      <c r="G12" s="85" t="s">
        <v>704</v>
      </c>
      <c r="H12" s="133"/>
    </row>
    <row r="13" ht="10.5" customHeight="1">
      <c r="A13" s="97" t="s">
        <v>705</v>
      </c>
      <c r="B13" s="97">
        <v>17.0</v>
      </c>
      <c r="C13" s="97" t="s">
        <v>284</v>
      </c>
      <c r="D13" s="97"/>
      <c r="E13" s="132" t="s">
        <v>120</v>
      </c>
      <c r="F13" s="97" t="str">
        <f t="shared" si="1"/>
        <v>0603</v>
      </c>
      <c r="G13" s="85" t="s">
        <v>129</v>
      </c>
      <c r="H13" s="133"/>
    </row>
    <row r="14" ht="10.5" customHeight="1">
      <c r="A14" s="97" t="s">
        <v>706</v>
      </c>
      <c r="B14" s="97">
        <v>12.0</v>
      </c>
      <c r="C14" s="97" t="s">
        <v>284</v>
      </c>
      <c r="D14" s="97"/>
      <c r="E14" s="132" t="s">
        <v>419</v>
      </c>
      <c r="F14" s="97" t="str">
        <f t="shared" si="1"/>
        <v>0603</v>
      </c>
      <c r="G14" s="85" t="s">
        <v>151</v>
      </c>
      <c r="H14" s="133"/>
    </row>
    <row r="15" ht="10.5" customHeight="1">
      <c r="A15" s="97" t="s">
        <v>707</v>
      </c>
      <c r="B15" s="97">
        <v>4.0</v>
      </c>
      <c r="C15" s="97" t="s">
        <v>331</v>
      </c>
      <c r="D15" s="97"/>
      <c r="E15" s="132" t="s">
        <v>421</v>
      </c>
      <c r="F15" s="97" t="str">
        <f t="shared" si="1"/>
        <v>0603</v>
      </c>
      <c r="G15" s="85" t="s">
        <v>139</v>
      </c>
      <c r="H15" s="133"/>
    </row>
    <row r="16" ht="10.5" customHeight="1">
      <c r="A16" s="97" t="s">
        <v>708</v>
      </c>
      <c r="B16" s="97">
        <v>8.0</v>
      </c>
      <c r="C16" s="97" t="s">
        <v>331</v>
      </c>
      <c r="D16" s="97" t="s">
        <v>423</v>
      </c>
      <c r="E16" s="132" t="s">
        <v>426</v>
      </c>
      <c r="F16" s="97" t="str">
        <f t="shared" si="1"/>
        <v>0603</v>
      </c>
      <c r="G16" s="191" t="s">
        <v>427</v>
      </c>
      <c r="H16" s="84" t="s">
        <v>709</v>
      </c>
    </row>
    <row r="17" ht="10.5" customHeight="1">
      <c r="A17" s="97" t="s">
        <v>710</v>
      </c>
      <c r="B17" s="97">
        <v>20.0</v>
      </c>
      <c r="C17" s="97" t="s">
        <v>331</v>
      </c>
      <c r="D17" s="97" t="s">
        <v>432</v>
      </c>
      <c r="E17" s="132" t="s">
        <v>333</v>
      </c>
      <c r="F17" s="97" t="str">
        <f t="shared" si="1"/>
        <v>0603</v>
      </c>
      <c r="G17" s="191" t="s">
        <v>433</v>
      </c>
      <c r="H17" s="84" t="s">
        <v>711</v>
      </c>
    </row>
    <row r="18" ht="10.5" customHeight="1">
      <c r="A18" s="97" t="s">
        <v>712</v>
      </c>
      <c r="B18" s="97">
        <v>3.0</v>
      </c>
      <c r="C18" s="97" t="s">
        <v>331</v>
      </c>
      <c r="D18" s="97" t="s">
        <v>432</v>
      </c>
      <c r="E18" s="132" t="s">
        <v>436</v>
      </c>
      <c r="F18" s="97" t="str">
        <f t="shared" si="1"/>
        <v>0603</v>
      </c>
      <c r="G18" s="192" t="s">
        <v>437</v>
      </c>
      <c r="H18" s="84" t="s">
        <v>713</v>
      </c>
    </row>
    <row r="19" ht="10.5" customHeight="1">
      <c r="A19" s="97" t="s">
        <v>714</v>
      </c>
      <c r="B19" s="97">
        <v>2.0</v>
      </c>
      <c r="C19" s="97" t="s">
        <v>331</v>
      </c>
      <c r="D19" s="97" t="s">
        <v>439</v>
      </c>
      <c r="E19" s="132" t="s">
        <v>440</v>
      </c>
      <c r="F19" s="97" t="str">
        <f t="shared" si="1"/>
        <v>0603</v>
      </c>
      <c r="G19" s="88" t="s">
        <v>441</v>
      </c>
      <c r="H19" s="84" t="s">
        <v>715</v>
      </c>
    </row>
    <row r="20" ht="10.5" customHeight="1">
      <c r="A20" s="97" t="s">
        <v>716</v>
      </c>
      <c r="B20" s="97">
        <v>4.0</v>
      </c>
      <c r="C20" s="97" t="s">
        <v>443</v>
      </c>
      <c r="D20" s="97" t="s">
        <v>435</v>
      </c>
      <c r="E20" s="132" t="s">
        <v>444</v>
      </c>
      <c r="F20" s="97" t="s">
        <v>445</v>
      </c>
      <c r="G20" s="97" t="s">
        <v>446</v>
      </c>
      <c r="H20" s="97" t="s">
        <v>447</v>
      </c>
    </row>
    <row r="21" ht="10.5" customHeight="1">
      <c r="A21" s="97" t="s">
        <v>717</v>
      </c>
      <c r="B21" s="97">
        <v>4.0</v>
      </c>
      <c r="C21" s="97" t="s">
        <v>336</v>
      </c>
      <c r="D21" s="97" t="s">
        <v>332</v>
      </c>
      <c r="E21" s="132" t="s">
        <v>451</v>
      </c>
      <c r="F21" s="97" t="s">
        <v>452</v>
      </c>
      <c r="G21" s="97" t="s">
        <v>718</v>
      </c>
      <c r="H21" s="97" t="s">
        <v>719</v>
      </c>
    </row>
    <row r="22" ht="10.5" customHeight="1">
      <c r="A22" s="97" t="s">
        <v>720</v>
      </c>
      <c r="B22" s="97">
        <v>3.0</v>
      </c>
      <c r="C22" s="97" t="s">
        <v>342</v>
      </c>
      <c r="D22" s="97"/>
      <c r="E22" s="132"/>
      <c r="F22" s="97" t="s">
        <v>343</v>
      </c>
      <c r="G22" s="97" t="s">
        <v>344</v>
      </c>
      <c r="H22" s="97" t="s">
        <v>345</v>
      </c>
    </row>
    <row r="23" ht="10.5" customHeight="1">
      <c r="A23" s="97" t="s">
        <v>544</v>
      </c>
      <c r="B23" s="97">
        <v>1.0</v>
      </c>
      <c r="C23" s="97" t="s">
        <v>545</v>
      </c>
      <c r="D23" s="97" t="s">
        <v>546</v>
      </c>
      <c r="E23" s="132"/>
      <c r="F23" s="97" t="str">
        <f>"0603"</f>
        <v>0603</v>
      </c>
      <c r="G23" s="97" t="s">
        <v>547</v>
      </c>
      <c r="H23" s="97" t="s">
        <v>548</v>
      </c>
    </row>
    <row r="24" ht="10.5" customHeight="1">
      <c r="A24" s="97" t="s">
        <v>721</v>
      </c>
      <c r="B24" s="97">
        <v>1.0</v>
      </c>
      <c r="C24" s="97" t="s">
        <v>362</v>
      </c>
      <c r="D24" s="97" t="s">
        <v>459</v>
      </c>
      <c r="E24" s="132" t="s">
        <v>460</v>
      </c>
      <c r="F24" s="97" t="s">
        <v>190</v>
      </c>
      <c r="G24" s="97" t="s">
        <v>461</v>
      </c>
      <c r="H24" s="97" t="s">
        <v>462</v>
      </c>
    </row>
    <row r="25" ht="10.5" customHeight="1">
      <c r="A25" s="97" t="s">
        <v>553</v>
      </c>
      <c r="B25" s="97">
        <v>1.0</v>
      </c>
      <c r="C25" s="97" t="s">
        <v>362</v>
      </c>
      <c r="D25" s="97" t="s">
        <v>459</v>
      </c>
      <c r="E25" s="132" t="s">
        <v>364</v>
      </c>
      <c r="F25" s="97" t="s">
        <v>190</v>
      </c>
      <c r="G25" s="97" t="s">
        <v>484</v>
      </c>
      <c r="H25" s="97" t="s">
        <v>485</v>
      </c>
    </row>
    <row r="26" ht="10.5" customHeight="1">
      <c r="A26" s="97" t="s">
        <v>722</v>
      </c>
      <c r="B26" s="97">
        <v>1.0</v>
      </c>
      <c r="C26" s="97" t="s">
        <v>723</v>
      </c>
      <c r="D26" s="97"/>
      <c r="E26" s="132"/>
      <c r="F26" s="97" t="s">
        <v>354</v>
      </c>
      <c r="G26" s="97" t="s">
        <v>724</v>
      </c>
      <c r="H26" s="97" t="s">
        <v>725</v>
      </c>
    </row>
    <row r="27" ht="10.5" customHeight="1">
      <c r="A27" s="97" t="s">
        <v>726</v>
      </c>
      <c r="B27" s="97">
        <v>1.0</v>
      </c>
      <c r="C27" s="97" t="s">
        <v>727</v>
      </c>
      <c r="D27" s="97"/>
      <c r="E27" s="132"/>
      <c r="F27" s="97" t="s">
        <v>492</v>
      </c>
      <c r="G27" s="97" t="s">
        <v>728</v>
      </c>
      <c r="H27" s="97" t="s">
        <v>729</v>
      </c>
    </row>
    <row r="28" ht="10.5" customHeight="1">
      <c r="A28" s="97" t="s">
        <v>730</v>
      </c>
      <c r="B28" s="97">
        <v>1.0</v>
      </c>
      <c r="C28" s="97" t="s">
        <v>474</v>
      </c>
      <c r="D28" s="97"/>
      <c r="E28" s="132" t="s">
        <v>475</v>
      </c>
      <c r="F28" s="97" t="s">
        <v>562</v>
      </c>
      <c r="G28" s="97" t="s">
        <v>221</v>
      </c>
      <c r="H28" s="97" t="s">
        <v>731</v>
      </c>
    </row>
    <row r="29" ht="10.5" customHeight="1">
      <c r="A29" s="97" t="s">
        <v>468</v>
      </c>
      <c r="B29" s="97">
        <v>1.0</v>
      </c>
      <c r="C29" s="97" t="s">
        <v>732</v>
      </c>
      <c r="D29" s="97"/>
      <c r="E29" s="132"/>
      <c r="F29" s="97" t="s">
        <v>733</v>
      </c>
      <c r="G29" s="97" t="s">
        <v>734</v>
      </c>
      <c r="H29" s="97" t="s">
        <v>735</v>
      </c>
    </row>
    <row r="30" ht="10.5" customHeight="1">
      <c r="A30" s="97" t="s">
        <v>736</v>
      </c>
      <c r="B30" s="97">
        <v>2.0</v>
      </c>
      <c r="C30" s="97" t="s">
        <v>737</v>
      </c>
      <c r="D30" s="97"/>
      <c r="E30" s="132"/>
      <c r="F30" s="97" t="s">
        <v>733</v>
      </c>
      <c r="G30" s="97" t="s">
        <v>738</v>
      </c>
      <c r="H30" s="97" t="s">
        <v>739</v>
      </c>
    </row>
    <row r="31" ht="10.5" customHeight="1">
      <c r="A31" s="97" t="s">
        <v>740</v>
      </c>
      <c r="B31" s="97">
        <v>4.0</v>
      </c>
      <c r="C31" s="97" t="s">
        <v>557</v>
      </c>
      <c r="D31" s="97"/>
      <c r="E31" s="132"/>
      <c r="F31" s="97" t="s">
        <v>492</v>
      </c>
      <c r="G31" s="97" t="s">
        <v>558</v>
      </c>
      <c r="H31" s="97" t="s">
        <v>559</v>
      </c>
    </row>
    <row r="32" ht="10.5" customHeight="1">
      <c r="A32" s="97" t="s">
        <v>741</v>
      </c>
      <c r="B32" s="97">
        <v>3.0</v>
      </c>
      <c r="C32" s="97" t="s">
        <v>491</v>
      </c>
      <c r="D32" s="97"/>
      <c r="E32" s="132"/>
      <c r="F32" s="97" t="s">
        <v>492</v>
      </c>
      <c r="G32" s="97" t="s">
        <v>493</v>
      </c>
      <c r="H32" s="97" t="s">
        <v>494</v>
      </c>
    </row>
    <row r="33" ht="10.5" customHeight="1">
      <c r="A33" s="97" t="s">
        <v>742</v>
      </c>
      <c r="B33" s="97">
        <v>1.0</v>
      </c>
      <c r="C33" s="97" t="s">
        <v>743</v>
      </c>
      <c r="D33" s="97"/>
      <c r="E33" s="132"/>
      <c r="F33" s="97" t="s">
        <v>744</v>
      </c>
      <c r="G33" s="97" t="s">
        <v>745</v>
      </c>
      <c r="H33" s="97" t="s">
        <v>743</v>
      </c>
    </row>
    <row r="34" ht="10.5" customHeight="1">
      <c r="A34" s="97" t="s">
        <v>746</v>
      </c>
      <c r="B34" s="97">
        <v>4.0</v>
      </c>
      <c r="C34" s="97" t="s">
        <v>505</v>
      </c>
      <c r="D34" s="97"/>
      <c r="E34" s="132"/>
      <c r="F34" s="97" t="s">
        <v>190</v>
      </c>
      <c r="G34" s="97" t="s">
        <v>506</v>
      </c>
      <c r="H34" s="97" t="s">
        <v>507</v>
      </c>
    </row>
    <row r="35" ht="12.75" customHeight="1">
      <c r="A35" s="117" t="s">
        <v>371</v>
      </c>
      <c r="B35" s="118"/>
      <c r="C35" s="118"/>
      <c r="D35" s="118"/>
      <c r="E35" s="118"/>
      <c r="F35" s="118"/>
      <c r="G35" s="119"/>
      <c r="H35" s="120"/>
    </row>
    <row r="36" ht="10.5" customHeight="1">
      <c r="A36" s="97" t="s">
        <v>676</v>
      </c>
      <c r="B36" s="97">
        <v>4.0</v>
      </c>
      <c r="C36" s="134" t="s">
        <v>747</v>
      </c>
      <c r="D36" s="97"/>
      <c r="E36" s="132"/>
      <c r="F36" s="97"/>
      <c r="G36" s="112" t="s">
        <v>748</v>
      </c>
      <c r="H36" s="112" t="s">
        <v>749</v>
      </c>
    </row>
    <row r="37" ht="10.5" customHeight="1">
      <c r="A37" s="97"/>
      <c r="B37" s="97">
        <v>4.0</v>
      </c>
      <c r="C37" s="97" t="s">
        <v>750</v>
      </c>
      <c r="D37" s="97" t="s">
        <v>751</v>
      </c>
      <c r="E37" s="132"/>
      <c r="F37" s="97"/>
      <c r="G37" s="97"/>
      <c r="H37" s="97" t="s">
        <v>752</v>
      </c>
    </row>
    <row r="38" ht="10.5" customHeight="1">
      <c r="A38" s="97" t="s">
        <v>753</v>
      </c>
      <c r="B38" s="97">
        <v>17.0</v>
      </c>
      <c r="C38" s="97" t="s">
        <v>373</v>
      </c>
      <c r="D38" s="97"/>
      <c r="E38" s="132"/>
      <c r="F38" s="97"/>
      <c r="G38" s="97"/>
      <c r="H38" s="97" t="s">
        <v>374</v>
      </c>
    </row>
    <row r="39" ht="10.5" customHeight="1">
      <c r="A39" s="97" t="s">
        <v>495</v>
      </c>
      <c r="B39" s="97">
        <v>1.0</v>
      </c>
      <c r="C39" s="97" t="s">
        <v>496</v>
      </c>
      <c r="D39" s="97"/>
      <c r="E39" s="132"/>
      <c r="F39" s="97" t="s">
        <v>497</v>
      </c>
      <c r="G39" s="97" t="s">
        <v>754</v>
      </c>
      <c r="H39" s="133"/>
    </row>
    <row r="40" ht="10.5" customHeight="1">
      <c r="A40" s="97" t="s">
        <v>755</v>
      </c>
      <c r="B40" s="97">
        <v>8.0</v>
      </c>
      <c r="C40" s="97" t="s">
        <v>389</v>
      </c>
      <c r="D40" s="97"/>
      <c r="E40" s="132"/>
      <c r="F40" s="97"/>
      <c r="G40" s="97"/>
      <c r="H40" s="97" t="s">
        <v>390</v>
      </c>
    </row>
    <row r="41" ht="10.5" customHeight="1">
      <c r="A41" s="97" t="s">
        <v>756</v>
      </c>
      <c r="B41" s="97">
        <v>3.0</v>
      </c>
      <c r="C41" s="97" t="s">
        <v>757</v>
      </c>
      <c r="D41" s="97"/>
      <c r="E41" s="132"/>
      <c r="F41" s="97"/>
      <c r="G41" s="121" t="s">
        <v>758</v>
      </c>
      <c r="H41" s="97"/>
    </row>
    <row r="42" ht="10.5" customHeight="1">
      <c r="A42" s="97" t="s">
        <v>759</v>
      </c>
      <c r="B42" s="97">
        <v>4.0</v>
      </c>
      <c r="C42" s="97" t="s">
        <v>575</v>
      </c>
      <c r="D42" s="97"/>
      <c r="E42" s="132"/>
      <c r="F42" s="97"/>
      <c r="G42" s="97" t="s">
        <v>576</v>
      </c>
      <c r="H42" s="97" t="s">
        <v>577</v>
      </c>
    </row>
    <row r="43" ht="10.5" customHeight="1">
      <c r="A43" s="134" t="s">
        <v>760</v>
      </c>
      <c r="B43" s="97">
        <v>4.0</v>
      </c>
      <c r="C43" s="134" t="s">
        <v>579</v>
      </c>
      <c r="D43" s="97"/>
      <c r="E43" s="132"/>
      <c r="F43" s="97"/>
      <c r="G43" s="97" t="s">
        <v>580</v>
      </c>
      <c r="H43" s="97" t="s">
        <v>581</v>
      </c>
    </row>
    <row r="44" ht="10.5" customHeight="1">
      <c r="A44" s="122" t="s">
        <v>391</v>
      </c>
      <c r="B44" s="123"/>
      <c r="C44" s="122"/>
      <c r="D44" s="122"/>
      <c r="E44" s="187"/>
      <c r="F44" s="124"/>
      <c r="G44" s="123"/>
      <c r="H44" s="120"/>
    </row>
    <row r="45" ht="10.5" customHeight="1">
      <c r="A45" s="97" t="s">
        <v>761</v>
      </c>
      <c r="B45" s="97">
        <v>1.0</v>
      </c>
      <c r="C45" s="97" t="s">
        <v>524</v>
      </c>
      <c r="D45" s="97"/>
      <c r="E45" s="132"/>
      <c r="F45" s="97"/>
      <c r="G45" s="97" t="s">
        <v>394</v>
      </c>
      <c r="H45" s="97"/>
    </row>
    <row r="46" ht="10.5" customHeight="1">
      <c r="A46" s="97" t="s">
        <v>762</v>
      </c>
      <c r="B46" s="97">
        <v>1.0</v>
      </c>
      <c r="C46" s="97" t="s">
        <v>586</v>
      </c>
      <c r="D46" s="97"/>
      <c r="E46" s="132"/>
      <c r="F46" s="97"/>
      <c r="G46" s="97" t="s">
        <v>587</v>
      </c>
      <c r="H46" s="97"/>
    </row>
    <row r="47" ht="10.5" customHeight="1">
      <c r="A47" s="97" t="s">
        <v>763</v>
      </c>
      <c r="B47" s="193">
        <v>0.0</v>
      </c>
      <c r="C47" s="97" t="s">
        <v>586</v>
      </c>
      <c r="D47" s="97"/>
      <c r="E47" s="132"/>
      <c r="F47" s="97"/>
      <c r="G47" s="97" t="s">
        <v>587</v>
      </c>
      <c r="H47" s="97"/>
    </row>
    <row r="48" ht="10.5" customHeight="1">
      <c r="A48" s="122" t="s">
        <v>531</v>
      </c>
      <c r="B48" s="194"/>
      <c r="C48" s="120"/>
      <c r="D48" s="120"/>
      <c r="E48" s="195"/>
      <c r="F48" s="196"/>
      <c r="G48" s="194"/>
      <c r="H48" s="120"/>
    </row>
    <row r="49" ht="10.5" customHeight="1">
      <c r="A49" s="125" t="s">
        <v>395</v>
      </c>
      <c r="B49" s="188"/>
      <c r="C49" s="125" t="s">
        <v>764</v>
      </c>
      <c r="D49" s="125"/>
      <c r="E49" s="189"/>
      <c r="F49" s="142"/>
      <c r="G49" s="143"/>
      <c r="H49" s="125"/>
    </row>
  </sheetData>
  <mergeCells count="3">
    <mergeCell ref="A1:H1"/>
    <mergeCell ref="A3:G3"/>
    <mergeCell ref="A35:G35"/>
  </mergeCells>
  <conditionalFormatting sqref="G18">
    <cfRule type="expression" dxfId="0" priority="1">
      <formula>$R18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43"/>
    <col customWidth="1" min="2" max="2" width="3.86"/>
    <col customWidth="1" min="3" max="3" width="29.86"/>
    <col customWidth="1" min="4" max="4" width="12.57"/>
    <col customWidth="1" min="5" max="5" width="5.43"/>
    <col customWidth="1" min="6" max="6" width="10.43"/>
    <col customWidth="1" min="7" max="7" width="21.71"/>
    <col customWidth="1" min="8" max="8" width="35.71"/>
  </cols>
  <sheetData>
    <row r="1" ht="18.0" customHeight="1">
      <c r="A1" s="197" t="s">
        <v>765</v>
      </c>
    </row>
    <row r="2" ht="12.7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177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97" t="s">
        <v>766</v>
      </c>
      <c r="B4" s="97">
        <v>1.0</v>
      </c>
      <c r="C4" s="97" t="s">
        <v>284</v>
      </c>
      <c r="D4" s="198"/>
      <c r="E4" s="97">
        <v>33.0</v>
      </c>
      <c r="F4" s="97" t="str">
        <f t="shared" ref="F4:F21" si="1">"0603"</f>
        <v>0603</v>
      </c>
      <c r="G4" s="97" t="s">
        <v>767</v>
      </c>
      <c r="H4" s="198"/>
    </row>
    <row r="5" ht="12.0" customHeight="1">
      <c r="A5" s="97" t="s">
        <v>768</v>
      </c>
      <c r="B5" s="97">
        <v>4.0</v>
      </c>
      <c r="C5" s="97" t="s">
        <v>284</v>
      </c>
      <c r="D5" s="198"/>
      <c r="E5" s="97" t="s">
        <v>598</v>
      </c>
      <c r="F5" s="97" t="str">
        <f t="shared" si="1"/>
        <v>0603</v>
      </c>
      <c r="G5" s="97" t="s">
        <v>537</v>
      </c>
      <c r="H5" s="198"/>
    </row>
    <row r="6" ht="12.0" customHeight="1">
      <c r="A6" s="97" t="s">
        <v>769</v>
      </c>
      <c r="B6" s="97">
        <v>4.0</v>
      </c>
      <c r="C6" s="97" t="s">
        <v>284</v>
      </c>
      <c r="D6" s="198"/>
      <c r="E6" s="97" t="s">
        <v>600</v>
      </c>
      <c r="F6" s="97" t="str">
        <f t="shared" si="1"/>
        <v>0603</v>
      </c>
      <c r="G6" s="97" t="s">
        <v>601</v>
      </c>
      <c r="H6" s="198"/>
    </row>
    <row r="7" ht="12.0" customHeight="1">
      <c r="A7" s="97" t="s">
        <v>770</v>
      </c>
      <c r="B7" s="97">
        <v>4.0</v>
      </c>
      <c r="C7" s="97" t="s">
        <v>284</v>
      </c>
      <c r="D7" s="198"/>
      <c r="E7" s="97" t="s">
        <v>771</v>
      </c>
      <c r="F7" s="97" t="str">
        <f t="shared" si="1"/>
        <v>0603</v>
      </c>
      <c r="G7" s="97" t="s">
        <v>772</v>
      </c>
      <c r="H7" s="198"/>
    </row>
    <row r="8" ht="12.0" customHeight="1">
      <c r="A8" s="97" t="s">
        <v>773</v>
      </c>
      <c r="B8" s="97">
        <v>3.0</v>
      </c>
      <c r="C8" s="97" t="s">
        <v>284</v>
      </c>
      <c r="D8" s="198"/>
      <c r="E8" s="97" t="s">
        <v>132</v>
      </c>
      <c r="F8" s="97" t="str">
        <f t="shared" si="1"/>
        <v>0603</v>
      </c>
      <c r="G8" s="97" t="s">
        <v>539</v>
      </c>
      <c r="H8" s="198"/>
    </row>
    <row r="9" ht="12.0" customHeight="1">
      <c r="A9" s="97" t="s">
        <v>774</v>
      </c>
      <c r="B9" s="97">
        <v>11.0</v>
      </c>
      <c r="C9" s="97" t="s">
        <v>284</v>
      </c>
      <c r="D9" s="198"/>
      <c r="E9" s="97" t="s">
        <v>775</v>
      </c>
      <c r="F9" s="97" t="str">
        <f t="shared" si="1"/>
        <v>0603</v>
      </c>
      <c r="G9" s="97" t="s">
        <v>776</v>
      </c>
      <c r="H9" s="198"/>
    </row>
    <row r="10" ht="12.0" customHeight="1">
      <c r="A10" s="97" t="s">
        <v>617</v>
      </c>
      <c r="B10" s="97">
        <v>1.0</v>
      </c>
      <c r="C10" s="97" t="s">
        <v>284</v>
      </c>
      <c r="D10" s="198"/>
      <c r="E10" s="97" t="s">
        <v>613</v>
      </c>
      <c r="F10" s="97" t="str">
        <f t="shared" si="1"/>
        <v>0603</v>
      </c>
      <c r="G10" s="97" t="s">
        <v>614</v>
      </c>
      <c r="H10" s="198"/>
    </row>
    <row r="11" ht="12.0" customHeight="1">
      <c r="A11" s="97" t="s">
        <v>777</v>
      </c>
      <c r="B11" s="97">
        <v>2.0</v>
      </c>
      <c r="C11" s="97" t="s">
        <v>284</v>
      </c>
      <c r="D11" s="198"/>
      <c r="E11" s="97" t="s">
        <v>778</v>
      </c>
      <c r="F11" s="97" t="str">
        <f t="shared" si="1"/>
        <v>0603</v>
      </c>
      <c r="G11" s="97" t="s">
        <v>779</v>
      </c>
      <c r="H11" s="198"/>
    </row>
    <row r="12" ht="12.0" customHeight="1">
      <c r="A12" s="97" t="s">
        <v>780</v>
      </c>
      <c r="B12" s="97">
        <v>5.0</v>
      </c>
      <c r="C12" s="97" t="s">
        <v>284</v>
      </c>
      <c r="D12" s="198"/>
      <c r="E12" s="97" t="s">
        <v>618</v>
      </c>
      <c r="F12" s="97" t="str">
        <f t="shared" si="1"/>
        <v>0603</v>
      </c>
      <c r="G12" s="97" t="s">
        <v>619</v>
      </c>
      <c r="H12" s="198"/>
    </row>
    <row r="13" ht="12.0" customHeight="1">
      <c r="A13" s="97" t="s">
        <v>781</v>
      </c>
      <c r="B13" s="97">
        <v>14.0</v>
      </c>
      <c r="C13" s="97" t="s">
        <v>284</v>
      </c>
      <c r="D13" s="198"/>
      <c r="E13" s="97" t="s">
        <v>120</v>
      </c>
      <c r="F13" s="97" t="str">
        <f t="shared" si="1"/>
        <v>0603</v>
      </c>
      <c r="G13" s="97" t="s">
        <v>312</v>
      </c>
      <c r="H13" s="198"/>
    </row>
    <row r="14" ht="12.0" customHeight="1">
      <c r="A14" s="97" t="s">
        <v>782</v>
      </c>
      <c r="B14" s="97">
        <v>11.0</v>
      </c>
      <c r="C14" s="97" t="s">
        <v>284</v>
      </c>
      <c r="D14" s="198"/>
      <c r="E14" s="97" t="s">
        <v>416</v>
      </c>
      <c r="F14" s="97" t="str">
        <f t="shared" si="1"/>
        <v>0603</v>
      </c>
      <c r="G14" s="97" t="s">
        <v>783</v>
      </c>
      <c r="H14" s="198"/>
    </row>
    <row r="15" ht="12.0" customHeight="1">
      <c r="A15" s="97" t="s">
        <v>784</v>
      </c>
      <c r="B15" s="97">
        <v>1.0</v>
      </c>
      <c r="C15" s="97" t="s">
        <v>284</v>
      </c>
      <c r="D15" s="198"/>
      <c r="E15" s="97" t="s">
        <v>624</v>
      </c>
      <c r="F15" s="97" t="str">
        <f t="shared" si="1"/>
        <v>0603</v>
      </c>
      <c r="G15" s="97" t="s">
        <v>625</v>
      </c>
      <c r="H15" s="198"/>
    </row>
    <row r="16" ht="12.0" customHeight="1">
      <c r="A16" s="97" t="s">
        <v>785</v>
      </c>
      <c r="B16" s="97">
        <v>1.0</v>
      </c>
      <c r="C16" s="97" t="s">
        <v>284</v>
      </c>
      <c r="D16" s="198"/>
      <c r="E16" s="97" t="s">
        <v>419</v>
      </c>
      <c r="F16" s="97" t="str">
        <f t="shared" si="1"/>
        <v>0603</v>
      </c>
      <c r="G16" s="97" t="s">
        <v>627</v>
      </c>
      <c r="H16" s="198"/>
    </row>
    <row r="17" ht="12.0" customHeight="1">
      <c r="A17" s="97" t="s">
        <v>786</v>
      </c>
      <c r="B17" s="97">
        <v>4.0</v>
      </c>
      <c r="C17" s="97" t="s">
        <v>331</v>
      </c>
      <c r="D17" s="198"/>
      <c r="E17" s="97" t="s">
        <v>421</v>
      </c>
      <c r="F17" s="97" t="str">
        <f t="shared" si="1"/>
        <v>0603</v>
      </c>
      <c r="G17" s="97" t="s">
        <v>139</v>
      </c>
      <c r="H17" s="97" t="s">
        <v>629</v>
      </c>
    </row>
    <row r="18" ht="12.0" customHeight="1">
      <c r="A18" s="97" t="s">
        <v>787</v>
      </c>
      <c r="B18" s="97">
        <v>2.0</v>
      </c>
      <c r="C18" s="97" t="s">
        <v>331</v>
      </c>
      <c r="D18" s="97" t="s">
        <v>631</v>
      </c>
      <c r="E18" s="97" t="s">
        <v>632</v>
      </c>
      <c r="F18" s="97" t="str">
        <f t="shared" si="1"/>
        <v>0603</v>
      </c>
      <c r="G18" s="97" t="s">
        <v>633</v>
      </c>
      <c r="H18" s="97" t="s">
        <v>788</v>
      </c>
    </row>
    <row r="19" ht="12.0" customHeight="1">
      <c r="A19" s="97" t="s">
        <v>789</v>
      </c>
      <c r="B19" s="97">
        <v>13.0</v>
      </c>
      <c r="C19" s="97" t="s">
        <v>331</v>
      </c>
      <c r="D19" s="97" t="s">
        <v>790</v>
      </c>
      <c r="E19" s="97" t="s">
        <v>791</v>
      </c>
      <c r="F19" s="97" t="str">
        <f t="shared" si="1"/>
        <v>0603</v>
      </c>
      <c r="G19" s="97" t="s">
        <v>792</v>
      </c>
      <c r="H19" s="198"/>
    </row>
    <row r="20" ht="12.0" customHeight="1">
      <c r="A20" s="97" t="s">
        <v>793</v>
      </c>
      <c r="B20" s="97">
        <v>24.0</v>
      </c>
      <c r="C20" s="97" t="s">
        <v>331</v>
      </c>
      <c r="D20" s="97" t="s">
        <v>432</v>
      </c>
      <c r="E20" s="97" t="s">
        <v>333</v>
      </c>
      <c r="F20" s="97" t="str">
        <f t="shared" si="1"/>
        <v>0603</v>
      </c>
      <c r="G20" s="97" t="s">
        <v>116</v>
      </c>
      <c r="H20" s="97" t="s">
        <v>334</v>
      </c>
    </row>
    <row r="21" ht="12.0" customHeight="1">
      <c r="A21" s="97" t="s">
        <v>794</v>
      </c>
      <c r="B21" s="97">
        <v>3.0</v>
      </c>
      <c r="C21" s="97" t="s">
        <v>331</v>
      </c>
      <c r="D21" s="97" t="s">
        <v>439</v>
      </c>
      <c r="E21" s="97" t="s">
        <v>440</v>
      </c>
      <c r="F21" s="97" t="str">
        <f t="shared" si="1"/>
        <v>0603</v>
      </c>
      <c r="G21" s="97" t="s">
        <v>441</v>
      </c>
      <c r="H21" s="97" t="s">
        <v>640</v>
      </c>
    </row>
    <row r="22" ht="12.0" customHeight="1">
      <c r="A22" s="97" t="s">
        <v>795</v>
      </c>
      <c r="B22" s="97">
        <v>2.0</v>
      </c>
      <c r="C22" s="97" t="s">
        <v>331</v>
      </c>
      <c r="D22" s="97" t="s">
        <v>439</v>
      </c>
      <c r="E22" s="97" t="s">
        <v>642</v>
      </c>
      <c r="F22" s="97" t="str">
        <f>"0805"</f>
        <v>0805</v>
      </c>
      <c r="G22" s="97" t="s">
        <v>644</v>
      </c>
      <c r="H22" s="97" t="s">
        <v>645</v>
      </c>
    </row>
    <row r="23" ht="12.0" customHeight="1">
      <c r="A23" s="97" t="s">
        <v>796</v>
      </c>
      <c r="B23" s="97">
        <v>5.0</v>
      </c>
      <c r="C23" s="97" t="s">
        <v>336</v>
      </c>
      <c r="D23" s="97" t="s">
        <v>432</v>
      </c>
      <c r="E23" s="97" t="s">
        <v>444</v>
      </c>
      <c r="F23" s="97" t="s">
        <v>445</v>
      </c>
      <c r="G23" s="97" t="s">
        <v>647</v>
      </c>
      <c r="H23" s="97" t="s">
        <v>648</v>
      </c>
    </row>
    <row r="24" ht="12.0" customHeight="1">
      <c r="A24" s="97" t="s">
        <v>797</v>
      </c>
      <c r="B24" s="97">
        <v>4.0</v>
      </c>
      <c r="C24" s="97" t="s">
        <v>336</v>
      </c>
      <c r="D24" s="97" t="s">
        <v>332</v>
      </c>
      <c r="E24" s="97" t="s">
        <v>337</v>
      </c>
      <c r="F24" s="97" t="s">
        <v>452</v>
      </c>
      <c r="G24" s="97" t="s">
        <v>339</v>
      </c>
      <c r="H24" s="97" t="s">
        <v>340</v>
      </c>
    </row>
    <row r="25" ht="10.5" customHeight="1">
      <c r="A25" s="97" t="s">
        <v>341</v>
      </c>
      <c r="B25" s="97">
        <v>2.0</v>
      </c>
      <c r="C25" s="97" t="s">
        <v>342</v>
      </c>
      <c r="D25" s="97"/>
      <c r="E25" s="97"/>
      <c r="F25" s="97" t="s">
        <v>343</v>
      </c>
      <c r="G25" s="97" t="s">
        <v>344</v>
      </c>
      <c r="H25" s="97" t="s">
        <v>345</v>
      </c>
    </row>
    <row r="26" ht="12.0" customHeight="1">
      <c r="A26" s="97" t="s">
        <v>798</v>
      </c>
      <c r="B26" s="97">
        <v>2.0</v>
      </c>
      <c r="C26" s="97" t="s">
        <v>474</v>
      </c>
      <c r="D26" s="198"/>
      <c r="E26" s="97" t="s">
        <v>475</v>
      </c>
      <c r="F26" s="97" t="s">
        <v>220</v>
      </c>
      <c r="G26" s="97" t="s">
        <v>221</v>
      </c>
      <c r="H26" s="97" t="s">
        <v>658</v>
      </c>
    </row>
    <row r="27" ht="10.5" customHeight="1">
      <c r="A27" s="97" t="s">
        <v>799</v>
      </c>
      <c r="B27" s="97">
        <v>4.0</v>
      </c>
      <c r="C27" s="97" t="s">
        <v>800</v>
      </c>
      <c r="D27" s="97"/>
      <c r="E27" s="97"/>
      <c r="F27" s="97" t="s">
        <v>801</v>
      </c>
      <c r="G27" s="97" t="s">
        <v>802</v>
      </c>
      <c r="H27" s="97" t="s">
        <v>803</v>
      </c>
    </row>
    <row r="28" ht="10.5" customHeight="1">
      <c r="A28" s="97" t="s">
        <v>486</v>
      </c>
      <c r="B28" s="97">
        <v>1.0</v>
      </c>
      <c r="C28" s="97" t="s">
        <v>557</v>
      </c>
      <c r="D28" s="97"/>
      <c r="E28" s="97"/>
      <c r="F28" s="97" t="s">
        <v>492</v>
      </c>
      <c r="G28" s="97" t="s">
        <v>558</v>
      </c>
      <c r="H28" s="97" t="s">
        <v>559</v>
      </c>
    </row>
    <row r="29" ht="10.5" customHeight="1">
      <c r="A29" s="97" t="s">
        <v>804</v>
      </c>
      <c r="B29" s="97">
        <v>3.0</v>
      </c>
      <c r="C29" s="134" t="s">
        <v>480</v>
      </c>
      <c r="D29" s="97"/>
      <c r="E29" s="97"/>
      <c r="F29" s="97" t="s">
        <v>465</v>
      </c>
      <c r="G29" s="97" t="s">
        <v>481</v>
      </c>
      <c r="H29" s="97" t="s">
        <v>482</v>
      </c>
    </row>
    <row r="30" ht="12.0" customHeight="1">
      <c r="A30" s="97" t="s">
        <v>490</v>
      </c>
      <c r="B30" s="97">
        <v>1.0</v>
      </c>
      <c r="C30" s="97" t="s">
        <v>654</v>
      </c>
      <c r="D30" s="198"/>
      <c r="E30" s="97"/>
      <c r="F30" s="97" t="s">
        <v>655</v>
      </c>
      <c r="G30" s="97" t="s">
        <v>656</v>
      </c>
      <c r="H30" s="97" t="s">
        <v>657</v>
      </c>
    </row>
    <row r="31" ht="12.0" customHeight="1">
      <c r="A31" s="97" t="s">
        <v>805</v>
      </c>
      <c r="B31" s="97">
        <v>1.0</v>
      </c>
      <c r="C31" s="97" t="s">
        <v>659</v>
      </c>
      <c r="D31" s="198"/>
      <c r="E31" s="97"/>
      <c r="F31" s="97" t="s">
        <v>660</v>
      </c>
      <c r="G31" s="97" t="s">
        <v>268</v>
      </c>
      <c r="H31" s="97" t="s">
        <v>661</v>
      </c>
    </row>
    <row r="32" ht="12.0" customHeight="1">
      <c r="A32" s="97" t="s">
        <v>553</v>
      </c>
      <c r="B32" s="97">
        <v>1.0</v>
      </c>
      <c r="C32" s="97" t="s">
        <v>362</v>
      </c>
      <c r="D32" s="97" t="s">
        <v>459</v>
      </c>
      <c r="E32" s="97" t="s">
        <v>364</v>
      </c>
      <c r="F32" s="97" t="s">
        <v>190</v>
      </c>
      <c r="G32" s="97" t="s">
        <v>484</v>
      </c>
      <c r="H32" s="97" t="s">
        <v>485</v>
      </c>
    </row>
    <row r="33" ht="10.5" customHeight="1">
      <c r="A33" s="97" t="s">
        <v>730</v>
      </c>
      <c r="B33" s="97">
        <v>1.0</v>
      </c>
      <c r="C33" s="97" t="s">
        <v>806</v>
      </c>
      <c r="D33" s="97"/>
      <c r="E33" s="97"/>
      <c r="F33" s="97" t="s">
        <v>492</v>
      </c>
      <c r="G33" s="199" t="str">
        <f>HYPERLINK("http://www.mouser.co.uk/ProductDetail/Texas-Instruments/LME49720MAX-NOPB/?qs=sGAEpiMZZMvu8NZDyZ4K0QX3vNMCfeQq","926-LME49720MAX/NOPB")</f>
        <v>926-LME49720MAX/NOPB</v>
      </c>
      <c r="H33" s="134" t="s">
        <v>807</v>
      </c>
    </row>
    <row r="34" ht="12.0" customHeight="1">
      <c r="A34" s="97" t="s">
        <v>808</v>
      </c>
      <c r="B34" s="97">
        <v>1.0</v>
      </c>
      <c r="C34" s="97" t="s">
        <v>496</v>
      </c>
      <c r="D34" s="97"/>
      <c r="E34" s="198"/>
      <c r="F34" s="97" t="s">
        <v>497</v>
      </c>
      <c r="G34" s="97" t="s">
        <v>180</v>
      </c>
      <c r="H34" s="97" t="s">
        <v>498</v>
      </c>
    </row>
    <row r="35" ht="12.0" customHeight="1">
      <c r="A35" s="97" t="s">
        <v>193</v>
      </c>
      <c r="B35" s="97">
        <v>2.0</v>
      </c>
      <c r="C35" s="97" t="s">
        <v>367</v>
      </c>
      <c r="D35" s="97" t="s">
        <v>809</v>
      </c>
      <c r="E35" s="198"/>
      <c r="F35" s="97" t="str">
        <f>"0603"</f>
        <v>0603</v>
      </c>
      <c r="G35" s="97" t="s">
        <v>810</v>
      </c>
      <c r="H35" s="97" t="s">
        <v>811</v>
      </c>
    </row>
    <row r="36" ht="12.0" customHeight="1">
      <c r="A36" s="97" t="s">
        <v>812</v>
      </c>
      <c r="B36" s="97">
        <v>1.0</v>
      </c>
      <c r="C36" s="97" t="s">
        <v>505</v>
      </c>
      <c r="D36" s="198"/>
      <c r="E36" s="198"/>
      <c r="F36" s="97" t="s">
        <v>190</v>
      </c>
      <c r="G36" s="97" t="s">
        <v>506</v>
      </c>
      <c r="H36" s="97" t="s">
        <v>507</v>
      </c>
    </row>
    <row r="37" ht="12.0" customHeight="1">
      <c r="A37" s="97" t="s">
        <v>499</v>
      </c>
      <c r="B37" s="97">
        <v>2.0</v>
      </c>
      <c r="C37" s="97" t="s">
        <v>500</v>
      </c>
      <c r="D37" s="198"/>
      <c r="E37" s="198"/>
      <c r="F37" s="97" t="s">
        <v>501</v>
      </c>
      <c r="G37" s="97" t="s">
        <v>502</v>
      </c>
      <c r="H37" s="97" t="s">
        <v>503</v>
      </c>
    </row>
    <row r="38" ht="12.75" customHeight="1">
      <c r="A38" s="117" t="s">
        <v>371</v>
      </c>
      <c r="B38" s="118"/>
      <c r="C38" s="118"/>
      <c r="D38" s="118"/>
      <c r="E38" s="118"/>
      <c r="F38" s="118"/>
      <c r="G38" s="119"/>
      <c r="H38" s="120"/>
    </row>
    <row r="39" ht="10.5" customHeight="1">
      <c r="A39" s="97" t="s">
        <v>813</v>
      </c>
      <c r="B39" s="97">
        <v>18.0</v>
      </c>
      <c r="C39" s="97" t="s">
        <v>373</v>
      </c>
      <c r="D39" s="97"/>
      <c r="E39" s="97"/>
      <c r="F39" s="97"/>
      <c r="G39" s="97"/>
      <c r="H39" s="97" t="s">
        <v>374</v>
      </c>
    </row>
    <row r="40" ht="12.0" customHeight="1">
      <c r="A40" s="97" t="s">
        <v>814</v>
      </c>
      <c r="B40" s="97">
        <v>10.0</v>
      </c>
      <c r="C40" s="97" t="s">
        <v>386</v>
      </c>
      <c r="D40" s="198"/>
      <c r="E40" s="97"/>
      <c r="F40" s="198"/>
      <c r="G40" s="198"/>
      <c r="H40" s="121" t="s">
        <v>387</v>
      </c>
    </row>
    <row r="41" ht="12.0" customHeight="1">
      <c r="A41" s="97" t="s">
        <v>815</v>
      </c>
      <c r="B41" s="97">
        <v>17.0</v>
      </c>
      <c r="C41" s="97" t="s">
        <v>389</v>
      </c>
      <c r="D41" s="198"/>
      <c r="E41" s="198"/>
      <c r="F41" s="198"/>
      <c r="G41" s="198"/>
      <c r="H41" s="97" t="s">
        <v>390</v>
      </c>
    </row>
    <row r="42" ht="12.0" customHeight="1">
      <c r="A42" s="97" t="s">
        <v>816</v>
      </c>
      <c r="B42" s="97">
        <v>1.0</v>
      </c>
      <c r="C42" s="97" t="s">
        <v>817</v>
      </c>
      <c r="D42" s="198"/>
      <c r="E42" s="198"/>
      <c r="F42" s="198"/>
      <c r="G42" s="97" t="s">
        <v>818</v>
      </c>
      <c r="H42" s="97" t="s">
        <v>819</v>
      </c>
    </row>
    <row r="43" ht="12.0" customHeight="1">
      <c r="A43" s="97" t="s">
        <v>820</v>
      </c>
      <c r="B43" s="97">
        <v>1.0</v>
      </c>
      <c r="C43" s="97" t="s">
        <v>821</v>
      </c>
      <c r="D43" s="198"/>
      <c r="E43" s="198"/>
      <c r="F43" s="198"/>
      <c r="G43" s="97" t="s">
        <v>822</v>
      </c>
      <c r="H43" s="97" t="s">
        <v>823</v>
      </c>
    </row>
    <row r="44" ht="12.0" customHeight="1">
      <c r="A44" s="97" t="s">
        <v>520</v>
      </c>
      <c r="B44" s="97">
        <v>1.0</v>
      </c>
      <c r="C44" s="97" t="s">
        <v>680</v>
      </c>
      <c r="D44" s="198"/>
      <c r="E44" s="198"/>
      <c r="F44" s="198"/>
      <c r="G44" s="200" t="str">
        <f>HYPERLINK("http://www.mouser.co.uk/ProductDetail/E-Switch/LP4OA1PBCTG/?qs=sGAEpiMZZMufv8JNQ5fVHYtKSHsZaECCoPbaN8OG5%252bM%3d","612-LP4OA1PBCTG")</f>
        <v>612-LP4OA1PBCTG</v>
      </c>
      <c r="H44" s="97" t="s">
        <v>824</v>
      </c>
    </row>
    <row r="45" ht="12.0" customHeight="1">
      <c r="A45" s="122" t="s">
        <v>391</v>
      </c>
      <c r="B45" s="123"/>
      <c r="C45" s="122"/>
      <c r="D45" s="122"/>
      <c r="E45" s="187"/>
      <c r="F45" s="124"/>
      <c r="G45" s="123"/>
      <c r="H45" s="120"/>
    </row>
    <row r="46" ht="10.5" customHeight="1">
      <c r="A46" s="97" t="s">
        <v>825</v>
      </c>
      <c r="B46" s="97">
        <v>1.0</v>
      </c>
      <c r="C46" s="97" t="s">
        <v>687</v>
      </c>
      <c r="D46" s="97"/>
      <c r="E46" s="97"/>
      <c r="F46" s="97"/>
      <c r="G46" s="97" t="s">
        <v>527</v>
      </c>
      <c r="H46" s="97"/>
    </row>
    <row r="47" ht="10.5" customHeight="1">
      <c r="A47" s="97" t="s">
        <v>826</v>
      </c>
      <c r="B47" s="97">
        <v>1.0</v>
      </c>
      <c r="C47" s="97" t="s">
        <v>393</v>
      </c>
      <c r="D47" s="97"/>
      <c r="E47" s="97"/>
      <c r="F47" s="97"/>
      <c r="G47" s="97" t="s">
        <v>394</v>
      </c>
      <c r="H47" s="97"/>
    </row>
    <row r="48" ht="12.0" customHeight="1">
      <c r="A48" s="97" t="s">
        <v>827</v>
      </c>
      <c r="B48" s="97">
        <v>1.0</v>
      </c>
      <c r="C48" s="97" t="s">
        <v>684</v>
      </c>
      <c r="D48" s="198"/>
      <c r="E48" s="97"/>
      <c r="F48" s="198"/>
      <c r="G48" s="97" t="s">
        <v>530</v>
      </c>
      <c r="H48" s="97"/>
    </row>
    <row r="49" ht="12.0" customHeight="1">
      <c r="A49" s="122" t="s">
        <v>828</v>
      </c>
      <c r="B49" s="123"/>
      <c r="C49" s="122"/>
      <c r="D49" s="122"/>
      <c r="E49" s="187"/>
      <c r="F49" s="124"/>
      <c r="G49" s="123"/>
      <c r="H49" s="120"/>
    </row>
    <row r="50" ht="10.5" customHeight="1">
      <c r="A50" s="126" t="s">
        <v>395</v>
      </c>
      <c r="B50" s="126"/>
      <c r="C50" s="126" t="s">
        <v>829</v>
      </c>
      <c r="D50" s="126"/>
      <c r="E50" s="126"/>
      <c r="F50" s="126"/>
      <c r="G50" s="126"/>
      <c r="H50" s="126"/>
    </row>
  </sheetData>
  <mergeCells count="3">
    <mergeCell ref="A1:H1"/>
    <mergeCell ref="A3:G3"/>
    <mergeCell ref="A38:G38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8.0"/>
    <col customWidth="1" min="2" max="2" width="3.86"/>
    <col customWidth="1" min="3" max="3" width="31.43"/>
    <col customWidth="1" min="4" max="4" width="13.57"/>
    <col customWidth="1" min="5" max="5" width="5.43"/>
    <col customWidth="1" min="6" max="6" width="12.29"/>
    <col customWidth="1" min="7" max="7" width="23.43"/>
    <col customWidth="1" min="8" max="8" width="39.43"/>
  </cols>
  <sheetData>
    <row r="1" ht="18.0" customHeight="1">
      <c r="A1" s="197" t="s">
        <v>830</v>
      </c>
    </row>
    <row r="2" ht="12.0" customHeight="1">
      <c r="A2" s="79" t="s">
        <v>106</v>
      </c>
      <c r="B2" s="79" t="s">
        <v>95</v>
      </c>
      <c r="C2" s="79" t="s">
        <v>96</v>
      </c>
      <c r="D2" s="79" t="s">
        <v>97</v>
      </c>
      <c r="E2" s="201" t="s">
        <v>98</v>
      </c>
      <c r="F2" s="80" t="s">
        <v>99</v>
      </c>
      <c r="G2" s="81" t="s">
        <v>107</v>
      </c>
      <c r="H2" s="79" t="s">
        <v>109</v>
      </c>
    </row>
    <row r="3" ht="12.75" customHeight="1">
      <c r="A3" s="128" t="s">
        <v>280</v>
      </c>
      <c r="B3" s="129"/>
      <c r="C3" s="129"/>
      <c r="D3" s="129"/>
      <c r="E3" s="129"/>
      <c r="F3" s="129"/>
      <c r="G3" s="130"/>
      <c r="H3" s="131"/>
    </row>
    <row r="4" ht="12.0" customHeight="1">
      <c r="A4" s="108" t="s">
        <v>831</v>
      </c>
      <c r="B4" s="108">
        <v>12.0</v>
      </c>
      <c r="C4" s="108" t="s">
        <v>284</v>
      </c>
      <c r="D4" s="108"/>
      <c r="E4" s="112">
        <v>100.0</v>
      </c>
      <c r="F4" s="136" t="s">
        <v>593</v>
      </c>
      <c r="G4" s="138" t="s">
        <v>832</v>
      </c>
      <c r="H4" s="202"/>
    </row>
    <row r="5" ht="12.0" customHeight="1">
      <c r="A5" s="108" t="s">
        <v>833</v>
      </c>
      <c r="B5" s="108">
        <v>5.0</v>
      </c>
      <c r="C5" s="108" t="s">
        <v>284</v>
      </c>
      <c r="D5" s="108"/>
      <c r="E5" s="203" t="s">
        <v>834</v>
      </c>
      <c r="F5" s="136" t="s">
        <v>593</v>
      </c>
      <c r="G5" s="108" t="s">
        <v>835</v>
      </c>
      <c r="H5" s="202"/>
    </row>
    <row r="6" ht="12.0" customHeight="1">
      <c r="A6" s="108" t="s">
        <v>836</v>
      </c>
      <c r="B6" s="108">
        <v>6.0</v>
      </c>
      <c r="C6" s="108" t="s">
        <v>284</v>
      </c>
      <c r="D6" s="108"/>
      <c r="E6" s="203" t="s">
        <v>598</v>
      </c>
      <c r="F6" s="136" t="s">
        <v>593</v>
      </c>
      <c r="G6" s="138" t="s">
        <v>837</v>
      </c>
      <c r="H6" s="202"/>
    </row>
    <row r="7" ht="12.0" customHeight="1">
      <c r="A7" s="108" t="s">
        <v>838</v>
      </c>
      <c r="B7" s="108">
        <v>1.0</v>
      </c>
      <c r="C7" s="108" t="s">
        <v>284</v>
      </c>
      <c r="D7" s="108"/>
      <c r="E7" s="112" t="s">
        <v>603</v>
      </c>
      <c r="F7" s="136" t="s">
        <v>593</v>
      </c>
      <c r="G7" s="138" t="s">
        <v>839</v>
      </c>
      <c r="H7" s="108"/>
    </row>
    <row r="8" ht="12.0" customHeight="1">
      <c r="A8" s="108" t="s">
        <v>412</v>
      </c>
      <c r="B8" s="108">
        <v>2.0</v>
      </c>
      <c r="C8" s="108" t="s">
        <v>284</v>
      </c>
      <c r="D8" s="108"/>
      <c r="E8" s="112" t="s">
        <v>840</v>
      </c>
      <c r="F8" s="136" t="s">
        <v>593</v>
      </c>
      <c r="G8" s="138" t="s">
        <v>841</v>
      </c>
      <c r="H8" s="108"/>
    </row>
    <row r="9" ht="12.0" customHeight="1">
      <c r="A9" s="108" t="s">
        <v>842</v>
      </c>
      <c r="B9" s="108">
        <v>3.0</v>
      </c>
      <c r="C9" s="108" t="s">
        <v>284</v>
      </c>
      <c r="D9" s="108"/>
      <c r="E9" s="203" t="s">
        <v>132</v>
      </c>
      <c r="F9" s="136" t="s">
        <v>593</v>
      </c>
      <c r="G9" s="138" t="s">
        <v>843</v>
      </c>
      <c r="H9" s="202"/>
    </row>
    <row r="10" ht="12.0" customHeight="1">
      <c r="A10" s="108" t="s">
        <v>844</v>
      </c>
      <c r="B10" s="108">
        <v>1.0</v>
      </c>
      <c r="C10" s="108" t="s">
        <v>284</v>
      </c>
      <c r="D10" s="108"/>
      <c r="E10" s="203" t="s">
        <v>613</v>
      </c>
      <c r="F10" s="136" t="s">
        <v>593</v>
      </c>
      <c r="G10" s="108" t="s">
        <v>845</v>
      </c>
      <c r="H10" s="202"/>
    </row>
    <row r="11" ht="12.0" customHeight="1">
      <c r="A11" s="108" t="s">
        <v>846</v>
      </c>
      <c r="B11" s="108">
        <v>1.0</v>
      </c>
      <c r="C11" s="108" t="s">
        <v>284</v>
      </c>
      <c r="D11" s="108"/>
      <c r="E11" s="203" t="s">
        <v>413</v>
      </c>
      <c r="F11" s="136" t="s">
        <v>593</v>
      </c>
      <c r="G11" s="138" t="s">
        <v>847</v>
      </c>
      <c r="H11" s="202"/>
    </row>
    <row r="12">
      <c r="A12" s="108" t="s">
        <v>848</v>
      </c>
      <c r="B12" s="108">
        <v>27.0</v>
      </c>
      <c r="C12" s="108" t="s">
        <v>284</v>
      </c>
      <c r="D12" s="108"/>
      <c r="E12" s="112" t="s">
        <v>120</v>
      </c>
      <c r="F12" s="136" t="s">
        <v>593</v>
      </c>
      <c r="G12" s="108" t="s">
        <v>849</v>
      </c>
      <c r="H12" s="202"/>
    </row>
    <row r="13" ht="12.0" customHeight="1">
      <c r="A13" s="108" t="s">
        <v>672</v>
      </c>
      <c r="B13" s="108">
        <v>1.0</v>
      </c>
      <c r="C13" s="108" t="s">
        <v>284</v>
      </c>
      <c r="D13" s="108"/>
      <c r="E13" s="203" t="s">
        <v>850</v>
      </c>
      <c r="F13" s="136" t="s">
        <v>593</v>
      </c>
      <c r="G13" s="138" t="s">
        <v>851</v>
      </c>
      <c r="H13" s="202"/>
    </row>
    <row r="14" ht="12.0" customHeight="1">
      <c r="A14" s="108" t="s">
        <v>852</v>
      </c>
      <c r="B14" s="108">
        <v>8.0</v>
      </c>
      <c r="C14" s="108" t="s">
        <v>331</v>
      </c>
      <c r="D14" s="108"/>
      <c r="E14" s="203" t="s">
        <v>421</v>
      </c>
      <c r="F14" s="136" t="s">
        <v>593</v>
      </c>
      <c r="G14" s="138" t="s">
        <v>139</v>
      </c>
      <c r="H14" s="108" t="s">
        <v>629</v>
      </c>
    </row>
    <row r="15" ht="12.0" customHeight="1">
      <c r="A15" s="108" t="s">
        <v>853</v>
      </c>
      <c r="B15" s="108">
        <v>5.0</v>
      </c>
      <c r="C15" s="108" t="s">
        <v>331</v>
      </c>
      <c r="D15" s="108" t="s">
        <v>432</v>
      </c>
      <c r="E15" s="203" t="s">
        <v>327</v>
      </c>
      <c r="F15" s="136" t="s">
        <v>593</v>
      </c>
      <c r="G15" s="108" t="s">
        <v>328</v>
      </c>
      <c r="H15" s="108" t="s">
        <v>329</v>
      </c>
    </row>
    <row r="16" ht="12.0" customHeight="1">
      <c r="A16" s="108" t="s">
        <v>854</v>
      </c>
      <c r="B16" s="108">
        <v>21.0</v>
      </c>
      <c r="C16" s="108" t="s">
        <v>331</v>
      </c>
      <c r="D16" s="108" t="s">
        <v>432</v>
      </c>
      <c r="E16" s="112" t="s">
        <v>333</v>
      </c>
      <c r="F16" s="136" t="s">
        <v>593</v>
      </c>
      <c r="G16" s="108" t="s">
        <v>116</v>
      </c>
      <c r="H16" s="108" t="s">
        <v>334</v>
      </c>
    </row>
    <row r="17" ht="12.0" customHeight="1">
      <c r="A17" s="108" t="s">
        <v>855</v>
      </c>
      <c r="B17" s="108">
        <v>1.0</v>
      </c>
      <c r="C17" s="108" t="s">
        <v>331</v>
      </c>
      <c r="D17" s="108" t="s">
        <v>432</v>
      </c>
      <c r="E17" s="112" t="s">
        <v>436</v>
      </c>
      <c r="F17" s="136" t="s">
        <v>593</v>
      </c>
      <c r="G17" s="108" t="s">
        <v>437</v>
      </c>
      <c r="H17" s="202"/>
    </row>
    <row r="18" ht="12.0" customHeight="1">
      <c r="A18" s="108" t="s">
        <v>856</v>
      </c>
      <c r="B18" s="108">
        <v>4.0</v>
      </c>
      <c r="C18" s="108" t="s">
        <v>331</v>
      </c>
      <c r="D18" s="108" t="s">
        <v>857</v>
      </c>
      <c r="E18" s="203" t="s">
        <v>440</v>
      </c>
      <c r="F18" s="136" t="s">
        <v>593</v>
      </c>
      <c r="G18" s="108" t="s">
        <v>858</v>
      </c>
      <c r="H18" s="108" t="s">
        <v>859</v>
      </c>
    </row>
    <row r="19" ht="12.0" customHeight="1">
      <c r="A19" s="108" t="s">
        <v>860</v>
      </c>
      <c r="B19" s="108">
        <v>2.0</v>
      </c>
      <c r="C19" s="108" t="s">
        <v>331</v>
      </c>
      <c r="D19" s="108" t="s">
        <v>435</v>
      </c>
      <c r="E19" s="112" t="s">
        <v>861</v>
      </c>
      <c r="F19" s="136" t="s">
        <v>593</v>
      </c>
      <c r="G19" s="108" t="s">
        <v>862</v>
      </c>
      <c r="H19" s="108" t="s">
        <v>863</v>
      </c>
    </row>
    <row r="20" ht="12.0" customHeight="1">
      <c r="A20" s="108" t="s">
        <v>864</v>
      </c>
      <c r="B20" s="108">
        <v>3.0</v>
      </c>
      <c r="C20" s="108" t="s">
        <v>336</v>
      </c>
      <c r="D20" s="108" t="s">
        <v>332</v>
      </c>
      <c r="E20" s="203" t="s">
        <v>337</v>
      </c>
      <c r="F20" s="136" t="s">
        <v>338</v>
      </c>
      <c r="G20" s="138" t="s">
        <v>339</v>
      </c>
      <c r="H20" s="108" t="s">
        <v>340</v>
      </c>
    </row>
    <row r="21" ht="12.0" customHeight="1">
      <c r="A21" s="108" t="s">
        <v>865</v>
      </c>
      <c r="B21" s="108">
        <v>2.0</v>
      </c>
      <c r="C21" s="108" t="s">
        <v>336</v>
      </c>
      <c r="D21" s="108" t="s">
        <v>332</v>
      </c>
      <c r="E21" s="136" t="s">
        <v>451</v>
      </c>
      <c r="F21" s="136" t="s">
        <v>452</v>
      </c>
      <c r="G21" s="138" t="s">
        <v>160</v>
      </c>
      <c r="H21" s="108" t="s">
        <v>453</v>
      </c>
    </row>
    <row r="22" ht="12.0" customHeight="1">
      <c r="A22" s="108" t="s">
        <v>341</v>
      </c>
      <c r="B22" s="108">
        <v>2.0</v>
      </c>
      <c r="C22" s="108" t="s">
        <v>342</v>
      </c>
      <c r="D22" s="108"/>
      <c r="E22" s="203"/>
      <c r="F22" s="108" t="s">
        <v>343</v>
      </c>
      <c r="G22" s="108" t="s">
        <v>344</v>
      </c>
      <c r="H22" s="108" t="s">
        <v>345</v>
      </c>
    </row>
    <row r="23" ht="12.0" customHeight="1">
      <c r="A23" s="108" t="s">
        <v>866</v>
      </c>
      <c r="B23" s="108">
        <v>1.0</v>
      </c>
      <c r="C23" s="108" t="s">
        <v>867</v>
      </c>
      <c r="D23" s="108"/>
      <c r="E23" s="112"/>
      <c r="F23" s="136" t="s">
        <v>190</v>
      </c>
      <c r="G23" s="108" t="s">
        <v>191</v>
      </c>
      <c r="H23" s="108" t="s">
        <v>189</v>
      </c>
    </row>
    <row r="24" ht="12.0" customHeight="1">
      <c r="A24" s="108" t="s">
        <v>868</v>
      </c>
      <c r="B24" s="108">
        <v>2.0</v>
      </c>
      <c r="C24" s="108" t="s">
        <v>474</v>
      </c>
      <c r="D24" s="108"/>
      <c r="E24" s="203" t="s">
        <v>475</v>
      </c>
      <c r="F24" s="136" t="s">
        <v>562</v>
      </c>
      <c r="G24" s="138" t="s">
        <v>221</v>
      </c>
      <c r="H24" s="108" t="s">
        <v>731</v>
      </c>
    </row>
    <row r="25" ht="12.0" customHeight="1">
      <c r="A25" s="108" t="s">
        <v>560</v>
      </c>
      <c r="B25" s="108">
        <v>1.0</v>
      </c>
      <c r="C25" s="108" t="s">
        <v>362</v>
      </c>
      <c r="D25" s="108" t="s">
        <v>459</v>
      </c>
      <c r="E25" s="203" t="s">
        <v>460</v>
      </c>
      <c r="F25" s="136" t="s">
        <v>190</v>
      </c>
      <c r="G25" s="138" t="s">
        <v>461</v>
      </c>
      <c r="H25" s="108" t="s">
        <v>462</v>
      </c>
    </row>
    <row r="26" ht="12.0" customHeight="1">
      <c r="A26" s="108" t="s">
        <v>458</v>
      </c>
      <c r="B26" s="108">
        <v>1.0</v>
      </c>
      <c r="C26" s="108" t="s">
        <v>869</v>
      </c>
      <c r="D26" s="108" t="s">
        <v>459</v>
      </c>
      <c r="E26" s="203"/>
      <c r="F26" s="136" t="s">
        <v>870</v>
      </c>
      <c r="G26" s="138" t="s">
        <v>871</v>
      </c>
      <c r="H26" s="108" t="s">
        <v>872</v>
      </c>
    </row>
    <row r="27" ht="12.0" customHeight="1">
      <c r="A27" s="108" t="s">
        <v>468</v>
      </c>
      <c r="B27" s="108">
        <v>1.0</v>
      </c>
      <c r="C27" s="108" t="s">
        <v>362</v>
      </c>
      <c r="D27" s="108" t="s">
        <v>459</v>
      </c>
      <c r="E27" s="203" t="s">
        <v>364</v>
      </c>
      <c r="F27" s="136" t="s">
        <v>190</v>
      </c>
      <c r="G27" s="138" t="s">
        <v>484</v>
      </c>
      <c r="H27" s="108" t="s">
        <v>485</v>
      </c>
    </row>
    <row r="28" ht="12.0" customHeight="1">
      <c r="A28" s="108" t="s">
        <v>873</v>
      </c>
      <c r="B28" s="204">
        <v>7.0</v>
      </c>
      <c r="C28" s="108" t="s">
        <v>491</v>
      </c>
      <c r="D28" s="108"/>
      <c r="E28" s="112"/>
      <c r="F28" s="108" t="s">
        <v>492</v>
      </c>
      <c r="G28" s="108" t="s">
        <v>493</v>
      </c>
      <c r="H28" s="108" t="s">
        <v>874</v>
      </c>
    </row>
    <row r="29" ht="12.0" customHeight="1">
      <c r="A29" s="108" t="s">
        <v>490</v>
      </c>
      <c r="B29" s="108">
        <v>1.0</v>
      </c>
      <c r="C29" s="108" t="s">
        <v>353</v>
      </c>
      <c r="D29" s="108"/>
      <c r="E29" s="203"/>
      <c r="F29" s="136" t="s">
        <v>354</v>
      </c>
      <c r="G29" s="205" t="str">
        <f>HYPERLINK("http://www.cabintechglobal.com/index.html?tab=semi&amp;prod=V2164M","V2164M @ CabinTech")</f>
        <v>V2164M @ CabinTech</v>
      </c>
      <c r="H29" s="108" t="s">
        <v>355</v>
      </c>
    </row>
    <row r="30" ht="12.0" customHeight="1">
      <c r="A30" s="108" t="s">
        <v>875</v>
      </c>
      <c r="B30" s="108">
        <v>2.0</v>
      </c>
      <c r="C30" s="108" t="s">
        <v>347</v>
      </c>
      <c r="D30" s="108" t="s">
        <v>348</v>
      </c>
      <c r="E30" s="112" t="s">
        <v>349</v>
      </c>
      <c r="F30" s="136" t="s">
        <v>591</v>
      </c>
      <c r="G30" s="108" t="s">
        <v>350</v>
      </c>
      <c r="H30" s="108" t="s">
        <v>351</v>
      </c>
    </row>
    <row r="31" ht="12.0" customHeight="1">
      <c r="A31" s="108" t="s">
        <v>808</v>
      </c>
      <c r="B31" s="108">
        <v>1.0</v>
      </c>
      <c r="C31" s="108" t="s">
        <v>496</v>
      </c>
      <c r="D31" s="108"/>
      <c r="E31" s="203"/>
      <c r="F31" s="108" t="s">
        <v>497</v>
      </c>
      <c r="G31" s="138" t="s">
        <v>180</v>
      </c>
      <c r="H31" s="108" t="s">
        <v>498</v>
      </c>
    </row>
    <row r="32" ht="12.0" customHeight="1">
      <c r="A32" s="108" t="s">
        <v>812</v>
      </c>
      <c r="B32" s="108">
        <v>1.0</v>
      </c>
      <c r="C32" s="108" t="s">
        <v>505</v>
      </c>
      <c r="D32" s="108"/>
      <c r="E32" s="203"/>
      <c r="F32" s="136" t="s">
        <v>190</v>
      </c>
      <c r="G32" s="138" t="s">
        <v>506</v>
      </c>
      <c r="H32" s="108" t="s">
        <v>507</v>
      </c>
    </row>
    <row r="33" ht="12.0" customHeight="1">
      <c r="A33" s="108" t="s">
        <v>574</v>
      </c>
      <c r="B33" s="108">
        <v>2.0</v>
      </c>
      <c r="C33" s="108" t="s">
        <v>500</v>
      </c>
      <c r="D33" s="108"/>
      <c r="E33" s="136"/>
      <c r="F33" s="136" t="s">
        <v>501</v>
      </c>
      <c r="G33" s="138" t="s">
        <v>502</v>
      </c>
      <c r="H33" s="108" t="s">
        <v>503</v>
      </c>
    </row>
    <row r="34" ht="12.0" customHeight="1">
      <c r="A34" s="108" t="s">
        <v>508</v>
      </c>
      <c r="B34" s="108">
        <v>1.0</v>
      </c>
      <c r="C34" s="108" t="s">
        <v>509</v>
      </c>
      <c r="D34" s="108"/>
      <c r="E34" s="136"/>
      <c r="F34" s="136" t="s">
        <v>510</v>
      </c>
      <c r="G34" s="138" t="s">
        <v>511</v>
      </c>
      <c r="H34" s="108" t="s">
        <v>512</v>
      </c>
    </row>
    <row r="35" ht="12.75" customHeight="1">
      <c r="A35" s="117" t="s">
        <v>371</v>
      </c>
      <c r="B35" s="118"/>
      <c r="C35" s="118"/>
      <c r="D35" s="118"/>
      <c r="E35" s="118"/>
      <c r="F35" s="118"/>
      <c r="G35" s="119"/>
      <c r="H35" s="120"/>
    </row>
    <row r="36" ht="12.0" customHeight="1">
      <c r="A36" s="108" t="s">
        <v>372</v>
      </c>
      <c r="B36" s="108">
        <v>12.0</v>
      </c>
      <c r="C36" s="108" t="s">
        <v>373</v>
      </c>
      <c r="D36" s="108"/>
      <c r="E36" s="203"/>
      <c r="F36" s="136"/>
      <c r="G36" s="138"/>
      <c r="H36" s="108" t="s">
        <v>876</v>
      </c>
    </row>
    <row r="37" ht="12.0" customHeight="1">
      <c r="A37" s="108" t="s">
        <v>877</v>
      </c>
      <c r="B37" s="108">
        <v>1.0</v>
      </c>
      <c r="C37" s="108" t="s">
        <v>878</v>
      </c>
      <c r="D37" s="108"/>
      <c r="E37" s="203"/>
      <c r="F37" s="136"/>
      <c r="G37" s="138"/>
      <c r="H37" s="108" t="s">
        <v>390</v>
      </c>
    </row>
    <row r="38" ht="12.0" customHeight="1">
      <c r="A38" s="108" t="s">
        <v>879</v>
      </c>
      <c r="B38" s="108">
        <v>5.0</v>
      </c>
      <c r="C38" s="108" t="s">
        <v>389</v>
      </c>
      <c r="D38" s="108"/>
      <c r="E38" s="203"/>
      <c r="F38" s="136"/>
      <c r="G38" s="138"/>
      <c r="H38" s="108" t="s">
        <v>390</v>
      </c>
    </row>
    <row r="39" ht="12.0" customHeight="1">
      <c r="A39" s="108" t="s">
        <v>676</v>
      </c>
      <c r="B39" s="108">
        <v>4.0</v>
      </c>
      <c r="C39" s="204" t="s">
        <v>747</v>
      </c>
      <c r="D39" s="108"/>
      <c r="E39" s="203"/>
      <c r="F39" s="136"/>
      <c r="G39" s="108" t="s">
        <v>748</v>
      </c>
      <c r="H39" s="204" t="s">
        <v>749</v>
      </c>
    </row>
    <row r="40" ht="12.0" customHeight="1">
      <c r="A40" s="108" t="s">
        <v>880</v>
      </c>
      <c r="B40" s="108">
        <v>1.0</v>
      </c>
      <c r="C40" s="108" t="s">
        <v>881</v>
      </c>
      <c r="D40" s="108"/>
      <c r="E40" s="112"/>
      <c r="F40" s="108"/>
      <c r="G40" s="206" t="s">
        <v>882</v>
      </c>
      <c r="H40" s="207" t="s">
        <v>883</v>
      </c>
    </row>
    <row r="41" ht="12.0" customHeight="1">
      <c r="A41" s="108" t="s">
        <v>884</v>
      </c>
      <c r="B41" s="108">
        <v>1.0</v>
      </c>
      <c r="C41" s="108" t="s">
        <v>885</v>
      </c>
      <c r="D41" s="108"/>
      <c r="E41" s="112"/>
      <c r="F41" s="108"/>
      <c r="G41" s="108" t="s">
        <v>886</v>
      </c>
      <c r="H41" s="108" t="s">
        <v>887</v>
      </c>
    </row>
    <row r="42" ht="12.0" customHeight="1">
      <c r="A42" s="108" t="s">
        <v>888</v>
      </c>
      <c r="B42" s="108">
        <v>2.0</v>
      </c>
      <c r="C42" s="108" t="s">
        <v>889</v>
      </c>
      <c r="D42" s="108"/>
      <c r="E42" s="203"/>
      <c r="F42" s="136"/>
      <c r="G42" s="138" t="s">
        <v>890</v>
      </c>
      <c r="H42" s="108" t="s">
        <v>891</v>
      </c>
    </row>
    <row r="43" ht="12.0" customHeight="1">
      <c r="A43" s="108" t="s">
        <v>892</v>
      </c>
      <c r="B43" s="108">
        <v>1.0</v>
      </c>
      <c r="C43" s="108" t="s">
        <v>757</v>
      </c>
      <c r="D43" s="108"/>
      <c r="E43" s="112"/>
      <c r="F43" s="108"/>
      <c r="G43" s="121" t="s">
        <v>758</v>
      </c>
      <c r="H43" s="108"/>
    </row>
    <row r="44" ht="12.0" customHeight="1">
      <c r="A44" s="122" t="s">
        <v>391</v>
      </c>
      <c r="B44" s="122"/>
      <c r="C44" s="122"/>
      <c r="D44" s="122"/>
      <c r="E44" s="187"/>
      <c r="F44" s="124"/>
      <c r="G44" s="123"/>
      <c r="H44" s="120"/>
    </row>
    <row r="45" ht="12.0" customHeight="1">
      <c r="A45" s="108" t="s">
        <v>523</v>
      </c>
      <c r="B45" s="108">
        <v>1.0</v>
      </c>
      <c r="C45" s="108" t="s">
        <v>893</v>
      </c>
      <c r="D45" s="108"/>
      <c r="E45" s="112"/>
      <c r="F45" s="108"/>
      <c r="G45" s="108" t="s">
        <v>894</v>
      </c>
      <c r="H45" s="108"/>
    </row>
    <row r="46" ht="12.0" customHeight="1">
      <c r="A46" s="108" t="s">
        <v>525</v>
      </c>
      <c r="B46" s="108">
        <v>1.0</v>
      </c>
      <c r="C46" s="108" t="s">
        <v>393</v>
      </c>
      <c r="D46" s="108"/>
      <c r="E46" s="112"/>
      <c r="F46" s="108"/>
      <c r="G46" s="208" t="s">
        <v>394</v>
      </c>
      <c r="H46" s="108"/>
    </row>
    <row r="47" ht="12.0" customHeight="1">
      <c r="A47" s="108" t="s">
        <v>528</v>
      </c>
      <c r="B47" s="108">
        <v>1.0</v>
      </c>
      <c r="C47" s="108" t="s">
        <v>684</v>
      </c>
      <c r="D47" s="108"/>
      <c r="E47" s="203"/>
      <c r="F47" s="136"/>
      <c r="G47" s="138" t="s">
        <v>530</v>
      </c>
      <c r="H47" s="108"/>
    </row>
    <row r="48" ht="12.0" customHeight="1">
      <c r="A48" s="108" t="s">
        <v>895</v>
      </c>
      <c r="B48" s="108">
        <v>1.0</v>
      </c>
      <c r="C48" s="108" t="s">
        <v>526</v>
      </c>
      <c r="D48" s="108"/>
      <c r="E48" s="203"/>
      <c r="F48" s="136"/>
      <c r="G48" s="138" t="s">
        <v>527</v>
      </c>
      <c r="H48" s="108"/>
    </row>
    <row r="49" ht="12.0" customHeight="1">
      <c r="A49" s="108" t="s">
        <v>896</v>
      </c>
      <c r="B49" s="108">
        <v>1.0</v>
      </c>
      <c r="C49" s="108" t="s">
        <v>897</v>
      </c>
      <c r="D49" s="108"/>
      <c r="E49" s="112"/>
      <c r="F49" s="108"/>
      <c r="G49" s="108" t="s">
        <v>898</v>
      </c>
      <c r="H49" s="108"/>
    </row>
    <row r="50" ht="12.0" customHeight="1">
      <c r="A50" s="209" t="s">
        <v>531</v>
      </c>
      <c r="B50" s="123"/>
      <c r="C50" s="122"/>
      <c r="D50" s="122"/>
      <c r="E50" s="187"/>
      <c r="F50" s="124"/>
      <c r="G50" s="123"/>
      <c r="H50" s="120"/>
    </row>
    <row r="51" ht="12.0" customHeight="1">
      <c r="A51" s="125" t="s">
        <v>395</v>
      </c>
      <c r="B51" s="125"/>
      <c r="C51" s="125" t="s">
        <v>899</v>
      </c>
      <c r="D51" s="125"/>
      <c r="E51" s="189"/>
      <c r="F51" s="142"/>
      <c r="G51" s="143"/>
      <c r="H51" s="125"/>
    </row>
  </sheetData>
  <mergeCells count="3">
    <mergeCell ref="A1:H1"/>
    <mergeCell ref="A3:G3"/>
    <mergeCell ref="A35:G35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86"/>
    <col customWidth="1" min="2" max="2" width="3.86"/>
    <col customWidth="1" min="3" max="3" width="24.43"/>
    <col customWidth="1" min="4" max="4" width="13.57"/>
    <col customWidth="1" min="5" max="5" width="5.43"/>
    <col customWidth="1" min="6" max="6" width="11.14"/>
    <col customWidth="1" min="7" max="7" width="21.57"/>
    <col customWidth="1" min="8" max="8" width="43.29"/>
  </cols>
  <sheetData>
    <row r="1" ht="12.75" customHeight="1">
      <c r="A1" s="210" t="s">
        <v>900</v>
      </c>
    </row>
    <row r="2" ht="12.75" customHeight="1">
      <c r="A2" s="175" t="s">
        <v>106</v>
      </c>
      <c r="B2" s="211" t="s">
        <v>95</v>
      </c>
      <c r="C2" s="175" t="s">
        <v>96</v>
      </c>
      <c r="D2" s="175" t="s">
        <v>97</v>
      </c>
      <c r="E2" s="178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112" t="s">
        <v>901</v>
      </c>
      <c r="B4" s="212">
        <v>4.0</v>
      </c>
      <c r="C4" s="112" t="s">
        <v>284</v>
      </c>
      <c r="D4" s="112"/>
      <c r="E4" s="112">
        <v>100.0</v>
      </c>
      <c r="F4" s="203" t="s">
        <v>593</v>
      </c>
      <c r="G4" s="213" t="s">
        <v>402</v>
      </c>
      <c r="H4" s="214"/>
    </row>
    <row r="5" ht="12.0" customHeight="1">
      <c r="A5" s="112" t="s">
        <v>902</v>
      </c>
      <c r="B5" s="212">
        <v>6.0</v>
      </c>
      <c r="C5" s="112" t="s">
        <v>284</v>
      </c>
      <c r="D5" s="112"/>
      <c r="E5" s="112" t="s">
        <v>144</v>
      </c>
      <c r="F5" s="203" t="s">
        <v>593</v>
      </c>
      <c r="G5" s="112" t="s">
        <v>145</v>
      </c>
      <c r="H5" s="214"/>
    </row>
    <row r="6">
      <c r="A6" s="112" t="s">
        <v>903</v>
      </c>
      <c r="B6" s="212">
        <v>4.0</v>
      </c>
      <c r="C6" s="112" t="s">
        <v>284</v>
      </c>
      <c r="D6" s="112"/>
      <c r="E6" s="203" t="s">
        <v>132</v>
      </c>
      <c r="F6" s="203" t="s">
        <v>593</v>
      </c>
      <c r="G6" s="213" t="s">
        <v>133</v>
      </c>
      <c r="H6" s="214"/>
    </row>
    <row r="7">
      <c r="A7" s="112" t="s">
        <v>904</v>
      </c>
      <c r="B7" s="212">
        <v>26.0</v>
      </c>
      <c r="C7" s="112" t="s">
        <v>284</v>
      </c>
      <c r="D7" s="132"/>
      <c r="E7" s="112" t="s">
        <v>120</v>
      </c>
      <c r="F7" s="203" t="s">
        <v>593</v>
      </c>
      <c r="G7" s="112" t="s">
        <v>129</v>
      </c>
      <c r="H7" s="214"/>
    </row>
    <row r="8" ht="12.0" customHeight="1">
      <c r="A8" s="112" t="s">
        <v>905</v>
      </c>
      <c r="B8" s="212">
        <v>2.0</v>
      </c>
      <c r="C8" s="112" t="s">
        <v>284</v>
      </c>
      <c r="D8" s="112"/>
      <c r="E8" s="112" t="s">
        <v>141</v>
      </c>
      <c r="F8" s="203" t="s">
        <v>593</v>
      </c>
      <c r="G8" s="112" t="s">
        <v>142</v>
      </c>
      <c r="H8" s="214"/>
    </row>
    <row r="9" ht="12.0" customHeight="1">
      <c r="A9" s="112" t="s">
        <v>906</v>
      </c>
      <c r="B9" s="212">
        <v>2.0</v>
      </c>
      <c r="C9" s="112" t="s">
        <v>331</v>
      </c>
      <c r="D9" s="112"/>
      <c r="E9" s="112" t="s">
        <v>421</v>
      </c>
      <c r="F9" s="203" t="s">
        <v>593</v>
      </c>
      <c r="G9" s="112" t="s">
        <v>139</v>
      </c>
      <c r="H9" s="214"/>
    </row>
    <row r="10" ht="12.0" customHeight="1">
      <c r="A10" s="112" t="s">
        <v>907</v>
      </c>
      <c r="B10" s="212">
        <v>6.0</v>
      </c>
      <c r="C10" s="112" t="s">
        <v>331</v>
      </c>
      <c r="D10" s="112"/>
      <c r="E10" s="203" t="s">
        <v>908</v>
      </c>
      <c r="F10" s="203" t="s">
        <v>593</v>
      </c>
      <c r="G10" s="213" t="s">
        <v>909</v>
      </c>
      <c r="H10" s="214"/>
    </row>
    <row r="11" ht="12.0" customHeight="1">
      <c r="A11" s="112" t="s">
        <v>910</v>
      </c>
      <c r="B11" s="212">
        <v>8.0</v>
      </c>
      <c r="C11" s="112" t="s">
        <v>331</v>
      </c>
      <c r="D11" s="112" t="s">
        <v>432</v>
      </c>
      <c r="E11" s="112" t="s">
        <v>333</v>
      </c>
      <c r="F11" s="203" t="s">
        <v>593</v>
      </c>
      <c r="G11" s="112" t="s">
        <v>433</v>
      </c>
      <c r="H11" s="214"/>
    </row>
    <row r="12" ht="12.0" customHeight="1">
      <c r="A12" s="112" t="s">
        <v>434</v>
      </c>
      <c r="B12" s="212">
        <v>1.0</v>
      </c>
      <c r="C12" s="112" t="s">
        <v>331</v>
      </c>
      <c r="D12" s="112" t="s">
        <v>435</v>
      </c>
      <c r="E12" s="112" t="s">
        <v>436</v>
      </c>
      <c r="F12" s="203" t="s">
        <v>593</v>
      </c>
      <c r="G12" s="112" t="s">
        <v>437</v>
      </c>
      <c r="H12" s="214"/>
    </row>
    <row r="13" ht="12.0" customHeight="1">
      <c r="A13" s="112" t="s">
        <v>911</v>
      </c>
      <c r="B13" s="215">
        <v>2.0</v>
      </c>
      <c r="C13" s="112" t="s">
        <v>336</v>
      </c>
      <c r="D13" s="112" t="s">
        <v>332</v>
      </c>
      <c r="E13" s="112" t="s">
        <v>337</v>
      </c>
      <c r="F13" s="112" t="s">
        <v>338</v>
      </c>
      <c r="G13" s="112" t="s">
        <v>339</v>
      </c>
      <c r="H13" s="112" t="s">
        <v>912</v>
      </c>
    </row>
    <row r="14" ht="12.0" customHeight="1">
      <c r="A14" s="112" t="s">
        <v>544</v>
      </c>
      <c r="B14" s="212">
        <v>1.0</v>
      </c>
      <c r="C14" s="112" t="s">
        <v>545</v>
      </c>
      <c r="D14" s="112" t="s">
        <v>546</v>
      </c>
      <c r="E14" s="112"/>
      <c r="F14" s="203" t="s">
        <v>593</v>
      </c>
      <c r="G14" s="112" t="s">
        <v>547</v>
      </c>
      <c r="H14" s="112" t="s">
        <v>548</v>
      </c>
    </row>
    <row r="15" ht="12.0" customHeight="1">
      <c r="A15" s="112" t="s">
        <v>553</v>
      </c>
      <c r="B15" s="212">
        <v>1.0</v>
      </c>
      <c r="C15" s="112" t="s">
        <v>913</v>
      </c>
      <c r="D15" s="112"/>
      <c r="E15" s="112"/>
      <c r="F15" s="112" t="s">
        <v>550</v>
      </c>
      <c r="G15" s="112" t="s">
        <v>914</v>
      </c>
      <c r="H15" s="112" t="s">
        <v>915</v>
      </c>
    </row>
    <row r="16" ht="12.0" customHeight="1">
      <c r="A16" s="112" t="s">
        <v>560</v>
      </c>
      <c r="B16" s="212">
        <v>1.0</v>
      </c>
      <c r="C16" s="112" t="s">
        <v>362</v>
      </c>
      <c r="D16" s="112" t="s">
        <v>459</v>
      </c>
      <c r="E16" s="112" t="s">
        <v>554</v>
      </c>
      <c r="F16" s="112" t="s">
        <v>190</v>
      </c>
      <c r="G16" s="112" t="s">
        <v>555</v>
      </c>
      <c r="H16" s="112" t="s">
        <v>556</v>
      </c>
    </row>
    <row r="17" ht="12.0" customHeight="1">
      <c r="A17" s="112" t="s">
        <v>916</v>
      </c>
      <c r="B17" s="212">
        <v>3.0</v>
      </c>
      <c r="C17" s="112" t="s">
        <v>557</v>
      </c>
      <c r="D17" s="112"/>
      <c r="E17" s="112"/>
      <c r="F17" s="112" t="s">
        <v>492</v>
      </c>
      <c r="G17" s="112" t="s">
        <v>558</v>
      </c>
      <c r="H17" s="112" t="s">
        <v>559</v>
      </c>
    </row>
    <row r="18" ht="12.0" customHeight="1">
      <c r="A18" s="112" t="s">
        <v>473</v>
      </c>
      <c r="B18" s="212">
        <v>1.0</v>
      </c>
      <c r="C18" s="112" t="s">
        <v>455</v>
      </c>
      <c r="D18" s="112"/>
      <c r="E18" s="112"/>
      <c r="F18" s="112" t="s">
        <v>354</v>
      </c>
      <c r="G18" s="112" t="s">
        <v>456</v>
      </c>
      <c r="H18" s="216" t="s">
        <v>457</v>
      </c>
    </row>
    <row r="19" ht="12.0" customHeight="1">
      <c r="A19" s="112" t="s">
        <v>479</v>
      </c>
      <c r="B19" s="212">
        <v>1.0</v>
      </c>
      <c r="C19" s="112" t="s">
        <v>561</v>
      </c>
      <c r="D19" s="112"/>
      <c r="E19" s="112" t="s">
        <v>554</v>
      </c>
      <c r="F19" s="112" t="s">
        <v>562</v>
      </c>
      <c r="G19" s="112" t="s">
        <v>563</v>
      </c>
      <c r="H19" s="112" t="s">
        <v>564</v>
      </c>
    </row>
    <row r="20" ht="12.0" customHeight="1">
      <c r="A20" s="112" t="s">
        <v>565</v>
      </c>
      <c r="B20" s="212">
        <v>1.0</v>
      </c>
      <c r="C20" s="112" t="s">
        <v>342</v>
      </c>
      <c r="D20" s="112"/>
      <c r="E20" s="112"/>
      <c r="F20" s="112" t="s">
        <v>343</v>
      </c>
      <c r="G20" s="112" t="s">
        <v>344</v>
      </c>
      <c r="H20" s="112" t="s">
        <v>345</v>
      </c>
    </row>
    <row r="21" ht="12.0" customHeight="1">
      <c r="A21" s="112" t="s">
        <v>808</v>
      </c>
      <c r="B21" s="212">
        <v>1.0</v>
      </c>
      <c r="C21" s="112" t="s">
        <v>917</v>
      </c>
      <c r="D21" s="112"/>
      <c r="E21" s="203"/>
      <c r="F21" s="112" t="s">
        <v>497</v>
      </c>
      <c r="G21" s="213" t="s">
        <v>918</v>
      </c>
      <c r="H21" s="112" t="s">
        <v>919</v>
      </c>
    </row>
    <row r="22" ht="12.0" customHeight="1">
      <c r="A22" s="112" t="s">
        <v>920</v>
      </c>
      <c r="B22" s="212">
        <v>2.0</v>
      </c>
      <c r="C22" s="112" t="s">
        <v>505</v>
      </c>
      <c r="D22" s="112"/>
      <c r="E22" s="112"/>
      <c r="F22" s="112" t="s">
        <v>190</v>
      </c>
      <c r="G22" s="112" t="s">
        <v>506</v>
      </c>
      <c r="H22" s="112" t="s">
        <v>507</v>
      </c>
    </row>
    <row r="23" ht="12.75" customHeight="1">
      <c r="A23" s="117" t="s">
        <v>371</v>
      </c>
      <c r="B23" s="118"/>
      <c r="C23" s="118"/>
      <c r="D23" s="118"/>
      <c r="E23" s="118"/>
      <c r="F23" s="118"/>
      <c r="G23" s="119"/>
      <c r="H23" s="120"/>
    </row>
    <row r="24" ht="12.0" customHeight="1">
      <c r="A24" s="108" t="s">
        <v>921</v>
      </c>
      <c r="B24" s="217">
        <v>3.0</v>
      </c>
      <c r="C24" s="108" t="s">
        <v>922</v>
      </c>
      <c r="D24" s="108"/>
      <c r="E24" s="136"/>
      <c r="F24" s="136"/>
      <c r="G24" s="108" t="s">
        <v>923</v>
      </c>
      <c r="H24" s="108" t="s">
        <v>924</v>
      </c>
    </row>
    <row r="25" ht="12.0" customHeight="1">
      <c r="A25" s="108"/>
      <c r="B25" s="217">
        <v>3.0</v>
      </c>
      <c r="C25" s="108" t="s">
        <v>571</v>
      </c>
      <c r="D25" s="108" t="s">
        <v>925</v>
      </c>
      <c r="E25" s="136"/>
      <c r="F25" s="136"/>
      <c r="G25" s="108"/>
      <c r="H25" s="108" t="s">
        <v>752</v>
      </c>
    </row>
    <row r="26" ht="12.0" customHeight="1">
      <c r="A26" s="108" t="s">
        <v>926</v>
      </c>
      <c r="B26" s="217">
        <v>7.0</v>
      </c>
      <c r="C26" s="108" t="s">
        <v>389</v>
      </c>
      <c r="D26" s="108"/>
      <c r="E26" s="136"/>
      <c r="F26" s="136"/>
      <c r="G26" s="138"/>
      <c r="H26" s="198" t="s">
        <v>390</v>
      </c>
    </row>
    <row r="27" ht="12.0" customHeight="1">
      <c r="A27" s="108" t="s">
        <v>927</v>
      </c>
      <c r="B27" s="217">
        <v>1.0</v>
      </c>
      <c r="C27" s="108" t="s">
        <v>680</v>
      </c>
      <c r="D27" s="108"/>
      <c r="E27" s="108"/>
      <c r="F27" s="108"/>
      <c r="G27" s="218" t="str">
        <f>HYPERLINK("http://www.mouser.co.uk/ProductDetail/E-Switch/LP4OA1PBCTG/?qs=sGAEpiMZZMufv8JNQ5fVHYtKSHsZaECCoPbaN8OG5%252bM%3d","612-LP4OA1PBCTG")</f>
        <v>612-LP4OA1PBCTG</v>
      </c>
      <c r="H27" s="108" t="s">
        <v>681</v>
      </c>
    </row>
    <row r="28" ht="12.0" customHeight="1">
      <c r="A28" s="108" t="s">
        <v>928</v>
      </c>
      <c r="B28" s="217">
        <v>14.0</v>
      </c>
      <c r="C28" s="108" t="s">
        <v>373</v>
      </c>
      <c r="D28" s="108"/>
      <c r="E28" s="108"/>
      <c r="F28" s="108"/>
      <c r="G28" s="108"/>
      <c r="H28" s="108" t="s">
        <v>876</v>
      </c>
    </row>
    <row r="29" ht="12.0" customHeight="1">
      <c r="A29" s="122" t="s">
        <v>391</v>
      </c>
      <c r="B29" s="219"/>
      <c r="C29" s="122"/>
      <c r="D29" s="122"/>
      <c r="E29" s="124"/>
      <c r="F29" s="124"/>
      <c r="G29" s="123"/>
      <c r="H29" s="120"/>
    </row>
    <row r="30" ht="12.0" customHeight="1">
      <c r="A30" s="97" t="s">
        <v>929</v>
      </c>
      <c r="B30" s="217">
        <v>1.0</v>
      </c>
      <c r="C30" s="108" t="s">
        <v>524</v>
      </c>
      <c r="D30" s="108"/>
      <c r="E30" s="108"/>
      <c r="F30" s="108"/>
      <c r="G30" s="108" t="s">
        <v>394</v>
      </c>
      <c r="H30" s="108"/>
    </row>
    <row r="31" ht="12.0" customHeight="1">
      <c r="A31" s="108" t="s">
        <v>930</v>
      </c>
      <c r="B31" s="217">
        <v>1.0</v>
      </c>
      <c r="C31" s="108" t="s">
        <v>586</v>
      </c>
      <c r="D31" s="108"/>
      <c r="E31" s="136"/>
      <c r="F31" s="136"/>
      <c r="G31" s="108" t="s">
        <v>587</v>
      </c>
      <c r="H31" s="108"/>
    </row>
    <row r="32" ht="12.0" customHeight="1">
      <c r="A32" s="122" t="s">
        <v>531</v>
      </c>
      <c r="B32" s="220"/>
      <c r="C32" s="120"/>
      <c r="D32" s="120"/>
      <c r="E32" s="196"/>
      <c r="F32" s="196"/>
      <c r="G32" s="120"/>
      <c r="H32" s="120"/>
    </row>
    <row r="33" ht="12.0" customHeight="1">
      <c r="A33" s="125" t="s">
        <v>395</v>
      </c>
      <c r="B33" s="221"/>
      <c r="C33" s="125" t="s">
        <v>931</v>
      </c>
      <c r="D33" s="125"/>
      <c r="E33" s="142"/>
      <c r="F33" s="142"/>
      <c r="G33" s="143"/>
      <c r="H33" s="125"/>
    </row>
  </sheetData>
  <mergeCells count="3">
    <mergeCell ref="A1:H1"/>
    <mergeCell ref="A3:G3"/>
    <mergeCell ref="A23:G23"/>
  </mergeCells>
  <conditionalFormatting sqref="G27">
    <cfRule type="expression" dxfId="0" priority="1">
      <formula>$R27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3.86"/>
    <col customWidth="1" min="3" max="3" width="24.43"/>
    <col customWidth="1" min="4" max="4" width="16.57"/>
    <col customWidth="1" min="5" max="5" width="5.43"/>
    <col customWidth="1" min="6" max="6" width="9.14"/>
    <col customWidth="1" min="7" max="7" width="21.57"/>
    <col customWidth="1" min="8" max="8" width="29.0"/>
  </cols>
  <sheetData>
    <row r="1" ht="33.75" customHeight="1">
      <c r="A1" s="144" t="s">
        <v>932</v>
      </c>
    </row>
    <row r="2" ht="12.0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</row>
    <row r="4" ht="10.5" customHeight="1">
      <c r="A4" s="113" t="s">
        <v>933</v>
      </c>
      <c r="B4" s="113">
        <v>7.0</v>
      </c>
      <c r="C4" s="113" t="s">
        <v>284</v>
      </c>
      <c r="D4" s="113"/>
      <c r="E4" s="114">
        <v>180.0</v>
      </c>
      <c r="F4" s="113" t="str">
        <f t="shared" ref="F4:F14" si="1">"0402"</f>
        <v>0402</v>
      </c>
      <c r="G4" s="116" t="s">
        <v>934</v>
      </c>
      <c r="H4" s="225"/>
    </row>
    <row r="5" ht="10.5" customHeight="1">
      <c r="A5" s="113" t="s">
        <v>935</v>
      </c>
      <c r="B5" s="113">
        <v>3.0</v>
      </c>
      <c r="C5" s="113" t="s">
        <v>284</v>
      </c>
      <c r="D5" s="113" t="s">
        <v>936</v>
      </c>
      <c r="E5" s="114" t="s">
        <v>598</v>
      </c>
      <c r="F5" s="113" t="str">
        <f t="shared" si="1"/>
        <v>0402</v>
      </c>
      <c r="G5" s="116" t="s">
        <v>937</v>
      </c>
      <c r="H5" s="225"/>
    </row>
    <row r="6" ht="10.5" customHeight="1">
      <c r="A6" s="113" t="s">
        <v>838</v>
      </c>
      <c r="B6" s="113">
        <v>1.0</v>
      </c>
      <c r="C6" s="113" t="s">
        <v>284</v>
      </c>
      <c r="D6" s="113"/>
      <c r="E6" s="114" t="s">
        <v>840</v>
      </c>
      <c r="F6" s="113" t="str">
        <f t="shared" si="1"/>
        <v>0402</v>
      </c>
      <c r="G6" s="116" t="s">
        <v>938</v>
      </c>
      <c r="H6" s="115"/>
    </row>
    <row r="7" ht="10.5" customHeight="1">
      <c r="A7" s="113" t="s">
        <v>939</v>
      </c>
      <c r="B7" s="113">
        <v>2.0</v>
      </c>
      <c r="C7" s="113" t="s">
        <v>284</v>
      </c>
      <c r="D7" s="113"/>
      <c r="E7" s="114" t="s">
        <v>132</v>
      </c>
      <c r="F7" s="113" t="str">
        <f t="shared" si="1"/>
        <v>0402</v>
      </c>
      <c r="G7" s="116" t="s">
        <v>940</v>
      </c>
      <c r="H7" s="225"/>
    </row>
    <row r="8" ht="10.5" customHeight="1">
      <c r="A8" s="113" t="s">
        <v>941</v>
      </c>
      <c r="B8" s="113">
        <v>6.0</v>
      </c>
      <c r="C8" s="113" t="s">
        <v>942</v>
      </c>
      <c r="D8" s="113"/>
      <c r="E8" s="114" t="s">
        <v>419</v>
      </c>
      <c r="F8" s="113" t="str">
        <f t="shared" si="1"/>
        <v>0402</v>
      </c>
      <c r="G8" s="116" t="s">
        <v>943</v>
      </c>
      <c r="H8" s="115"/>
    </row>
    <row r="9" ht="10.5" customHeight="1">
      <c r="A9" s="113" t="s">
        <v>944</v>
      </c>
      <c r="B9" s="113">
        <v>4.0</v>
      </c>
      <c r="C9" s="113" t="s">
        <v>284</v>
      </c>
      <c r="D9" s="113"/>
      <c r="E9" s="114" t="s">
        <v>945</v>
      </c>
      <c r="F9" s="113" t="str">
        <f t="shared" si="1"/>
        <v>0402</v>
      </c>
      <c r="G9" s="116" t="s">
        <v>946</v>
      </c>
      <c r="H9" s="115"/>
    </row>
    <row r="10" ht="10.5" customHeight="1">
      <c r="A10" s="113" t="s">
        <v>947</v>
      </c>
      <c r="B10" s="113">
        <v>7.0</v>
      </c>
      <c r="C10" s="113" t="s">
        <v>942</v>
      </c>
      <c r="D10" s="113"/>
      <c r="E10" s="114" t="s">
        <v>120</v>
      </c>
      <c r="F10" s="113" t="str">
        <f t="shared" si="1"/>
        <v>0402</v>
      </c>
      <c r="G10" s="116" t="s">
        <v>948</v>
      </c>
      <c r="H10" s="115"/>
    </row>
    <row r="11" ht="10.5" customHeight="1">
      <c r="A11" s="113" t="s">
        <v>949</v>
      </c>
      <c r="B11" s="113">
        <v>1.0</v>
      </c>
      <c r="C11" s="113" t="s">
        <v>284</v>
      </c>
      <c r="D11" s="113"/>
      <c r="E11" s="114" t="s">
        <v>950</v>
      </c>
      <c r="F11" s="113" t="str">
        <f t="shared" si="1"/>
        <v>0402</v>
      </c>
      <c r="G11" s="116" t="s">
        <v>951</v>
      </c>
      <c r="H11" s="115"/>
    </row>
    <row r="12" ht="10.5" customHeight="1">
      <c r="A12" s="113" t="s">
        <v>952</v>
      </c>
      <c r="B12" s="113">
        <v>5.0</v>
      </c>
      <c r="C12" s="113" t="s">
        <v>284</v>
      </c>
      <c r="D12" s="113"/>
      <c r="E12" s="114" t="s">
        <v>141</v>
      </c>
      <c r="F12" s="113" t="str">
        <f t="shared" si="1"/>
        <v>0402</v>
      </c>
      <c r="G12" s="116" t="s">
        <v>953</v>
      </c>
      <c r="H12" s="115"/>
    </row>
    <row r="13" ht="10.5" customHeight="1">
      <c r="A13" s="113" t="s">
        <v>954</v>
      </c>
      <c r="B13" s="113">
        <v>1.0</v>
      </c>
      <c r="C13" s="113" t="s">
        <v>955</v>
      </c>
      <c r="D13" s="113"/>
      <c r="E13" s="114" t="s">
        <v>956</v>
      </c>
      <c r="F13" s="113" t="str">
        <f t="shared" si="1"/>
        <v>0402</v>
      </c>
      <c r="G13" s="116" t="s">
        <v>957</v>
      </c>
      <c r="H13" s="115"/>
    </row>
    <row r="14" ht="10.5" customHeight="1">
      <c r="A14" s="113" t="s">
        <v>855</v>
      </c>
      <c r="B14" s="113">
        <v>1.0</v>
      </c>
      <c r="C14" s="113" t="s">
        <v>331</v>
      </c>
      <c r="D14" s="113" t="s">
        <v>958</v>
      </c>
      <c r="E14" s="114" t="s">
        <v>426</v>
      </c>
      <c r="F14" s="113" t="str">
        <f t="shared" si="1"/>
        <v>0402</v>
      </c>
      <c r="G14" s="116" t="s">
        <v>959</v>
      </c>
      <c r="H14" s="115" t="s">
        <v>960</v>
      </c>
    </row>
    <row r="15" ht="10.5" customHeight="1">
      <c r="A15" s="113" t="s">
        <v>961</v>
      </c>
      <c r="B15" s="113">
        <v>1.0</v>
      </c>
      <c r="C15" s="113" t="s">
        <v>331</v>
      </c>
      <c r="D15" s="113" t="s">
        <v>962</v>
      </c>
      <c r="E15" s="114" t="s">
        <v>908</v>
      </c>
      <c r="F15" s="113" t="str">
        <f>"0603"</f>
        <v>0603</v>
      </c>
      <c r="G15" s="116" t="s">
        <v>963</v>
      </c>
      <c r="H15" s="113" t="s">
        <v>964</v>
      </c>
    </row>
    <row r="16" ht="10.5" customHeight="1">
      <c r="A16" s="113" t="s">
        <v>965</v>
      </c>
      <c r="B16" s="113">
        <v>5.0</v>
      </c>
      <c r="C16" s="113" t="s">
        <v>331</v>
      </c>
      <c r="D16" s="113" t="s">
        <v>332</v>
      </c>
      <c r="E16" s="114" t="s">
        <v>333</v>
      </c>
      <c r="F16" s="113" t="str">
        <f>"0402"</f>
        <v>0402</v>
      </c>
      <c r="G16" s="116" t="s">
        <v>966</v>
      </c>
      <c r="H16" s="113" t="s">
        <v>967</v>
      </c>
    </row>
    <row r="17" ht="10.5" customHeight="1">
      <c r="A17" s="113" t="s">
        <v>968</v>
      </c>
      <c r="B17" s="113">
        <v>2.0</v>
      </c>
      <c r="C17" s="113" t="s">
        <v>969</v>
      </c>
      <c r="D17" s="113" t="s">
        <v>432</v>
      </c>
      <c r="E17" s="114" t="s">
        <v>970</v>
      </c>
      <c r="F17" s="113" t="str">
        <f>"0603"</f>
        <v>0603</v>
      </c>
      <c r="G17" s="116" t="s">
        <v>971</v>
      </c>
      <c r="H17" s="113" t="s">
        <v>972</v>
      </c>
    </row>
    <row r="18" ht="10.5" customHeight="1">
      <c r="A18" s="113" t="s">
        <v>973</v>
      </c>
      <c r="B18" s="113">
        <v>4.0</v>
      </c>
      <c r="C18" s="113" t="s">
        <v>331</v>
      </c>
      <c r="D18" s="113" t="s">
        <v>332</v>
      </c>
      <c r="E18" s="114" t="s">
        <v>337</v>
      </c>
      <c r="F18" s="113" t="str">
        <f>"0805"</f>
        <v>0805</v>
      </c>
      <c r="G18" s="226" t="str">
        <f>HYPERLINK("https://www.mouser.co.uk/Search/ProductDetail.aspx?R=GRT21BR61E226ME13Lvirtualkey64800000virtualkey81-GRT21BR61E226ME3L","81-GRT21BR61E226ME3L")</f>
        <v>81-GRT21BR61E226ME3L</v>
      </c>
      <c r="H18" s="113" t="s">
        <v>974</v>
      </c>
    </row>
    <row r="19" ht="10.5" customHeight="1">
      <c r="A19" s="113" t="s">
        <v>341</v>
      </c>
      <c r="B19" s="113">
        <v>2.0</v>
      </c>
      <c r="C19" s="113" t="s">
        <v>975</v>
      </c>
      <c r="D19" s="113" t="s">
        <v>976</v>
      </c>
      <c r="E19" s="114"/>
      <c r="F19" s="113" t="s">
        <v>977</v>
      </c>
      <c r="G19" s="116" t="s">
        <v>978</v>
      </c>
      <c r="H19" s="113" t="s">
        <v>979</v>
      </c>
    </row>
    <row r="20" ht="10.5" customHeight="1">
      <c r="A20" s="113" t="s">
        <v>980</v>
      </c>
      <c r="B20" s="113">
        <v>10.0</v>
      </c>
      <c r="C20" s="113" t="s">
        <v>981</v>
      </c>
      <c r="D20" s="113"/>
      <c r="E20" s="114"/>
      <c r="F20" s="113" t="s">
        <v>977</v>
      </c>
      <c r="G20" s="116" t="s">
        <v>982</v>
      </c>
      <c r="H20" s="113" t="s">
        <v>983</v>
      </c>
    </row>
    <row r="21" ht="10.5" customHeight="1">
      <c r="A21" s="113" t="s">
        <v>984</v>
      </c>
      <c r="B21" s="113">
        <v>2.0</v>
      </c>
      <c r="C21" s="113" t="s">
        <v>487</v>
      </c>
      <c r="D21" s="113"/>
      <c r="E21" s="114"/>
      <c r="F21" s="113" t="s">
        <v>358</v>
      </c>
      <c r="G21" s="116" t="s">
        <v>985</v>
      </c>
      <c r="H21" s="113" t="s">
        <v>986</v>
      </c>
    </row>
    <row r="22" ht="10.5" customHeight="1">
      <c r="A22" s="113" t="s">
        <v>987</v>
      </c>
      <c r="B22" s="113">
        <v>2.0</v>
      </c>
      <c r="C22" s="113" t="s">
        <v>988</v>
      </c>
      <c r="D22" s="113"/>
      <c r="E22" s="114"/>
      <c r="F22" s="113" t="s">
        <v>733</v>
      </c>
      <c r="G22" s="113" t="s">
        <v>989</v>
      </c>
      <c r="H22" s="113" t="s">
        <v>990</v>
      </c>
    </row>
    <row r="23" ht="10.5" customHeight="1">
      <c r="A23" s="113" t="s">
        <v>463</v>
      </c>
      <c r="B23" s="113">
        <v>1.0</v>
      </c>
      <c r="C23" s="113" t="s">
        <v>991</v>
      </c>
      <c r="D23" s="113"/>
      <c r="E23" s="114"/>
      <c r="F23" s="113" t="s">
        <v>358</v>
      </c>
      <c r="G23" s="116" t="s">
        <v>992</v>
      </c>
      <c r="H23" s="113" t="s">
        <v>993</v>
      </c>
    </row>
    <row r="24" ht="10.5" customHeight="1">
      <c r="A24" s="113" t="s">
        <v>193</v>
      </c>
      <c r="B24" s="113">
        <v>2.0</v>
      </c>
      <c r="C24" s="155" t="s">
        <v>367</v>
      </c>
      <c r="D24" s="155" t="s">
        <v>994</v>
      </c>
      <c r="E24" s="155"/>
      <c r="F24" s="107" t="str">
        <f>"0603"</f>
        <v>0603</v>
      </c>
      <c r="G24" s="227" t="s">
        <v>369</v>
      </c>
      <c r="H24" s="107" t="s">
        <v>370</v>
      </c>
    </row>
    <row r="25" ht="12.0" customHeight="1">
      <c r="A25" s="115" t="s">
        <v>566</v>
      </c>
      <c r="B25" s="115">
        <v>2.0</v>
      </c>
      <c r="C25" s="107" t="s">
        <v>505</v>
      </c>
      <c r="D25" s="107"/>
      <c r="E25" s="107"/>
      <c r="F25" s="107" t="s">
        <v>995</v>
      </c>
      <c r="G25" s="107" t="s">
        <v>506</v>
      </c>
      <c r="H25" s="107" t="s">
        <v>507</v>
      </c>
    </row>
    <row r="26" ht="10.5" customHeight="1">
      <c r="A26" s="115" t="s">
        <v>664</v>
      </c>
      <c r="B26" s="115">
        <v>1.0</v>
      </c>
      <c r="C26" s="115" t="s">
        <v>996</v>
      </c>
      <c r="D26" s="115"/>
      <c r="E26" s="228"/>
      <c r="F26" s="115" t="s">
        <v>995</v>
      </c>
      <c r="G26" s="116" t="s">
        <v>997</v>
      </c>
      <c r="H26" s="115" t="s">
        <v>998</v>
      </c>
    </row>
    <row r="27" ht="12.0" customHeight="1">
      <c r="A27" s="163" t="s">
        <v>371</v>
      </c>
      <c r="B27" s="118"/>
      <c r="C27" s="118"/>
      <c r="D27" s="118"/>
      <c r="E27" s="118"/>
      <c r="F27" s="118"/>
      <c r="G27" s="119"/>
      <c r="H27" s="229"/>
    </row>
    <row r="28" ht="10.5" customHeight="1">
      <c r="A28" s="113" t="s">
        <v>372</v>
      </c>
      <c r="B28" s="113">
        <v>12.0</v>
      </c>
      <c r="C28" s="113" t="s">
        <v>373</v>
      </c>
      <c r="D28" s="115"/>
      <c r="E28" s="115"/>
      <c r="F28" s="115"/>
      <c r="G28" s="115"/>
      <c r="H28" s="161" t="s">
        <v>374</v>
      </c>
    </row>
    <row r="29" ht="10.5" customHeight="1">
      <c r="A29" s="113" t="s">
        <v>999</v>
      </c>
      <c r="B29" s="113">
        <v>3.0</v>
      </c>
      <c r="C29" s="113" t="s">
        <v>568</v>
      </c>
      <c r="D29" s="115"/>
      <c r="E29" s="115"/>
      <c r="F29" s="113" t="s">
        <v>569</v>
      </c>
      <c r="G29" s="113" t="s">
        <v>381</v>
      </c>
      <c r="H29" s="113" t="s">
        <v>382</v>
      </c>
    </row>
    <row r="30" ht="10.5" customHeight="1">
      <c r="A30" s="165" t="s">
        <v>391</v>
      </c>
      <c r="B30" s="165"/>
      <c r="C30" s="165"/>
      <c r="D30" s="165"/>
      <c r="E30" s="230"/>
      <c r="F30" s="165"/>
      <c r="G30" s="168"/>
      <c r="H30" s="229"/>
    </row>
    <row r="31" ht="10.5" customHeight="1">
      <c r="A31" s="113" t="s">
        <v>523</v>
      </c>
      <c r="B31" s="113">
        <v>1.0</v>
      </c>
      <c r="C31" s="113" t="s">
        <v>393</v>
      </c>
      <c r="D31" s="113"/>
      <c r="E31" s="113"/>
      <c r="F31" s="113"/>
      <c r="G31" s="113" t="s">
        <v>394</v>
      </c>
      <c r="H31" s="113"/>
    </row>
    <row r="32" ht="10.5" customHeight="1">
      <c r="A32" s="171" t="s">
        <v>395</v>
      </c>
      <c r="B32" s="171"/>
      <c r="C32" s="171" t="s">
        <v>1000</v>
      </c>
      <c r="D32" s="171"/>
      <c r="E32" s="231"/>
      <c r="F32" s="171"/>
      <c r="G32" s="174"/>
      <c r="H32" s="232"/>
    </row>
  </sheetData>
  <mergeCells count="3">
    <mergeCell ref="A1:H1"/>
    <mergeCell ref="A3:G3"/>
    <mergeCell ref="A27:G27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3.86"/>
    <col customWidth="1" min="3" max="3" width="28.29"/>
    <col customWidth="1" min="4" max="4" width="16.57"/>
    <col customWidth="1" min="5" max="5" width="5.43"/>
    <col customWidth="1" min="6" max="6" width="18.43"/>
    <col customWidth="1" min="7" max="7" width="20.86"/>
    <col customWidth="1" min="8" max="8" width="32.0"/>
  </cols>
  <sheetData>
    <row r="1" ht="33.75" customHeight="1">
      <c r="A1" s="144" t="s">
        <v>1001</v>
      </c>
    </row>
    <row r="2" ht="12.0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</row>
    <row r="4" ht="10.5" customHeight="1">
      <c r="A4" s="113" t="s">
        <v>1002</v>
      </c>
      <c r="B4" s="113">
        <v>6.0</v>
      </c>
      <c r="C4" s="113" t="s">
        <v>284</v>
      </c>
      <c r="D4" s="113"/>
      <c r="E4" s="113">
        <v>51.0</v>
      </c>
      <c r="F4" s="113" t="str">
        <f t="shared" ref="F4:F10" si="1">"0603"</f>
        <v>0603</v>
      </c>
      <c r="G4" s="113" t="s">
        <v>1003</v>
      </c>
      <c r="H4" s="225"/>
    </row>
    <row r="5" ht="10.5" customHeight="1">
      <c r="A5" s="113" t="s">
        <v>1004</v>
      </c>
      <c r="B5" s="113">
        <v>3.0</v>
      </c>
      <c r="C5" s="113" t="s">
        <v>284</v>
      </c>
      <c r="D5" s="113"/>
      <c r="E5" s="113" t="s">
        <v>598</v>
      </c>
      <c r="F5" s="113" t="str">
        <f t="shared" si="1"/>
        <v>0603</v>
      </c>
      <c r="G5" s="113" t="s">
        <v>1005</v>
      </c>
      <c r="H5" s="225"/>
    </row>
    <row r="6" ht="10.5" customHeight="1">
      <c r="A6" s="113" t="s">
        <v>877</v>
      </c>
      <c r="B6" s="113">
        <v>1.0</v>
      </c>
      <c r="C6" s="113" t="s">
        <v>284</v>
      </c>
      <c r="D6" s="113"/>
      <c r="E6" s="113" t="s">
        <v>613</v>
      </c>
      <c r="F6" s="113" t="str">
        <f t="shared" si="1"/>
        <v>0603</v>
      </c>
      <c r="G6" s="113" t="s">
        <v>614</v>
      </c>
      <c r="H6" s="115"/>
    </row>
    <row r="7" ht="10.5" customHeight="1">
      <c r="A7" s="113" t="s">
        <v>1006</v>
      </c>
      <c r="B7" s="113">
        <v>10.0</v>
      </c>
      <c r="C7" s="113" t="s">
        <v>1007</v>
      </c>
      <c r="D7" s="113"/>
      <c r="E7" s="113" t="s">
        <v>120</v>
      </c>
      <c r="F7" s="113" t="str">
        <f t="shared" si="1"/>
        <v>0603</v>
      </c>
      <c r="G7" s="113" t="s">
        <v>309</v>
      </c>
      <c r="H7" s="115"/>
    </row>
    <row r="8" ht="10.5" customHeight="1">
      <c r="A8" s="113" t="s">
        <v>694</v>
      </c>
      <c r="B8" s="113">
        <v>1.0</v>
      </c>
      <c r="C8" s="113" t="s">
        <v>284</v>
      </c>
      <c r="D8" s="113"/>
      <c r="E8" s="113" t="s">
        <v>1008</v>
      </c>
      <c r="F8" s="113" t="str">
        <f t="shared" si="1"/>
        <v>0603</v>
      </c>
      <c r="G8" s="113" t="s">
        <v>1009</v>
      </c>
      <c r="H8" s="115"/>
    </row>
    <row r="9" ht="10.5" customHeight="1">
      <c r="A9" s="113" t="s">
        <v>1010</v>
      </c>
      <c r="B9" s="113">
        <v>2.0</v>
      </c>
      <c r="C9" s="113" t="s">
        <v>331</v>
      </c>
      <c r="D9" s="113" t="s">
        <v>1011</v>
      </c>
      <c r="E9" s="113" t="s">
        <v>1012</v>
      </c>
      <c r="F9" s="113" t="str">
        <f t="shared" si="1"/>
        <v>0603</v>
      </c>
      <c r="G9" s="113" t="s">
        <v>1013</v>
      </c>
      <c r="H9" s="113"/>
    </row>
    <row r="10" ht="10.5" customHeight="1">
      <c r="A10" s="113" t="s">
        <v>1014</v>
      </c>
      <c r="B10" s="113">
        <v>6.0</v>
      </c>
      <c r="C10" s="113" t="s">
        <v>331</v>
      </c>
      <c r="D10" s="113" t="s">
        <v>432</v>
      </c>
      <c r="E10" s="113" t="s">
        <v>333</v>
      </c>
      <c r="F10" s="113" t="str">
        <f t="shared" si="1"/>
        <v>0603</v>
      </c>
      <c r="G10" s="113" t="s">
        <v>116</v>
      </c>
      <c r="H10" s="113"/>
    </row>
    <row r="11" ht="10.5" customHeight="1">
      <c r="A11" s="113" t="s">
        <v>335</v>
      </c>
      <c r="B11" s="113">
        <v>2.0</v>
      </c>
      <c r="C11" s="113" t="s">
        <v>336</v>
      </c>
      <c r="D11" s="113" t="s">
        <v>332</v>
      </c>
      <c r="E11" s="113" t="s">
        <v>970</v>
      </c>
      <c r="F11" s="113" t="s">
        <v>1015</v>
      </c>
      <c r="G11" s="116" t="s">
        <v>1016</v>
      </c>
      <c r="H11" s="113" t="s">
        <v>1017</v>
      </c>
    </row>
    <row r="12" ht="10.5" customHeight="1">
      <c r="A12" s="113" t="s">
        <v>341</v>
      </c>
      <c r="B12" s="113">
        <v>2.0</v>
      </c>
      <c r="C12" s="113" t="s">
        <v>342</v>
      </c>
      <c r="D12" s="113"/>
      <c r="E12" s="113"/>
      <c r="F12" s="113" t="s">
        <v>343</v>
      </c>
      <c r="G12" s="113" t="s">
        <v>344</v>
      </c>
      <c r="H12" s="113" t="s">
        <v>345</v>
      </c>
    </row>
    <row r="13" ht="10.5" customHeight="1">
      <c r="A13" s="113" t="s">
        <v>798</v>
      </c>
      <c r="B13" s="113">
        <v>2.0</v>
      </c>
      <c r="C13" s="113" t="s">
        <v>491</v>
      </c>
      <c r="D13" s="113"/>
      <c r="E13" s="113"/>
      <c r="F13" s="113" t="s">
        <v>254</v>
      </c>
      <c r="G13" s="116" t="s">
        <v>1018</v>
      </c>
      <c r="H13" s="113" t="s">
        <v>1019</v>
      </c>
    </row>
    <row r="14" ht="10.5" customHeight="1">
      <c r="A14" s="113" t="s">
        <v>553</v>
      </c>
      <c r="B14" s="113">
        <v>1.0</v>
      </c>
      <c r="C14" s="113" t="s">
        <v>991</v>
      </c>
      <c r="D14" s="113"/>
      <c r="E14" s="113"/>
      <c r="F14" s="113" t="s">
        <v>358</v>
      </c>
      <c r="G14" s="116" t="s">
        <v>992</v>
      </c>
      <c r="H14" s="113" t="s">
        <v>993</v>
      </c>
    </row>
    <row r="15" ht="10.5" customHeight="1">
      <c r="A15" s="113" t="s">
        <v>1020</v>
      </c>
      <c r="B15" s="113">
        <v>2.0</v>
      </c>
      <c r="C15" s="113" t="s">
        <v>988</v>
      </c>
      <c r="D15" s="113"/>
      <c r="E15" s="113"/>
      <c r="F15" s="113" t="s">
        <v>733</v>
      </c>
      <c r="G15" s="113" t="s">
        <v>989</v>
      </c>
      <c r="H15" s="113" t="s">
        <v>990</v>
      </c>
    </row>
    <row r="16" ht="12.0" customHeight="1">
      <c r="A16" s="163" t="s">
        <v>371</v>
      </c>
      <c r="B16" s="118"/>
      <c r="C16" s="118"/>
      <c r="D16" s="118"/>
      <c r="E16" s="118"/>
      <c r="F16" s="118"/>
      <c r="G16" s="119"/>
      <c r="H16" s="229"/>
    </row>
    <row r="17" ht="10.5" customHeight="1">
      <c r="A17" s="113" t="s">
        <v>372</v>
      </c>
      <c r="B17" s="113">
        <v>12.0</v>
      </c>
      <c r="C17" s="113" t="s">
        <v>373</v>
      </c>
      <c r="D17" s="115"/>
      <c r="E17" s="115"/>
      <c r="F17" s="115"/>
      <c r="G17" s="115"/>
      <c r="H17" s="161" t="s">
        <v>374</v>
      </c>
    </row>
    <row r="18" ht="10.5" customHeight="1">
      <c r="A18" s="113" t="s">
        <v>999</v>
      </c>
      <c r="B18" s="113">
        <v>3.0</v>
      </c>
      <c r="C18" s="113" t="s">
        <v>568</v>
      </c>
      <c r="D18" s="115"/>
      <c r="E18" s="115"/>
      <c r="F18" s="113" t="s">
        <v>569</v>
      </c>
      <c r="G18" s="113" t="s">
        <v>381</v>
      </c>
      <c r="H18" s="113" t="s">
        <v>382</v>
      </c>
    </row>
    <row r="19" ht="10.5" customHeight="1">
      <c r="A19" s="113" t="str">
        <f>"- LED1, LED2, LED3"</f>
        <v>- LED1, LED2, LED3</v>
      </c>
      <c r="B19" s="113">
        <v>3.0</v>
      </c>
      <c r="C19" s="113" t="s">
        <v>1021</v>
      </c>
      <c r="D19" s="115"/>
      <c r="E19" s="115"/>
      <c r="F19" s="115"/>
      <c r="G19" s="115"/>
      <c r="H19" s="153" t="s">
        <v>573</v>
      </c>
    </row>
    <row r="20" ht="10.5" customHeight="1">
      <c r="A20" s="165" t="s">
        <v>391</v>
      </c>
      <c r="B20" s="165"/>
      <c r="C20" s="165"/>
      <c r="D20" s="165"/>
      <c r="E20" s="230"/>
      <c r="F20" s="165"/>
      <c r="G20" s="168"/>
      <c r="H20" s="229"/>
    </row>
    <row r="21" ht="10.5" customHeight="1">
      <c r="A21" s="113" t="s">
        <v>523</v>
      </c>
      <c r="B21" s="113">
        <v>1.0</v>
      </c>
      <c r="C21" s="113" t="s">
        <v>393</v>
      </c>
      <c r="D21" s="113"/>
      <c r="E21" s="113"/>
      <c r="F21" s="113"/>
      <c r="G21" s="161" t="s">
        <v>394</v>
      </c>
      <c r="H21" s="113"/>
    </row>
    <row r="22" ht="10.5" customHeight="1">
      <c r="A22" s="165" t="s">
        <v>531</v>
      </c>
      <c r="B22" s="165"/>
      <c r="C22" s="165"/>
      <c r="D22" s="165"/>
      <c r="E22" s="230"/>
      <c r="F22" s="165"/>
      <c r="G22" s="168"/>
      <c r="H22" s="229"/>
    </row>
    <row r="23" ht="10.5" customHeight="1">
      <c r="A23" s="171" t="s">
        <v>395</v>
      </c>
      <c r="B23" s="171"/>
      <c r="C23" s="171" t="s">
        <v>1022</v>
      </c>
      <c r="D23" s="171"/>
      <c r="E23" s="231"/>
      <c r="F23" s="171"/>
      <c r="G23" s="174"/>
      <c r="H23" s="232"/>
    </row>
  </sheetData>
  <mergeCells count="3">
    <mergeCell ref="A1:H1"/>
    <mergeCell ref="A3:G3"/>
    <mergeCell ref="A16:G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3.86"/>
    <col customWidth="1" min="3" max="3" width="24.43"/>
    <col customWidth="1" min="4" max="4" width="16.57"/>
    <col customWidth="1" min="5" max="5" width="5.43"/>
    <col customWidth="1" min="6" max="6" width="13.29"/>
    <col customWidth="1" min="7" max="7" width="23.43"/>
    <col customWidth="1" min="8" max="8" width="35.71"/>
  </cols>
  <sheetData>
    <row r="1" ht="16.5" customHeight="1">
      <c r="A1" s="233" t="s">
        <v>1023</v>
      </c>
    </row>
    <row r="2" ht="12.75" customHeight="1">
      <c r="A2" s="175" t="s">
        <v>106</v>
      </c>
      <c r="B2" s="175" t="s">
        <v>95</v>
      </c>
      <c r="C2" s="175" t="s">
        <v>96</v>
      </c>
      <c r="D2" s="175" t="s">
        <v>97</v>
      </c>
      <c r="E2" s="234" t="s">
        <v>98</v>
      </c>
      <c r="F2" s="175" t="s">
        <v>99</v>
      </c>
      <c r="G2" s="176" t="s">
        <v>107</v>
      </c>
      <c r="H2" s="175" t="s">
        <v>109</v>
      </c>
    </row>
    <row r="3" ht="12.0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108" t="s">
        <v>1024</v>
      </c>
      <c r="B4" s="108">
        <v>2.0</v>
      </c>
      <c r="C4" s="108" t="s">
        <v>284</v>
      </c>
      <c r="D4" s="108"/>
      <c r="E4" s="112">
        <v>33.0</v>
      </c>
      <c r="F4" s="108" t="str">
        <f t="shared" ref="F4:F17" si="1">"0603"</f>
        <v>0603</v>
      </c>
      <c r="G4" s="138" t="s">
        <v>1025</v>
      </c>
      <c r="H4" s="108"/>
    </row>
    <row r="5" ht="12.0" customHeight="1">
      <c r="A5" s="108" t="s">
        <v>1026</v>
      </c>
      <c r="B5" s="108">
        <v>5.0</v>
      </c>
      <c r="C5" s="108" t="s">
        <v>284</v>
      </c>
      <c r="D5" s="108"/>
      <c r="E5" s="112">
        <v>100.0</v>
      </c>
      <c r="F5" s="108" t="str">
        <f t="shared" si="1"/>
        <v>0603</v>
      </c>
      <c r="G5" s="138" t="s">
        <v>832</v>
      </c>
      <c r="H5" s="202"/>
    </row>
    <row r="6" ht="11.25" customHeight="1">
      <c r="A6" s="108" t="s">
        <v>1027</v>
      </c>
      <c r="B6" s="108">
        <v>2.0</v>
      </c>
      <c r="C6" s="108" t="s">
        <v>284</v>
      </c>
      <c r="D6" s="108"/>
      <c r="E6" s="112" t="s">
        <v>598</v>
      </c>
      <c r="F6" s="108" t="str">
        <f t="shared" si="1"/>
        <v>0603</v>
      </c>
      <c r="G6" s="138" t="s">
        <v>837</v>
      </c>
      <c r="H6" s="202"/>
    </row>
    <row r="7" ht="12.0" customHeight="1">
      <c r="A7" s="108" t="s">
        <v>1028</v>
      </c>
      <c r="B7" s="108">
        <v>2.0</v>
      </c>
      <c r="C7" s="108" t="s">
        <v>284</v>
      </c>
      <c r="D7" s="108"/>
      <c r="E7" s="112" t="s">
        <v>603</v>
      </c>
      <c r="F7" s="108" t="str">
        <f t="shared" si="1"/>
        <v>0603</v>
      </c>
      <c r="G7" s="138" t="s">
        <v>839</v>
      </c>
      <c r="H7" s="202"/>
    </row>
    <row r="8" ht="12.0" customHeight="1">
      <c r="A8" s="108" t="s">
        <v>1029</v>
      </c>
      <c r="B8" s="108">
        <v>4.0</v>
      </c>
      <c r="C8" s="108" t="s">
        <v>284</v>
      </c>
      <c r="D8" s="108"/>
      <c r="E8" s="203" t="s">
        <v>132</v>
      </c>
      <c r="F8" s="108" t="str">
        <f t="shared" si="1"/>
        <v>0603</v>
      </c>
      <c r="G8" s="138" t="s">
        <v>843</v>
      </c>
      <c r="H8" s="202"/>
    </row>
    <row r="9" ht="12.0" customHeight="1">
      <c r="A9" s="108" t="s">
        <v>1030</v>
      </c>
      <c r="B9" s="108">
        <v>6.0</v>
      </c>
      <c r="C9" s="108" t="s">
        <v>284</v>
      </c>
      <c r="D9" s="108"/>
      <c r="E9" s="112" t="s">
        <v>410</v>
      </c>
      <c r="F9" s="108" t="str">
        <f t="shared" si="1"/>
        <v>0603</v>
      </c>
      <c r="G9" s="108" t="s">
        <v>1031</v>
      </c>
      <c r="H9" s="108"/>
    </row>
    <row r="10" ht="12.0" customHeight="1">
      <c r="A10" s="108" t="s">
        <v>1032</v>
      </c>
      <c r="B10" s="108">
        <v>2.0</v>
      </c>
      <c r="C10" s="108" t="s">
        <v>284</v>
      </c>
      <c r="D10" s="108"/>
      <c r="E10" s="112" t="s">
        <v>120</v>
      </c>
      <c r="F10" s="108" t="str">
        <f t="shared" si="1"/>
        <v>0603</v>
      </c>
      <c r="G10" s="108" t="s">
        <v>849</v>
      </c>
      <c r="H10" s="108"/>
    </row>
    <row r="11" ht="12.0" customHeight="1">
      <c r="A11" s="108" t="s">
        <v>1033</v>
      </c>
      <c r="B11" s="108">
        <v>2.0</v>
      </c>
      <c r="C11" s="108" t="s">
        <v>284</v>
      </c>
      <c r="D11" s="108"/>
      <c r="E11" s="203" t="s">
        <v>1034</v>
      </c>
      <c r="F11" s="108" t="str">
        <f t="shared" si="1"/>
        <v>0603</v>
      </c>
      <c r="G11" s="108" t="s">
        <v>1035</v>
      </c>
      <c r="H11" s="202"/>
    </row>
    <row r="12" ht="12.0" customHeight="1">
      <c r="A12" s="108" t="s">
        <v>1036</v>
      </c>
      <c r="B12" s="108">
        <v>2.0</v>
      </c>
      <c r="C12" s="108" t="s">
        <v>284</v>
      </c>
      <c r="D12" s="108"/>
      <c r="E12" s="203" t="s">
        <v>1037</v>
      </c>
      <c r="F12" s="108" t="str">
        <f t="shared" si="1"/>
        <v>0603</v>
      </c>
      <c r="G12" s="108" t="s">
        <v>1038</v>
      </c>
      <c r="H12" s="108"/>
    </row>
    <row r="13" ht="12.0" customHeight="1">
      <c r="A13" s="108" t="s">
        <v>1039</v>
      </c>
      <c r="B13" s="108">
        <v>4.0</v>
      </c>
      <c r="C13" s="108" t="s">
        <v>331</v>
      </c>
      <c r="D13" s="108"/>
      <c r="E13" s="203" t="s">
        <v>421</v>
      </c>
      <c r="F13" s="108" t="str">
        <f t="shared" si="1"/>
        <v>0603</v>
      </c>
      <c r="G13" s="138" t="s">
        <v>139</v>
      </c>
      <c r="H13" s="108"/>
    </row>
    <row r="14" ht="12.0" customHeight="1">
      <c r="A14" s="108" t="s">
        <v>1040</v>
      </c>
      <c r="B14" s="108">
        <v>4.0</v>
      </c>
      <c r="C14" s="108" t="s">
        <v>331</v>
      </c>
      <c r="D14" s="108" t="s">
        <v>1041</v>
      </c>
      <c r="E14" s="136" t="s">
        <v>632</v>
      </c>
      <c r="F14" s="108" t="str">
        <f t="shared" si="1"/>
        <v>0603</v>
      </c>
      <c r="G14" s="108" t="s">
        <v>633</v>
      </c>
      <c r="H14" s="108"/>
    </row>
    <row r="15" ht="21.75" customHeight="1">
      <c r="A15" s="108" t="s">
        <v>1042</v>
      </c>
      <c r="B15" s="108">
        <v>10.0</v>
      </c>
      <c r="C15" s="108" t="s">
        <v>331</v>
      </c>
      <c r="D15" s="108" t="s">
        <v>432</v>
      </c>
      <c r="E15" s="112" t="s">
        <v>333</v>
      </c>
      <c r="F15" s="108" t="str">
        <f t="shared" si="1"/>
        <v>0603</v>
      </c>
      <c r="G15" s="108" t="s">
        <v>116</v>
      </c>
      <c r="H15" s="108"/>
    </row>
    <row r="16" ht="12.0" customHeight="1">
      <c r="A16" s="108" t="s">
        <v>1043</v>
      </c>
      <c r="B16" s="108">
        <v>2.0</v>
      </c>
      <c r="C16" s="108" t="s">
        <v>331</v>
      </c>
      <c r="D16" s="108" t="s">
        <v>432</v>
      </c>
      <c r="E16" s="112" t="s">
        <v>436</v>
      </c>
      <c r="F16" s="108" t="str">
        <f t="shared" si="1"/>
        <v>0603</v>
      </c>
      <c r="G16" s="108" t="s">
        <v>437</v>
      </c>
      <c r="H16" s="202"/>
    </row>
    <row r="17" ht="12.0" customHeight="1">
      <c r="A17" s="108" t="s">
        <v>1044</v>
      </c>
      <c r="B17" s="108">
        <v>1.0</v>
      </c>
      <c r="C17" s="108" t="s">
        <v>331</v>
      </c>
      <c r="D17" s="108" t="s">
        <v>435</v>
      </c>
      <c r="E17" s="112" t="s">
        <v>861</v>
      </c>
      <c r="F17" s="108" t="str">
        <f t="shared" si="1"/>
        <v>0603</v>
      </c>
      <c r="G17" s="108" t="s">
        <v>862</v>
      </c>
      <c r="H17" s="108"/>
    </row>
    <row r="18" ht="12.0" customHeight="1">
      <c r="A18" s="108" t="s">
        <v>1045</v>
      </c>
      <c r="B18" s="108">
        <v>3.0</v>
      </c>
      <c r="C18" s="108" t="s">
        <v>336</v>
      </c>
      <c r="D18" s="108" t="s">
        <v>332</v>
      </c>
      <c r="E18" s="203" t="s">
        <v>337</v>
      </c>
      <c r="F18" s="108" t="s">
        <v>338</v>
      </c>
      <c r="G18" s="138" t="s">
        <v>339</v>
      </c>
      <c r="H18" s="108" t="s">
        <v>340</v>
      </c>
    </row>
    <row r="19" ht="12.0" customHeight="1">
      <c r="A19" s="108" t="s">
        <v>544</v>
      </c>
      <c r="B19" s="108">
        <v>1.0</v>
      </c>
      <c r="C19" s="108" t="s">
        <v>367</v>
      </c>
      <c r="D19" s="108" t="s">
        <v>809</v>
      </c>
      <c r="E19" s="112"/>
      <c r="F19" s="108" t="str">
        <f>"0603"</f>
        <v>0603</v>
      </c>
      <c r="G19" s="108" t="s">
        <v>810</v>
      </c>
      <c r="H19" s="108" t="s">
        <v>811</v>
      </c>
    </row>
    <row r="20" ht="12.0" customHeight="1">
      <c r="A20" s="108" t="s">
        <v>341</v>
      </c>
      <c r="B20" s="108">
        <v>2.0</v>
      </c>
      <c r="C20" s="108" t="s">
        <v>342</v>
      </c>
      <c r="D20" s="108"/>
      <c r="E20" s="203"/>
      <c r="F20" s="108" t="s">
        <v>343</v>
      </c>
      <c r="G20" s="108" t="s">
        <v>344</v>
      </c>
      <c r="H20" s="108" t="s">
        <v>345</v>
      </c>
    </row>
    <row r="21" ht="12.0" customHeight="1">
      <c r="A21" s="108" t="s">
        <v>553</v>
      </c>
      <c r="B21" s="108">
        <v>1.0</v>
      </c>
      <c r="C21" s="108" t="s">
        <v>474</v>
      </c>
      <c r="D21" s="108"/>
      <c r="E21" s="203" t="s">
        <v>475</v>
      </c>
      <c r="F21" s="108" t="s">
        <v>562</v>
      </c>
      <c r="G21" s="138" t="s">
        <v>221</v>
      </c>
      <c r="H21" s="108" t="s">
        <v>731</v>
      </c>
    </row>
    <row r="22" ht="12.0" customHeight="1">
      <c r="A22" s="108" t="s">
        <v>560</v>
      </c>
      <c r="B22" s="108">
        <v>1.0</v>
      </c>
      <c r="C22" s="108" t="s">
        <v>362</v>
      </c>
      <c r="D22" s="108" t="s">
        <v>459</v>
      </c>
      <c r="E22" s="203" t="s">
        <v>460</v>
      </c>
      <c r="F22" s="108" t="s">
        <v>190</v>
      </c>
      <c r="G22" s="138" t="s">
        <v>461</v>
      </c>
      <c r="H22" s="108" t="s">
        <v>462</v>
      </c>
    </row>
    <row r="23" ht="12.0" customHeight="1">
      <c r="A23" s="108" t="s">
        <v>473</v>
      </c>
      <c r="B23" s="108">
        <v>1.0</v>
      </c>
      <c r="C23" s="108" t="s">
        <v>362</v>
      </c>
      <c r="D23" s="108" t="s">
        <v>459</v>
      </c>
      <c r="E23" s="203" t="s">
        <v>364</v>
      </c>
      <c r="F23" s="108" t="s">
        <v>190</v>
      </c>
      <c r="G23" s="138" t="s">
        <v>484</v>
      </c>
      <c r="H23" s="108" t="s">
        <v>485</v>
      </c>
    </row>
    <row r="24" ht="12.0" customHeight="1">
      <c r="A24" s="108" t="s">
        <v>458</v>
      </c>
      <c r="B24" s="108">
        <v>1.0</v>
      </c>
      <c r="C24" s="108" t="s">
        <v>1046</v>
      </c>
      <c r="D24" s="108"/>
      <c r="E24" s="136"/>
      <c r="F24" s="108" t="s">
        <v>470</v>
      </c>
      <c r="G24" s="138" t="s">
        <v>1047</v>
      </c>
      <c r="H24" s="108" t="s">
        <v>1048</v>
      </c>
    </row>
    <row r="25" ht="12.0" customHeight="1">
      <c r="A25" s="108" t="s">
        <v>1049</v>
      </c>
      <c r="B25" s="108">
        <v>2.0</v>
      </c>
      <c r="C25" s="108" t="s">
        <v>1050</v>
      </c>
      <c r="D25" s="108"/>
      <c r="E25" s="112"/>
      <c r="F25" s="108" t="s">
        <v>492</v>
      </c>
      <c r="G25" s="108" t="s">
        <v>1051</v>
      </c>
      <c r="H25" s="108" t="s">
        <v>1052</v>
      </c>
    </row>
    <row r="26" ht="12.0" customHeight="1">
      <c r="A26" s="108" t="s">
        <v>920</v>
      </c>
      <c r="B26" s="108">
        <v>2.0</v>
      </c>
      <c r="C26" s="108" t="s">
        <v>505</v>
      </c>
      <c r="D26" s="108"/>
      <c r="E26" s="203"/>
      <c r="F26" s="108" t="s">
        <v>190</v>
      </c>
      <c r="G26" s="138" t="s">
        <v>506</v>
      </c>
      <c r="H26" s="108" t="s">
        <v>507</v>
      </c>
    </row>
    <row r="27" ht="12.0" customHeight="1">
      <c r="A27" s="108" t="s">
        <v>808</v>
      </c>
      <c r="B27" s="108">
        <v>1.0</v>
      </c>
      <c r="C27" s="108" t="s">
        <v>496</v>
      </c>
      <c r="D27" s="108"/>
      <c r="E27" s="203"/>
      <c r="F27" s="108" t="s">
        <v>497</v>
      </c>
      <c r="G27" s="138" t="s">
        <v>180</v>
      </c>
      <c r="H27" s="108" t="s">
        <v>498</v>
      </c>
    </row>
    <row r="28" ht="12.0" customHeight="1">
      <c r="A28" s="108" t="s">
        <v>1053</v>
      </c>
      <c r="B28" s="108">
        <v>2.0</v>
      </c>
      <c r="C28" s="108" t="s">
        <v>500</v>
      </c>
      <c r="D28" s="108"/>
      <c r="E28" s="136"/>
      <c r="F28" s="108" t="s">
        <v>501</v>
      </c>
      <c r="G28" s="138" t="s">
        <v>502</v>
      </c>
      <c r="H28" s="108" t="s">
        <v>503</v>
      </c>
    </row>
    <row r="29" ht="12.0" customHeight="1">
      <c r="A29" s="108" t="s">
        <v>508</v>
      </c>
      <c r="B29" s="108">
        <v>1.0</v>
      </c>
      <c r="C29" s="108" t="s">
        <v>509</v>
      </c>
      <c r="D29" s="108"/>
      <c r="E29" s="136"/>
      <c r="F29" s="108" t="s">
        <v>510</v>
      </c>
      <c r="G29" s="138" t="s">
        <v>511</v>
      </c>
      <c r="H29" s="108" t="s">
        <v>512</v>
      </c>
    </row>
    <row r="30" ht="12.0" customHeight="1">
      <c r="A30" s="117" t="s">
        <v>371</v>
      </c>
      <c r="B30" s="118"/>
      <c r="C30" s="118"/>
      <c r="D30" s="118"/>
      <c r="E30" s="118"/>
      <c r="F30" s="118"/>
      <c r="G30" s="119"/>
      <c r="H30" s="120"/>
    </row>
    <row r="31" ht="12.0" customHeight="1">
      <c r="A31" s="93" t="s">
        <v>1054</v>
      </c>
      <c r="B31" s="93">
        <v>4.0</v>
      </c>
      <c r="C31" s="93" t="s">
        <v>373</v>
      </c>
      <c r="D31" s="93"/>
      <c r="E31" s="235"/>
      <c r="F31" s="93"/>
      <c r="G31" s="77"/>
      <c r="H31" s="93" t="s">
        <v>374</v>
      </c>
    </row>
    <row r="32" ht="12.0" customHeight="1">
      <c r="A32" s="93" t="s">
        <v>1055</v>
      </c>
      <c r="B32" s="93">
        <v>5.0</v>
      </c>
      <c r="C32" s="93" t="s">
        <v>747</v>
      </c>
      <c r="D32" s="93"/>
      <c r="E32" s="236"/>
      <c r="F32" s="93"/>
      <c r="G32" s="112" t="s">
        <v>748</v>
      </c>
      <c r="H32" s="112" t="s">
        <v>749</v>
      </c>
    </row>
    <row r="33" ht="12.0" customHeight="1">
      <c r="A33" s="93" t="str">
        <f>"- LED1, LED2, LED3, LED4, LED5"</f>
        <v>- LED1, LED2, LED3, LED4, LED5</v>
      </c>
      <c r="B33" s="93">
        <v>5.0</v>
      </c>
      <c r="C33" s="93" t="s">
        <v>571</v>
      </c>
      <c r="D33" s="93" t="s">
        <v>1056</v>
      </c>
      <c r="E33" s="237"/>
      <c r="F33" s="93"/>
      <c r="G33" s="93"/>
      <c r="H33" s="93" t="s">
        <v>573</v>
      </c>
    </row>
    <row r="34" ht="12.0" customHeight="1">
      <c r="A34" s="93" t="s">
        <v>1057</v>
      </c>
      <c r="B34" s="93">
        <v>4.0</v>
      </c>
      <c r="C34" s="93" t="s">
        <v>389</v>
      </c>
      <c r="D34" s="93"/>
      <c r="E34" s="236"/>
      <c r="F34" s="93"/>
      <c r="G34" s="77"/>
      <c r="H34" s="85" t="s">
        <v>390</v>
      </c>
    </row>
    <row r="35" ht="12.0" customHeight="1">
      <c r="A35" s="93" t="s">
        <v>1058</v>
      </c>
      <c r="B35" s="93">
        <v>2.0</v>
      </c>
      <c r="C35" s="93" t="s">
        <v>680</v>
      </c>
      <c r="D35" s="93"/>
      <c r="E35" s="93"/>
      <c r="F35" s="93"/>
      <c r="G35" s="200" t="str">
        <f>HYPERLINK("http://www.mouser.co.uk/ProductDetail/E-Switch/LP4OA1PBCTG/?qs=sGAEpiMZZMufv8JNQ5fVHYtKSHsZaECCoPbaN8OG5%252bM%3d","612-LP4OA1PBCTG")</f>
        <v>612-LP4OA1PBCTG</v>
      </c>
      <c r="H35" s="93" t="s">
        <v>681</v>
      </c>
    </row>
    <row r="36" ht="12.0" customHeight="1">
      <c r="A36" s="93" t="s">
        <v>574</v>
      </c>
      <c r="B36" s="93">
        <v>2.0</v>
      </c>
      <c r="C36" s="93" t="s">
        <v>575</v>
      </c>
      <c r="D36" s="93"/>
      <c r="E36" s="93"/>
      <c r="F36" s="93"/>
      <c r="G36" s="93" t="s">
        <v>576</v>
      </c>
      <c r="H36" s="93" t="s">
        <v>577</v>
      </c>
    </row>
    <row r="37" ht="12.0" customHeight="1">
      <c r="A37" s="238" t="s">
        <v>578</v>
      </c>
      <c r="B37" s="93">
        <v>2.0</v>
      </c>
      <c r="C37" s="93" t="s">
        <v>579</v>
      </c>
      <c r="D37" s="93"/>
      <c r="E37" s="93"/>
      <c r="F37" s="93"/>
      <c r="G37" s="93" t="s">
        <v>580</v>
      </c>
      <c r="H37" s="93" t="s">
        <v>581</v>
      </c>
    </row>
    <row r="38" ht="12.0" customHeight="1">
      <c r="A38" s="122" t="s">
        <v>391</v>
      </c>
      <c r="B38" s="122"/>
      <c r="C38" s="122"/>
      <c r="D38" s="122"/>
      <c r="E38" s="187"/>
      <c r="F38" s="122"/>
      <c r="G38" s="123"/>
      <c r="H38" s="120"/>
    </row>
    <row r="39" ht="12.0" customHeight="1">
      <c r="A39" s="108" t="s">
        <v>528</v>
      </c>
      <c r="B39" s="108">
        <v>1.0</v>
      </c>
      <c r="C39" s="108" t="s">
        <v>393</v>
      </c>
      <c r="D39" s="108"/>
      <c r="E39" s="112"/>
      <c r="F39" s="108"/>
      <c r="G39" s="108" t="s">
        <v>394</v>
      </c>
      <c r="H39" s="108"/>
    </row>
    <row r="40" ht="12.0" customHeight="1">
      <c r="A40" s="108" t="s">
        <v>525</v>
      </c>
      <c r="B40" s="108">
        <v>1.0</v>
      </c>
      <c r="C40" s="108" t="s">
        <v>526</v>
      </c>
      <c r="D40" s="108"/>
      <c r="E40" s="203"/>
      <c r="F40" s="108"/>
      <c r="G40" s="138" t="s">
        <v>527</v>
      </c>
      <c r="H40" s="108"/>
    </row>
    <row r="41" ht="12.0" customHeight="1">
      <c r="A41" s="108" t="s">
        <v>523</v>
      </c>
      <c r="B41" s="108">
        <v>1.0</v>
      </c>
      <c r="C41" s="108" t="s">
        <v>684</v>
      </c>
      <c r="D41" s="108"/>
      <c r="E41" s="203"/>
      <c r="F41" s="108"/>
      <c r="G41" s="138" t="s">
        <v>530</v>
      </c>
      <c r="H41" s="108"/>
    </row>
    <row r="42" ht="12.0" customHeight="1">
      <c r="A42" s="122" t="s">
        <v>531</v>
      </c>
      <c r="B42" s="122"/>
      <c r="C42" s="122"/>
      <c r="D42" s="122"/>
      <c r="E42" s="187"/>
      <c r="F42" s="122"/>
      <c r="G42" s="239"/>
      <c r="H42" s="120"/>
    </row>
    <row r="43" ht="12.0" customHeight="1">
      <c r="A43" s="125" t="s">
        <v>395</v>
      </c>
      <c r="B43" s="125"/>
      <c r="C43" s="125" t="s">
        <v>1059</v>
      </c>
      <c r="D43" s="125"/>
      <c r="E43" s="240"/>
      <c r="F43" s="125"/>
      <c r="G43" s="125"/>
      <c r="H43" s="125"/>
    </row>
  </sheetData>
  <mergeCells count="3">
    <mergeCell ref="A1:H1"/>
    <mergeCell ref="A3:G3"/>
    <mergeCell ref="A30:G30"/>
  </mergeCell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14"/>
    <col customWidth="1" min="2" max="2" width="3.86"/>
    <col customWidth="1" min="3" max="3" width="31.43"/>
    <col customWidth="1" min="4" max="4" width="15.14"/>
    <col customWidth="1" min="5" max="5" width="5.43"/>
    <col customWidth="1" min="6" max="6" width="10.43"/>
    <col customWidth="1" min="7" max="7" width="21.71"/>
    <col customWidth="1" min="8" max="8" width="35.71"/>
    <col customWidth="1" min="9" max="9" width="16.43"/>
  </cols>
  <sheetData>
    <row r="1" ht="30.0" customHeight="1">
      <c r="A1" s="144" t="s">
        <v>1060</v>
      </c>
    </row>
    <row r="2" ht="12.0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  <c r="I2" s="241"/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  <c r="I3" s="152"/>
    </row>
    <row r="4" ht="10.5" customHeight="1">
      <c r="A4" s="113" t="s">
        <v>1061</v>
      </c>
      <c r="B4" s="113">
        <v>1.0</v>
      </c>
      <c r="C4" s="113" t="s">
        <v>399</v>
      </c>
      <c r="D4" s="115"/>
      <c r="E4" s="114">
        <v>4.7</v>
      </c>
      <c r="F4" s="242" t="s">
        <v>591</v>
      </c>
      <c r="G4" s="113" t="s">
        <v>400</v>
      </c>
      <c r="H4" s="115"/>
      <c r="I4" s="115"/>
    </row>
    <row r="5" ht="10.5" customHeight="1">
      <c r="A5" s="113" t="s">
        <v>1062</v>
      </c>
      <c r="B5" s="113">
        <v>4.0</v>
      </c>
      <c r="C5" s="113" t="s">
        <v>284</v>
      </c>
      <c r="D5" s="115"/>
      <c r="E5" s="114">
        <v>180.0</v>
      </c>
      <c r="F5" s="243" t="s">
        <v>593</v>
      </c>
      <c r="G5" s="113" t="s">
        <v>1063</v>
      </c>
      <c r="H5" s="115"/>
      <c r="I5" s="115"/>
    </row>
    <row r="6" ht="10.5" customHeight="1">
      <c r="A6" s="113" t="s">
        <v>1064</v>
      </c>
      <c r="B6" s="113">
        <v>2.0</v>
      </c>
      <c r="C6" s="113" t="s">
        <v>284</v>
      </c>
      <c r="D6" s="115"/>
      <c r="E6" s="114" t="s">
        <v>598</v>
      </c>
      <c r="F6" s="243" t="s">
        <v>593</v>
      </c>
      <c r="G6" s="113" t="s">
        <v>537</v>
      </c>
      <c r="H6" s="115"/>
      <c r="I6" s="225"/>
    </row>
    <row r="7" ht="10.5" customHeight="1">
      <c r="A7" s="113" t="s">
        <v>1065</v>
      </c>
      <c r="B7" s="113">
        <v>3.0</v>
      </c>
      <c r="C7" s="113" t="s">
        <v>284</v>
      </c>
      <c r="D7" s="115"/>
      <c r="E7" s="114" t="s">
        <v>600</v>
      </c>
      <c r="F7" s="243" t="s">
        <v>593</v>
      </c>
      <c r="G7" s="113" t="s">
        <v>601</v>
      </c>
      <c r="H7" s="115"/>
      <c r="I7" s="225"/>
    </row>
    <row r="8" ht="10.5" customHeight="1">
      <c r="A8" s="113" t="s">
        <v>1066</v>
      </c>
      <c r="B8" s="113">
        <v>3.0</v>
      </c>
      <c r="C8" s="113" t="s">
        <v>284</v>
      </c>
      <c r="D8" s="115"/>
      <c r="E8" s="114" t="s">
        <v>771</v>
      </c>
      <c r="F8" s="243" t="s">
        <v>593</v>
      </c>
      <c r="G8" s="113" t="s">
        <v>772</v>
      </c>
      <c r="H8" s="115"/>
      <c r="I8" s="225"/>
    </row>
    <row r="9" ht="10.5" customHeight="1">
      <c r="A9" s="113" t="s">
        <v>1067</v>
      </c>
      <c r="B9" s="113">
        <v>3.0</v>
      </c>
      <c r="C9" s="113" t="s">
        <v>284</v>
      </c>
      <c r="D9" s="115"/>
      <c r="E9" s="114" t="s">
        <v>132</v>
      </c>
      <c r="F9" s="243" t="s">
        <v>593</v>
      </c>
      <c r="G9" s="113" t="s">
        <v>539</v>
      </c>
      <c r="H9" s="225"/>
      <c r="I9" s="225"/>
    </row>
    <row r="10" ht="10.5" customHeight="1">
      <c r="A10" s="113" t="s">
        <v>1068</v>
      </c>
      <c r="B10" s="115">
        <v>5.0</v>
      </c>
      <c r="C10" s="113" t="s">
        <v>284</v>
      </c>
      <c r="D10" s="115"/>
      <c r="E10" s="113" t="s">
        <v>775</v>
      </c>
      <c r="F10" s="113" t="str">
        <f>"0603"</f>
        <v>0603</v>
      </c>
      <c r="G10" s="113" t="s">
        <v>776</v>
      </c>
      <c r="H10" s="225"/>
      <c r="I10" s="225"/>
    </row>
    <row r="11" ht="10.5" customHeight="1">
      <c r="A11" s="113" t="s">
        <v>1069</v>
      </c>
      <c r="B11" s="113">
        <v>2.0</v>
      </c>
      <c r="C11" s="113" t="s">
        <v>284</v>
      </c>
      <c r="D11" s="115"/>
      <c r="E11" s="114" t="s">
        <v>778</v>
      </c>
      <c r="F11" s="243" t="s">
        <v>593</v>
      </c>
      <c r="G11" s="113" t="s">
        <v>779</v>
      </c>
      <c r="H11" s="225"/>
      <c r="I11" s="225"/>
    </row>
    <row r="12" ht="10.5" customHeight="1">
      <c r="A12" s="113" t="s">
        <v>1070</v>
      </c>
      <c r="B12" s="113">
        <v>7.0</v>
      </c>
      <c r="C12" s="113" t="s">
        <v>284</v>
      </c>
      <c r="D12" s="115"/>
      <c r="E12" s="114" t="s">
        <v>618</v>
      </c>
      <c r="F12" s="243" t="s">
        <v>593</v>
      </c>
      <c r="G12" s="113" t="s">
        <v>619</v>
      </c>
      <c r="H12" s="225"/>
      <c r="I12" s="225"/>
    </row>
    <row r="13" ht="10.5" customHeight="1">
      <c r="A13" s="113" t="s">
        <v>1071</v>
      </c>
      <c r="B13" s="113">
        <v>8.0</v>
      </c>
      <c r="C13" s="113" t="s">
        <v>284</v>
      </c>
      <c r="D13" s="115"/>
      <c r="E13" s="114" t="s">
        <v>120</v>
      </c>
      <c r="F13" s="243" t="s">
        <v>593</v>
      </c>
      <c r="G13" s="113" t="s">
        <v>312</v>
      </c>
      <c r="H13" s="225"/>
      <c r="I13" s="225"/>
    </row>
    <row r="14" ht="10.5" customHeight="1">
      <c r="A14" s="113" t="s">
        <v>1072</v>
      </c>
      <c r="B14" s="113">
        <v>5.0</v>
      </c>
      <c r="C14" s="113" t="s">
        <v>284</v>
      </c>
      <c r="D14" s="115"/>
      <c r="E14" s="113" t="s">
        <v>416</v>
      </c>
      <c r="F14" s="113" t="str">
        <f>"0603"</f>
        <v>0603</v>
      </c>
      <c r="G14" s="113" t="s">
        <v>783</v>
      </c>
      <c r="H14" s="225"/>
      <c r="I14" s="225"/>
    </row>
    <row r="15" ht="10.5" customHeight="1">
      <c r="A15" s="113" t="s">
        <v>877</v>
      </c>
      <c r="B15" s="115">
        <v>1.0</v>
      </c>
      <c r="C15" s="113" t="s">
        <v>284</v>
      </c>
      <c r="D15" s="115"/>
      <c r="E15" s="114" t="s">
        <v>624</v>
      </c>
      <c r="F15" s="243" t="s">
        <v>593</v>
      </c>
      <c r="G15" s="113" t="s">
        <v>625</v>
      </c>
      <c r="H15" s="115"/>
      <c r="I15" s="225"/>
    </row>
    <row r="16" ht="10.5" customHeight="1">
      <c r="A16" s="113" t="s">
        <v>1073</v>
      </c>
      <c r="B16" s="115">
        <v>1.0</v>
      </c>
      <c r="C16" s="113" t="s">
        <v>284</v>
      </c>
      <c r="D16" s="115"/>
      <c r="E16" s="114" t="s">
        <v>950</v>
      </c>
      <c r="F16" s="243" t="s">
        <v>593</v>
      </c>
      <c r="G16" s="113" t="s">
        <v>1074</v>
      </c>
      <c r="H16" s="115"/>
      <c r="I16" s="225"/>
    </row>
    <row r="17" ht="10.5" customHeight="1">
      <c r="A17" s="113" t="s">
        <v>1075</v>
      </c>
      <c r="B17" s="115">
        <v>1.0</v>
      </c>
      <c r="C17" s="113" t="s">
        <v>284</v>
      </c>
      <c r="D17" s="115"/>
      <c r="E17" s="114" t="s">
        <v>317</v>
      </c>
      <c r="F17" s="243" t="s">
        <v>593</v>
      </c>
      <c r="G17" s="116" t="s">
        <v>318</v>
      </c>
      <c r="H17" s="115"/>
      <c r="I17" s="225"/>
    </row>
    <row r="18" ht="10.5" customHeight="1">
      <c r="A18" s="113" t="s">
        <v>1076</v>
      </c>
      <c r="B18" s="113">
        <v>1.0</v>
      </c>
      <c r="C18" s="113" t="s">
        <v>1077</v>
      </c>
      <c r="D18" s="115"/>
      <c r="E18" s="113" t="s">
        <v>1078</v>
      </c>
      <c r="F18" s="243" t="s">
        <v>593</v>
      </c>
      <c r="G18" s="116" t="s">
        <v>1079</v>
      </c>
      <c r="H18" s="115"/>
      <c r="I18" s="225"/>
    </row>
    <row r="19" ht="10.5" customHeight="1">
      <c r="A19" s="113" t="s">
        <v>1080</v>
      </c>
      <c r="B19" s="113">
        <v>6.0</v>
      </c>
      <c r="C19" s="113" t="s">
        <v>331</v>
      </c>
      <c r="D19" s="115"/>
      <c r="E19" s="114" t="s">
        <v>421</v>
      </c>
      <c r="F19" s="243" t="s">
        <v>593</v>
      </c>
      <c r="G19" s="113" t="s">
        <v>139</v>
      </c>
      <c r="H19" s="113" t="s">
        <v>629</v>
      </c>
      <c r="I19" s="225"/>
    </row>
    <row r="20" ht="10.5" customHeight="1">
      <c r="A20" s="113" t="s">
        <v>1081</v>
      </c>
      <c r="B20" s="113">
        <v>1.0</v>
      </c>
      <c r="C20" s="113" t="s">
        <v>331</v>
      </c>
      <c r="D20" s="113" t="s">
        <v>631</v>
      </c>
      <c r="E20" s="114" t="s">
        <v>632</v>
      </c>
      <c r="F20" s="243" t="s">
        <v>593</v>
      </c>
      <c r="G20" s="113" t="s">
        <v>633</v>
      </c>
      <c r="H20" s="113" t="s">
        <v>788</v>
      </c>
      <c r="I20" s="225"/>
    </row>
    <row r="21" ht="10.5" customHeight="1">
      <c r="A21" s="113" t="s">
        <v>1082</v>
      </c>
      <c r="B21" s="113">
        <v>2.0</v>
      </c>
      <c r="C21" s="113" t="s">
        <v>331</v>
      </c>
      <c r="D21" s="113" t="s">
        <v>790</v>
      </c>
      <c r="E21" s="113" t="s">
        <v>1083</v>
      </c>
      <c r="F21" s="243" t="s">
        <v>593</v>
      </c>
      <c r="G21" s="113" t="s">
        <v>1084</v>
      </c>
      <c r="H21" s="113" t="s">
        <v>1085</v>
      </c>
      <c r="I21" s="225"/>
    </row>
    <row r="22" ht="10.5" customHeight="1">
      <c r="A22" s="113" t="s">
        <v>1086</v>
      </c>
      <c r="B22" s="113">
        <v>4.0</v>
      </c>
      <c r="C22" s="113" t="s">
        <v>331</v>
      </c>
      <c r="D22" s="113" t="s">
        <v>790</v>
      </c>
      <c r="E22" s="113" t="s">
        <v>908</v>
      </c>
      <c r="F22" s="243" t="s">
        <v>593</v>
      </c>
      <c r="G22" s="113" t="s">
        <v>909</v>
      </c>
      <c r="H22" s="113" t="s">
        <v>1087</v>
      </c>
      <c r="I22" s="225"/>
    </row>
    <row r="23" ht="10.5" customHeight="1">
      <c r="A23" s="113" t="s">
        <v>1088</v>
      </c>
      <c r="B23" s="113">
        <v>19.0</v>
      </c>
      <c r="C23" s="113" t="s">
        <v>331</v>
      </c>
      <c r="D23" s="113" t="s">
        <v>432</v>
      </c>
      <c r="E23" s="114" t="s">
        <v>333</v>
      </c>
      <c r="F23" s="243" t="s">
        <v>593</v>
      </c>
      <c r="G23" s="113" t="s">
        <v>116</v>
      </c>
      <c r="H23" s="113" t="s">
        <v>334</v>
      </c>
      <c r="I23" s="225"/>
    </row>
    <row r="24" ht="10.5" customHeight="1">
      <c r="A24" s="113" t="s">
        <v>1089</v>
      </c>
      <c r="B24" s="113">
        <v>3.0</v>
      </c>
      <c r="C24" s="113" t="s">
        <v>331</v>
      </c>
      <c r="D24" s="113" t="s">
        <v>439</v>
      </c>
      <c r="E24" s="114" t="s">
        <v>440</v>
      </c>
      <c r="F24" s="243" t="s">
        <v>593</v>
      </c>
      <c r="G24" s="113" t="s">
        <v>441</v>
      </c>
      <c r="H24" s="113" t="s">
        <v>640</v>
      </c>
      <c r="I24" s="225"/>
    </row>
    <row r="25" ht="10.5" customHeight="1">
      <c r="A25" s="113" t="s">
        <v>1090</v>
      </c>
      <c r="B25" s="113">
        <v>2.0</v>
      </c>
      <c r="C25" s="113" t="s">
        <v>331</v>
      </c>
      <c r="D25" s="113" t="s">
        <v>439</v>
      </c>
      <c r="E25" s="114" t="s">
        <v>642</v>
      </c>
      <c r="F25" s="243" t="s">
        <v>643</v>
      </c>
      <c r="G25" s="113" t="s">
        <v>644</v>
      </c>
      <c r="H25" s="113" t="s">
        <v>645</v>
      </c>
      <c r="I25" s="225"/>
    </row>
    <row r="26" ht="10.5" customHeight="1">
      <c r="A26" s="113" t="s">
        <v>1091</v>
      </c>
      <c r="B26" s="115">
        <v>8.0</v>
      </c>
      <c r="C26" s="113" t="s">
        <v>336</v>
      </c>
      <c r="D26" s="113" t="s">
        <v>432</v>
      </c>
      <c r="E26" s="114" t="s">
        <v>444</v>
      </c>
      <c r="F26" s="113" t="s">
        <v>650</v>
      </c>
      <c r="G26" s="113" t="s">
        <v>651</v>
      </c>
      <c r="H26" s="113" t="s">
        <v>652</v>
      </c>
      <c r="I26" s="225"/>
    </row>
    <row r="27" ht="10.5" customHeight="1">
      <c r="A27" s="113" t="s">
        <v>1092</v>
      </c>
      <c r="B27" s="113">
        <v>1.0</v>
      </c>
      <c r="C27" s="113" t="s">
        <v>336</v>
      </c>
      <c r="D27" s="113" t="s">
        <v>332</v>
      </c>
      <c r="E27" s="114" t="s">
        <v>337</v>
      </c>
      <c r="F27" s="113" t="s">
        <v>338</v>
      </c>
      <c r="G27" s="113" t="s">
        <v>339</v>
      </c>
      <c r="H27" s="113" t="s">
        <v>340</v>
      </c>
      <c r="I27" s="225"/>
    </row>
    <row r="28" ht="10.5" customHeight="1">
      <c r="A28" s="113" t="s">
        <v>1093</v>
      </c>
      <c r="B28" s="113">
        <v>3.0</v>
      </c>
      <c r="C28" s="113" t="s">
        <v>336</v>
      </c>
      <c r="D28" s="113" t="s">
        <v>332</v>
      </c>
      <c r="E28" s="114" t="s">
        <v>451</v>
      </c>
      <c r="F28" s="113" t="s">
        <v>452</v>
      </c>
      <c r="G28" s="113" t="s">
        <v>160</v>
      </c>
      <c r="H28" s="113" t="s">
        <v>453</v>
      </c>
      <c r="I28" s="225"/>
    </row>
    <row r="29" ht="10.5" customHeight="1">
      <c r="A29" s="113" t="s">
        <v>341</v>
      </c>
      <c r="B29" s="113">
        <v>2.0</v>
      </c>
      <c r="C29" s="113" t="s">
        <v>342</v>
      </c>
      <c r="D29" s="113"/>
      <c r="E29" s="114"/>
      <c r="F29" s="113" t="s">
        <v>343</v>
      </c>
      <c r="G29" s="113" t="s">
        <v>344</v>
      </c>
      <c r="H29" s="113" t="s">
        <v>345</v>
      </c>
      <c r="I29" s="225"/>
    </row>
    <row r="30" ht="10.5" customHeight="1">
      <c r="A30" s="113" t="s">
        <v>866</v>
      </c>
      <c r="B30" s="109">
        <v>1.0</v>
      </c>
      <c r="C30" s="107" t="s">
        <v>867</v>
      </c>
      <c r="D30" s="107"/>
      <c r="E30" s="107"/>
      <c r="F30" s="107" t="s">
        <v>190</v>
      </c>
      <c r="G30" s="107" t="s">
        <v>191</v>
      </c>
      <c r="H30" s="107" t="s">
        <v>189</v>
      </c>
      <c r="I30" s="225"/>
    </row>
    <row r="31" ht="10.5" customHeight="1">
      <c r="A31" s="113" t="s">
        <v>553</v>
      </c>
      <c r="B31" s="113">
        <v>1.0</v>
      </c>
      <c r="C31" s="113" t="s">
        <v>474</v>
      </c>
      <c r="D31" s="115"/>
      <c r="E31" s="114" t="s">
        <v>475</v>
      </c>
      <c r="F31" s="113" t="s">
        <v>476</v>
      </c>
      <c r="G31" s="113" t="s">
        <v>477</v>
      </c>
      <c r="H31" s="113" t="s">
        <v>478</v>
      </c>
      <c r="I31" s="225"/>
    </row>
    <row r="32" ht="10.5" customHeight="1">
      <c r="A32" s="113" t="s">
        <v>560</v>
      </c>
      <c r="B32" s="113">
        <v>1.0</v>
      </c>
      <c r="C32" s="113" t="s">
        <v>654</v>
      </c>
      <c r="D32" s="115"/>
      <c r="E32" s="228"/>
      <c r="F32" s="113" t="s">
        <v>655</v>
      </c>
      <c r="G32" s="113" t="s">
        <v>656</v>
      </c>
      <c r="H32" s="113" t="s">
        <v>657</v>
      </c>
      <c r="I32" s="225"/>
    </row>
    <row r="33" ht="10.5" customHeight="1">
      <c r="A33" s="113" t="s">
        <v>458</v>
      </c>
      <c r="B33" s="113">
        <v>1.0</v>
      </c>
      <c r="C33" s="113" t="s">
        <v>362</v>
      </c>
      <c r="D33" s="113" t="s">
        <v>459</v>
      </c>
      <c r="E33" s="114" t="s">
        <v>364</v>
      </c>
      <c r="F33" s="113" t="s">
        <v>190</v>
      </c>
      <c r="G33" s="113" t="s">
        <v>484</v>
      </c>
      <c r="H33" s="113" t="s">
        <v>485</v>
      </c>
      <c r="I33" s="115"/>
    </row>
    <row r="34" ht="10.5" customHeight="1">
      <c r="A34" s="113" t="s">
        <v>463</v>
      </c>
      <c r="B34" s="113">
        <v>1.0</v>
      </c>
      <c r="C34" s="113" t="s">
        <v>800</v>
      </c>
      <c r="D34" s="115"/>
      <c r="E34" s="228"/>
      <c r="F34" s="113" t="s">
        <v>801</v>
      </c>
      <c r="G34" s="113" t="s">
        <v>802</v>
      </c>
      <c r="H34" s="113" t="s">
        <v>803</v>
      </c>
      <c r="I34" s="225"/>
    </row>
    <row r="35" ht="10.5" customHeight="1">
      <c r="A35" s="113" t="s">
        <v>468</v>
      </c>
      <c r="B35" s="113">
        <v>1.0</v>
      </c>
      <c r="C35" s="113" t="s">
        <v>557</v>
      </c>
      <c r="D35" s="113"/>
      <c r="E35" s="114"/>
      <c r="F35" s="113" t="s">
        <v>492</v>
      </c>
      <c r="G35" s="113" t="s">
        <v>558</v>
      </c>
      <c r="H35" s="113" t="s">
        <v>559</v>
      </c>
      <c r="I35" s="225"/>
    </row>
    <row r="36" ht="10.5" customHeight="1">
      <c r="A36" s="113" t="s">
        <v>473</v>
      </c>
      <c r="B36" s="113">
        <v>1.0</v>
      </c>
      <c r="C36" s="113" t="s">
        <v>659</v>
      </c>
      <c r="D36" s="115"/>
      <c r="E36" s="228"/>
      <c r="F36" s="113" t="s">
        <v>660</v>
      </c>
      <c r="G36" s="113" t="s">
        <v>268</v>
      </c>
      <c r="H36" s="244" t="s">
        <v>661</v>
      </c>
      <c r="I36" s="225"/>
    </row>
    <row r="37" ht="10.5" customHeight="1">
      <c r="A37" s="113" t="s">
        <v>479</v>
      </c>
      <c r="B37" s="113">
        <v>1.0</v>
      </c>
      <c r="C37" s="113" t="s">
        <v>480</v>
      </c>
      <c r="D37" s="113"/>
      <c r="E37" s="114"/>
      <c r="F37" s="113" t="s">
        <v>465</v>
      </c>
      <c r="G37" s="113" t="s">
        <v>481</v>
      </c>
      <c r="H37" s="113" t="s">
        <v>482</v>
      </c>
      <c r="I37" s="225"/>
    </row>
    <row r="38" ht="10.5" customHeight="1">
      <c r="A38" s="113" t="s">
        <v>483</v>
      </c>
      <c r="B38" s="113">
        <v>1.0</v>
      </c>
      <c r="C38" s="107" t="s">
        <v>491</v>
      </c>
      <c r="D38" s="107"/>
      <c r="E38" s="107"/>
      <c r="F38" s="107" t="s">
        <v>492</v>
      </c>
      <c r="G38" s="107" t="s">
        <v>493</v>
      </c>
      <c r="H38" s="107"/>
      <c r="I38" s="115"/>
    </row>
    <row r="39" ht="10.5" customHeight="1">
      <c r="A39" s="113" t="s">
        <v>808</v>
      </c>
      <c r="B39" s="113">
        <v>1.0</v>
      </c>
      <c r="C39" s="113" t="s">
        <v>496</v>
      </c>
      <c r="D39" s="113" t="s">
        <v>1094</v>
      </c>
      <c r="E39" s="228"/>
      <c r="F39" s="113" t="s">
        <v>497</v>
      </c>
      <c r="G39" s="113" t="s">
        <v>180</v>
      </c>
      <c r="H39" s="113" t="s">
        <v>498</v>
      </c>
      <c r="I39" s="225"/>
    </row>
    <row r="40" ht="10.5" customHeight="1">
      <c r="A40" s="113" t="s">
        <v>812</v>
      </c>
      <c r="B40" s="113">
        <v>1.0</v>
      </c>
      <c r="C40" s="113" t="s">
        <v>505</v>
      </c>
      <c r="D40" s="113"/>
      <c r="E40" s="114"/>
      <c r="F40" s="113" t="s">
        <v>190</v>
      </c>
      <c r="G40" s="113" t="s">
        <v>506</v>
      </c>
      <c r="H40" s="113" t="s">
        <v>507</v>
      </c>
      <c r="I40" s="113" t="s">
        <v>1095</v>
      </c>
    </row>
    <row r="41" ht="10.5" customHeight="1">
      <c r="A41" s="115" t="s">
        <v>664</v>
      </c>
      <c r="B41" s="115">
        <v>1.0</v>
      </c>
      <c r="C41" s="115" t="s">
        <v>666</v>
      </c>
      <c r="D41" s="115" t="s">
        <v>1094</v>
      </c>
      <c r="E41" s="115"/>
      <c r="F41" s="115" t="s">
        <v>497</v>
      </c>
      <c r="G41" s="115" t="s">
        <v>667</v>
      </c>
      <c r="H41" s="113" t="s">
        <v>668</v>
      </c>
      <c r="I41" s="225"/>
    </row>
    <row r="42" ht="10.5" customHeight="1">
      <c r="A42" s="115" t="s">
        <v>1096</v>
      </c>
      <c r="B42" s="115">
        <v>3.0</v>
      </c>
      <c r="C42" s="115" t="s">
        <v>367</v>
      </c>
      <c r="D42" s="115" t="s">
        <v>994</v>
      </c>
      <c r="E42" s="115"/>
      <c r="F42" s="113" t="str">
        <f>"0603"</f>
        <v>0603</v>
      </c>
      <c r="G42" s="116" t="s">
        <v>369</v>
      </c>
      <c r="H42" s="113" t="s">
        <v>370</v>
      </c>
      <c r="I42" s="115"/>
    </row>
    <row r="43" ht="10.5" customHeight="1">
      <c r="A43" s="113" t="s">
        <v>888</v>
      </c>
      <c r="B43" s="113">
        <v>2.0</v>
      </c>
      <c r="C43" s="113" t="s">
        <v>500</v>
      </c>
      <c r="D43" s="115"/>
      <c r="E43" s="228"/>
      <c r="F43" s="113" t="s">
        <v>501</v>
      </c>
      <c r="G43" s="113" t="s">
        <v>502</v>
      </c>
      <c r="H43" s="113" t="s">
        <v>503</v>
      </c>
      <c r="I43" s="115"/>
    </row>
    <row r="44" ht="12.0" customHeight="1">
      <c r="A44" s="163" t="s">
        <v>371</v>
      </c>
      <c r="B44" s="118"/>
      <c r="C44" s="118"/>
      <c r="D44" s="118"/>
      <c r="E44" s="118"/>
      <c r="F44" s="118"/>
      <c r="G44" s="119"/>
      <c r="H44" s="229"/>
      <c r="I44" s="164"/>
    </row>
    <row r="45" ht="10.5" customHeight="1">
      <c r="A45" s="113" t="s">
        <v>1097</v>
      </c>
      <c r="B45" s="113">
        <v>10.0</v>
      </c>
      <c r="C45" s="113" t="s">
        <v>373</v>
      </c>
      <c r="D45" s="115"/>
      <c r="E45" s="115"/>
      <c r="F45" s="115"/>
      <c r="G45" s="115"/>
      <c r="H45" s="113" t="s">
        <v>374</v>
      </c>
      <c r="I45" s="115"/>
    </row>
    <row r="46" ht="10.5" customHeight="1">
      <c r="A46" s="113" t="s">
        <v>1098</v>
      </c>
      <c r="B46" s="113">
        <v>5.0</v>
      </c>
      <c r="C46" s="113" t="s">
        <v>386</v>
      </c>
      <c r="D46" s="115"/>
      <c r="E46" s="115"/>
      <c r="F46" s="115"/>
      <c r="G46" s="113"/>
      <c r="H46" s="245" t="s">
        <v>387</v>
      </c>
      <c r="I46" s="113"/>
    </row>
    <row r="47" ht="10.5" customHeight="1">
      <c r="A47" s="113" t="s">
        <v>1099</v>
      </c>
      <c r="B47" s="113">
        <v>5.0</v>
      </c>
      <c r="C47" s="113" t="s">
        <v>389</v>
      </c>
      <c r="D47" s="115"/>
      <c r="E47" s="115"/>
      <c r="F47" s="115"/>
      <c r="G47" s="115"/>
      <c r="H47" s="113" t="s">
        <v>390</v>
      </c>
      <c r="I47" s="115"/>
    </row>
    <row r="48" ht="10.5" customHeight="1">
      <c r="A48" s="113" t="s">
        <v>567</v>
      </c>
      <c r="B48" s="113">
        <v>2.0</v>
      </c>
      <c r="C48" s="113" t="s">
        <v>1100</v>
      </c>
      <c r="D48" s="115"/>
      <c r="E48" s="115"/>
      <c r="F48" s="113" t="s">
        <v>1101</v>
      </c>
      <c r="G48" s="113" t="s">
        <v>1102</v>
      </c>
      <c r="H48" s="246" t="s">
        <v>1103</v>
      </c>
      <c r="I48" s="115"/>
    </row>
    <row r="49" ht="10.5" customHeight="1">
      <c r="A49" s="113" t="s">
        <v>574</v>
      </c>
      <c r="B49" s="113">
        <v>2.0</v>
      </c>
      <c r="C49" s="113" t="s">
        <v>575</v>
      </c>
      <c r="D49" s="115"/>
      <c r="E49" s="115"/>
      <c r="F49" s="115"/>
      <c r="G49" s="113" t="s">
        <v>576</v>
      </c>
      <c r="H49" s="246" t="s">
        <v>577</v>
      </c>
      <c r="I49" s="115"/>
    </row>
    <row r="50" ht="10.5" customHeight="1">
      <c r="A50" s="246" t="s">
        <v>578</v>
      </c>
      <c r="B50" s="113">
        <v>2.0</v>
      </c>
      <c r="C50" s="246" t="s">
        <v>579</v>
      </c>
      <c r="D50" s="115"/>
      <c r="E50" s="115"/>
      <c r="F50" s="115"/>
      <c r="G50" s="113" t="s">
        <v>580</v>
      </c>
      <c r="H50" s="246" t="s">
        <v>581</v>
      </c>
      <c r="I50" s="115"/>
    </row>
    <row r="51" ht="10.5" customHeight="1">
      <c r="A51" s="165" t="s">
        <v>391</v>
      </c>
      <c r="B51" s="165"/>
      <c r="C51" s="165"/>
      <c r="D51" s="165"/>
      <c r="E51" s="230"/>
      <c r="F51" s="165"/>
      <c r="G51" s="168"/>
      <c r="H51" s="229"/>
      <c r="I51" s="164"/>
    </row>
    <row r="52" ht="10.5" customHeight="1">
      <c r="A52" s="113" t="s">
        <v>1104</v>
      </c>
      <c r="B52" s="113">
        <v>1.0</v>
      </c>
      <c r="C52" s="113" t="s">
        <v>687</v>
      </c>
      <c r="D52" s="115"/>
      <c r="E52" s="115"/>
      <c r="F52" s="115"/>
      <c r="G52" s="113" t="s">
        <v>527</v>
      </c>
      <c r="H52" s="113"/>
      <c r="I52" s="115"/>
    </row>
    <row r="53" ht="10.5" customHeight="1">
      <c r="A53" s="113" t="s">
        <v>528</v>
      </c>
      <c r="B53" s="113">
        <v>1.0</v>
      </c>
      <c r="C53" s="113" t="s">
        <v>393</v>
      </c>
      <c r="D53" s="113"/>
      <c r="E53" s="113"/>
      <c r="F53" s="113"/>
      <c r="G53" s="113" t="s">
        <v>394</v>
      </c>
      <c r="H53" s="113"/>
      <c r="I53" s="113"/>
    </row>
    <row r="54" ht="10.5" customHeight="1">
      <c r="A54" s="113" t="s">
        <v>1105</v>
      </c>
      <c r="B54" s="113">
        <v>1.0</v>
      </c>
      <c r="C54" s="113" t="s">
        <v>684</v>
      </c>
      <c r="D54" s="115"/>
      <c r="E54" s="115"/>
      <c r="F54" s="115"/>
      <c r="G54" s="113" t="s">
        <v>530</v>
      </c>
      <c r="H54" s="113"/>
      <c r="I54" s="115"/>
    </row>
    <row r="55" ht="10.5" customHeight="1">
      <c r="A55" s="165" t="s">
        <v>828</v>
      </c>
      <c r="B55" s="247"/>
      <c r="C55" s="247"/>
      <c r="D55" s="248"/>
      <c r="E55" s="248"/>
      <c r="F55" s="248"/>
      <c r="G55" s="247"/>
      <c r="H55" s="247"/>
      <c r="I55" s="248"/>
    </row>
    <row r="56" ht="10.5" customHeight="1">
      <c r="A56" s="171" t="s">
        <v>395</v>
      </c>
      <c r="B56" s="171"/>
      <c r="C56" s="171" t="s">
        <v>1106</v>
      </c>
      <c r="D56" s="171"/>
      <c r="E56" s="231"/>
      <c r="F56" s="171"/>
      <c r="G56" s="174"/>
      <c r="H56" s="232"/>
      <c r="I56" s="171"/>
    </row>
  </sheetData>
  <mergeCells count="3">
    <mergeCell ref="A1:I1"/>
    <mergeCell ref="A3:G3"/>
    <mergeCell ref="A44:G44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4.57"/>
    <col customWidth="1" min="3" max="3" width="33.71"/>
    <col customWidth="1" min="4" max="4" width="14.0"/>
    <col customWidth="1" min="5" max="5" width="5.43"/>
    <col customWidth="1" min="6" max="6" width="12.43"/>
    <col customWidth="1" min="7" max="7" width="24.0"/>
    <col customWidth="1" min="8" max="8" width="35.71"/>
  </cols>
  <sheetData>
    <row r="1" ht="30.0" customHeight="1">
      <c r="A1" s="144" t="s">
        <v>1107</v>
      </c>
    </row>
    <row r="2" ht="12.0" customHeight="1">
      <c r="A2" s="79" t="s">
        <v>106</v>
      </c>
      <c r="B2" s="81" t="s">
        <v>95</v>
      </c>
      <c r="C2" s="79" t="s">
        <v>96</v>
      </c>
      <c r="D2" s="79" t="s">
        <v>97</v>
      </c>
      <c r="E2" s="80" t="s">
        <v>98</v>
      </c>
      <c r="F2" s="80" t="s">
        <v>99</v>
      </c>
      <c r="G2" s="81" t="s">
        <v>107</v>
      </c>
      <c r="H2" s="79" t="s">
        <v>109</v>
      </c>
    </row>
    <row r="3" ht="12.75" customHeight="1">
      <c r="A3" s="128" t="s">
        <v>280</v>
      </c>
      <c r="B3" s="129"/>
      <c r="C3" s="129"/>
      <c r="D3" s="129"/>
      <c r="E3" s="129"/>
      <c r="F3" s="129"/>
      <c r="G3" s="130"/>
      <c r="H3" s="131"/>
    </row>
    <row r="4" ht="12.0" customHeight="1">
      <c r="A4" s="97" t="s">
        <v>1108</v>
      </c>
      <c r="B4" s="97">
        <v>4.0</v>
      </c>
      <c r="C4" s="108" t="s">
        <v>284</v>
      </c>
      <c r="D4" s="97"/>
      <c r="E4" s="136" t="s">
        <v>834</v>
      </c>
      <c r="F4" s="136" t="s">
        <v>593</v>
      </c>
      <c r="G4" s="108" t="s">
        <v>287</v>
      </c>
      <c r="H4" s="202"/>
    </row>
    <row r="5" ht="12.0" customHeight="1">
      <c r="A5" s="108" t="s">
        <v>1109</v>
      </c>
      <c r="B5" s="108">
        <v>8.0</v>
      </c>
      <c r="C5" s="108" t="s">
        <v>284</v>
      </c>
      <c r="D5" s="108"/>
      <c r="E5" s="136" t="s">
        <v>598</v>
      </c>
      <c r="F5" s="136" t="s">
        <v>593</v>
      </c>
      <c r="G5" s="108" t="s">
        <v>145</v>
      </c>
      <c r="H5" s="202"/>
    </row>
    <row r="6" ht="12.0" customHeight="1">
      <c r="A6" s="108" t="s">
        <v>415</v>
      </c>
      <c r="B6" s="108">
        <v>1.0</v>
      </c>
      <c r="C6" s="108" t="s">
        <v>284</v>
      </c>
      <c r="D6" s="108"/>
      <c r="E6" s="136" t="s">
        <v>771</v>
      </c>
      <c r="F6" s="136" t="s">
        <v>593</v>
      </c>
      <c r="G6" s="110" t="s">
        <v>772</v>
      </c>
      <c r="H6" s="202"/>
    </row>
    <row r="7" ht="12.0" customHeight="1">
      <c r="A7" s="97" t="s">
        <v>1110</v>
      </c>
      <c r="B7" s="97">
        <v>2.0</v>
      </c>
      <c r="C7" s="108" t="s">
        <v>284</v>
      </c>
      <c r="D7" s="97"/>
      <c r="E7" s="136" t="s">
        <v>1111</v>
      </c>
      <c r="F7" s="136" t="s">
        <v>593</v>
      </c>
      <c r="G7" s="108" t="s">
        <v>1112</v>
      </c>
      <c r="H7" s="202"/>
    </row>
    <row r="8" ht="12.0" customHeight="1">
      <c r="A8" s="108" t="s">
        <v>1113</v>
      </c>
      <c r="B8" s="108">
        <v>2.0</v>
      </c>
      <c r="C8" s="108" t="s">
        <v>284</v>
      </c>
      <c r="D8" s="108"/>
      <c r="E8" s="136" t="s">
        <v>610</v>
      </c>
      <c r="F8" s="136" t="s">
        <v>593</v>
      </c>
      <c r="G8" s="108" t="s">
        <v>1114</v>
      </c>
      <c r="H8" s="202"/>
    </row>
    <row r="9" ht="12.0" customHeight="1">
      <c r="A9" s="108" t="s">
        <v>1115</v>
      </c>
      <c r="B9" s="108">
        <v>1.0</v>
      </c>
      <c r="C9" s="108" t="s">
        <v>284</v>
      </c>
      <c r="D9" s="97"/>
      <c r="E9" s="136" t="s">
        <v>1116</v>
      </c>
      <c r="F9" s="136" t="s">
        <v>593</v>
      </c>
      <c r="G9" s="108" t="s">
        <v>1117</v>
      </c>
      <c r="H9" s="202"/>
    </row>
    <row r="10" ht="12.0" customHeight="1">
      <c r="A10" s="97" t="s">
        <v>1118</v>
      </c>
      <c r="B10" s="97">
        <v>8.0</v>
      </c>
      <c r="C10" s="108" t="s">
        <v>284</v>
      </c>
      <c r="D10" s="97"/>
      <c r="E10" s="136" t="s">
        <v>613</v>
      </c>
      <c r="F10" s="136" t="s">
        <v>593</v>
      </c>
      <c r="G10" s="108" t="s">
        <v>700</v>
      </c>
      <c r="H10" s="202"/>
    </row>
    <row r="11" ht="12.0" customHeight="1">
      <c r="A11" s="97" t="s">
        <v>1119</v>
      </c>
      <c r="B11" s="97">
        <v>3.0</v>
      </c>
      <c r="C11" s="108" t="s">
        <v>284</v>
      </c>
      <c r="D11" s="97"/>
      <c r="E11" s="136" t="s">
        <v>410</v>
      </c>
      <c r="F11" s="136" t="s">
        <v>593</v>
      </c>
      <c r="G11" s="108" t="s">
        <v>411</v>
      </c>
      <c r="H11" s="202"/>
    </row>
    <row r="12" ht="12.0" customHeight="1">
      <c r="A12" s="97" t="s">
        <v>1120</v>
      </c>
      <c r="B12" s="97">
        <v>3.0</v>
      </c>
      <c r="C12" s="108" t="s">
        <v>284</v>
      </c>
      <c r="D12" s="97"/>
      <c r="E12" s="136" t="s">
        <v>618</v>
      </c>
      <c r="F12" s="136" t="s">
        <v>593</v>
      </c>
      <c r="G12" s="108" t="s">
        <v>1121</v>
      </c>
      <c r="H12" s="202"/>
    </row>
    <row r="13" ht="12.0" customHeight="1">
      <c r="A13" s="97" t="s">
        <v>838</v>
      </c>
      <c r="B13" s="97">
        <v>1.0</v>
      </c>
      <c r="C13" s="108" t="s">
        <v>284</v>
      </c>
      <c r="D13" s="97"/>
      <c r="E13" s="249" t="s">
        <v>1122</v>
      </c>
      <c r="F13" s="136" t="s">
        <v>593</v>
      </c>
      <c r="G13" s="108" t="s">
        <v>1123</v>
      </c>
      <c r="H13" s="202"/>
    </row>
    <row r="14" ht="12.0" customHeight="1">
      <c r="A14" s="97" t="s">
        <v>1124</v>
      </c>
      <c r="B14" s="97">
        <v>10.0</v>
      </c>
      <c r="C14" s="108" t="s">
        <v>284</v>
      </c>
      <c r="D14" s="97"/>
      <c r="E14" s="136" t="s">
        <v>120</v>
      </c>
      <c r="F14" s="136" t="s">
        <v>593</v>
      </c>
      <c r="G14" s="108" t="s">
        <v>129</v>
      </c>
      <c r="H14" s="202"/>
    </row>
    <row r="15" ht="12.0" customHeight="1">
      <c r="A15" s="97" t="s">
        <v>877</v>
      </c>
      <c r="B15" s="97">
        <v>1.0</v>
      </c>
      <c r="C15" s="108" t="s">
        <v>284</v>
      </c>
      <c r="D15" s="97"/>
      <c r="E15" s="136" t="s">
        <v>1125</v>
      </c>
      <c r="F15" s="136" t="s">
        <v>593</v>
      </c>
      <c r="G15" s="108" t="s">
        <v>1126</v>
      </c>
      <c r="H15" s="202"/>
    </row>
    <row r="16" ht="12.0" customHeight="1">
      <c r="A16" s="97" t="s">
        <v>1127</v>
      </c>
      <c r="B16" s="97">
        <v>4.0</v>
      </c>
      <c r="C16" s="108" t="s">
        <v>331</v>
      </c>
      <c r="D16" s="108" t="s">
        <v>432</v>
      </c>
      <c r="E16" s="136" t="s">
        <v>322</v>
      </c>
      <c r="F16" s="136" t="s">
        <v>593</v>
      </c>
      <c r="G16" s="108" t="s">
        <v>424</v>
      </c>
      <c r="H16" s="108" t="s">
        <v>1128</v>
      </c>
    </row>
    <row r="17" ht="12.0" customHeight="1">
      <c r="A17" s="108" t="s">
        <v>1129</v>
      </c>
      <c r="B17" s="108">
        <v>4.0</v>
      </c>
      <c r="C17" s="108" t="s">
        <v>331</v>
      </c>
      <c r="D17" s="108" t="s">
        <v>1130</v>
      </c>
      <c r="E17" s="136" t="s">
        <v>632</v>
      </c>
      <c r="F17" s="136" t="s">
        <v>593</v>
      </c>
      <c r="G17" s="108" t="s">
        <v>633</v>
      </c>
      <c r="H17" s="108" t="s">
        <v>634</v>
      </c>
    </row>
    <row r="18" ht="12.0" customHeight="1">
      <c r="A18" s="97" t="s">
        <v>1131</v>
      </c>
      <c r="B18" s="97">
        <v>7.0</v>
      </c>
      <c r="C18" s="108" t="s">
        <v>331</v>
      </c>
      <c r="D18" s="108" t="s">
        <v>432</v>
      </c>
      <c r="E18" s="136" t="s">
        <v>327</v>
      </c>
      <c r="F18" s="136" t="s">
        <v>593</v>
      </c>
      <c r="G18" s="108" t="s">
        <v>328</v>
      </c>
      <c r="H18" s="108" t="s">
        <v>329</v>
      </c>
    </row>
    <row r="19" ht="12.0" customHeight="1">
      <c r="A19" s="97" t="s">
        <v>1132</v>
      </c>
      <c r="B19" s="97">
        <v>8.0</v>
      </c>
      <c r="C19" s="108" t="s">
        <v>331</v>
      </c>
      <c r="D19" s="108" t="s">
        <v>432</v>
      </c>
      <c r="E19" s="108" t="s">
        <v>333</v>
      </c>
      <c r="F19" s="136" t="s">
        <v>593</v>
      </c>
      <c r="G19" s="108" t="s">
        <v>116</v>
      </c>
      <c r="H19" s="108" t="s">
        <v>334</v>
      </c>
    </row>
    <row r="20" ht="12.0" customHeight="1">
      <c r="A20" s="97" t="s">
        <v>1133</v>
      </c>
      <c r="B20" s="97">
        <v>2.0</v>
      </c>
      <c r="C20" s="108" t="s">
        <v>331</v>
      </c>
      <c r="D20" s="108" t="s">
        <v>432</v>
      </c>
      <c r="E20" s="136" t="s">
        <v>1134</v>
      </c>
      <c r="F20" s="250" t="s">
        <v>593</v>
      </c>
      <c r="G20" s="108" t="s">
        <v>1135</v>
      </c>
      <c r="H20" s="108" t="s">
        <v>1136</v>
      </c>
    </row>
    <row r="21" ht="12.0" customHeight="1">
      <c r="A21" s="97" t="s">
        <v>1137</v>
      </c>
      <c r="B21" s="97">
        <v>1.0</v>
      </c>
      <c r="C21" s="108" t="s">
        <v>443</v>
      </c>
      <c r="D21" s="108" t="s">
        <v>432</v>
      </c>
      <c r="E21" s="108" t="s">
        <v>970</v>
      </c>
      <c r="F21" s="208" t="s">
        <v>445</v>
      </c>
      <c r="G21" s="208" t="s">
        <v>1138</v>
      </c>
      <c r="H21" s="108" t="s">
        <v>1139</v>
      </c>
    </row>
    <row r="22" ht="12.0" customHeight="1">
      <c r="A22" s="97" t="s">
        <v>1140</v>
      </c>
      <c r="B22" s="97">
        <v>2.0</v>
      </c>
      <c r="C22" s="108" t="s">
        <v>336</v>
      </c>
      <c r="D22" s="108" t="s">
        <v>332</v>
      </c>
      <c r="E22" s="136" t="s">
        <v>451</v>
      </c>
      <c r="F22" s="136" t="s">
        <v>452</v>
      </c>
      <c r="G22" s="251" t="s">
        <v>160</v>
      </c>
      <c r="H22" s="108" t="s">
        <v>453</v>
      </c>
    </row>
    <row r="23" ht="12.0" customHeight="1">
      <c r="A23" s="108" t="s">
        <v>875</v>
      </c>
      <c r="B23" s="108">
        <v>2.0</v>
      </c>
      <c r="C23" s="108" t="s">
        <v>347</v>
      </c>
      <c r="D23" s="108" t="s">
        <v>348</v>
      </c>
      <c r="E23" s="108" t="s">
        <v>349</v>
      </c>
      <c r="F23" s="136" t="s">
        <v>591</v>
      </c>
      <c r="G23" s="208" t="s">
        <v>350</v>
      </c>
      <c r="H23" s="108" t="s">
        <v>351</v>
      </c>
    </row>
    <row r="24" ht="21.75" customHeight="1">
      <c r="A24" s="97" t="s">
        <v>341</v>
      </c>
      <c r="B24" s="252" t="s">
        <v>282</v>
      </c>
      <c r="C24" s="108"/>
      <c r="D24" s="108"/>
      <c r="E24" s="108"/>
      <c r="F24" s="108"/>
      <c r="G24" s="108"/>
      <c r="H24" s="108"/>
    </row>
    <row r="25" ht="12.0" customHeight="1">
      <c r="A25" s="97" t="s">
        <v>1141</v>
      </c>
      <c r="B25" s="97">
        <v>2.0</v>
      </c>
      <c r="C25" s="108" t="s">
        <v>342</v>
      </c>
      <c r="D25" s="108"/>
      <c r="E25" s="108"/>
      <c r="F25" s="108" t="s">
        <v>343</v>
      </c>
      <c r="G25" s="108" t="s">
        <v>344</v>
      </c>
      <c r="H25" s="108" t="s">
        <v>345</v>
      </c>
    </row>
    <row r="26" ht="12.0" customHeight="1">
      <c r="A26" s="97" t="s">
        <v>1142</v>
      </c>
      <c r="B26" s="97">
        <v>2.0</v>
      </c>
      <c r="C26" s="108" t="s">
        <v>1143</v>
      </c>
      <c r="D26" s="108"/>
      <c r="E26" s="108"/>
      <c r="F26" s="108" t="s">
        <v>1144</v>
      </c>
      <c r="G26" s="108" t="s">
        <v>1145</v>
      </c>
      <c r="H26" s="108" t="s">
        <v>1146</v>
      </c>
    </row>
    <row r="27" ht="12.0" customHeight="1">
      <c r="A27" s="97" t="s">
        <v>984</v>
      </c>
      <c r="B27" s="97">
        <v>2.0</v>
      </c>
      <c r="C27" s="108" t="s">
        <v>491</v>
      </c>
      <c r="D27" s="108"/>
      <c r="E27" s="108"/>
      <c r="F27" s="108" t="s">
        <v>492</v>
      </c>
      <c r="G27" s="108" t="s">
        <v>493</v>
      </c>
      <c r="H27" s="108" t="s">
        <v>874</v>
      </c>
    </row>
    <row r="28" ht="12.0" customHeight="1">
      <c r="A28" s="97" t="s">
        <v>560</v>
      </c>
      <c r="B28" s="97">
        <v>1.0</v>
      </c>
      <c r="C28" s="97" t="s">
        <v>353</v>
      </c>
      <c r="D28" s="97"/>
      <c r="E28" s="136"/>
      <c r="F28" s="136" t="s">
        <v>354</v>
      </c>
      <c r="G28" s="205" t="str">
        <f>HYPERLINK("http://www.cabintechglobal.com/index.html?tab=semi&amp;prod=V2164M","V2164M @ CabinTech")</f>
        <v>V2164M @ CabinTech</v>
      </c>
      <c r="H28" s="108" t="s">
        <v>355</v>
      </c>
    </row>
    <row r="29" ht="12.0" customHeight="1">
      <c r="A29" s="97" t="s">
        <v>463</v>
      </c>
      <c r="B29" s="97">
        <v>1.0</v>
      </c>
      <c r="C29" s="97" t="s">
        <v>1147</v>
      </c>
      <c r="D29" s="97"/>
      <c r="E29" s="136"/>
      <c r="F29" s="108" t="s">
        <v>354</v>
      </c>
      <c r="G29" s="108" t="s">
        <v>1148</v>
      </c>
      <c r="H29" s="108" t="s">
        <v>1149</v>
      </c>
    </row>
    <row r="30" ht="12.0" customHeight="1">
      <c r="A30" s="97" t="s">
        <v>1150</v>
      </c>
      <c r="B30" s="97">
        <v>2.0</v>
      </c>
      <c r="C30" s="108" t="s">
        <v>487</v>
      </c>
      <c r="D30" s="108"/>
      <c r="E30" s="136"/>
      <c r="F30" s="136" t="s">
        <v>465</v>
      </c>
      <c r="G30" s="138" t="s">
        <v>488</v>
      </c>
      <c r="H30" s="108" t="s">
        <v>489</v>
      </c>
    </row>
    <row r="31" ht="12.0" customHeight="1">
      <c r="A31" s="97" t="s">
        <v>479</v>
      </c>
      <c r="B31" s="97">
        <v>1.0</v>
      </c>
      <c r="C31" s="108" t="s">
        <v>362</v>
      </c>
      <c r="D31" s="108" t="s">
        <v>459</v>
      </c>
      <c r="E31" s="108" t="s">
        <v>554</v>
      </c>
      <c r="F31" s="108" t="s">
        <v>190</v>
      </c>
      <c r="G31" s="108" t="s">
        <v>555</v>
      </c>
      <c r="H31" s="108" t="s">
        <v>556</v>
      </c>
    </row>
    <row r="32" ht="12.0" customHeight="1">
      <c r="A32" s="97" t="s">
        <v>566</v>
      </c>
      <c r="B32" s="97">
        <v>2.0</v>
      </c>
      <c r="C32" s="108" t="s">
        <v>1151</v>
      </c>
      <c r="D32" s="97"/>
      <c r="E32" s="136"/>
      <c r="F32" s="136" t="s">
        <v>1152</v>
      </c>
      <c r="G32" s="108" t="s">
        <v>1153</v>
      </c>
      <c r="H32" s="108" t="s">
        <v>1154</v>
      </c>
    </row>
    <row r="33" ht="12.75" customHeight="1">
      <c r="A33" s="117" t="s">
        <v>371</v>
      </c>
      <c r="B33" s="118"/>
      <c r="C33" s="118"/>
      <c r="D33" s="118"/>
      <c r="E33" s="118"/>
      <c r="F33" s="118"/>
      <c r="G33" s="119"/>
      <c r="H33" s="120"/>
    </row>
    <row r="34" ht="12.0" customHeight="1">
      <c r="A34" s="108" t="s">
        <v>1155</v>
      </c>
      <c r="B34" s="108">
        <v>3.0</v>
      </c>
      <c r="C34" s="108" t="s">
        <v>389</v>
      </c>
      <c r="D34" s="108"/>
      <c r="E34" s="136"/>
      <c r="F34" s="136"/>
      <c r="G34" s="138"/>
      <c r="H34" s="97" t="s">
        <v>390</v>
      </c>
    </row>
    <row r="35" ht="12.0" customHeight="1">
      <c r="A35" s="97" t="s">
        <v>1156</v>
      </c>
      <c r="B35" s="97">
        <v>9.0</v>
      </c>
      <c r="C35" s="108" t="s">
        <v>373</v>
      </c>
      <c r="D35" s="108"/>
      <c r="E35" s="108"/>
      <c r="F35" s="108"/>
      <c r="G35" s="108"/>
      <c r="H35" s="108" t="s">
        <v>374</v>
      </c>
    </row>
    <row r="36" ht="12.0" customHeight="1">
      <c r="A36" s="108" t="s">
        <v>1157</v>
      </c>
      <c r="B36" s="108">
        <v>1.0</v>
      </c>
      <c r="C36" s="108" t="s">
        <v>1158</v>
      </c>
      <c r="D36" s="108"/>
      <c r="E36" s="136" t="s">
        <v>1159</v>
      </c>
      <c r="F36" s="136"/>
      <c r="G36" s="138" t="s">
        <v>1160</v>
      </c>
      <c r="H36" s="108" t="s">
        <v>1161</v>
      </c>
    </row>
    <row r="37" ht="12.0" customHeight="1">
      <c r="A37" s="122" t="s">
        <v>391</v>
      </c>
      <c r="B37" s="122"/>
      <c r="C37" s="122"/>
      <c r="D37" s="122"/>
      <c r="E37" s="124"/>
      <c r="F37" s="124"/>
      <c r="G37" s="123"/>
      <c r="H37" s="120"/>
    </row>
    <row r="38" ht="12.0" customHeight="1">
      <c r="A38" s="97" t="s">
        <v>523</v>
      </c>
      <c r="B38" s="108">
        <v>1.0</v>
      </c>
      <c r="C38" s="108" t="s">
        <v>393</v>
      </c>
      <c r="D38" s="108"/>
      <c r="E38" s="108"/>
      <c r="F38" s="108"/>
      <c r="G38" s="108" t="s">
        <v>394</v>
      </c>
      <c r="H38" s="108"/>
    </row>
    <row r="39" ht="12.0" customHeight="1">
      <c r="A39" s="122" t="s">
        <v>531</v>
      </c>
      <c r="B39" s="123"/>
      <c r="C39" s="122"/>
      <c r="D39" s="122"/>
      <c r="E39" s="124"/>
      <c r="F39" s="124"/>
      <c r="G39" s="122"/>
      <c r="H39" s="122"/>
    </row>
    <row r="40" ht="12.0" customHeight="1">
      <c r="A40" s="125" t="s">
        <v>395</v>
      </c>
      <c r="B40" s="188"/>
      <c r="C40" s="125" t="s">
        <v>1162</v>
      </c>
      <c r="D40" s="125"/>
      <c r="E40" s="142"/>
      <c r="F40" s="142"/>
      <c r="G40" s="143"/>
      <c r="H40" s="125"/>
    </row>
  </sheetData>
  <mergeCells count="3">
    <mergeCell ref="A1:H1"/>
    <mergeCell ref="A3:G3"/>
    <mergeCell ref="A33:G33"/>
  </mergeCells>
  <printOptions gridLines="1" horizontalCentered="1"/>
  <pageMargins bottom="0.75" footer="0.0" header="0.0" left="0.25" right="0.25" top="0.75"/>
  <pageSetup paperSize="9" cellComments="atEnd" orientation="landscape" pageOrder="overThenDown"/>
  <rowBreaks count="2" manualBreakCount="2">
    <brk man="1"/>
    <brk id="40" man="1"/>
  </rowBreaks>
  <colBreaks count="2" manualBreakCount="2">
    <brk man="1"/>
    <brk id="8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86"/>
    <col customWidth="1" min="2" max="2" width="3.86"/>
    <col customWidth="1" min="3" max="3" width="24.43"/>
    <col customWidth="1" min="4" max="4" width="12.57"/>
    <col customWidth="1" min="5" max="5" width="5.43"/>
    <col customWidth="1" min="6" max="6" width="18.43"/>
    <col customWidth="1" min="7" max="7" width="22.71"/>
    <col customWidth="1" min="8" max="8" width="37.43"/>
  </cols>
  <sheetData>
    <row r="1" ht="30.0" customHeight="1">
      <c r="A1" s="144" t="s">
        <v>1163</v>
      </c>
    </row>
    <row r="2" ht="12.0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</row>
    <row r="4" ht="10.5" customHeight="1">
      <c r="A4" s="153" t="s">
        <v>1164</v>
      </c>
      <c r="B4" s="153">
        <v>6.0</v>
      </c>
      <c r="C4" s="153" t="s">
        <v>284</v>
      </c>
      <c r="D4" s="153"/>
      <c r="E4" s="160" t="s">
        <v>598</v>
      </c>
      <c r="F4" s="153" t="str">
        <f t="shared" ref="F4:F8" si="1">"0603"</f>
        <v>0603</v>
      </c>
      <c r="G4" s="157" t="s">
        <v>1005</v>
      </c>
      <c r="H4" s="158"/>
    </row>
    <row r="5" ht="10.5" customHeight="1">
      <c r="A5" s="153" t="s">
        <v>954</v>
      </c>
      <c r="B5" s="153">
        <v>1.0</v>
      </c>
      <c r="C5" s="153" t="s">
        <v>284</v>
      </c>
      <c r="D5" s="153"/>
      <c r="E5" s="160" t="s">
        <v>132</v>
      </c>
      <c r="F5" s="153" t="str">
        <f t="shared" si="1"/>
        <v>0603</v>
      </c>
      <c r="G5" s="157" t="s">
        <v>1165</v>
      </c>
      <c r="H5" s="158"/>
    </row>
    <row r="6">
      <c r="A6" s="153" t="s">
        <v>1166</v>
      </c>
      <c r="B6" s="153">
        <v>20.0</v>
      </c>
      <c r="C6" s="153" t="s">
        <v>1167</v>
      </c>
      <c r="D6" s="153"/>
      <c r="E6" s="155" t="s">
        <v>120</v>
      </c>
      <c r="F6" s="153" t="str">
        <f t="shared" si="1"/>
        <v>0603</v>
      </c>
      <c r="G6" s="153" t="s">
        <v>309</v>
      </c>
      <c r="H6" s="158"/>
    </row>
    <row r="7" ht="10.5" customHeight="1">
      <c r="A7" s="153" t="s">
        <v>1168</v>
      </c>
      <c r="B7" s="153">
        <v>3.0</v>
      </c>
      <c r="C7" s="153" t="s">
        <v>331</v>
      </c>
      <c r="D7" s="153" t="s">
        <v>1169</v>
      </c>
      <c r="E7" s="160" t="s">
        <v>1170</v>
      </c>
      <c r="F7" s="153" t="str">
        <f t="shared" si="1"/>
        <v>0603</v>
      </c>
      <c r="G7" s="157" t="s">
        <v>1171</v>
      </c>
      <c r="H7" s="161" t="s">
        <v>1172</v>
      </c>
    </row>
    <row r="8" ht="10.5" customHeight="1">
      <c r="A8" s="153" t="s">
        <v>1173</v>
      </c>
      <c r="B8" s="161">
        <v>10.0</v>
      </c>
      <c r="C8" s="153" t="s">
        <v>331</v>
      </c>
      <c r="D8" s="161" t="s">
        <v>432</v>
      </c>
      <c r="E8" s="107" t="s">
        <v>333</v>
      </c>
      <c r="F8" s="153" t="str">
        <f t="shared" si="1"/>
        <v>0603</v>
      </c>
      <c r="G8" s="153" t="s">
        <v>116</v>
      </c>
      <c r="H8" s="161" t="s">
        <v>334</v>
      </c>
    </row>
    <row r="9" ht="10.5" customHeight="1">
      <c r="A9" s="153" t="s">
        <v>335</v>
      </c>
      <c r="B9" s="153">
        <v>2.0</v>
      </c>
      <c r="C9" s="161" t="s">
        <v>336</v>
      </c>
      <c r="D9" s="161" t="s">
        <v>332</v>
      </c>
      <c r="E9" s="253" t="s">
        <v>444</v>
      </c>
      <c r="F9" s="161" t="s">
        <v>1174</v>
      </c>
      <c r="G9" s="156" t="s">
        <v>1175</v>
      </c>
      <c r="H9" s="161" t="s">
        <v>1176</v>
      </c>
    </row>
    <row r="10" ht="10.5" customHeight="1">
      <c r="A10" s="153" t="s">
        <v>341</v>
      </c>
      <c r="B10" s="153">
        <v>2.0</v>
      </c>
      <c r="C10" s="161" t="s">
        <v>342</v>
      </c>
      <c r="D10" s="153"/>
      <c r="E10" s="160"/>
      <c r="F10" s="161" t="s">
        <v>343</v>
      </c>
      <c r="G10" s="161" t="s">
        <v>344</v>
      </c>
      <c r="H10" s="161" t="s">
        <v>345</v>
      </c>
    </row>
    <row r="11" ht="10.5" customHeight="1">
      <c r="A11" s="153" t="s">
        <v>473</v>
      </c>
      <c r="B11" s="153">
        <v>1.0</v>
      </c>
      <c r="C11" s="153" t="s">
        <v>362</v>
      </c>
      <c r="D11" s="153" t="s">
        <v>459</v>
      </c>
      <c r="E11" s="160" t="s">
        <v>364</v>
      </c>
      <c r="F11" s="153" t="s">
        <v>190</v>
      </c>
      <c r="G11" s="157" t="s">
        <v>484</v>
      </c>
      <c r="H11" s="153" t="s">
        <v>485</v>
      </c>
    </row>
    <row r="12" ht="10.5" customHeight="1">
      <c r="A12" s="153" t="s">
        <v>1177</v>
      </c>
      <c r="B12" s="153">
        <v>4.0</v>
      </c>
      <c r="C12" s="161" t="s">
        <v>806</v>
      </c>
      <c r="D12" s="161"/>
      <c r="E12" s="107"/>
      <c r="F12" s="161" t="s">
        <v>492</v>
      </c>
      <c r="G12" s="199" t="str">
        <f>HYPERLINK("http://www.mouser.co.uk/ProductDetail/Texas-Instruments/LME49720MAX-NOPB/?qs=sGAEpiMZZMvu8NZDyZ4K0QX3vNMCfeQq","926-LME49720MAX/NOPB")</f>
        <v>926-LME49720MAX/NOPB</v>
      </c>
      <c r="H12" s="134" t="s">
        <v>807</v>
      </c>
    </row>
    <row r="13" ht="10.5" customHeight="1">
      <c r="A13" s="153" t="s">
        <v>468</v>
      </c>
      <c r="B13" s="153">
        <v>1.0</v>
      </c>
      <c r="C13" s="161" t="s">
        <v>491</v>
      </c>
      <c r="D13" s="161"/>
      <c r="E13" s="107"/>
      <c r="F13" s="161" t="s">
        <v>492</v>
      </c>
      <c r="G13" s="161" t="s">
        <v>493</v>
      </c>
      <c r="H13" s="161" t="s">
        <v>874</v>
      </c>
    </row>
    <row r="14" ht="10.5" customHeight="1">
      <c r="A14" s="153" t="s">
        <v>1178</v>
      </c>
      <c r="B14" s="153">
        <v>3.0</v>
      </c>
      <c r="C14" s="161" t="s">
        <v>988</v>
      </c>
      <c r="D14" s="161"/>
      <c r="E14" s="161"/>
      <c r="F14" s="161" t="s">
        <v>733</v>
      </c>
      <c r="G14" s="161" t="s">
        <v>989</v>
      </c>
      <c r="H14" s="161" t="s">
        <v>1179</v>
      </c>
    </row>
    <row r="15" ht="12.0" customHeight="1">
      <c r="A15" s="163" t="s">
        <v>371</v>
      </c>
      <c r="B15" s="118"/>
      <c r="C15" s="118"/>
      <c r="D15" s="118"/>
      <c r="E15" s="118"/>
      <c r="F15" s="118"/>
      <c r="G15" s="119"/>
      <c r="H15" s="229"/>
    </row>
    <row r="16" ht="10.5" customHeight="1">
      <c r="A16" s="153" t="s">
        <v>518</v>
      </c>
      <c r="B16" s="153">
        <v>6.0</v>
      </c>
      <c r="C16" s="153" t="s">
        <v>373</v>
      </c>
      <c r="D16" s="153"/>
      <c r="E16" s="160"/>
      <c r="F16" s="153"/>
      <c r="G16" s="157"/>
      <c r="H16" s="161" t="s">
        <v>374</v>
      </c>
    </row>
    <row r="17" ht="10.5" customHeight="1">
      <c r="A17" s="153" t="s">
        <v>999</v>
      </c>
      <c r="B17" s="153">
        <v>3.0</v>
      </c>
      <c r="C17" s="153" t="s">
        <v>568</v>
      </c>
      <c r="D17" s="153"/>
      <c r="E17" s="155"/>
      <c r="F17" s="153" t="s">
        <v>569</v>
      </c>
      <c r="G17" s="153" t="s">
        <v>381</v>
      </c>
      <c r="H17" s="161" t="s">
        <v>382</v>
      </c>
    </row>
    <row r="18" ht="10.5" customHeight="1">
      <c r="A18" s="153" t="str">
        <f>"- LED1, LED2, LED3"</f>
        <v>- LED1, LED2, LED3</v>
      </c>
      <c r="B18" s="153">
        <v>3.0</v>
      </c>
      <c r="C18" s="153" t="s">
        <v>571</v>
      </c>
      <c r="D18" s="153" t="s">
        <v>1056</v>
      </c>
      <c r="E18" s="155"/>
      <c r="F18" s="153"/>
      <c r="G18" s="153"/>
      <c r="H18" s="153" t="s">
        <v>573</v>
      </c>
    </row>
    <row r="19" ht="21.75" customHeight="1">
      <c r="A19" s="153" t="s">
        <v>1180</v>
      </c>
      <c r="B19" s="153">
        <v>3.0</v>
      </c>
      <c r="C19" s="153" t="s">
        <v>389</v>
      </c>
      <c r="D19" s="153"/>
      <c r="E19" s="160"/>
      <c r="F19" s="153"/>
      <c r="G19" s="157"/>
      <c r="H19" s="153" t="s">
        <v>390</v>
      </c>
    </row>
    <row r="20" ht="10.5" customHeight="1">
      <c r="A20" s="153" t="s">
        <v>756</v>
      </c>
      <c r="B20" s="153">
        <v>3.0</v>
      </c>
      <c r="C20" s="153" t="s">
        <v>757</v>
      </c>
      <c r="D20" s="153"/>
      <c r="E20" s="155"/>
      <c r="F20" s="153"/>
      <c r="G20" s="245" t="s">
        <v>758</v>
      </c>
      <c r="H20" s="153"/>
    </row>
    <row r="21" ht="10.5" customHeight="1">
      <c r="A21" s="165" t="s">
        <v>391</v>
      </c>
      <c r="B21" s="165"/>
      <c r="C21" s="165"/>
      <c r="D21" s="165"/>
      <c r="E21" s="230"/>
      <c r="F21" s="165"/>
      <c r="G21" s="168"/>
      <c r="H21" s="229"/>
    </row>
    <row r="22" ht="10.5" customHeight="1">
      <c r="A22" s="153" t="s">
        <v>1181</v>
      </c>
      <c r="B22" s="161">
        <v>3.0</v>
      </c>
      <c r="C22" s="153" t="s">
        <v>893</v>
      </c>
      <c r="D22" s="153"/>
      <c r="E22" s="155"/>
      <c r="F22" s="153"/>
      <c r="G22" s="153" t="s">
        <v>894</v>
      </c>
      <c r="H22" s="153"/>
    </row>
    <row r="23" ht="10.5" customHeight="1">
      <c r="A23" s="153" t="s">
        <v>523</v>
      </c>
      <c r="B23" s="161">
        <v>1.0</v>
      </c>
      <c r="C23" s="161" t="s">
        <v>393</v>
      </c>
      <c r="D23" s="161"/>
      <c r="E23" s="107"/>
      <c r="F23" s="161"/>
      <c r="G23" s="161" t="s">
        <v>394</v>
      </c>
      <c r="H23" s="161"/>
    </row>
    <row r="24" ht="10.5" customHeight="1">
      <c r="A24" s="254" t="s">
        <v>896</v>
      </c>
      <c r="B24" s="153">
        <v>3.0</v>
      </c>
      <c r="C24" s="153" t="s">
        <v>897</v>
      </c>
      <c r="D24" s="153"/>
      <c r="E24" s="155"/>
      <c r="F24" s="153"/>
      <c r="G24" s="153" t="s">
        <v>898</v>
      </c>
      <c r="H24" s="161"/>
    </row>
    <row r="25" ht="10.5" customHeight="1">
      <c r="A25" s="165" t="s">
        <v>531</v>
      </c>
      <c r="B25" s="165"/>
      <c r="C25" s="165"/>
      <c r="D25" s="165"/>
      <c r="E25" s="230"/>
      <c r="F25" s="165"/>
      <c r="G25" s="168"/>
      <c r="H25" s="229"/>
    </row>
    <row r="26" ht="10.5" customHeight="1">
      <c r="A26" s="171" t="s">
        <v>395</v>
      </c>
      <c r="B26" s="171"/>
      <c r="C26" s="171" t="s">
        <v>1182</v>
      </c>
      <c r="D26" s="171"/>
      <c r="E26" s="231"/>
      <c r="F26" s="171"/>
      <c r="G26" s="174"/>
      <c r="H26" s="232"/>
    </row>
  </sheetData>
  <mergeCells count="3">
    <mergeCell ref="A1:H1"/>
    <mergeCell ref="A3:G3"/>
    <mergeCell ref="A15:G15"/>
  </mergeCell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29"/>
    <col customWidth="1" min="2" max="2" width="3.86"/>
    <col customWidth="1" min="3" max="3" width="29.86"/>
    <col customWidth="1" min="4" max="4" width="12.57"/>
    <col customWidth="1" min="5" max="5" width="5.43"/>
    <col customWidth="1" min="6" max="6" width="10.43"/>
    <col customWidth="1" min="7" max="7" width="22.86"/>
    <col customWidth="1" min="8" max="8" width="35.71"/>
  </cols>
  <sheetData>
    <row r="1" ht="18.0" customHeight="1">
      <c r="A1" s="255" t="s">
        <v>1183</v>
      </c>
    </row>
    <row r="2" ht="22.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178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108" t="s">
        <v>1184</v>
      </c>
      <c r="B4" s="108">
        <v>12.0</v>
      </c>
      <c r="C4" s="108" t="s">
        <v>284</v>
      </c>
      <c r="D4" s="108"/>
      <c r="E4" s="108">
        <v>510.0</v>
      </c>
      <c r="F4" s="108" t="str">
        <f t="shared" ref="F4:F18" si="1">"0603"</f>
        <v>0603</v>
      </c>
      <c r="G4" s="108" t="s">
        <v>287</v>
      </c>
      <c r="H4" s="97"/>
    </row>
    <row r="5" ht="12.0" customHeight="1">
      <c r="A5" s="108" t="s">
        <v>1185</v>
      </c>
      <c r="B5" s="108">
        <v>3.0</v>
      </c>
      <c r="C5" s="108" t="s">
        <v>284</v>
      </c>
      <c r="D5" s="108"/>
      <c r="E5" s="108" t="s">
        <v>598</v>
      </c>
      <c r="F5" s="108" t="str">
        <f t="shared" si="1"/>
        <v>0603</v>
      </c>
      <c r="G5" s="108" t="s">
        <v>537</v>
      </c>
      <c r="H5" s="97"/>
    </row>
    <row r="6" ht="12.0" customHeight="1">
      <c r="A6" s="108" t="s">
        <v>694</v>
      </c>
      <c r="B6" s="108">
        <v>1.0</v>
      </c>
      <c r="C6" s="108" t="s">
        <v>284</v>
      </c>
      <c r="D6" s="108"/>
      <c r="E6" s="108" t="s">
        <v>603</v>
      </c>
      <c r="F6" s="108" t="str">
        <f t="shared" si="1"/>
        <v>0603</v>
      </c>
      <c r="G6" s="108" t="s">
        <v>604</v>
      </c>
      <c r="H6" s="97"/>
    </row>
    <row r="7" ht="12.0" customHeight="1">
      <c r="A7" s="108" t="s">
        <v>1186</v>
      </c>
      <c r="B7" s="108">
        <v>5.0</v>
      </c>
      <c r="C7" s="108" t="s">
        <v>284</v>
      </c>
      <c r="D7" s="108"/>
      <c r="E7" s="108" t="s">
        <v>1187</v>
      </c>
      <c r="F7" s="108" t="str">
        <f t="shared" si="1"/>
        <v>0603</v>
      </c>
      <c r="G7" s="108" t="s">
        <v>1188</v>
      </c>
      <c r="H7" s="97"/>
    </row>
    <row r="8" ht="12.0" customHeight="1">
      <c r="A8" s="108" t="s">
        <v>1189</v>
      </c>
      <c r="B8" s="108">
        <v>4.0</v>
      </c>
      <c r="C8" s="108" t="s">
        <v>284</v>
      </c>
      <c r="D8" s="108"/>
      <c r="E8" s="108" t="s">
        <v>1190</v>
      </c>
      <c r="F8" s="108" t="str">
        <f t="shared" si="1"/>
        <v>0603</v>
      </c>
      <c r="G8" s="108" t="s">
        <v>1191</v>
      </c>
      <c r="H8" s="97"/>
    </row>
    <row r="9" ht="12.0" customHeight="1">
      <c r="A9" s="108" t="s">
        <v>1192</v>
      </c>
      <c r="B9" s="108">
        <v>3.0</v>
      </c>
      <c r="C9" s="108" t="s">
        <v>284</v>
      </c>
      <c r="D9" s="108"/>
      <c r="E9" s="108" t="s">
        <v>610</v>
      </c>
      <c r="F9" s="108" t="str">
        <f t="shared" si="1"/>
        <v>0603</v>
      </c>
      <c r="G9" s="108" t="s">
        <v>611</v>
      </c>
      <c r="H9" s="97"/>
    </row>
    <row r="10" ht="33.0" customHeight="1">
      <c r="A10" s="256" t="s">
        <v>1193</v>
      </c>
      <c r="B10" s="108">
        <v>63.0</v>
      </c>
      <c r="C10" s="108" t="s">
        <v>292</v>
      </c>
      <c r="D10" s="108"/>
      <c r="E10" s="108" t="s">
        <v>120</v>
      </c>
      <c r="F10" s="108" t="str">
        <f t="shared" si="1"/>
        <v>0603</v>
      </c>
      <c r="G10" s="108" t="s">
        <v>309</v>
      </c>
      <c r="H10" s="97" t="s">
        <v>310</v>
      </c>
    </row>
    <row r="11" ht="12.0" customHeight="1">
      <c r="A11" s="108" t="s">
        <v>1194</v>
      </c>
      <c r="B11" s="108">
        <v>8.0</v>
      </c>
      <c r="C11" s="108" t="s">
        <v>284</v>
      </c>
      <c r="D11" s="108"/>
      <c r="E11" s="108" t="s">
        <v>416</v>
      </c>
      <c r="F11" s="108" t="str">
        <f t="shared" si="1"/>
        <v>0603</v>
      </c>
      <c r="G11" s="108" t="s">
        <v>783</v>
      </c>
      <c r="H11" s="97"/>
    </row>
    <row r="12" ht="12.0" customHeight="1">
      <c r="A12" s="108" t="s">
        <v>1195</v>
      </c>
      <c r="B12" s="108">
        <v>2.0</v>
      </c>
      <c r="C12" s="108" t="s">
        <v>284</v>
      </c>
      <c r="D12" s="108"/>
      <c r="E12" s="108" t="s">
        <v>1196</v>
      </c>
      <c r="F12" s="108" t="str">
        <f t="shared" si="1"/>
        <v>0603</v>
      </c>
      <c r="G12" s="108" t="s">
        <v>1197</v>
      </c>
      <c r="H12" s="97"/>
    </row>
    <row r="13" ht="12.0" customHeight="1">
      <c r="A13" s="108" t="s">
        <v>1198</v>
      </c>
      <c r="B13" s="108">
        <v>8.0</v>
      </c>
      <c r="C13" s="108" t="s">
        <v>284</v>
      </c>
      <c r="D13" s="108"/>
      <c r="E13" s="108" t="s">
        <v>419</v>
      </c>
      <c r="F13" s="108" t="str">
        <f t="shared" si="1"/>
        <v>0603</v>
      </c>
      <c r="G13" s="108" t="s">
        <v>627</v>
      </c>
      <c r="H13" s="97"/>
    </row>
    <row r="14" ht="12.0" customHeight="1">
      <c r="A14" s="108" t="s">
        <v>1199</v>
      </c>
      <c r="B14" s="108">
        <v>1.0</v>
      </c>
      <c r="C14" s="108" t="s">
        <v>284</v>
      </c>
      <c r="D14" s="108"/>
      <c r="E14" s="108" t="s">
        <v>945</v>
      </c>
      <c r="F14" s="108" t="str">
        <f t="shared" si="1"/>
        <v>0603</v>
      </c>
      <c r="G14" s="108" t="s">
        <v>1200</v>
      </c>
      <c r="H14" s="97"/>
    </row>
    <row r="15" ht="12.0" customHeight="1">
      <c r="A15" s="108" t="s">
        <v>1201</v>
      </c>
      <c r="B15" s="108">
        <v>2.0</v>
      </c>
      <c r="C15" s="108" t="s">
        <v>284</v>
      </c>
      <c r="D15" s="108"/>
      <c r="E15" s="108" t="s">
        <v>956</v>
      </c>
      <c r="F15" s="108" t="str">
        <f t="shared" si="1"/>
        <v>0603</v>
      </c>
      <c r="G15" s="108" t="s">
        <v>1202</v>
      </c>
      <c r="H15" s="97"/>
    </row>
    <row r="16" ht="21.75" customHeight="1">
      <c r="A16" s="108" t="s">
        <v>1203</v>
      </c>
      <c r="B16" s="108">
        <v>6.0</v>
      </c>
      <c r="C16" s="108" t="s">
        <v>331</v>
      </c>
      <c r="D16" s="108" t="s">
        <v>321</v>
      </c>
      <c r="E16" s="108" t="s">
        <v>1204</v>
      </c>
      <c r="F16" s="108" t="str">
        <f t="shared" si="1"/>
        <v>0603</v>
      </c>
      <c r="G16" s="108" t="s">
        <v>1205</v>
      </c>
      <c r="H16" s="97" t="s">
        <v>1206</v>
      </c>
    </row>
    <row r="17" ht="12.0" customHeight="1">
      <c r="A17" s="108" t="s">
        <v>1207</v>
      </c>
      <c r="B17" s="108">
        <v>22.0</v>
      </c>
      <c r="C17" s="108" t="s">
        <v>331</v>
      </c>
      <c r="D17" s="108" t="s">
        <v>332</v>
      </c>
      <c r="E17" s="108" t="s">
        <v>327</v>
      </c>
      <c r="F17" s="108" t="str">
        <f t="shared" si="1"/>
        <v>0603</v>
      </c>
      <c r="G17" s="108" t="s">
        <v>328</v>
      </c>
      <c r="H17" s="97" t="s">
        <v>329</v>
      </c>
    </row>
    <row r="18" ht="21.75" customHeight="1">
      <c r="A18" s="108" t="s">
        <v>1208</v>
      </c>
      <c r="B18" s="108">
        <v>27.0</v>
      </c>
      <c r="C18" s="108" t="s">
        <v>331</v>
      </c>
      <c r="D18" s="108" t="s">
        <v>432</v>
      </c>
      <c r="E18" s="108" t="s">
        <v>333</v>
      </c>
      <c r="F18" s="108" t="str">
        <f t="shared" si="1"/>
        <v>0603</v>
      </c>
      <c r="G18" s="108" t="s">
        <v>116</v>
      </c>
      <c r="H18" s="97" t="s">
        <v>334</v>
      </c>
    </row>
    <row r="19" ht="21.75" customHeight="1">
      <c r="A19" s="108" t="s">
        <v>1209</v>
      </c>
      <c r="B19" s="108">
        <v>3.0</v>
      </c>
      <c r="C19" s="108" t="s">
        <v>336</v>
      </c>
      <c r="D19" s="108" t="s">
        <v>332</v>
      </c>
      <c r="E19" s="108" t="s">
        <v>337</v>
      </c>
      <c r="F19" s="108" t="s">
        <v>338</v>
      </c>
      <c r="G19" s="108" t="s">
        <v>339</v>
      </c>
      <c r="H19" s="97" t="s">
        <v>340</v>
      </c>
    </row>
    <row r="20" ht="10.5" customHeight="1">
      <c r="A20" s="108" t="s">
        <v>341</v>
      </c>
      <c r="B20" s="108">
        <v>2.0</v>
      </c>
      <c r="C20" s="108" t="s">
        <v>342</v>
      </c>
      <c r="D20" s="108"/>
      <c r="E20" s="108"/>
      <c r="F20" s="108" t="s">
        <v>343</v>
      </c>
      <c r="G20" s="108" t="s">
        <v>344</v>
      </c>
      <c r="H20" s="97" t="s">
        <v>345</v>
      </c>
    </row>
    <row r="21" ht="10.5" customHeight="1">
      <c r="A21" s="108" t="s">
        <v>1210</v>
      </c>
      <c r="B21" s="108">
        <v>14.0</v>
      </c>
      <c r="C21" s="108" t="s">
        <v>1143</v>
      </c>
      <c r="D21" s="108"/>
      <c r="E21" s="108"/>
      <c r="F21" s="108" t="s">
        <v>1144</v>
      </c>
      <c r="G21" s="108" t="s">
        <v>1145</v>
      </c>
      <c r="H21" s="97" t="s">
        <v>1146</v>
      </c>
    </row>
    <row r="22" ht="12.0" customHeight="1">
      <c r="A22" s="108" t="s">
        <v>346</v>
      </c>
      <c r="B22" s="108">
        <v>1.0</v>
      </c>
      <c r="C22" s="108" t="s">
        <v>347</v>
      </c>
      <c r="D22" s="108" t="s">
        <v>348</v>
      </c>
      <c r="E22" s="108" t="s">
        <v>349</v>
      </c>
      <c r="F22" s="112">
        <v>1206.0</v>
      </c>
      <c r="G22" s="108" t="s">
        <v>350</v>
      </c>
      <c r="H22" s="97" t="s">
        <v>351</v>
      </c>
    </row>
    <row r="23" ht="10.5" customHeight="1">
      <c r="A23" s="108" t="s">
        <v>808</v>
      </c>
      <c r="B23" s="108">
        <v>1.0</v>
      </c>
      <c r="C23" s="108" t="s">
        <v>505</v>
      </c>
      <c r="D23" s="108"/>
      <c r="E23" s="108"/>
      <c r="F23" s="108" t="s">
        <v>190</v>
      </c>
      <c r="G23" s="108" t="s">
        <v>506</v>
      </c>
      <c r="H23" s="97" t="s">
        <v>507</v>
      </c>
    </row>
    <row r="24" ht="10.5" customHeight="1">
      <c r="A24" s="108" t="s">
        <v>1211</v>
      </c>
      <c r="B24" s="108">
        <v>3.0</v>
      </c>
      <c r="C24" s="108" t="s">
        <v>353</v>
      </c>
      <c r="D24" s="108"/>
      <c r="E24" s="108"/>
      <c r="F24" s="108" t="s">
        <v>354</v>
      </c>
      <c r="G24" s="205" t="str">
        <f>HYPERLINK("http://www.cabintechglobal.com/index.html?tab=semi&amp;prod=V2164M","V2164M @ CabinTech")</f>
        <v>V2164M @ CabinTech</v>
      </c>
      <c r="H24" s="97" t="s">
        <v>355</v>
      </c>
    </row>
    <row r="25" ht="10.5" customHeight="1">
      <c r="A25" s="108" t="s">
        <v>1212</v>
      </c>
      <c r="B25" s="108">
        <v>4.0</v>
      </c>
      <c r="C25" s="108" t="s">
        <v>491</v>
      </c>
      <c r="D25" s="108"/>
      <c r="E25" s="108"/>
      <c r="F25" s="108" t="s">
        <v>492</v>
      </c>
      <c r="G25" s="108" t="s">
        <v>493</v>
      </c>
      <c r="H25" s="97" t="s">
        <v>874</v>
      </c>
    </row>
    <row r="26" ht="10.5" customHeight="1">
      <c r="A26" s="108" t="s">
        <v>1213</v>
      </c>
      <c r="B26" s="108">
        <v>5.0</v>
      </c>
      <c r="C26" s="108" t="s">
        <v>487</v>
      </c>
      <c r="D26" s="108"/>
      <c r="E26" s="108"/>
      <c r="F26" s="108" t="s">
        <v>465</v>
      </c>
      <c r="G26" s="108" t="s">
        <v>488</v>
      </c>
      <c r="H26" s="97" t="s">
        <v>489</v>
      </c>
    </row>
    <row r="27" ht="12.0" customHeight="1">
      <c r="A27" s="108" t="s">
        <v>454</v>
      </c>
      <c r="B27" s="108">
        <v>2.0</v>
      </c>
      <c r="C27" s="108" t="s">
        <v>362</v>
      </c>
      <c r="D27" s="204" t="s">
        <v>459</v>
      </c>
      <c r="E27" s="108" t="s">
        <v>364</v>
      </c>
      <c r="F27" s="108" t="s">
        <v>190</v>
      </c>
      <c r="G27" s="108" t="s">
        <v>484</v>
      </c>
      <c r="H27" s="97" t="s">
        <v>485</v>
      </c>
    </row>
    <row r="28" ht="12.75" customHeight="1">
      <c r="A28" s="117" t="s">
        <v>371</v>
      </c>
      <c r="B28" s="118"/>
      <c r="C28" s="118"/>
      <c r="D28" s="118"/>
      <c r="E28" s="118"/>
      <c r="F28" s="118"/>
      <c r="G28" s="119"/>
      <c r="H28" s="120"/>
    </row>
    <row r="29" ht="10.5" customHeight="1">
      <c r="A29" s="108" t="s">
        <v>928</v>
      </c>
      <c r="B29" s="108">
        <v>14.0</v>
      </c>
      <c r="C29" s="108" t="s">
        <v>373</v>
      </c>
      <c r="D29" s="108"/>
      <c r="E29" s="108"/>
      <c r="F29" s="108"/>
      <c r="G29" s="108"/>
      <c r="H29" s="97" t="s">
        <v>374</v>
      </c>
    </row>
    <row r="30" ht="10.5" customHeight="1">
      <c r="A30" s="108" t="s">
        <v>816</v>
      </c>
      <c r="B30" s="108">
        <v>1.0</v>
      </c>
      <c r="C30" s="108" t="s">
        <v>1214</v>
      </c>
      <c r="D30" s="108"/>
      <c r="E30" s="108"/>
      <c r="F30" s="108"/>
      <c r="G30" s="108" t="s">
        <v>1215</v>
      </c>
      <c r="H30" s="97"/>
    </row>
    <row r="31" ht="21.75" customHeight="1">
      <c r="A31" s="108" t="s">
        <v>1216</v>
      </c>
      <c r="B31" s="108">
        <v>2.0</v>
      </c>
      <c r="C31" s="108" t="s">
        <v>386</v>
      </c>
      <c r="D31" s="108"/>
      <c r="E31" s="108"/>
      <c r="F31" s="108"/>
      <c r="G31" s="108" t="s">
        <v>1217</v>
      </c>
      <c r="H31" s="97" t="s">
        <v>387</v>
      </c>
    </row>
    <row r="32" ht="10.5" customHeight="1">
      <c r="A32" s="108" t="s">
        <v>1218</v>
      </c>
      <c r="B32" s="108">
        <v>8.0</v>
      </c>
      <c r="C32" s="108" t="s">
        <v>389</v>
      </c>
      <c r="D32" s="108"/>
      <c r="E32" s="108"/>
      <c r="F32" s="108"/>
      <c r="G32" s="108"/>
      <c r="H32" s="97" t="s">
        <v>390</v>
      </c>
    </row>
    <row r="33" ht="12.0" customHeight="1">
      <c r="A33" s="122" t="s">
        <v>391</v>
      </c>
      <c r="B33" s="123"/>
      <c r="C33" s="122"/>
      <c r="D33" s="122"/>
      <c r="E33" s="124"/>
      <c r="F33" s="124"/>
      <c r="G33" s="123"/>
      <c r="H33" s="120"/>
    </row>
    <row r="34" ht="10.5" customHeight="1">
      <c r="A34" s="108" t="s">
        <v>1219</v>
      </c>
      <c r="B34" s="108">
        <v>1.0</v>
      </c>
      <c r="C34" s="108" t="s">
        <v>393</v>
      </c>
      <c r="D34" s="108"/>
      <c r="E34" s="108"/>
      <c r="F34" s="108"/>
      <c r="G34" s="108" t="s">
        <v>394</v>
      </c>
      <c r="H34" s="97"/>
    </row>
    <row r="35" ht="10.5" customHeight="1">
      <c r="A35" s="108" t="s">
        <v>1220</v>
      </c>
      <c r="B35" s="108">
        <v>2.0</v>
      </c>
      <c r="C35" s="108" t="s">
        <v>1221</v>
      </c>
      <c r="D35" s="108"/>
      <c r="E35" s="136"/>
      <c r="F35" s="136"/>
      <c r="G35" s="108" t="s">
        <v>587</v>
      </c>
      <c r="H35" s="132"/>
    </row>
    <row r="36" ht="10.5" customHeight="1">
      <c r="A36" s="108" t="s">
        <v>896</v>
      </c>
      <c r="B36" s="108">
        <v>1.0</v>
      </c>
      <c r="C36" s="108" t="s">
        <v>897</v>
      </c>
      <c r="D36" s="108"/>
      <c r="E36" s="112"/>
      <c r="F36" s="108"/>
      <c r="G36" s="108" t="s">
        <v>898</v>
      </c>
      <c r="H36" s="112"/>
    </row>
    <row r="37" ht="10.5" customHeight="1">
      <c r="A37" s="108" t="s">
        <v>525</v>
      </c>
      <c r="B37" s="108">
        <v>1.0</v>
      </c>
      <c r="C37" s="108" t="s">
        <v>893</v>
      </c>
      <c r="D37" s="108"/>
      <c r="E37" s="108"/>
      <c r="F37" s="108"/>
      <c r="G37" s="108" t="s">
        <v>894</v>
      </c>
      <c r="H37" s="97"/>
    </row>
    <row r="38" ht="10.5" customHeight="1">
      <c r="A38" s="122" t="s">
        <v>531</v>
      </c>
      <c r="B38" s="122"/>
      <c r="C38" s="122"/>
      <c r="D38" s="122"/>
      <c r="E38" s="187"/>
      <c r="F38" s="122"/>
      <c r="G38" s="239"/>
      <c r="H38" s="120"/>
    </row>
    <row r="39" ht="10.5" customHeight="1">
      <c r="A39" s="125" t="s">
        <v>395</v>
      </c>
      <c r="B39" s="125"/>
      <c r="C39" s="125" t="s">
        <v>1222</v>
      </c>
      <c r="D39" s="125"/>
      <c r="E39" s="125"/>
      <c r="F39" s="125"/>
      <c r="G39" s="125"/>
      <c r="H39" s="126"/>
    </row>
  </sheetData>
  <mergeCells count="3">
    <mergeCell ref="A1:H1"/>
    <mergeCell ref="A3:G3"/>
    <mergeCell ref="A28:G2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.86"/>
    <col customWidth="1" min="3" max="3" width="24.43"/>
    <col customWidth="1" min="4" max="4" width="7.14"/>
    <col customWidth="1" min="5" max="5" width="7.0"/>
    <col customWidth="1" min="6" max="6" width="8.43"/>
    <col customWidth="1" min="7" max="7" width="17.14"/>
    <col customWidth="1" min="8" max="8" width="10.71"/>
  </cols>
  <sheetData>
    <row r="1" ht="30.75" customHeight="1">
      <c r="A1" s="257" t="s">
        <v>1223</v>
      </c>
    </row>
    <row r="2" ht="12.75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</row>
    <row r="4" ht="12.0" customHeight="1">
      <c r="A4" s="153" t="s">
        <v>1224</v>
      </c>
      <c r="B4" s="153">
        <v>6.0</v>
      </c>
      <c r="C4" s="153" t="s">
        <v>284</v>
      </c>
      <c r="D4" s="153"/>
      <c r="E4" s="160" t="s">
        <v>598</v>
      </c>
      <c r="F4" s="153" t="str">
        <f>"0603"</f>
        <v>0603</v>
      </c>
      <c r="G4" s="157" t="s">
        <v>1005</v>
      </c>
      <c r="H4" s="158"/>
    </row>
    <row r="5" ht="12.0" customHeight="1">
      <c r="A5" s="163" t="s">
        <v>371</v>
      </c>
      <c r="B5" s="118"/>
      <c r="C5" s="118"/>
      <c r="D5" s="118"/>
      <c r="E5" s="118"/>
      <c r="F5" s="118"/>
      <c r="G5" s="119"/>
      <c r="H5" s="229"/>
    </row>
    <row r="6" ht="12.0" customHeight="1">
      <c r="A6" s="153" t="s">
        <v>518</v>
      </c>
      <c r="B6" s="153">
        <v>6.0</v>
      </c>
      <c r="C6" s="153" t="s">
        <v>373</v>
      </c>
      <c r="D6" s="153"/>
      <c r="E6" s="160"/>
      <c r="F6" s="153"/>
      <c r="G6" s="157"/>
      <c r="H6" s="161" t="s">
        <v>374</v>
      </c>
    </row>
    <row r="7" ht="12.0" customHeight="1">
      <c r="A7" s="165" t="s">
        <v>391</v>
      </c>
      <c r="B7" s="165"/>
      <c r="C7" s="165"/>
      <c r="D7" s="165"/>
      <c r="E7" s="230"/>
      <c r="F7" s="165"/>
      <c r="G7" s="168"/>
      <c r="H7" s="229"/>
    </row>
    <row r="8" ht="12.0" customHeight="1">
      <c r="A8" s="153"/>
      <c r="B8" s="154">
        <v>2.0</v>
      </c>
      <c r="C8" s="153" t="s">
        <v>586</v>
      </c>
      <c r="D8" s="153"/>
      <c r="E8" s="159"/>
      <c r="F8" s="159"/>
      <c r="G8" s="153" t="s">
        <v>587</v>
      </c>
      <c r="H8" s="161"/>
    </row>
    <row r="9" ht="12.0" customHeight="1">
      <c r="A9" s="165" t="s">
        <v>531</v>
      </c>
      <c r="B9" s="165"/>
      <c r="C9" s="165"/>
      <c r="D9" s="165"/>
      <c r="E9" s="230"/>
      <c r="F9" s="165"/>
      <c r="G9" s="168"/>
      <c r="H9" s="164"/>
    </row>
    <row r="10" ht="12.0" customHeight="1">
      <c r="A10" s="171" t="s">
        <v>395</v>
      </c>
      <c r="B10" s="171"/>
      <c r="C10" s="171" t="s">
        <v>1225</v>
      </c>
      <c r="D10" s="171"/>
      <c r="E10" s="231"/>
      <c r="F10" s="171"/>
      <c r="G10" s="174"/>
      <c r="H10" s="232"/>
    </row>
  </sheetData>
  <mergeCells count="3">
    <mergeCell ref="A1:H1"/>
    <mergeCell ref="A3:G3"/>
    <mergeCell ref="A5:G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2" max="2" width="3.86"/>
    <col customWidth="1" min="3" max="3" width="36.0"/>
    <col customWidth="1" min="4" max="4" width="12.57"/>
    <col customWidth="1" min="5" max="5" width="5.43"/>
    <col customWidth="1" min="6" max="6" width="10.43"/>
    <col customWidth="1" min="7" max="7" width="21.43"/>
    <col customWidth="1" min="8" max="8" width="35.71"/>
  </cols>
  <sheetData>
    <row r="1" ht="18.0" customHeight="1">
      <c r="A1" s="197" t="s">
        <v>1226</v>
      </c>
    </row>
    <row r="2" ht="12.7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177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97" t="s">
        <v>590</v>
      </c>
      <c r="B4" s="97">
        <v>1.0</v>
      </c>
      <c r="C4" s="97" t="s">
        <v>399</v>
      </c>
      <c r="D4" s="198"/>
      <c r="E4" s="97">
        <v>4.7</v>
      </c>
      <c r="F4" s="97" t="str">
        <f>"1206"</f>
        <v>1206</v>
      </c>
      <c r="G4" s="97" t="s">
        <v>400</v>
      </c>
      <c r="H4" s="198"/>
    </row>
    <row r="5" ht="12.0" customHeight="1">
      <c r="A5" s="97" t="s">
        <v>1227</v>
      </c>
      <c r="B5" s="97">
        <v>10.0</v>
      </c>
      <c r="C5" s="97" t="s">
        <v>284</v>
      </c>
      <c r="D5" s="198"/>
      <c r="E5" s="97">
        <v>510.0</v>
      </c>
      <c r="F5" s="97" t="str">
        <f t="shared" ref="F5:F24" si="1">"0603"</f>
        <v>0603</v>
      </c>
      <c r="G5" s="97" t="s">
        <v>1228</v>
      </c>
      <c r="H5" s="198"/>
    </row>
    <row r="6" ht="12.0" customHeight="1">
      <c r="A6" s="97" t="s">
        <v>1229</v>
      </c>
      <c r="B6" s="97">
        <v>7.0</v>
      </c>
      <c r="C6" s="97" t="s">
        <v>284</v>
      </c>
      <c r="D6" s="198"/>
      <c r="E6" s="97" t="s">
        <v>598</v>
      </c>
      <c r="F6" s="97" t="str">
        <f t="shared" si="1"/>
        <v>0603</v>
      </c>
      <c r="G6" s="97" t="s">
        <v>537</v>
      </c>
      <c r="H6" s="198"/>
    </row>
    <row r="7" ht="12.0" customHeight="1">
      <c r="A7" s="97" t="s">
        <v>1230</v>
      </c>
      <c r="B7" s="97">
        <v>2.0</v>
      </c>
      <c r="C7" s="97" t="s">
        <v>284</v>
      </c>
      <c r="D7" s="198"/>
      <c r="E7" s="97" t="s">
        <v>289</v>
      </c>
      <c r="F7" s="97" t="str">
        <f t="shared" si="1"/>
        <v>0603</v>
      </c>
      <c r="G7" s="97" t="s">
        <v>290</v>
      </c>
      <c r="H7" s="198"/>
    </row>
    <row r="8" ht="12.0" customHeight="1">
      <c r="A8" s="97" t="s">
        <v>1231</v>
      </c>
      <c r="B8" s="97">
        <v>2.0</v>
      </c>
      <c r="C8" s="97" t="s">
        <v>284</v>
      </c>
      <c r="D8" s="198"/>
      <c r="E8" s="97" t="s">
        <v>603</v>
      </c>
      <c r="F8" s="97" t="str">
        <f t="shared" si="1"/>
        <v>0603</v>
      </c>
      <c r="G8" s="97" t="s">
        <v>604</v>
      </c>
      <c r="H8" s="198"/>
    </row>
    <row r="9" ht="12.0" customHeight="1">
      <c r="A9" s="97" t="s">
        <v>1232</v>
      </c>
      <c r="B9" s="97">
        <v>3.0</v>
      </c>
      <c r="C9" s="97" t="s">
        <v>284</v>
      </c>
      <c r="D9" s="198"/>
      <c r="E9" s="97" t="s">
        <v>132</v>
      </c>
      <c r="F9" s="97" t="str">
        <f t="shared" si="1"/>
        <v>0603</v>
      </c>
      <c r="G9" s="97" t="s">
        <v>539</v>
      </c>
      <c r="H9" s="198"/>
    </row>
    <row r="10" ht="12.0" customHeight="1">
      <c r="A10" s="97" t="s">
        <v>1233</v>
      </c>
      <c r="B10" s="97">
        <v>2.0</v>
      </c>
      <c r="C10" s="97" t="s">
        <v>284</v>
      </c>
      <c r="D10" s="198"/>
      <c r="E10" s="97" t="s">
        <v>1234</v>
      </c>
      <c r="F10" s="97" t="str">
        <f t="shared" si="1"/>
        <v>0603</v>
      </c>
      <c r="G10" s="97" t="s">
        <v>1235</v>
      </c>
      <c r="H10" s="198"/>
    </row>
    <row r="11" ht="12.0" customHeight="1">
      <c r="A11" s="97" t="s">
        <v>1236</v>
      </c>
      <c r="B11" s="97">
        <v>4.0</v>
      </c>
      <c r="C11" s="97" t="s">
        <v>284</v>
      </c>
      <c r="D11" s="198"/>
      <c r="E11" s="97" t="s">
        <v>775</v>
      </c>
      <c r="F11" s="97" t="str">
        <f t="shared" si="1"/>
        <v>0603</v>
      </c>
      <c r="G11" s="97" t="s">
        <v>776</v>
      </c>
      <c r="H11" s="198"/>
    </row>
    <row r="12" ht="12.0" customHeight="1">
      <c r="A12" s="97" t="s">
        <v>1237</v>
      </c>
      <c r="B12" s="97">
        <v>2.0</v>
      </c>
      <c r="C12" s="97" t="s">
        <v>284</v>
      </c>
      <c r="D12" s="198"/>
      <c r="E12" s="97" t="s">
        <v>407</v>
      </c>
      <c r="F12" s="97" t="str">
        <f t="shared" si="1"/>
        <v>0603</v>
      </c>
      <c r="G12" s="97" t="s">
        <v>1238</v>
      </c>
      <c r="H12" s="198"/>
    </row>
    <row r="13" ht="12.0" customHeight="1">
      <c r="A13" s="97" t="s">
        <v>1239</v>
      </c>
      <c r="B13" s="97">
        <v>16.0</v>
      </c>
      <c r="C13" s="97" t="s">
        <v>284</v>
      </c>
      <c r="D13" s="198"/>
      <c r="E13" s="97" t="s">
        <v>120</v>
      </c>
      <c r="F13" s="97" t="str">
        <f t="shared" si="1"/>
        <v>0603</v>
      </c>
      <c r="G13" s="97" t="s">
        <v>312</v>
      </c>
      <c r="H13" s="198"/>
    </row>
    <row r="14" ht="12.0" customHeight="1">
      <c r="A14" s="97" t="s">
        <v>1240</v>
      </c>
      <c r="B14" s="97">
        <v>4.0</v>
      </c>
      <c r="C14" s="97" t="s">
        <v>284</v>
      </c>
      <c r="D14" s="198"/>
      <c r="E14" s="97" t="s">
        <v>416</v>
      </c>
      <c r="F14" s="97" t="str">
        <f t="shared" si="1"/>
        <v>0603</v>
      </c>
      <c r="G14" s="97" t="s">
        <v>783</v>
      </c>
      <c r="H14" s="198"/>
    </row>
    <row r="15" ht="12.0" customHeight="1">
      <c r="A15" s="97" t="s">
        <v>1241</v>
      </c>
      <c r="B15" s="97">
        <v>2.0</v>
      </c>
      <c r="C15" s="97" t="s">
        <v>284</v>
      </c>
      <c r="D15" s="198"/>
      <c r="E15" s="97" t="s">
        <v>419</v>
      </c>
      <c r="F15" s="97" t="str">
        <f t="shared" si="1"/>
        <v>0603</v>
      </c>
      <c r="G15" s="97" t="s">
        <v>627</v>
      </c>
      <c r="H15" s="198"/>
    </row>
    <row r="16" ht="12.0" customHeight="1">
      <c r="A16" s="97" t="s">
        <v>1242</v>
      </c>
      <c r="B16" s="97">
        <v>2.0</v>
      </c>
      <c r="C16" s="97" t="s">
        <v>284</v>
      </c>
      <c r="D16" s="198"/>
      <c r="E16" s="97" t="s">
        <v>1008</v>
      </c>
      <c r="F16" s="97" t="str">
        <f t="shared" si="1"/>
        <v>0603</v>
      </c>
      <c r="G16" s="97" t="s">
        <v>1243</v>
      </c>
      <c r="H16" s="198"/>
    </row>
    <row r="17" ht="12.0" customHeight="1">
      <c r="A17" s="97" t="s">
        <v>1244</v>
      </c>
      <c r="B17" s="97">
        <v>2.0</v>
      </c>
      <c r="C17" s="97" t="s">
        <v>331</v>
      </c>
      <c r="D17" s="198"/>
      <c r="E17" s="97" t="s">
        <v>421</v>
      </c>
      <c r="F17" s="97" t="str">
        <f t="shared" si="1"/>
        <v>0603</v>
      </c>
      <c r="G17" s="97" t="s">
        <v>139</v>
      </c>
      <c r="H17" s="97" t="s">
        <v>629</v>
      </c>
    </row>
    <row r="18" ht="12.0" customHeight="1">
      <c r="A18" s="97" t="s">
        <v>1245</v>
      </c>
      <c r="B18" s="97">
        <v>6.0</v>
      </c>
      <c r="C18" s="97" t="s">
        <v>331</v>
      </c>
      <c r="D18" s="97" t="s">
        <v>636</v>
      </c>
      <c r="E18" s="97" t="s">
        <v>1246</v>
      </c>
      <c r="F18" s="97" t="str">
        <f t="shared" si="1"/>
        <v>0603</v>
      </c>
      <c r="G18" s="97" t="s">
        <v>1247</v>
      </c>
      <c r="H18" s="97" t="s">
        <v>1248</v>
      </c>
    </row>
    <row r="19" ht="12.0" customHeight="1">
      <c r="A19" s="97" t="s">
        <v>1249</v>
      </c>
      <c r="B19" s="97">
        <v>8.0</v>
      </c>
      <c r="C19" s="97" t="s">
        <v>331</v>
      </c>
      <c r="D19" s="97" t="s">
        <v>432</v>
      </c>
      <c r="E19" s="97" t="s">
        <v>327</v>
      </c>
      <c r="F19" s="97" t="str">
        <f t="shared" si="1"/>
        <v>0603</v>
      </c>
      <c r="G19" s="97" t="s">
        <v>328</v>
      </c>
      <c r="H19" s="97" t="s">
        <v>329</v>
      </c>
    </row>
    <row r="20" ht="12.0" customHeight="1">
      <c r="A20" s="97" t="s">
        <v>1250</v>
      </c>
      <c r="B20" s="97">
        <v>6.0</v>
      </c>
      <c r="C20" s="97" t="s">
        <v>331</v>
      </c>
      <c r="D20" s="97" t="s">
        <v>636</v>
      </c>
      <c r="E20" s="97" t="s">
        <v>429</v>
      </c>
      <c r="F20" s="97" t="str">
        <f t="shared" si="1"/>
        <v>0603</v>
      </c>
      <c r="G20" s="97" t="s">
        <v>430</v>
      </c>
      <c r="H20" s="97" t="s">
        <v>637</v>
      </c>
    </row>
    <row r="21" ht="12.0" customHeight="1">
      <c r="A21" s="97" t="s">
        <v>1251</v>
      </c>
      <c r="B21" s="97">
        <v>2.0</v>
      </c>
      <c r="C21" s="97" t="s">
        <v>331</v>
      </c>
      <c r="D21" s="97" t="s">
        <v>1252</v>
      </c>
      <c r="E21" s="97" t="s">
        <v>908</v>
      </c>
      <c r="F21" s="97" t="str">
        <f t="shared" si="1"/>
        <v>0603</v>
      </c>
      <c r="G21" s="97" t="s">
        <v>1253</v>
      </c>
      <c r="H21" s="97" t="s">
        <v>1254</v>
      </c>
    </row>
    <row r="22" ht="12.0" customHeight="1">
      <c r="A22" s="97" t="s">
        <v>1255</v>
      </c>
      <c r="B22" s="97">
        <v>23.0</v>
      </c>
      <c r="C22" s="97" t="s">
        <v>331</v>
      </c>
      <c r="D22" s="97" t="s">
        <v>432</v>
      </c>
      <c r="E22" s="97" t="s">
        <v>333</v>
      </c>
      <c r="F22" s="97" t="str">
        <f t="shared" si="1"/>
        <v>0603</v>
      </c>
      <c r="G22" s="97" t="s">
        <v>116</v>
      </c>
      <c r="H22" s="97" t="s">
        <v>334</v>
      </c>
    </row>
    <row r="23" ht="12.0" customHeight="1">
      <c r="A23" s="97" t="s">
        <v>1256</v>
      </c>
      <c r="B23" s="97">
        <v>2.0</v>
      </c>
      <c r="C23" s="97" t="s">
        <v>331</v>
      </c>
      <c r="D23" s="97" t="s">
        <v>1257</v>
      </c>
      <c r="E23" s="97" t="s">
        <v>1258</v>
      </c>
      <c r="F23" s="97" t="str">
        <f t="shared" si="1"/>
        <v>0603</v>
      </c>
      <c r="G23" s="110" t="s">
        <v>1259</v>
      </c>
      <c r="H23" s="97" t="s">
        <v>1260</v>
      </c>
    </row>
    <row r="24" ht="12.0" customHeight="1">
      <c r="A24" s="97" t="s">
        <v>1261</v>
      </c>
      <c r="B24" s="97">
        <v>2.0</v>
      </c>
      <c r="C24" s="97" t="s">
        <v>331</v>
      </c>
      <c r="D24" s="97" t="s">
        <v>435</v>
      </c>
      <c r="E24" s="97" t="s">
        <v>861</v>
      </c>
      <c r="F24" s="97" t="str">
        <f t="shared" si="1"/>
        <v>0603</v>
      </c>
      <c r="G24" s="97" t="s">
        <v>862</v>
      </c>
      <c r="H24" s="198"/>
    </row>
    <row r="25" ht="12.0" customHeight="1">
      <c r="A25" s="134" t="s">
        <v>1262</v>
      </c>
      <c r="B25" s="134">
        <v>3.0</v>
      </c>
      <c r="C25" s="97" t="s">
        <v>336</v>
      </c>
      <c r="D25" s="97" t="s">
        <v>332</v>
      </c>
      <c r="E25" s="97" t="s">
        <v>444</v>
      </c>
      <c r="F25" s="97" t="s">
        <v>445</v>
      </c>
      <c r="G25" s="97" t="s">
        <v>1175</v>
      </c>
      <c r="H25" s="97" t="s">
        <v>1176</v>
      </c>
    </row>
    <row r="26" ht="12.0" customHeight="1">
      <c r="A26" s="134" t="s">
        <v>961</v>
      </c>
      <c r="B26" s="134">
        <v>1.0</v>
      </c>
      <c r="C26" s="97" t="s">
        <v>336</v>
      </c>
      <c r="D26" s="97" t="s">
        <v>432</v>
      </c>
      <c r="E26" s="97" t="s">
        <v>337</v>
      </c>
      <c r="F26" s="97" t="s">
        <v>445</v>
      </c>
      <c r="G26" s="97" t="s">
        <v>1263</v>
      </c>
      <c r="H26" s="97" t="s">
        <v>1264</v>
      </c>
    </row>
    <row r="27" ht="12.0" customHeight="1">
      <c r="A27" s="97" t="s">
        <v>1137</v>
      </c>
      <c r="B27" s="97">
        <v>1.0</v>
      </c>
      <c r="C27" s="97" t="s">
        <v>336</v>
      </c>
      <c r="D27" s="97" t="s">
        <v>332</v>
      </c>
      <c r="E27" s="97" t="s">
        <v>337</v>
      </c>
      <c r="F27" s="97" t="s">
        <v>338</v>
      </c>
      <c r="G27" s="97" t="s">
        <v>339</v>
      </c>
      <c r="H27" s="97" t="s">
        <v>340</v>
      </c>
    </row>
    <row r="28" ht="10.5" customHeight="1">
      <c r="A28" s="97" t="s">
        <v>341</v>
      </c>
      <c r="B28" s="97">
        <v>2.0</v>
      </c>
      <c r="C28" s="97" t="s">
        <v>867</v>
      </c>
      <c r="D28" s="97"/>
      <c r="E28" s="97"/>
      <c r="F28" s="97" t="s">
        <v>190</v>
      </c>
      <c r="G28" s="97" t="s">
        <v>191</v>
      </c>
      <c r="H28" s="97" t="s">
        <v>189</v>
      </c>
    </row>
    <row r="29" ht="10.5" customHeight="1">
      <c r="A29" s="97" t="s">
        <v>1265</v>
      </c>
      <c r="B29" s="97">
        <v>2.0</v>
      </c>
      <c r="C29" s="97" t="s">
        <v>342</v>
      </c>
      <c r="D29" s="97"/>
      <c r="E29" s="97"/>
      <c r="F29" s="97" t="s">
        <v>343</v>
      </c>
      <c r="G29" s="97" t="s">
        <v>344</v>
      </c>
      <c r="H29" s="97" t="s">
        <v>345</v>
      </c>
    </row>
    <row r="30" ht="10.5" customHeight="1">
      <c r="A30" s="97" t="s">
        <v>1266</v>
      </c>
      <c r="B30" s="97">
        <v>2.0</v>
      </c>
      <c r="C30" s="97" t="s">
        <v>1143</v>
      </c>
      <c r="D30" s="97"/>
      <c r="E30" s="97"/>
      <c r="F30" s="97" t="s">
        <v>1144</v>
      </c>
      <c r="G30" s="97" t="s">
        <v>1145</v>
      </c>
      <c r="H30" s="97" t="s">
        <v>1146</v>
      </c>
    </row>
    <row r="31" ht="12.0" customHeight="1">
      <c r="A31" s="97" t="s">
        <v>553</v>
      </c>
      <c r="B31" s="97">
        <v>1.0</v>
      </c>
      <c r="C31" s="97" t="s">
        <v>1046</v>
      </c>
      <c r="D31" s="97"/>
      <c r="E31" s="97"/>
      <c r="F31" s="97" t="s">
        <v>470</v>
      </c>
      <c r="G31" s="97" t="s">
        <v>1047</v>
      </c>
      <c r="H31" s="97" t="s">
        <v>1048</v>
      </c>
    </row>
    <row r="32" ht="12.0" customHeight="1">
      <c r="A32" s="97" t="s">
        <v>560</v>
      </c>
      <c r="B32" s="97">
        <v>1.0</v>
      </c>
      <c r="C32" s="97" t="s">
        <v>474</v>
      </c>
      <c r="D32" s="198"/>
      <c r="E32" s="97" t="s">
        <v>475</v>
      </c>
      <c r="F32" s="97" t="s">
        <v>220</v>
      </c>
      <c r="G32" s="97" t="s">
        <v>221</v>
      </c>
      <c r="H32" s="97" t="s">
        <v>658</v>
      </c>
    </row>
    <row r="33" ht="10.5" customHeight="1">
      <c r="A33" s="97" t="s">
        <v>463</v>
      </c>
      <c r="B33" s="97">
        <v>1.0</v>
      </c>
      <c r="C33" s="134" t="s">
        <v>480</v>
      </c>
      <c r="D33" s="97"/>
      <c r="E33" s="97"/>
      <c r="F33" s="97" t="s">
        <v>465</v>
      </c>
      <c r="G33" s="97" t="s">
        <v>481</v>
      </c>
      <c r="H33" s="97" t="s">
        <v>482</v>
      </c>
    </row>
    <row r="34" ht="12.0" customHeight="1">
      <c r="A34" s="97" t="s">
        <v>458</v>
      </c>
      <c r="B34" s="97">
        <v>1.0</v>
      </c>
      <c r="C34" s="97" t="s">
        <v>362</v>
      </c>
      <c r="D34" s="97" t="s">
        <v>459</v>
      </c>
      <c r="E34" s="97" t="s">
        <v>460</v>
      </c>
      <c r="F34" s="97" t="s">
        <v>190</v>
      </c>
      <c r="G34" s="97" t="s">
        <v>461</v>
      </c>
      <c r="H34" s="97" t="s">
        <v>462</v>
      </c>
    </row>
    <row r="35" ht="10.5" customHeight="1">
      <c r="A35" s="97" t="s">
        <v>1150</v>
      </c>
      <c r="B35" s="97">
        <v>2.0</v>
      </c>
      <c r="C35" s="97" t="s">
        <v>491</v>
      </c>
      <c r="D35" s="97"/>
      <c r="E35" s="97"/>
      <c r="F35" s="97" t="s">
        <v>492</v>
      </c>
      <c r="G35" s="97" t="s">
        <v>493</v>
      </c>
      <c r="H35" s="97" t="s">
        <v>874</v>
      </c>
    </row>
    <row r="36" ht="10.5" customHeight="1">
      <c r="A36" s="97" t="s">
        <v>217</v>
      </c>
      <c r="B36" s="97">
        <v>2.0</v>
      </c>
      <c r="C36" s="97" t="s">
        <v>491</v>
      </c>
      <c r="D36" s="97"/>
      <c r="E36" s="97"/>
      <c r="F36" s="97" t="s">
        <v>492</v>
      </c>
      <c r="G36" s="97" t="s">
        <v>493</v>
      </c>
      <c r="H36" s="97" t="s">
        <v>874</v>
      </c>
    </row>
    <row r="37" ht="12.0" customHeight="1">
      <c r="A37" s="97" t="s">
        <v>1267</v>
      </c>
      <c r="B37" s="97">
        <v>2.0</v>
      </c>
      <c r="C37" s="97" t="s">
        <v>353</v>
      </c>
      <c r="D37" s="97"/>
      <c r="E37" s="97"/>
      <c r="F37" s="97" t="s">
        <v>354</v>
      </c>
      <c r="G37" s="186" t="str">
        <f>HYPERLINK("http://www.cabintechglobal.com/index.html?tab=semi&amp;prod=V2164M","V2164M @ CabinTech")</f>
        <v>V2164M @ CabinTech</v>
      </c>
      <c r="H37" s="97" t="s">
        <v>355</v>
      </c>
    </row>
    <row r="38" ht="12.0" customHeight="1">
      <c r="A38" s="97" t="s">
        <v>1268</v>
      </c>
      <c r="B38" s="97">
        <v>2.0</v>
      </c>
      <c r="C38" s="97" t="s">
        <v>362</v>
      </c>
      <c r="D38" s="97" t="s">
        <v>459</v>
      </c>
      <c r="E38" s="97" t="s">
        <v>364</v>
      </c>
      <c r="F38" s="97" t="s">
        <v>190</v>
      </c>
      <c r="G38" s="97" t="s">
        <v>484</v>
      </c>
      <c r="H38" s="97" t="s">
        <v>485</v>
      </c>
    </row>
    <row r="39" ht="10.5" customHeight="1">
      <c r="A39" s="97" t="s">
        <v>544</v>
      </c>
      <c r="B39" s="97">
        <v>1.0</v>
      </c>
      <c r="C39" s="97" t="s">
        <v>367</v>
      </c>
      <c r="D39" s="97" t="s">
        <v>809</v>
      </c>
      <c r="E39" s="97"/>
      <c r="F39" s="97" t="str">
        <f>"0603"</f>
        <v>0603</v>
      </c>
      <c r="G39" s="97" t="s">
        <v>810</v>
      </c>
      <c r="H39" s="97" t="s">
        <v>811</v>
      </c>
    </row>
    <row r="40" ht="12.0" customHeight="1">
      <c r="A40" s="97" t="s">
        <v>346</v>
      </c>
      <c r="B40" s="97">
        <v>1.0</v>
      </c>
      <c r="C40" s="97" t="s">
        <v>347</v>
      </c>
      <c r="D40" s="97" t="s">
        <v>348</v>
      </c>
      <c r="E40" s="97" t="s">
        <v>349</v>
      </c>
      <c r="F40" s="97" t="str">
        <f>"1206"</f>
        <v>1206</v>
      </c>
      <c r="G40" s="97" t="s">
        <v>350</v>
      </c>
      <c r="H40" s="97" t="s">
        <v>351</v>
      </c>
    </row>
    <row r="41" ht="10.5" customHeight="1">
      <c r="A41" s="97" t="s">
        <v>808</v>
      </c>
      <c r="B41" s="97">
        <v>1.0</v>
      </c>
      <c r="C41" s="97" t="s">
        <v>496</v>
      </c>
      <c r="D41" s="97"/>
      <c r="E41" s="97"/>
      <c r="F41" s="97" t="s">
        <v>497</v>
      </c>
      <c r="G41" s="97" t="s">
        <v>180</v>
      </c>
      <c r="H41" s="97" t="s">
        <v>498</v>
      </c>
    </row>
    <row r="42" ht="12.0" customHeight="1">
      <c r="A42" s="97" t="s">
        <v>508</v>
      </c>
      <c r="B42" s="97">
        <v>1.0</v>
      </c>
      <c r="C42" s="97" t="s">
        <v>509</v>
      </c>
      <c r="D42" s="198"/>
      <c r="E42" s="198"/>
      <c r="F42" s="97" t="s">
        <v>510</v>
      </c>
      <c r="G42" s="97" t="s">
        <v>511</v>
      </c>
      <c r="H42" s="97" t="s">
        <v>512</v>
      </c>
    </row>
    <row r="43" ht="12.0" customHeight="1">
      <c r="A43" s="97" t="s">
        <v>528</v>
      </c>
      <c r="B43" s="97">
        <v>1.0</v>
      </c>
      <c r="C43" s="97" t="s">
        <v>1269</v>
      </c>
      <c r="D43" s="198"/>
      <c r="E43" s="198"/>
      <c r="F43" s="198"/>
      <c r="G43" s="110" t="s">
        <v>1270</v>
      </c>
      <c r="H43" s="97" t="s">
        <v>1271</v>
      </c>
    </row>
    <row r="44" ht="12.75" customHeight="1">
      <c r="A44" s="117" t="s">
        <v>371</v>
      </c>
      <c r="B44" s="118"/>
      <c r="C44" s="118"/>
      <c r="D44" s="118"/>
      <c r="E44" s="118"/>
      <c r="F44" s="118"/>
      <c r="G44" s="119"/>
      <c r="H44" s="120"/>
    </row>
    <row r="45" ht="10.5" customHeight="1">
      <c r="A45" s="97" t="s">
        <v>583</v>
      </c>
      <c r="B45" s="97">
        <v>8.0</v>
      </c>
      <c r="C45" s="97" t="s">
        <v>373</v>
      </c>
      <c r="D45" s="97"/>
      <c r="E45" s="97"/>
      <c r="F45" s="97"/>
      <c r="G45" s="97"/>
      <c r="H45" s="97" t="s">
        <v>876</v>
      </c>
    </row>
    <row r="46" ht="12.0" customHeight="1">
      <c r="A46" s="97" t="s">
        <v>1272</v>
      </c>
      <c r="B46" s="97">
        <v>2.0</v>
      </c>
      <c r="C46" s="97" t="s">
        <v>386</v>
      </c>
      <c r="D46" s="97"/>
      <c r="E46" s="97"/>
      <c r="F46" s="97"/>
      <c r="G46" s="97"/>
      <c r="H46" s="97" t="s">
        <v>387</v>
      </c>
    </row>
    <row r="47" ht="12.0" customHeight="1">
      <c r="A47" s="97" t="s">
        <v>1273</v>
      </c>
      <c r="B47" s="97">
        <v>4.0</v>
      </c>
      <c r="C47" s="97" t="s">
        <v>389</v>
      </c>
      <c r="D47" s="198"/>
      <c r="E47" s="198"/>
      <c r="F47" s="198"/>
      <c r="G47" s="198"/>
      <c r="H47" s="97" t="s">
        <v>390</v>
      </c>
    </row>
    <row r="48" ht="12.0" customHeight="1">
      <c r="A48" s="97" t="s">
        <v>1274</v>
      </c>
      <c r="B48" s="97">
        <v>2.0</v>
      </c>
      <c r="C48" s="97" t="s">
        <v>1275</v>
      </c>
      <c r="D48" s="198"/>
      <c r="E48" s="198"/>
      <c r="F48" s="198"/>
      <c r="G48" s="198"/>
      <c r="H48" s="121" t="s">
        <v>390</v>
      </c>
    </row>
    <row r="49" ht="12.0" customHeight="1">
      <c r="A49" s="97" t="s">
        <v>756</v>
      </c>
      <c r="B49" s="97">
        <v>3.0</v>
      </c>
      <c r="C49" s="97" t="s">
        <v>575</v>
      </c>
      <c r="D49" s="198"/>
      <c r="E49" s="198"/>
      <c r="F49" s="198"/>
      <c r="G49" s="97" t="s">
        <v>576</v>
      </c>
      <c r="H49" s="97" t="s">
        <v>577</v>
      </c>
    </row>
    <row r="50" ht="12.0" customHeight="1">
      <c r="A50" s="134" t="s">
        <v>1276</v>
      </c>
      <c r="B50" s="97">
        <v>3.0</v>
      </c>
      <c r="C50" s="134" t="s">
        <v>579</v>
      </c>
      <c r="D50" s="198"/>
      <c r="E50" s="198"/>
      <c r="F50" s="198"/>
      <c r="G50" s="97" t="s">
        <v>580</v>
      </c>
      <c r="H50" s="97" t="s">
        <v>581</v>
      </c>
    </row>
    <row r="51" ht="12.0" customHeight="1">
      <c r="A51" s="122" t="s">
        <v>391</v>
      </c>
      <c r="B51" s="123"/>
      <c r="C51" s="122"/>
      <c r="D51" s="122"/>
      <c r="E51" s="187"/>
      <c r="F51" s="124"/>
      <c r="G51" s="123"/>
      <c r="H51" s="120"/>
    </row>
    <row r="52" ht="12.0" customHeight="1">
      <c r="A52" s="97" t="s">
        <v>1277</v>
      </c>
      <c r="B52" s="97">
        <v>1.0</v>
      </c>
      <c r="C52" s="97" t="s">
        <v>393</v>
      </c>
      <c r="D52" s="198"/>
      <c r="E52" s="198"/>
      <c r="F52" s="198"/>
      <c r="G52" s="97" t="s">
        <v>394</v>
      </c>
      <c r="H52" s="97"/>
    </row>
    <row r="53" ht="10.5" customHeight="1">
      <c r="A53" s="97" t="s">
        <v>1278</v>
      </c>
      <c r="B53" s="97">
        <v>1.0</v>
      </c>
      <c r="C53" s="97" t="s">
        <v>687</v>
      </c>
      <c r="D53" s="97"/>
      <c r="E53" s="97"/>
      <c r="F53" s="97"/>
      <c r="G53" s="97" t="s">
        <v>527</v>
      </c>
      <c r="H53" s="97"/>
    </row>
    <row r="54" ht="10.5" customHeight="1">
      <c r="A54" s="122" t="s">
        <v>531</v>
      </c>
      <c r="B54" s="122"/>
      <c r="C54" s="122"/>
      <c r="D54" s="122"/>
      <c r="E54" s="187"/>
      <c r="F54" s="122"/>
      <c r="G54" s="239"/>
      <c r="H54" s="120"/>
    </row>
    <row r="55" ht="12.0" customHeight="1">
      <c r="A55" s="125" t="s">
        <v>395</v>
      </c>
      <c r="B55" s="188"/>
      <c r="C55" s="125" t="s">
        <v>1279</v>
      </c>
      <c r="D55" s="125"/>
      <c r="E55" s="189"/>
      <c r="F55" s="142"/>
      <c r="G55" s="143"/>
      <c r="H55" s="125"/>
    </row>
  </sheetData>
  <mergeCells count="3">
    <mergeCell ref="A1:H1"/>
    <mergeCell ref="A3:G3"/>
    <mergeCell ref="A44:G44"/>
  </mergeCell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  <col customWidth="1" min="2" max="2" width="3.86"/>
    <col customWidth="1" min="3" max="3" width="31.43"/>
    <col customWidth="1" min="4" max="4" width="6.86"/>
    <col customWidth="1" min="5" max="5" width="7.57"/>
    <col customWidth="1" min="6" max="6" width="9.14"/>
    <col customWidth="1" min="7" max="7" width="21.43"/>
    <col customWidth="1" min="8" max="8" width="19.57"/>
  </cols>
  <sheetData>
    <row r="1" ht="18.0" customHeight="1">
      <c r="A1" s="197" t="s">
        <v>1280</v>
      </c>
    </row>
    <row r="2" ht="12.7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177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97" t="s">
        <v>1281</v>
      </c>
      <c r="B4" s="97">
        <v>16.0</v>
      </c>
      <c r="C4" s="97" t="s">
        <v>284</v>
      </c>
      <c r="D4" s="198"/>
      <c r="E4" s="97">
        <v>150.0</v>
      </c>
      <c r="F4" s="97" t="str">
        <f>"0603"</f>
        <v>0603</v>
      </c>
      <c r="G4" s="85" t="s">
        <v>1282</v>
      </c>
      <c r="H4" s="198"/>
    </row>
    <row r="5" ht="10.5" customHeight="1">
      <c r="A5" s="97" t="s">
        <v>553</v>
      </c>
      <c r="B5" s="97">
        <v>1.0</v>
      </c>
      <c r="C5" s="97" t="s">
        <v>1283</v>
      </c>
      <c r="D5" s="97"/>
      <c r="E5" s="97"/>
      <c r="F5" s="97" t="s">
        <v>660</v>
      </c>
      <c r="G5" s="97" t="s">
        <v>1284</v>
      </c>
      <c r="H5" s="97"/>
    </row>
    <row r="6" ht="12.0" customHeight="1">
      <c r="A6" s="97" t="s">
        <v>1092</v>
      </c>
      <c r="B6" s="97">
        <v>1.0</v>
      </c>
      <c r="C6" s="97" t="s">
        <v>331</v>
      </c>
      <c r="D6" s="97" t="s">
        <v>432</v>
      </c>
      <c r="E6" s="97" t="s">
        <v>333</v>
      </c>
      <c r="F6" s="97" t="str">
        <f t="shared" ref="F6:F7" si="1">"0603"</f>
        <v>0603</v>
      </c>
      <c r="G6" s="97" t="s">
        <v>116</v>
      </c>
      <c r="H6" s="97"/>
    </row>
    <row r="7" ht="12.0" customHeight="1">
      <c r="A7" s="97" t="s">
        <v>1285</v>
      </c>
      <c r="B7" s="97">
        <v>3.0</v>
      </c>
      <c r="C7" s="97" t="s">
        <v>331</v>
      </c>
      <c r="D7" s="97" t="s">
        <v>435</v>
      </c>
      <c r="E7" s="97" t="s">
        <v>861</v>
      </c>
      <c r="F7" s="97" t="str">
        <f t="shared" si="1"/>
        <v>0603</v>
      </c>
      <c r="G7" s="97" t="s">
        <v>862</v>
      </c>
      <c r="H7" s="97"/>
    </row>
    <row r="8" ht="12.75" customHeight="1">
      <c r="A8" s="117" t="s">
        <v>371</v>
      </c>
      <c r="B8" s="118"/>
      <c r="C8" s="118"/>
      <c r="D8" s="118"/>
      <c r="E8" s="118"/>
      <c r="F8" s="118"/>
      <c r="G8" s="119"/>
      <c r="H8" s="120"/>
    </row>
    <row r="9" ht="10.5" customHeight="1">
      <c r="A9" s="97" t="s">
        <v>1286</v>
      </c>
      <c r="B9" s="97">
        <v>8.0</v>
      </c>
      <c r="C9" s="97" t="s">
        <v>1100</v>
      </c>
      <c r="D9" s="97"/>
      <c r="E9" s="97"/>
      <c r="F9" s="97" t="s">
        <v>1101</v>
      </c>
      <c r="G9" s="97" t="s">
        <v>1102</v>
      </c>
      <c r="H9" s="134" t="s">
        <v>1103</v>
      </c>
    </row>
    <row r="10" ht="12.0" customHeight="1">
      <c r="A10" s="122" t="s">
        <v>391</v>
      </c>
      <c r="B10" s="123"/>
      <c r="C10" s="122"/>
      <c r="D10" s="122"/>
      <c r="E10" s="187"/>
      <c r="F10" s="124"/>
      <c r="G10" s="123"/>
      <c r="H10" s="120"/>
    </row>
    <row r="11" ht="10.5" customHeight="1">
      <c r="A11" s="97" t="s">
        <v>523</v>
      </c>
      <c r="B11" s="97">
        <v>1.0</v>
      </c>
      <c r="C11" s="97" t="s">
        <v>1221</v>
      </c>
      <c r="D11" s="97"/>
      <c r="E11" s="97"/>
      <c r="F11" s="97"/>
      <c r="G11" s="97" t="s">
        <v>587</v>
      </c>
      <c r="H11" s="97"/>
    </row>
    <row r="12" ht="10.5" customHeight="1">
      <c r="A12" s="122" t="s">
        <v>531</v>
      </c>
      <c r="B12" s="122"/>
      <c r="C12" s="122"/>
      <c r="D12" s="122"/>
      <c r="E12" s="187"/>
      <c r="F12" s="122"/>
      <c r="G12" s="239"/>
      <c r="H12" s="120"/>
    </row>
    <row r="13" ht="12.0" customHeight="1">
      <c r="A13" s="125" t="s">
        <v>395</v>
      </c>
      <c r="B13" s="188"/>
      <c r="C13" s="125" t="s">
        <v>1287</v>
      </c>
      <c r="D13" s="125"/>
      <c r="E13" s="189"/>
      <c r="F13" s="142"/>
      <c r="G13" s="143"/>
      <c r="H13" s="125"/>
    </row>
  </sheetData>
  <mergeCells count="3">
    <mergeCell ref="A1:H1"/>
    <mergeCell ref="A3:G3"/>
    <mergeCell ref="A8:G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0"/>
    <col customWidth="1" min="2" max="2" width="3.86"/>
    <col customWidth="1" min="3" max="3" width="31.43"/>
    <col customWidth="1" min="4" max="4" width="16.57"/>
    <col customWidth="1" min="5" max="5" width="5.43"/>
    <col customWidth="1" min="6" max="6" width="12.0"/>
    <col customWidth="1" min="7" max="7" width="21.71"/>
    <col customWidth="1" min="8" max="8" width="39.57"/>
  </cols>
  <sheetData>
    <row r="1" ht="36.0" customHeight="1">
      <c r="A1" s="144" t="s">
        <v>1288</v>
      </c>
    </row>
    <row r="2" ht="12.0" customHeight="1">
      <c r="A2" s="79" t="s">
        <v>106</v>
      </c>
      <c r="B2" s="81" t="s">
        <v>95</v>
      </c>
      <c r="C2" s="79" t="s">
        <v>96</v>
      </c>
      <c r="D2" s="79" t="s">
        <v>97</v>
      </c>
      <c r="E2" s="201" t="s">
        <v>98</v>
      </c>
      <c r="F2" s="80" t="s">
        <v>99</v>
      </c>
      <c r="G2" s="81" t="s">
        <v>107</v>
      </c>
      <c r="H2" s="79" t="s">
        <v>109</v>
      </c>
    </row>
    <row r="3" ht="12.75" customHeight="1">
      <c r="A3" s="128" t="s">
        <v>280</v>
      </c>
      <c r="B3" s="129"/>
      <c r="C3" s="129"/>
      <c r="D3" s="129"/>
      <c r="E3" s="129"/>
      <c r="F3" s="129"/>
      <c r="G3" s="130"/>
      <c r="H3" s="131"/>
    </row>
    <row r="4" ht="12.0" customHeight="1">
      <c r="A4" s="108" t="s">
        <v>1289</v>
      </c>
      <c r="B4" s="108">
        <v>8.0</v>
      </c>
      <c r="C4" s="108" t="s">
        <v>284</v>
      </c>
      <c r="D4" s="108"/>
      <c r="E4" s="112">
        <v>100.0</v>
      </c>
      <c r="F4" s="136" t="s">
        <v>593</v>
      </c>
      <c r="G4" s="138" t="s">
        <v>832</v>
      </c>
      <c r="H4" s="202"/>
    </row>
    <row r="5" ht="12.0" customHeight="1">
      <c r="A5" s="108" t="s">
        <v>954</v>
      </c>
      <c r="B5" s="108">
        <v>1.0</v>
      </c>
      <c r="C5" s="108" t="s">
        <v>284</v>
      </c>
      <c r="D5" s="108"/>
      <c r="E5" s="112">
        <v>270.0</v>
      </c>
      <c r="F5" s="136" t="s">
        <v>593</v>
      </c>
      <c r="G5" s="138" t="s">
        <v>1290</v>
      </c>
      <c r="H5" s="202"/>
    </row>
    <row r="6" ht="12.0" customHeight="1">
      <c r="A6" s="108" t="s">
        <v>1291</v>
      </c>
      <c r="B6" s="108">
        <v>1.0</v>
      </c>
      <c r="C6" s="108" t="s">
        <v>284</v>
      </c>
      <c r="D6" s="108"/>
      <c r="E6" s="203" t="s">
        <v>1292</v>
      </c>
      <c r="F6" s="136" t="s">
        <v>593</v>
      </c>
      <c r="G6" s="138" t="s">
        <v>1293</v>
      </c>
      <c r="H6" s="202"/>
    </row>
    <row r="7" ht="12.0" customHeight="1">
      <c r="A7" s="108" t="s">
        <v>1294</v>
      </c>
      <c r="B7" s="108">
        <v>1.0</v>
      </c>
      <c r="C7" s="108" t="s">
        <v>284</v>
      </c>
      <c r="D7" s="108"/>
      <c r="E7" s="203" t="s">
        <v>1292</v>
      </c>
      <c r="F7" s="136" t="s">
        <v>643</v>
      </c>
      <c r="G7" s="110" t="s">
        <v>1295</v>
      </c>
      <c r="H7" s="202"/>
    </row>
    <row r="8" ht="12.0" customHeight="1">
      <c r="A8" s="108" t="s">
        <v>1296</v>
      </c>
      <c r="B8" s="108">
        <v>3.0</v>
      </c>
      <c r="C8" s="108" t="s">
        <v>284</v>
      </c>
      <c r="D8" s="108"/>
      <c r="E8" s="112" t="s">
        <v>603</v>
      </c>
      <c r="F8" s="136" t="s">
        <v>593</v>
      </c>
      <c r="G8" s="138" t="s">
        <v>839</v>
      </c>
      <c r="H8" s="202"/>
    </row>
    <row r="9" ht="12.0" customHeight="1">
      <c r="A9" s="108" t="s">
        <v>1297</v>
      </c>
      <c r="B9" s="108">
        <v>2.0</v>
      </c>
      <c r="C9" s="108" t="s">
        <v>284</v>
      </c>
      <c r="D9" s="108"/>
      <c r="E9" s="112" t="s">
        <v>840</v>
      </c>
      <c r="F9" s="136" t="s">
        <v>593</v>
      </c>
      <c r="G9" s="138" t="s">
        <v>841</v>
      </c>
      <c r="H9" s="108"/>
    </row>
    <row r="10" ht="12.0" customHeight="1">
      <c r="A10" s="108" t="s">
        <v>1298</v>
      </c>
      <c r="B10" s="108">
        <v>7.0</v>
      </c>
      <c r="C10" s="108" t="s">
        <v>284</v>
      </c>
      <c r="D10" s="108"/>
      <c r="E10" s="203" t="s">
        <v>132</v>
      </c>
      <c r="F10" s="136" t="s">
        <v>593</v>
      </c>
      <c r="G10" s="138" t="s">
        <v>843</v>
      </c>
      <c r="H10" s="202"/>
    </row>
    <row r="11" ht="12.0" customHeight="1">
      <c r="A11" s="108" t="s">
        <v>617</v>
      </c>
      <c r="B11" s="108">
        <v>1.0</v>
      </c>
      <c r="C11" s="108" t="s">
        <v>284</v>
      </c>
      <c r="D11" s="108"/>
      <c r="E11" s="112" t="s">
        <v>775</v>
      </c>
      <c r="F11" s="136" t="s">
        <v>593</v>
      </c>
      <c r="G11" s="138" t="s">
        <v>1299</v>
      </c>
      <c r="H11" s="108"/>
    </row>
    <row r="12" ht="12.0" customHeight="1">
      <c r="A12" s="108" t="s">
        <v>784</v>
      </c>
      <c r="B12" s="108">
        <v>1.0</v>
      </c>
      <c r="C12" s="108" t="s">
        <v>284</v>
      </c>
      <c r="D12" s="108"/>
      <c r="E12" s="112" t="s">
        <v>1116</v>
      </c>
      <c r="F12" s="136" t="s">
        <v>593</v>
      </c>
      <c r="G12" s="108" t="s">
        <v>1300</v>
      </c>
      <c r="H12" s="108"/>
    </row>
    <row r="13" ht="12.0" customHeight="1">
      <c r="A13" s="108" t="s">
        <v>1301</v>
      </c>
      <c r="B13" s="108">
        <v>1.0</v>
      </c>
      <c r="C13" s="108" t="s">
        <v>284</v>
      </c>
      <c r="D13" s="108"/>
      <c r="E13" s="112" t="s">
        <v>1302</v>
      </c>
      <c r="F13" s="136" t="s">
        <v>593</v>
      </c>
      <c r="G13" s="108" t="s">
        <v>1303</v>
      </c>
      <c r="H13" s="108"/>
    </row>
    <row r="14" ht="12.0" customHeight="1">
      <c r="A14" s="108" t="s">
        <v>1304</v>
      </c>
      <c r="B14" s="108">
        <v>5.0</v>
      </c>
      <c r="C14" s="108" t="s">
        <v>284</v>
      </c>
      <c r="D14" s="108"/>
      <c r="E14" s="203" t="s">
        <v>613</v>
      </c>
      <c r="F14" s="136" t="s">
        <v>593</v>
      </c>
      <c r="G14" s="108" t="s">
        <v>845</v>
      </c>
      <c r="H14" s="202"/>
    </row>
    <row r="15" ht="12.0" customHeight="1">
      <c r="A15" s="108" t="s">
        <v>1305</v>
      </c>
      <c r="B15" s="108">
        <v>1.0</v>
      </c>
      <c r="C15" s="108" t="s">
        <v>284</v>
      </c>
      <c r="D15" s="108"/>
      <c r="E15" s="112" t="s">
        <v>410</v>
      </c>
      <c r="F15" s="136" t="s">
        <v>593</v>
      </c>
      <c r="G15" s="108" t="s">
        <v>1031</v>
      </c>
      <c r="H15" s="108"/>
    </row>
    <row r="16" ht="12.0" customHeight="1">
      <c r="A16" s="108" t="s">
        <v>1306</v>
      </c>
      <c r="B16" s="108">
        <v>16.0</v>
      </c>
      <c r="C16" s="108" t="s">
        <v>284</v>
      </c>
      <c r="D16" s="108"/>
      <c r="E16" s="112" t="s">
        <v>120</v>
      </c>
      <c r="F16" s="136" t="s">
        <v>593</v>
      </c>
      <c r="G16" s="108" t="s">
        <v>849</v>
      </c>
      <c r="H16" s="108"/>
    </row>
    <row r="17" ht="12.0" customHeight="1">
      <c r="A17" s="108" t="s">
        <v>1307</v>
      </c>
      <c r="B17" s="108">
        <v>3.0</v>
      </c>
      <c r="C17" s="108" t="s">
        <v>284</v>
      </c>
      <c r="D17" s="108"/>
      <c r="E17" s="112" t="s">
        <v>416</v>
      </c>
      <c r="F17" s="136" t="s">
        <v>593</v>
      </c>
      <c r="G17" s="108" t="s">
        <v>1308</v>
      </c>
      <c r="H17" s="108"/>
    </row>
    <row r="18" ht="12.0" customHeight="1">
      <c r="A18" s="108" t="s">
        <v>1309</v>
      </c>
      <c r="B18" s="108">
        <v>2.0</v>
      </c>
      <c r="C18" s="108" t="s">
        <v>284</v>
      </c>
      <c r="D18" s="108"/>
      <c r="E18" s="203" t="s">
        <v>945</v>
      </c>
      <c r="F18" s="136" t="s">
        <v>593</v>
      </c>
      <c r="G18" s="108" t="s">
        <v>1310</v>
      </c>
      <c r="H18" s="202"/>
    </row>
    <row r="19" ht="12.0" customHeight="1">
      <c r="A19" s="108" t="s">
        <v>1311</v>
      </c>
      <c r="B19" s="108">
        <v>1.0</v>
      </c>
      <c r="C19" s="108" t="s">
        <v>284</v>
      </c>
      <c r="D19" s="108"/>
      <c r="E19" s="203" t="s">
        <v>1078</v>
      </c>
      <c r="F19" s="136" t="s">
        <v>593</v>
      </c>
      <c r="G19" s="108" t="s">
        <v>1312</v>
      </c>
      <c r="H19" s="108"/>
    </row>
    <row r="20" ht="12.0" customHeight="1">
      <c r="A20" s="108" t="s">
        <v>1313</v>
      </c>
      <c r="B20" s="108">
        <v>2.0</v>
      </c>
      <c r="C20" s="108" t="s">
        <v>331</v>
      </c>
      <c r="D20" s="108"/>
      <c r="E20" s="203" t="s">
        <v>421</v>
      </c>
      <c r="F20" s="136" t="s">
        <v>593</v>
      </c>
      <c r="G20" s="138" t="s">
        <v>139</v>
      </c>
      <c r="H20" s="108"/>
    </row>
    <row r="21" ht="12.0" customHeight="1">
      <c r="A21" s="108" t="s">
        <v>1314</v>
      </c>
      <c r="B21" s="108">
        <v>4.0</v>
      </c>
      <c r="C21" s="108" t="s">
        <v>331</v>
      </c>
      <c r="D21" s="108" t="s">
        <v>1041</v>
      </c>
      <c r="E21" s="136" t="s">
        <v>632</v>
      </c>
      <c r="F21" s="136" t="s">
        <v>593</v>
      </c>
      <c r="G21" s="108" t="s">
        <v>633</v>
      </c>
      <c r="H21" s="108"/>
    </row>
    <row r="22" ht="12.0" customHeight="1">
      <c r="A22" s="108" t="s">
        <v>1315</v>
      </c>
      <c r="B22" s="108">
        <v>3.0</v>
      </c>
      <c r="C22" s="108" t="s">
        <v>331</v>
      </c>
      <c r="D22" s="108" t="s">
        <v>423</v>
      </c>
      <c r="E22" s="136" t="s">
        <v>429</v>
      </c>
      <c r="F22" s="136" t="s">
        <v>593</v>
      </c>
      <c r="G22" s="138" t="s">
        <v>430</v>
      </c>
      <c r="H22" s="202"/>
    </row>
    <row r="23" ht="12.0" customHeight="1">
      <c r="A23" s="108" t="s">
        <v>1316</v>
      </c>
      <c r="B23" s="108">
        <v>3.0</v>
      </c>
      <c r="C23" s="108" t="s">
        <v>331</v>
      </c>
      <c r="D23" s="108" t="s">
        <v>790</v>
      </c>
      <c r="E23" s="136" t="s">
        <v>908</v>
      </c>
      <c r="F23" s="136" t="s">
        <v>593</v>
      </c>
      <c r="G23" s="138" t="s">
        <v>909</v>
      </c>
      <c r="H23" s="202"/>
    </row>
    <row r="24" ht="12.0" customHeight="1">
      <c r="A24" s="108" t="s">
        <v>1317</v>
      </c>
      <c r="B24" s="108">
        <v>13.0</v>
      </c>
      <c r="C24" s="108" t="s">
        <v>331</v>
      </c>
      <c r="D24" s="108" t="s">
        <v>432</v>
      </c>
      <c r="E24" s="112" t="s">
        <v>333</v>
      </c>
      <c r="F24" s="136" t="s">
        <v>593</v>
      </c>
      <c r="G24" s="108" t="s">
        <v>116</v>
      </c>
      <c r="H24" s="108"/>
    </row>
    <row r="25" ht="12.0" customHeight="1">
      <c r="A25" s="108" t="s">
        <v>1318</v>
      </c>
      <c r="B25" s="108">
        <v>2.0</v>
      </c>
      <c r="C25" s="108" t="s">
        <v>331</v>
      </c>
      <c r="D25" s="108" t="s">
        <v>432</v>
      </c>
      <c r="E25" s="112" t="s">
        <v>436</v>
      </c>
      <c r="F25" s="136" t="s">
        <v>593</v>
      </c>
      <c r="G25" s="108" t="s">
        <v>437</v>
      </c>
      <c r="H25" s="202"/>
    </row>
    <row r="26" ht="12.0" customHeight="1">
      <c r="A26" s="108" t="s">
        <v>1319</v>
      </c>
      <c r="B26" s="108">
        <v>2.0</v>
      </c>
      <c r="C26" s="108" t="s">
        <v>331</v>
      </c>
      <c r="D26" s="108" t="s">
        <v>435</v>
      </c>
      <c r="E26" s="112" t="s">
        <v>861</v>
      </c>
      <c r="F26" s="136" t="s">
        <v>593</v>
      </c>
      <c r="G26" s="108" t="s">
        <v>862</v>
      </c>
      <c r="H26" s="108"/>
    </row>
    <row r="27" ht="12.0" customHeight="1">
      <c r="A27" s="108" t="s">
        <v>1320</v>
      </c>
      <c r="B27" s="108">
        <v>3.0</v>
      </c>
      <c r="C27" s="108" t="s">
        <v>336</v>
      </c>
      <c r="D27" s="108" t="s">
        <v>332</v>
      </c>
      <c r="E27" s="203" t="s">
        <v>337</v>
      </c>
      <c r="F27" s="136" t="s">
        <v>338</v>
      </c>
      <c r="G27" s="138" t="s">
        <v>339</v>
      </c>
      <c r="H27" s="108" t="s">
        <v>340</v>
      </c>
    </row>
    <row r="28" ht="12.0" customHeight="1">
      <c r="A28" s="108" t="s">
        <v>1321</v>
      </c>
      <c r="B28" s="108">
        <v>2.0</v>
      </c>
      <c r="C28" s="108" t="s">
        <v>336</v>
      </c>
      <c r="D28" s="108" t="s">
        <v>332</v>
      </c>
      <c r="E28" s="136" t="s">
        <v>451</v>
      </c>
      <c r="F28" s="136" t="s">
        <v>452</v>
      </c>
      <c r="G28" s="138" t="s">
        <v>160</v>
      </c>
      <c r="H28" s="108" t="s">
        <v>453</v>
      </c>
    </row>
    <row r="29" ht="12.0" customHeight="1">
      <c r="A29" s="108" t="s">
        <v>341</v>
      </c>
      <c r="B29" s="108">
        <v>2.0</v>
      </c>
      <c r="C29" s="108" t="s">
        <v>342</v>
      </c>
      <c r="D29" s="108"/>
      <c r="E29" s="203"/>
      <c r="F29" s="108" t="s">
        <v>343</v>
      </c>
      <c r="G29" s="108" t="s">
        <v>344</v>
      </c>
      <c r="H29" s="108" t="s">
        <v>345</v>
      </c>
    </row>
    <row r="30" ht="12.0" customHeight="1">
      <c r="A30" s="108" t="s">
        <v>984</v>
      </c>
      <c r="B30" s="108">
        <v>2.0</v>
      </c>
      <c r="C30" s="108" t="s">
        <v>474</v>
      </c>
      <c r="D30" s="108"/>
      <c r="E30" s="203" t="s">
        <v>475</v>
      </c>
      <c r="F30" s="136" t="s">
        <v>562</v>
      </c>
      <c r="G30" s="138" t="s">
        <v>221</v>
      </c>
      <c r="H30" s="108" t="s">
        <v>731</v>
      </c>
    </row>
    <row r="31" ht="12.0" customHeight="1">
      <c r="A31" s="108" t="s">
        <v>560</v>
      </c>
      <c r="B31" s="108">
        <v>1.0</v>
      </c>
      <c r="C31" s="108" t="s">
        <v>362</v>
      </c>
      <c r="D31" s="108" t="s">
        <v>459</v>
      </c>
      <c r="E31" s="203" t="s">
        <v>460</v>
      </c>
      <c r="F31" s="136" t="s">
        <v>190</v>
      </c>
      <c r="G31" s="138" t="s">
        <v>461</v>
      </c>
      <c r="H31" s="108" t="s">
        <v>462</v>
      </c>
    </row>
    <row r="32" ht="12.0" customHeight="1">
      <c r="A32" s="108" t="s">
        <v>479</v>
      </c>
      <c r="B32" s="108">
        <v>1.0</v>
      </c>
      <c r="C32" s="108" t="s">
        <v>362</v>
      </c>
      <c r="D32" s="108" t="s">
        <v>459</v>
      </c>
      <c r="E32" s="203" t="s">
        <v>364</v>
      </c>
      <c r="F32" s="136" t="s">
        <v>190</v>
      </c>
      <c r="G32" s="138" t="s">
        <v>484</v>
      </c>
      <c r="H32" s="108" t="s">
        <v>485</v>
      </c>
    </row>
    <row r="33" ht="12.0" customHeight="1">
      <c r="A33" s="108" t="s">
        <v>463</v>
      </c>
      <c r="B33" s="108">
        <v>1.0</v>
      </c>
      <c r="C33" s="108" t="s">
        <v>1046</v>
      </c>
      <c r="D33" s="108"/>
      <c r="E33" s="136"/>
      <c r="F33" s="136" t="s">
        <v>470</v>
      </c>
      <c r="G33" s="138" t="s">
        <v>1047</v>
      </c>
      <c r="H33" s="108" t="s">
        <v>1048</v>
      </c>
    </row>
    <row r="34" ht="12.0" customHeight="1">
      <c r="A34" s="108" t="s">
        <v>1150</v>
      </c>
      <c r="B34" s="108">
        <v>2.0</v>
      </c>
      <c r="C34" s="108" t="s">
        <v>491</v>
      </c>
      <c r="D34" s="108"/>
      <c r="E34" s="112"/>
      <c r="F34" s="108" t="s">
        <v>492</v>
      </c>
      <c r="G34" s="108" t="s">
        <v>493</v>
      </c>
      <c r="H34" s="108" t="s">
        <v>874</v>
      </c>
    </row>
    <row r="35" ht="12.0" customHeight="1">
      <c r="A35" s="108" t="s">
        <v>483</v>
      </c>
      <c r="B35" s="108">
        <v>1.0</v>
      </c>
      <c r="C35" s="108" t="s">
        <v>557</v>
      </c>
      <c r="D35" s="108"/>
      <c r="E35" s="108"/>
      <c r="F35" s="108" t="s">
        <v>492</v>
      </c>
      <c r="G35" s="108" t="s">
        <v>558</v>
      </c>
      <c r="H35" s="108" t="s">
        <v>559</v>
      </c>
    </row>
    <row r="36" ht="12.0" customHeight="1">
      <c r="A36" s="108" t="s">
        <v>486</v>
      </c>
      <c r="B36" s="108">
        <v>1.0</v>
      </c>
      <c r="C36" s="204" t="s">
        <v>480</v>
      </c>
      <c r="D36" s="108"/>
      <c r="E36" s="112"/>
      <c r="F36" s="108" t="s">
        <v>465</v>
      </c>
      <c r="G36" s="108" t="s">
        <v>481</v>
      </c>
      <c r="H36" s="108" t="s">
        <v>482</v>
      </c>
    </row>
    <row r="37" ht="12.0" customHeight="1">
      <c r="A37" s="108" t="s">
        <v>1322</v>
      </c>
      <c r="B37" s="108">
        <v>5.0</v>
      </c>
      <c r="C37" s="108" t="s">
        <v>505</v>
      </c>
      <c r="D37" s="108"/>
      <c r="E37" s="203"/>
      <c r="F37" s="136" t="s">
        <v>190</v>
      </c>
      <c r="G37" s="138" t="s">
        <v>506</v>
      </c>
      <c r="H37" s="108" t="s">
        <v>507</v>
      </c>
    </row>
    <row r="38" ht="12.0" customHeight="1">
      <c r="A38" s="108" t="s">
        <v>808</v>
      </c>
      <c r="B38" s="108">
        <v>1.0</v>
      </c>
      <c r="C38" s="108" t="s">
        <v>496</v>
      </c>
      <c r="D38" s="108"/>
      <c r="E38" s="203"/>
      <c r="F38" s="108" t="s">
        <v>497</v>
      </c>
      <c r="G38" s="138" t="s">
        <v>180</v>
      </c>
      <c r="H38" s="108" t="s">
        <v>498</v>
      </c>
    </row>
    <row r="39" ht="12.0" customHeight="1">
      <c r="A39" s="108" t="s">
        <v>574</v>
      </c>
      <c r="B39" s="108">
        <v>2.0</v>
      </c>
      <c r="C39" s="108" t="s">
        <v>500</v>
      </c>
      <c r="D39" s="108"/>
      <c r="E39" s="136"/>
      <c r="F39" s="136" t="s">
        <v>501</v>
      </c>
      <c r="G39" s="138" t="s">
        <v>502</v>
      </c>
      <c r="H39" s="108" t="s">
        <v>503</v>
      </c>
    </row>
    <row r="40" ht="12.0" customHeight="1">
      <c r="A40" s="108" t="s">
        <v>508</v>
      </c>
      <c r="B40" s="108">
        <v>1.0</v>
      </c>
      <c r="C40" s="108" t="s">
        <v>509</v>
      </c>
      <c r="D40" s="108"/>
      <c r="E40" s="136"/>
      <c r="F40" s="136" t="s">
        <v>510</v>
      </c>
      <c r="G40" s="138" t="s">
        <v>511</v>
      </c>
      <c r="H40" s="108" t="s">
        <v>512</v>
      </c>
    </row>
    <row r="41" ht="12.75" customHeight="1">
      <c r="A41" s="117" t="s">
        <v>371</v>
      </c>
      <c r="B41" s="118"/>
      <c r="C41" s="118"/>
      <c r="D41" s="118"/>
      <c r="E41" s="118"/>
      <c r="F41" s="118"/>
      <c r="G41" s="119"/>
      <c r="H41" s="120"/>
    </row>
    <row r="42" ht="12.0" customHeight="1">
      <c r="A42" s="93" t="s">
        <v>1323</v>
      </c>
      <c r="B42" s="93">
        <v>13.0</v>
      </c>
      <c r="C42" s="93" t="s">
        <v>373</v>
      </c>
      <c r="D42" s="93"/>
      <c r="E42" s="235"/>
      <c r="F42" s="236"/>
      <c r="G42" s="77"/>
      <c r="H42" s="93" t="s">
        <v>374</v>
      </c>
    </row>
    <row r="43" ht="12.0" customHeight="1">
      <c r="A43" s="93" t="s">
        <v>999</v>
      </c>
      <c r="B43" s="93">
        <v>3.0</v>
      </c>
      <c r="C43" s="93" t="s">
        <v>1100</v>
      </c>
      <c r="D43" s="93"/>
      <c r="E43" s="237"/>
      <c r="F43" s="93" t="s">
        <v>1101</v>
      </c>
      <c r="G43" s="93" t="s">
        <v>1102</v>
      </c>
      <c r="H43" s="93" t="s">
        <v>1103</v>
      </c>
    </row>
    <row r="44" ht="12.0" customHeight="1">
      <c r="A44" s="93" t="s">
        <v>888</v>
      </c>
      <c r="B44" s="93">
        <v>2.0</v>
      </c>
      <c r="C44" s="93" t="s">
        <v>889</v>
      </c>
      <c r="D44" s="93"/>
      <c r="E44" s="235"/>
      <c r="F44" s="236"/>
      <c r="G44" s="77" t="s">
        <v>890</v>
      </c>
      <c r="H44" s="93" t="s">
        <v>891</v>
      </c>
    </row>
    <row r="45" ht="12.0" customHeight="1">
      <c r="A45" s="93" t="s">
        <v>1324</v>
      </c>
      <c r="B45" s="93">
        <v>4.0</v>
      </c>
      <c r="C45" s="93" t="s">
        <v>389</v>
      </c>
      <c r="D45" s="93"/>
      <c r="E45" s="236"/>
      <c r="F45" s="236"/>
      <c r="G45" s="77"/>
      <c r="H45" s="258" t="s">
        <v>390</v>
      </c>
    </row>
    <row r="46" ht="12.0" customHeight="1">
      <c r="A46" s="93" t="s">
        <v>1325</v>
      </c>
      <c r="B46" s="93">
        <v>1.0</v>
      </c>
      <c r="C46" s="93" t="s">
        <v>878</v>
      </c>
      <c r="D46" s="93"/>
      <c r="E46" s="236"/>
      <c r="F46" s="236"/>
      <c r="G46" s="77"/>
      <c r="H46" s="258" t="s">
        <v>390</v>
      </c>
    </row>
    <row r="47" ht="12.0" customHeight="1">
      <c r="A47" s="93" t="s">
        <v>1326</v>
      </c>
      <c r="B47" s="93">
        <v>1.0</v>
      </c>
      <c r="C47" s="93" t="s">
        <v>1327</v>
      </c>
      <c r="D47" s="93"/>
      <c r="E47" s="236" t="s">
        <v>1328</v>
      </c>
      <c r="F47" s="236"/>
      <c r="G47" s="77" t="s">
        <v>1329</v>
      </c>
      <c r="H47" s="93" t="s">
        <v>1330</v>
      </c>
    </row>
    <row r="48" ht="12.0" customHeight="1">
      <c r="A48" s="122" t="s">
        <v>391</v>
      </c>
      <c r="B48" s="123"/>
      <c r="C48" s="122"/>
      <c r="D48" s="122"/>
      <c r="E48" s="187"/>
      <c r="F48" s="124"/>
      <c r="G48" s="123"/>
      <c r="H48" s="120"/>
    </row>
    <row r="49" ht="12.0" customHeight="1">
      <c r="A49" s="108" t="s">
        <v>523</v>
      </c>
      <c r="B49" s="108">
        <v>1.0</v>
      </c>
      <c r="C49" s="108" t="s">
        <v>393</v>
      </c>
      <c r="D49" s="108"/>
      <c r="E49" s="112"/>
      <c r="F49" s="108"/>
      <c r="G49" s="108" t="s">
        <v>394</v>
      </c>
      <c r="H49" s="108"/>
    </row>
    <row r="50" ht="12.0" customHeight="1">
      <c r="A50" s="108" t="s">
        <v>525</v>
      </c>
      <c r="B50" s="108">
        <v>1.0</v>
      </c>
      <c r="C50" s="108" t="s">
        <v>526</v>
      </c>
      <c r="D50" s="108"/>
      <c r="E50" s="203"/>
      <c r="F50" s="136"/>
      <c r="G50" s="138" t="s">
        <v>527</v>
      </c>
      <c r="H50" s="108"/>
    </row>
    <row r="51" ht="12.0" customHeight="1">
      <c r="A51" s="108" t="s">
        <v>528</v>
      </c>
      <c r="B51" s="108">
        <v>1.0</v>
      </c>
      <c r="C51" s="108" t="s">
        <v>684</v>
      </c>
      <c r="D51" s="108"/>
      <c r="E51" s="203"/>
      <c r="F51" s="136"/>
      <c r="G51" s="138" t="s">
        <v>530</v>
      </c>
      <c r="H51" s="108"/>
    </row>
    <row r="52" ht="12.0" customHeight="1">
      <c r="A52" s="122" t="s">
        <v>531</v>
      </c>
      <c r="B52" s="122"/>
      <c r="C52" s="122"/>
      <c r="D52" s="122"/>
      <c r="E52" s="187"/>
      <c r="F52" s="122"/>
      <c r="G52" s="239"/>
      <c r="H52" s="120"/>
    </row>
    <row r="53" ht="12.0" customHeight="1">
      <c r="A53" s="125" t="s">
        <v>395</v>
      </c>
      <c r="B53" s="125"/>
      <c r="C53" s="125" t="s">
        <v>1331</v>
      </c>
      <c r="D53" s="125"/>
      <c r="E53" s="240"/>
      <c r="F53" s="125"/>
      <c r="G53" s="125"/>
      <c r="H53" s="125"/>
    </row>
  </sheetData>
  <mergeCells count="3">
    <mergeCell ref="A1:H1"/>
    <mergeCell ref="A3:G3"/>
    <mergeCell ref="A41:G41"/>
  </mergeCells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14"/>
    <col customWidth="1" min="2" max="2" width="3.86"/>
    <col customWidth="1" min="3" max="3" width="31.43"/>
    <col customWidth="1" min="4" max="4" width="15.14"/>
    <col customWidth="1" min="5" max="5" width="5.43"/>
    <col customWidth="1" min="6" max="6" width="10.43"/>
    <col customWidth="1" min="7" max="7" width="22.29"/>
    <col customWidth="1" min="8" max="8" width="35.71"/>
  </cols>
  <sheetData>
    <row r="1" ht="30.0" customHeight="1">
      <c r="A1" s="144" t="s">
        <v>1332</v>
      </c>
    </row>
    <row r="2" ht="12.0" customHeight="1">
      <c r="A2" s="145" t="s">
        <v>106</v>
      </c>
      <c r="B2" s="145" t="s">
        <v>95</v>
      </c>
      <c r="C2" s="145" t="s">
        <v>96</v>
      </c>
      <c r="D2" s="145" t="s">
        <v>97</v>
      </c>
      <c r="E2" s="222" t="s">
        <v>98</v>
      </c>
      <c r="F2" s="145" t="s">
        <v>99</v>
      </c>
      <c r="G2" s="148" t="s">
        <v>107</v>
      </c>
      <c r="H2" s="223" t="s">
        <v>109</v>
      </c>
    </row>
    <row r="3" ht="12.0" customHeight="1">
      <c r="A3" s="149" t="s">
        <v>280</v>
      </c>
      <c r="B3" s="150"/>
      <c r="C3" s="150"/>
      <c r="D3" s="150"/>
      <c r="E3" s="150"/>
      <c r="F3" s="150"/>
      <c r="G3" s="151"/>
      <c r="H3" s="224"/>
    </row>
    <row r="4" ht="10.5" customHeight="1">
      <c r="A4" s="113" t="s">
        <v>694</v>
      </c>
      <c r="B4" s="113">
        <v>1.0</v>
      </c>
      <c r="C4" s="113" t="s">
        <v>399</v>
      </c>
      <c r="D4" s="115"/>
      <c r="E4" s="113">
        <v>4.7</v>
      </c>
      <c r="F4" s="113" t="str">
        <f>"1206"</f>
        <v>1206</v>
      </c>
      <c r="G4" s="113" t="s">
        <v>400</v>
      </c>
      <c r="H4" s="115"/>
    </row>
    <row r="5" ht="10.5" customHeight="1">
      <c r="A5" s="113" t="s">
        <v>1333</v>
      </c>
      <c r="B5" s="113">
        <v>3.0</v>
      </c>
      <c r="C5" s="113" t="s">
        <v>284</v>
      </c>
      <c r="D5" s="115"/>
      <c r="E5" s="113">
        <v>100.0</v>
      </c>
      <c r="F5" s="113" t="str">
        <f t="shared" ref="F5:F17" si="1">"0603"</f>
        <v>0603</v>
      </c>
      <c r="G5" s="113" t="s">
        <v>1334</v>
      </c>
      <c r="H5" s="115"/>
    </row>
    <row r="6" ht="10.5" customHeight="1">
      <c r="A6" s="113" t="s">
        <v>1335</v>
      </c>
      <c r="B6" s="113">
        <v>2.0</v>
      </c>
      <c r="C6" s="113" t="s">
        <v>284</v>
      </c>
      <c r="D6" s="115"/>
      <c r="E6" s="113">
        <v>180.0</v>
      </c>
      <c r="F6" s="113" t="str">
        <f t="shared" si="1"/>
        <v>0603</v>
      </c>
      <c r="G6" s="113" t="s">
        <v>1063</v>
      </c>
      <c r="H6" s="115"/>
    </row>
    <row r="7" ht="10.5" customHeight="1">
      <c r="A7" s="113" t="s">
        <v>1336</v>
      </c>
      <c r="B7" s="113">
        <v>2.0</v>
      </c>
      <c r="C7" s="113" t="s">
        <v>284</v>
      </c>
      <c r="D7" s="115"/>
      <c r="E7" s="113" t="s">
        <v>598</v>
      </c>
      <c r="F7" s="113" t="str">
        <f t="shared" si="1"/>
        <v>0603</v>
      </c>
      <c r="G7" s="113" t="s">
        <v>537</v>
      </c>
      <c r="H7" s="115"/>
    </row>
    <row r="8" ht="10.5" customHeight="1">
      <c r="A8" s="113" t="s">
        <v>1337</v>
      </c>
      <c r="B8" s="113">
        <v>2.0</v>
      </c>
      <c r="C8" s="113" t="s">
        <v>284</v>
      </c>
      <c r="D8" s="115"/>
      <c r="E8" s="113" t="s">
        <v>600</v>
      </c>
      <c r="F8" s="113" t="str">
        <f t="shared" si="1"/>
        <v>0603</v>
      </c>
      <c r="G8" s="113" t="s">
        <v>601</v>
      </c>
      <c r="H8" s="115"/>
    </row>
    <row r="9" ht="10.5" customHeight="1">
      <c r="A9" s="113" t="s">
        <v>1325</v>
      </c>
      <c r="B9" s="113">
        <v>1.0</v>
      </c>
      <c r="C9" s="113" t="s">
        <v>284</v>
      </c>
      <c r="D9" s="115"/>
      <c r="E9" s="113" t="s">
        <v>840</v>
      </c>
      <c r="F9" s="113" t="str">
        <f t="shared" si="1"/>
        <v>0603</v>
      </c>
      <c r="G9" s="113" t="s">
        <v>168</v>
      </c>
      <c r="H9" s="115"/>
    </row>
    <row r="10" ht="10.5" customHeight="1">
      <c r="A10" s="113" t="s">
        <v>1338</v>
      </c>
      <c r="B10" s="113">
        <v>4.0</v>
      </c>
      <c r="C10" s="113" t="s">
        <v>284</v>
      </c>
      <c r="D10" s="115"/>
      <c r="E10" s="113" t="s">
        <v>771</v>
      </c>
      <c r="F10" s="113" t="str">
        <f t="shared" si="1"/>
        <v>0603</v>
      </c>
      <c r="G10" s="113" t="s">
        <v>772</v>
      </c>
      <c r="H10" s="115"/>
    </row>
    <row r="11" ht="10.5" customHeight="1">
      <c r="A11" s="113" t="s">
        <v>1339</v>
      </c>
      <c r="B11" s="113">
        <v>2.0</v>
      </c>
      <c r="C11" s="113" t="s">
        <v>284</v>
      </c>
      <c r="D11" s="115"/>
      <c r="E11" s="113" t="s">
        <v>132</v>
      </c>
      <c r="F11" s="113" t="str">
        <f t="shared" si="1"/>
        <v>0603</v>
      </c>
      <c r="G11" s="113" t="s">
        <v>539</v>
      </c>
      <c r="H11" s="225"/>
    </row>
    <row r="12" ht="10.5" customHeight="1">
      <c r="A12" s="113" t="s">
        <v>1340</v>
      </c>
      <c r="B12" s="113">
        <v>2.0</v>
      </c>
      <c r="C12" s="113" t="s">
        <v>284</v>
      </c>
      <c r="D12" s="115"/>
      <c r="E12" s="113" t="s">
        <v>613</v>
      </c>
      <c r="F12" s="113" t="str">
        <f t="shared" si="1"/>
        <v>0603</v>
      </c>
      <c r="G12" s="113" t="s">
        <v>614</v>
      </c>
      <c r="H12" s="225"/>
    </row>
    <row r="13" ht="10.5" customHeight="1">
      <c r="A13" s="113" t="s">
        <v>1341</v>
      </c>
      <c r="B13" s="113">
        <v>4.0</v>
      </c>
      <c r="C13" s="113" t="s">
        <v>284</v>
      </c>
      <c r="D13" s="115"/>
      <c r="E13" s="113" t="s">
        <v>778</v>
      </c>
      <c r="F13" s="113" t="str">
        <f t="shared" si="1"/>
        <v>0603</v>
      </c>
      <c r="G13" s="113" t="s">
        <v>779</v>
      </c>
      <c r="H13" s="225"/>
    </row>
    <row r="14" ht="10.5" customHeight="1">
      <c r="A14" s="113" t="s">
        <v>1342</v>
      </c>
      <c r="B14" s="113">
        <v>4.0</v>
      </c>
      <c r="C14" s="113" t="s">
        <v>284</v>
      </c>
      <c r="D14" s="115"/>
      <c r="E14" s="113" t="s">
        <v>618</v>
      </c>
      <c r="F14" s="113" t="str">
        <f t="shared" si="1"/>
        <v>0603</v>
      </c>
      <c r="G14" s="113" t="s">
        <v>619</v>
      </c>
      <c r="H14" s="225"/>
    </row>
    <row r="15" ht="10.5" customHeight="1">
      <c r="A15" s="113" t="s">
        <v>1343</v>
      </c>
      <c r="B15" s="113">
        <v>4.0</v>
      </c>
      <c r="C15" s="113" t="s">
        <v>284</v>
      </c>
      <c r="D15" s="115"/>
      <c r="E15" s="113" t="s">
        <v>120</v>
      </c>
      <c r="F15" s="113" t="str">
        <f t="shared" si="1"/>
        <v>0603</v>
      </c>
      <c r="G15" s="113" t="s">
        <v>312</v>
      </c>
      <c r="H15" s="225"/>
    </row>
    <row r="16" ht="10.5" customHeight="1">
      <c r="A16" s="113" t="s">
        <v>1344</v>
      </c>
      <c r="B16" s="113">
        <v>2.0</v>
      </c>
      <c r="C16" s="113" t="s">
        <v>284</v>
      </c>
      <c r="D16" s="115"/>
      <c r="E16" s="113" t="s">
        <v>416</v>
      </c>
      <c r="F16" s="113" t="str">
        <f t="shared" si="1"/>
        <v>0603</v>
      </c>
      <c r="G16" s="113" t="s">
        <v>783</v>
      </c>
      <c r="H16" s="225"/>
    </row>
    <row r="17" ht="10.5" customHeight="1">
      <c r="A17" s="113" t="s">
        <v>1345</v>
      </c>
      <c r="B17" s="113">
        <v>4.0</v>
      </c>
      <c r="C17" s="113" t="s">
        <v>284</v>
      </c>
      <c r="D17" s="115"/>
      <c r="E17" s="113" t="s">
        <v>419</v>
      </c>
      <c r="F17" s="113" t="str">
        <f t="shared" si="1"/>
        <v>0603</v>
      </c>
      <c r="G17" s="113" t="s">
        <v>627</v>
      </c>
      <c r="H17" s="115"/>
    </row>
    <row r="18" ht="10.5" customHeight="1">
      <c r="A18" s="113" t="s">
        <v>599</v>
      </c>
      <c r="B18" s="113">
        <v>2.0</v>
      </c>
      <c r="C18" s="259" t="s">
        <v>282</v>
      </c>
      <c r="H18" s="115"/>
    </row>
    <row r="19" ht="10.5" customHeight="1">
      <c r="A19" s="113" t="s">
        <v>1346</v>
      </c>
      <c r="B19" s="113">
        <v>6.0</v>
      </c>
      <c r="C19" s="113" t="s">
        <v>331</v>
      </c>
      <c r="D19" s="115"/>
      <c r="E19" s="113" t="s">
        <v>421</v>
      </c>
      <c r="F19" s="113" t="str">
        <f t="shared" ref="F19:F24" si="2">"0603"</f>
        <v>0603</v>
      </c>
      <c r="G19" s="113" t="s">
        <v>139</v>
      </c>
      <c r="H19" s="113" t="s">
        <v>629</v>
      </c>
    </row>
    <row r="20" ht="10.5" customHeight="1">
      <c r="A20" s="113" t="s">
        <v>1347</v>
      </c>
      <c r="B20" s="113">
        <v>2.0</v>
      </c>
      <c r="C20" s="113" t="s">
        <v>331</v>
      </c>
      <c r="D20" s="113" t="s">
        <v>631</v>
      </c>
      <c r="E20" s="113" t="s">
        <v>632</v>
      </c>
      <c r="F20" s="113" t="str">
        <f t="shared" si="2"/>
        <v>0603</v>
      </c>
      <c r="G20" s="113" t="s">
        <v>633</v>
      </c>
      <c r="H20" s="113" t="s">
        <v>788</v>
      </c>
    </row>
    <row r="21" ht="10.5" customHeight="1">
      <c r="A21" s="113" t="s">
        <v>1348</v>
      </c>
      <c r="B21" s="113">
        <v>4.0</v>
      </c>
      <c r="C21" s="113" t="s">
        <v>331</v>
      </c>
      <c r="D21" s="113" t="s">
        <v>790</v>
      </c>
      <c r="E21" s="113" t="s">
        <v>1349</v>
      </c>
      <c r="F21" s="113" t="str">
        <f t="shared" si="2"/>
        <v>0603</v>
      </c>
      <c r="G21" s="113" t="s">
        <v>1350</v>
      </c>
      <c r="H21" s="113" t="s">
        <v>1351</v>
      </c>
    </row>
    <row r="22" ht="10.5" customHeight="1">
      <c r="A22" s="113" t="s">
        <v>1352</v>
      </c>
      <c r="B22" s="113">
        <v>18.0</v>
      </c>
      <c r="C22" s="113" t="s">
        <v>331</v>
      </c>
      <c r="D22" s="113" t="s">
        <v>432</v>
      </c>
      <c r="E22" s="113" t="s">
        <v>333</v>
      </c>
      <c r="F22" s="113" t="str">
        <f t="shared" si="2"/>
        <v>0603</v>
      </c>
      <c r="G22" s="113" t="s">
        <v>116</v>
      </c>
      <c r="H22" s="113" t="s">
        <v>334</v>
      </c>
    </row>
    <row r="23" ht="10.5" customHeight="1">
      <c r="A23" s="113" t="s">
        <v>1353</v>
      </c>
      <c r="B23" s="113">
        <v>2.0</v>
      </c>
      <c r="C23" s="113" t="s">
        <v>331</v>
      </c>
      <c r="D23" s="113" t="s">
        <v>439</v>
      </c>
      <c r="E23" s="113" t="s">
        <v>440</v>
      </c>
      <c r="F23" s="113" t="str">
        <f t="shared" si="2"/>
        <v>0603</v>
      </c>
      <c r="G23" s="113" t="s">
        <v>441</v>
      </c>
      <c r="H23" s="113" t="s">
        <v>640</v>
      </c>
    </row>
    <row r="24" ht="10.5" customHeight="1">
      <c r="A24" s="113" t="s">
        <v>1354</v>
      </c>
      <c r="B24" s="113">
        <v>2.0</v>
      </c>
      <c r="C24" s="113" t="s">
        <v>331</v>
      </c>
      <c r="D24" s="113" t="s">
        <v>439</v>
      </c>
      <c r="E24" s="113" t="s">
        <v>642</v>
      </c>
      <c r="F24" s="113" t="str">
        <f t="shared" si="2"/>
        <v>0603</v>
      </c>
      <c r="G24" s="113" t="s">
        <v>644</v>
      </c>
      <c r="H24" s="113" t="s">
        <v>645</v>
      </c>
    </row>
    <row r="25" ht="10.5" customHeight="1">
      <c r="A25" s="113" t="s">
        <v>1355</v>
      </c>
      <c r="B25" s="113">
        <v>7.0</v>
      </c>
      <c r="C25" s="113" t="s">
        <v>331</v>
      </c>
      <c r="D25" s="113" t="s">
        <v>439</v>
      </c>
      <c r="E25" s="113" t="s">
        <v>444</v>
      </c>
      <c r="F25" s="113" t="s">
        <v>650</v>
      </c>
      <c r="G25" s="116" t="s">
        <v>651</v>
      </c>
      <c r="H25" s="113" t="s">
        <v>652</v>
      </c>
    </row>
    <row r="26" ht="10.5" customHeight="1">
      <c r="A26" s="113" t="s">
        <v>1356</v>
      </c>
      <c r="B26" s="113">
        <v>4.0</v>
      </c>
      <c r="C26" s="113" t="s">
        <v>336</v>
      </c>
      <c r="D26" s="113" t="s">
        <v>332</v>
      </c>
      <c r="E26" s="113" t="s">
        <v>451</v>
      </c>
      <c r="F26" s="113" t="s">
        <v>452</v>
      </c>
      <c r="G26" s="113" t="s">
        <v>160</v>
      </c>
      <c r="H26" s="113" t="s">
        <v>453</v>
      </c>
    </row>
    <row r="27" ht="10.5" customHeight="1">
      <c r="A27" s="113" t="s">
        <v>341</v>
      </c>
      <c r="B27" s="113">
        <v>2.0</v>
      </c>
      <c r="C27" s="113" t="s">
        <v>342</v>
      </c>
      <c r="D27" s="113"/>
      <c r="E27" s="113"/>
      <c r="F27" s="113" t="s">
        <v>343</v>
      </c>
      <c r="G27" s="113" t="s">
        <v>344</v>
      </c>
      <c r="H27" s="113" t="s">
        <v>345</v>
      </c>
    </row>
    <row r="28" ht="10.5" customHeight="1">
      <c r="A28" s="113" t="s">
        <v>866</v>
      </c>
      <c r="B28" s="109">
        <v>1.0</v>
      </c>
      <c r="C28" s="107" t="s">
        <v>867</v>
      </c>
      <c r="D28" s="107"/>
      <c r="E28" s="107"/>
      <c r="F28" s="107" t="s">
        <v>190</v>
      </c>
      <c r="G28" s="107" t="s">
        <v>191</v>
      </c>
      <c r="H28" s="107" t="s">
        <v>189</v>
      </c>
    </row>
    <row r="29" ht="10.5" customHeight="1">
      <c r="A29" s="113" t="s">
        <v>553</v>
      </c>
      <c r="B29" s="113">
        <v>1.0</v>
      </c>
      <c r="C29" s="113" t="s">
        <v>474</v>
      </c>
      <c r="D29" s="115"/>
      <c r="E29" s="113" t="s">
        <v>475</v>
      </c>
      <c r="F29" s="113" t="s">
        <v>476</v>
      </c>
      <c r="G29" s="113" t="s">
        <v>477</v>
      </c>
      <c r="H29" s="113" t="s">
        <v>478</v>
      </c>
    </row>
    <row r="30" ht="10.5" customHeight="1">
      <c r="A30" s="113" t="s">
        <v>560</v>
      </c>
      <c r="B30" s="113">
        <v>1.0</v>
      </c>
      <c r="C30" s="113" t="s">
        <v>362</v>
      </c>
      <c r="D30" s="113" t="s">
        <v>459</v>
      </c>
      <c r="E30" s="113" t="s">
        <v>364</v>
      </c>
      <c r="F30" s="113" t="s">
        <v>190</v>
      </c>
      <c r="G30" s="113" t="s">
        <v>484</v>
      </c>
      <c r="H30" s="113" t="s">
        <v>485</v>
      </c>
    </row>
    <row r="31" ht="10.5" customHeight="1">
      <c r="A31" s="113" t="s">
        <v>458</v>
      </c>
      <c r="B31" s="113">
        <v>1.0</v>
      </c>
      <c r="C31" s="113" t="s">
        <v>480</v>
      </c>
      <c r="D31" s="113"/>
      <c r="E31" s="113"/>
      <c r="F31" s="113" t="s">
        <v>465</v>
      </c>
      <c r="G31" s="113" t="s">
        <v>481</v>
      </c>
      <c r="H31" s="113" t="s">
        <v>482</v>
      </c>
    </row>
    <row r="32" ht="10.5" customHeight="1">
      <c r="A32" s="113" t="s">
        <v>463</v>
      </c>
      <c r="B32" s="113">
        <v>1.0</v>
      </c>
      <c r="C32" s="113" t="s">
        <v>654</v>
      </c>
      <c r="D32" s="115"/>
      <c r="E32" s="115"/>
      <c r="F32" s="113" t="s">
        <v>655</v>
      </c>
      <c r="G32" s="113" t="s">
        <v>656</v>
      </c>
      <c r="H32" s="113" t="s">
        <v>657</v>
      </c>
    </row>
    <row r="33" ht="10.5" customHeight="1">
      <c r="A33" s="113" t="s">
        <v>468</v>
      </c>
      <c r="B33" s="113">
        <v>1.0</v>
      </c>
      <c r="C33" s="113" t="s">
        <v>659</v>
      </c>
      <c r="D33" s="115"/>
      <c r="E33" s="115"/>
      <c r="F33" s="113" t="s">
        <v>660</v>
      </c>
      <c r="G33" s="113" t="s">
        <v>268</v>
      </c>
      <c r="H33" s="244" t="s">
        <v>661</v>
      </c>
    </row>
    <row r="34" ht="10.5" customHeight="1">
      <c r="A34" s="113" t="s">
        <v>473</v>
      </c>
      <c r="B34" s="113">
        <v>1.0</v>
      </c>
      <c r="C34" s="107" t="s">
        <v>491</v>
      </c>
      <c r="D34" s="107"/>
      <c r="E34" s="107"/>
      <c r="F34" s="107" t="s">
        <v>492</v>
      </c>
      <c r="G34" s="107" t="s">
        <v>493</v>
      </c>
      <c r="H34" s="107"/>
    </row>
    <row r="35" ht="10.5" customHeight="1">
      <c r="A35" s="113" t="s">
        <v>808</v>
      </c>
      <c r="B35" s="113">
        <v>1.0</v>
      </c>
      <c r="C35" s="113" t="s">
        <v>496</v>
      </c>
      <c r="D35" s="113" t="s">
        <v>1094</v>
      </c>
      <c r="E35" s="115"/>
      <c r="F35" s="113" t="s">
        <v>497</v>
      </c>
      <c r="G35" s="113" t="s">
        <v>180</v>
      </c>
      <c r="H35" s="113" t="s">
        <v>498</v>
      </c>
    </row>
    <row r="36" ht="10.5" customHeight="1">
      <c r="A36" s="115" t="s">
        <v>812</v>
      </c>
      <c r="B36" s="115">
        <v>1.0</v>
      </c>
      <c r="C36" s="115" t="s">
        <v>666</v>
      </c>
      <c r="D36" s="115" t="s">
        <v>1094</v>
      </c>
      <c r="E36" s="115"/>
      <c r="F36" s="115" t="s">
        <v>497</v>
      </c>
      <c r="G36" s="115" t="s">
        <v>667</v>
      </c>
      <c r="H36" s="113" t="s">
        <v>668</v>
      </c>
    </row>
    <row r="37" ht="10.5" customHeight="1">
      <c r="A37" s="115" t="s">
        <v>1096</v>
      </c>
      <c r="B37" s="115">
        <v>3.0</v>
      </c>
      <c r="C37" s="115" t="s">
        <v>367</v>
      </c>
      <c r="D37" s="115" t="s">
        <v>994</v>
      </c>
      <c r="E37" s="115"/>
      <c r="F37" s="113" t="str">
        <f>"0603"</f>
        <v>0603</v>
      </c>
      <c r="G37" s="116" t="s">
        <v>369</v>
      </c>
      <c r="H37" s="113" t="s">
        <v>370</v>
      </c>
    </row>
    <row r="38" ht="10.5" customHeight="1">
      <c r="A38" s="113" t="s">
        <v>574</v>
      </c>
      <c r="B38" s="113">
        <v>2.0</v>
      </c>
      <c r="C38" s="113" t="s">
        <v>500</v>
      </c>
      <c r="D38" s="115"/>
      <c r="E38" s="115"/>
      <c r="F38" s="113" t="s">
        <v>501</v>
      </c>
      <c r="G38" s="113" t="s">
        <v>502</v>
      </c>
      <c r="H38" s="113" t="s">
        <v>503</v>
      </c>
    </row>
    <row r="39" ht="12.0" customHeight="1">
      <c r="A39" s="163" t="s">
        <v>371</v>
      </c>
      <c r="B39" s="118"/>
      <c r="C39" s="118"/>
      <c r="D39" s="118"/>
      <c r="E39" s="118"/>
      <c r="F39" s="118"/>
      <c r="G39" s="119"/>
      <c r="H39" s="229"/>
    </row>
    <row r="40" ht="10.5" customHeight="1">
      <c r="A40" s="113" t="s">
        <v>583</v>
      </c>
      <c r="B40" s="113">
        <v>8.0</v>
      </c>
      <c r="C40" s="113" t="s">
        <v>373</v>
      </c>
      <c r="D40" s="115"/>
      <c r="E40" s="115"/>
      <c r="F40" s="115"/>
      <c r="G40" s="115"/>
      <c r="H40" s="113" t="s">
        <v>374</v>
      </c>
    </row>
    <row r="41" ht="10.5" customHeight="1">
      <c r="A41" s="113" t="s">
        <v>1357</v>
      </c>
      <c r="B41" s="113">
        <v>2.0</v>
      </c>
      <c r="C41" s="113" t="s">
        <v>386</v>
      </c>
      <c r="D41" s="115"/>
      <c r="E41" s="115"/>
      <c r="F41" s="115"/>
      <c r="G41" s="113"/>
      <c r="H41" s="245" t="s">
        <v>387</v>
      </c>
    </row>
    <row r="42" ht="10.5" customHeight="1">
      <c r="A42" s="113" t="s">
        <v>1358</v>
      </c>
      <c r="B42" s="113">
        <v>2.0</v>
      </c>
      <c r="C42" s="113" t="s">
        <v>389</v>
      </c>
      <c r="D42" s="115"/>
      <c r="E42" s="115"/>
      <c r="F42" s="115"/>
      <c r="G42" s="115"/>
      <c r="H42" s="113" t="s">
        <v>390</v>
      </c>
    </row>
    <row r="43" ht="10.5" customHeight="1">
      <c r="A43" s="113" t="s">
        <v>816</v>
      </c>
      <c r="B43" s="113">
        <v>1.0</v>
      </c>
      <c r="C43" s="113" t="s">
        <v>881</v>
      </c>
      <c r="D43" s="115"/>
      <c r="E43" s="115"/>
      <c r="F43" s="115"/>
      <c r="G43" s="113" t="s">
        <v>882</v>
      </c>
      <c r="H43" s="113" t="s">
        <v>1359</v>
      </c>
    </row>
    <row r="44" ht="10.5" customHeight="1">
      <c r="A44" s="113" t="s">
        <v>820</v>
      </c>
      <c r="B44" s="113">
        <v>1.0</v>
      </c>
      <c r="C44" s="113" t="s">
        <v>1100</v>
      </c>
      <c r="D44" s="115"/>
      <c r="E44" s="115"/>
      <c r="F44" s="113" t="s">
        <v>1101</v>
      </c>
      <c r="G44" s="113" t="s">
        <v>1102</v>
      </c>
      <c r="H44" s="113" t="s">
        <v>1103</v>
      </c>
    </row>
    <row r="45" ht="10.5" customHeight="1">
      <c r="A45" s="113" t="s">
        <v>1360</v>
      </c>
      <c r="B45" s="113">
        <v>1.0</v>
      </c>
      <c r="C45" s="113" t="s">
        <v>575</v>
      </c>
      <c r="D45" s="115"/>
      <c r="E45" s="115"/>
      <c r="F45" s="115"/>
      <c r="G45" s="113" t="s">
        <v>576</v>
      </c>
      <c r="H45" s="113" t="s">
        <v>577</v>
      </c>
    </row>
    <row r="46" ht="10.5" customHeight="1">
      <c r="A46" s="246" t="s">
        <v>1361</v>
      </c>
      <c r="B46" s="113">
        <v>1.0</v>
      </c>
      <c r="C46" s="246" t="s">
        <v>579</v>
      </c>
      <c r="D46" s="115"/>
      <c r="E46" s="115"/>
      <c r="F46" s="115"/>
      <c r="G46" s="113" t="s">
        <v>580</v>
      </c>
      <c r="H46" s="113" t="s">
        <v>581</v>
      </c>
    </row>
    <row r="47" ht="10.5" customHeight="1">
      <c r="A47" s="165" t="s">
        <v>391</v>
      </c>
      <c r="B47" s="165"/>
      <c r="C47" s="165"/>
      <c r="D47" s="165"/>
      <c r="E47" s="230"/>
      <c r="F47" s="165"/>
      <c r="G47" s="168"/>
      <c r="H47" s="229"/>
    </row>
    <row r="48" ht="10.5" customHeight="1">
      <c r="A48" s="113" t="s">
        <v>523</v>
      </c>
      <c r="B48" s="113">
        <v>1.0</v>
      </c>
      <c r="C48" s="113" t="s">
        <v>687</v>
      </c>
      <c r="D48" s="115"/>
      <c r="E48" s="115"/>
      <c r="F48" s="115"/>
      <c r="G48" s="113" t="s">
        <v>527</v>
      </c>
      <c r="H48" s="113"/>
    </row>
    <row r="49" ht="10.5" customHeight="1">
      <c r="A49" s="113" t="s">
        <v>528</v>
      </c>
      <c r="B49" s="113">
        <v>1.0</v>
      </c>
      <c r="C49" s="113" t="s">
        <v>393</v>
      </c>
      <c r="D49" s="113"/>
      <c r="E49" s="113"/>
      <c r="F49" s="113"/>
      <c r="G49" s="113" t="s">
        <v>394</v>
      </c>
      <c r="H49" s="113"/>
    </row>
    <row r="50" ht="10.5" customHeight="1">
      <c r="A50" s="113" t="s">
        <v>525</v>
      </c>
      <c r="B50" s="113">
        <v>1.0</v>
      </c>
      <c r="C50" s="113" t="s">
        <v>684</v>
      </c>
      <c r="D50" s="115"/>
      <c r="E50" s="115"/>
      <c r="F50" s="115"/>
      <c r="G50" s="113" t="s">
        <v>530</v>
      </c>
      <c r="H50" s="113"/>
    </row>
    <row r="51" ht="10.5" customHeight="1">
      <c r="A51" s="165" t="s">
        <v>828</v>
      </c>
      <c r="B51" s="165"/>
      <c r="C51" s="165"/>
      <c r="D51" s="165"/>
      <c r="E51" s="230"/>
      <c r="F51" s="165"/>
      <c r="G51" s="168"/>
      <c r="H51" s="229"/>
    </row>
    <row r="52" ht="10.5" customHeight="1">
      <c r="A52" s="171" t="s">
        <v>395</v>
      </c>
      <c r="B52" s="171"/>
      <c r="C52" s="171" t="s">
        <v>1362</v>
      </c>
      <c r="D52" s="171"/>
      <c r="E52" s="231"/>
      <c r="F52" s="171"/>
      <c r="G52" s="174"/>
      <c r="H52" s="232"/>
    </row>
  </sheetData>
  <mergeCells count="4">
    <mergeCell ref="A1:H1"/>
    <mergeCell ref="A3:G3"/>
    <mergeCell ref="C18:G18"/>
    <mergeCell ref="A39:G39"/>
  </mergeCells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14"/>
    <col customWidth="1" min="2" max="2" width="3.86"/>
    <col customWidth="1" min="3" max="3" width="29.86"/>
    <col customWidth="1" min="4" max="4" width="22.57"/>
    <col customWidth="1" min="5" max="5" width="6.0"/>
    <col customWidth="1" min="6" max="6" width="10.43"/>
    <col customWidth="1" min="7" max="7" width="21.43"/>
    <col customWidth="1" min="8" max="8" width="6.43"/>
    <col customWidth="1" min="9" max="9" width="35.71"/>
    <col customWidth="1" min="10" max="26" width="8.86"/>
  </cols>
  <sheetData>
    <row r="1" ht="28.5" customHeight="1">
      <c r="A1" s="96" t="s">
        <v>1363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98" t="s">
        <v>106</v>
      </c>
      <c r="B2" s="99" t="s">
        <v>95</v>
      </c>
      <c r="C2" s="98" t="s">
        <v>96</v>
      </c>
      <c r="D2" s="98" t="s">
        <v>97</v>
      </c>
      <c r="E2" s="100" t="s">
        <v>98</v>
      </c>
      <c r="F2" s="100" t="s">
        <v>99</v>
      </c>
      <c r="G2" s="99" t="s">
        <v>107</v>
      </c>
      <c r="H2" s="98" t="s">
        <v>279</v>
      </c>
      <c r="I2" s="98" t="s">
        <v>109</v>
      </c>
      <c r="J2" s="101"/>
      <c r="K2" s="101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12.75" customHeight="1">
      <c r="A3" s="102" t="s">
        <v>280</v>
      </c>
      <c r="B3" s="103"/>
      <c r="C3" s="103"/>
      <c r="D3" s="103"/>
      <c r="E3" s="103"/>
      <c r="F3" s="103"/>
      <c r="G3" s="104"/>
      <c r="H3" s="105"/>
      <c r="I3" s="105"/>
      <c r="J3" s="105"/>
      <c r="K3" s="105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 ht="10.5" customHeight="1">
      <c r="A4" s="107" t="s">
        <v>1364</v>
      </c>
      <c r="B4" s="109">
        <v>16.0</v>
      </c>
      <c r="C4" s="108" t="s">
        <v>284</v>
      </c>
      <c r="D4" s="108"/>
      <c r="E4" s="108">
        <v>510.0</v>
      </c>
      <c r="F4" s="108" t="str">
        <f t="shared" ref="F4:F18" si="1">"0402"</f>
        <v>0402</v>
      </c>
      <c r="G4" s="107" t="s">
        <v>1365</v>
      </c>
      <c r="H4" s="97"/>
      <c r="I4" s="97"/>
      <c r="J4" s="97"/>
      <c r="K4" s="108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ht="10.5" customHeight="1">
      <c r="A5" s="107" t="s">
        <v>1366</v>
      </c>
      <c r="B5" s="109">
        <v>4.0</v>
      </c>
      <c r="C5" s="108" t="s">
        <v>284</v>
      </c>
      <c r="D5" s="108"/>
      <c r="E5" s="108" t="s">
        <v>289</v>
      </c>
      <c r="F5" s="108" t="str">
        <f t="shared" si="1"/>
        <v>0402</v>
      </c>
      <c r="G5" s="107" t="s">
        <v>1367</v>
      </c>
      <c r="H5" s="97"/>
      <c r="I5" s="97"/>
      <c r="J5" s="97"/>
      <c r="K5" s="108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ht="10.5" customHeight="1">
      <c r="A6" s="107" t="s">
        <v>1368</v>
      </c>
      <c r="B6" s="109">
        <v>1.0</v>
      </c>
      <c r="C6" s="108" t="s">
        <v>284</v>
      </c>
      <c r="D6" s="108"/>
      <c r="E6" s="108" t="s">
        <v>1369</v>
      </c>
      <c r="F6" s="108" t="str">
        <f t="shared" si="1"/>
        <v>0402</v>
      </c>
      <c r="G6" s="107" t="s">
        <v>1370</v>
      </c>
      <c r="H6" s="97"/>
      <c r="I6" s="97"/>
      <c r="J6" s="97"/>
      <c r="K6" s="108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10.5" customHeight="1">
      <c r="A7" s="107" t="s">
        <v>1371</v>
      </c>
      <c r="B7" s="109">
        <v>14.0</v>
      </c>
      <c r="C7" s="108" t="s">
        <v>284</v>
      </c>
      <c r="D7" s="108"/>
      <c r="E7" s="108" t="s">
        <v>1372</v>
      </c>
      <c r="F7" s="108" t="str">
        <f t="shared" si="1"/>
        <v>0402</v>
      </c>
      <c r="G7" s="107" t="s">
        <v>1373</v>
      </c>
      <c r="H7" s="97"/>
      <c r="I7" s="108"/>
      <c r="J7" s="97"/>
      <c r="K7" s="108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 ht="10.5" customHeight="1">
      <c r="A8" s="107" t="s">
        <v>1374</v>
      </c>
      <c r="B8" s="109">
        <v>3.0</v>
      </c>
      <c r="C8" s="108" t="s">
        <v>284</v>
      </c>
      <c r="D8" s="108"/>
      <c r="E8" s="108" t="s">
        <v>606</v>
      </c>
      <c r="F8" s="108" t="str">
        <f t="shared" si="1"/>
        <v>0402</v>
      </c>
      <c r="G8" s="107" t="s">
        <v>1375</v>
      </c>
      <c r="H8" s="97"/>
      <c r="I8" s="108"/>
      <c r="J8" s="97"/>
      <c r="K8" s="108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ht="10.5" customHeight="1">
      <c r="A9" s="107" t="s">
        <v>1376</v>
      </c>
      <c r="B9" s="109">
        <v>5.0</v>
      </c>
      <c r="C9" s="108" t="s">
        <v>284</v>
      </c>
      <c r="D9" s="108"/>
      <c r="E9" s="108" t="s">
        <v>1377</v>
      </c>
      <c r="F9" s="108" t="str">
        <f t="shared" si="1"/>
        <v>0402</v>
      </c>
      <c r="G9" s="107" t="s">
        <v>1378</v>
      </c>
      <c r="H9" s="97"/>
      <c r="I9" s="97"/>
      <c r="J9" s="97"/>
      <c r="K9" s="108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ht="10.5" customHeight="1">
      <c r="A10" s="107" t="s">
        <v>1379</v>
      </c>
      <c r="B10" s="109">
        <v>12.0</v>
      </c>
      <c r="C10" s="108" t="s">
        <v>284</v>
      </c>
      <c r="D10" s="108"/>
      <c r="E10" s="108" t="s">
        <v>120</v>
      </c>
      <c r="F10" s="108" t="str">
        <f t="shared" si="1"/>
        <v>0402</v>
      </c>
      <c r="G10" s="107" t="s">
        <v>1380</v>
      </c>
      <c r="H10" s="97"/>
      <c r="I10" s="97"/>
      <c r="J10" s="97"/>
      <c r="K10" s="108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ht="10.5" customHeight="1">
      <c r="A11" s="107" t="s">
        <v>1381</v>
      </c>
      <c r="B11" s="109">
        <v>4.0</v>
      </c>
      <c r="C11" s="108" t="s">
        <v>284</v>
      </c>
      <c r="D11" s="108"/>
      <c r="E11" s="108" t="s">
        <v>413</v>
      </c>
      <c r="F11" s="108" t="str">
        <f t="shared" si="1"/>
        <v>0402</v>
      </c>
      <c r="G11" s="107" t="s">
        <v>1382</v>
      </c>
      <c r="H11" s="97"/>
      <c r="I11" s="97"/>
      <c r="J11" s="97"/>
      <c r="K11" s="108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ht="10.5" customHeight="1">
      <c r="A12" s="107" t="s">
        <v>1383</v>
      </c>
      <c r="B12" s="109">
        <v>8.0</v>
      </c>
      <c r="C12" s="108" t="s">
        <v>284</v>
      </c>
      <c r="D12" s="111"/>
      <c r="E12" s="108" t="s">
        <v>317</v>
      </c>
      <c r="F12" s="108" t="str">
        <f t="shared" si="1"/>
        <v>0402</v>
      </c>
      <c r="G12" s="107" t="s">
        <v>953</v>
      </c>
      <c r="H12" s="97"/>
      <c r="I12" s="97"/>
      <c r="J12" s="97"/>
      <c r="K12" s="108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ht="10.5" customHeight="1">
      <c r="A13" s="107" t="s">
        <v>1384</v>
      </c>
      <c r="B13" s="109">
        <v>4.0</v>
      </c>
      <c r="C13" s="108" t="s">
        <v>955</v>
      </c>
      <c r="D13" s="111"/>
      <c r="E13" s="108" t="s">
        <v>1385</v>
      </c>
      <c r="F13" s="108" t="str">
        <f t="shared" si="1"/>
        <v>0402</v>
      </c>
      <c r="G13" s="107" t="s">
        <v>1386</v>
      </c>
      <c r="H13" s="97"/>
      <c r="I13" s="97"/>
      <c r="J13" s="97"/>
      <c r="K13" s="108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ht="10.5" customHeight="1">
      <c r="A14" s="107" t="s">
        <v>1387</v>
      </c>
      <c r="B14" s="109">
        <v>8.0</v>
      </c>
      <c r="C14" s="108" t="s">
        <v>320</v>
      </c>
      <c r="D14" s="108" t="s">
        <v>1388</v>
      </c>
      <c r="E14" s="108" t="s">
        <v>322</v>
      </c>
      <c r="F14" s="108" t="str">
        <f t="shared" si="1"/>
        <v>0402</v>
      </c>
      <c r="G14" s="110" t="s">
        <v>1389</v>
      </c>
      <c r="H14" s="97"/>
      <c r="I14" s="97"/>
      <c r="J14" s="97"/>
      <c r="K14" s="108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ht="10.5" customHeight="1">
      <c r="A15" s="107" t="s">
        <v>1390</v>
      </c>
      <c r="B15" s="109">
        <v>4.0</v>
      </c>
      <c r="C15" s="108" t="s">
        <v>320</v>
      </c>
      <c r="D15" s="108" t="s">
        <v>1388</v>
      </c>
      <c r="E15" s="108" t="s">
        <v>426</v>
      </c>
      <c r="F15" s="108" t="str">
        <f t="shared" si="1"/>
        <v>0402</v>
      </c>
      <c r="G15" s="107" t="s">
        <v>959</v>
      </c>
      <c r="H15" s="97"/>
      <c r="I15" s="108" t="s">
        <v>960</v>
      </c>
      <c r="J15" s="97"/>
      <c r="K15" s="108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ht="10.5" customHeight="1">
      <c r="A16" s="107" t="s">
        <v>1391</v>
      </c>
      <c r="B16" s="109">
        <v>8.0</v>
      </c>
      <c r="C16" s="108" t="s">
        <v>320</v>
      </c>
      <c r="D16" s="108" t="s">
        <v>1388</v>
      </c>
      <c r="E16" s="108" t="s">
        <v>327</v>
      </c>
      <c r="F16" s="108" t="str">
        <f t="shared" si="1"/>
        <v>0402</v>
      </c>
      <c r="G16" s="110" t="s">
        <v>1392</v>
      </c>
      <c r="H16" s="97"/>
      <c r="I16" s="108" t="s">
        <v>1393</v>
      </c>
      <c r="J16" s="97"/>
      <c r="K16" s="108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 ht="10.5" customHeight="1">
      <c r="A17" s="107" t="s">
        <v>1394</v>
      </c>
      <c r="B17" s="109">
        <v>16.0</v>
      </c>
      <c r="C17" s="108" t="s">
        <v>331</v>
      </c>
      <c r="D17" s="108" t="s">
        <v>332</v>
      </c>
      <c r="E17" s="108" t="s">
        <v>333</v>
      </c>
      <c r="F17" s="108" t="str">
        <f t="shared" si="1"/>
        <v>0402</v>
      </c>
      <c r="G17" s="107" t="s">
        <v>966</v>
      </c>
      <c r="H17" s="97"/>
      <c r="I17" s="97" t="s">
        <v>967</v>
      </c>
      <c r="J17" s="97"/>
      <c r="K17" s="108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ht="10.5" customHeight="1">
      <c r="A18" s="107" t="s">
        <v>1395</v>
      </c>
      <c r="B18" s="109">
        <v>4.0</v>
      </c>
      <c r="C18" s="108" t="s">
        <v>331</v>
      </c>
      <c r="D18" s="108" t="s">
        <v>332</v>
      </c>
      <c r="E18" s="108" t="s">
        <v>436</v>
      </c>
      <c r="F18" s="108" t="str">
        <f t="shared" si="1"/>
        <v>0402</v>
      </c>
      <c r="G18" s="110" t="s">
        <v>1396</v>
      </c>
      <c r="H18" s="97"/>
      <c r="I18" s="97" t="s">
        <v>1397</v>
      </c>
      <c r="J18" s="97"/>
      <c r="K18" s="108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 ht="21.75" customHeight="1">
      <c r="A19" s="107" t="s">
        <v>1398</v>
      </c>
      <c r="B19" s="108">
        <v>4.0</v>
      </c>
      <c r="C19" s="108" t="s">
        <v>336</v>
      </c>
      <c r="D19" s="108" t="s">
        <v>332</v>
      </c>
      <c r="E19" s="108" t="s">
        <v>337</v>
      </c>
      <c r="F19" s="108" t="s">
        <v>445</v>
      </c>
      <c r="G19" s="108" t="s">
        <v>1399</v>
      </c>
      <c r="H19" s="97"/>
      <c r="I19" s="97" t="s">
        <v>1400</v>
      </c>
      <c r="J19" s="97"/>
      <c r="K19" s="108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 ht="10.5" customHeight="1">
      <c r="A20" s="107" t="s">
        <v>341</v>
      </c>
      <c r="B20" s="109">
        <v>2.0</v>
      </c>
      <c r="C20" s="108" t="s">
        <v>342</v>
      </c>
      <c r="D20" s="108"/>
      <c r="E20" s="108"/>
      <c r="F20" s="108" t="s">
        <v>343</v>
      </c>
      <c r="G20" s="108" t="s">
        <v>344</v>
      </c>
      <c r="H20" s="97"/>
      <c r="I20" s="97" t="s">
        <v>345</v>
      </c>
      <c r="J20" s="97"/>
      <c r="K20" s="108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ht="10.5" customHeight="1">
      <c r="A21" s="107" t="s">
        <v>346</v>
      </c>
      <c r="B21" s="108">
        <v>1.0</v>
      </c>
      <c r="C21" s="108" t="s">
        <v>347</v>
      </c>
      <c r="D21" s="108" t="s">
        <v>348</v>
      </c>
      <c r="E21" s="108" t="s">
        <v>349</v>
      </c>
      <c r="F21" s="108">
        <v>1206.0</v>
      </c>
      <c r="G21" s="108" t="s">
        <v>350</v>
      </c>
      <c r="H21" s="97"/>
      <c r="I21" s="97" t="s">
        <v>351</v>
      </c>
      <c r="J21" s="97"/>
      <c r="K21" s="108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 ht="10.5" customHeight="1">
      <c r="A22" s="107" t="s">
        <v>1401</v>
      </c>
      <c r="B22" s="108">
        <v>2.0</v>
      </c>
      <c r="C22" s="108" t="s">
        <v>353</v>
      </c>
      <c r="D22" s="108"/>
      <c r="E22" s="108"/>
      <c r="F22" s="108" t="s">
        <v>354</v>
      </c>
      <c r="G22" s="108"/>
      <c r="H22" s="97"/>
      <c r="I22" s="97"/>
      <c r="J22" s="97"/>
      <c r="K22" s="108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ht="10.5" customHeight="1">
      <c r="A23" s="107" t="s">
        <v>1402</v>
      </c>
      <c r="B23" s="108">
        <v>4.0</v>
      </c>
      <c r="C23" s="113" t="s">
        <v>1403</v>
      </c>
      <c r="D23" s="113"/>
      <c r="E23" s="114"/>
      <c r="F23" s="113" t="s">
        <v>358</v>
      </c>
      <c r="G23" s="107" t="s">
        <v>1404</v>
      </c>
      <c r="H23" s="113"/>
      <c r="I23" s="113" t="s">
        <v>1405</v>
      </c>
      <c r="J23" s="97"/>
      <c r="K23" s="108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 ht="10.5" customHeight="1">
      <c r="A24" s="107" t="s">
        <v>1406</v>
      </c>
      <c r="B24" s="108">
        <v>2.0</v>
      </c>
      <c r="C24" s="113" t="s">
        <v>1407</v>
      </c>
      <c r="D24" s="113"/>
      <c r="E24" s="114"/>
      <c r="F24" s="113" t="s">
        <v>254</v>
      </c>
      <c r="G24" s="107" t="s">
        <v>1408</v>
      </c>
      <c r="H24" s="113"/>
      <c r="I24" s="113" t="s">
        <v>1409</v>
      </c>
      <c r="J24" s="97"/>
      <c r="K24" s="108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 ht="10.5" customHeight="1">
      <c r="A25" s="107" t="s">
        <v>483</v>
      </c>
      <c r="B25" s="108">
        <v>1.0</v>
      </c>
      <c r="C25" s="108" t="s">
        <v>362</v>
      </c>
      <c r="D25" s="261">
        <v>0.005</v>
      </c>
      <c r="E25" s="114" t="s">
        <v>460</v>
      </c>
      <c r="F25" s="108" t="s">
        <v>190</v>
      </c>
      <c r="G25" s="107" t="s">
        <v>461</v>
      </c>
      <c r="H25" s="113"/>
      <c r="I25" s="113" t="s">
        <v>1410</v>
      </c>
      <c r="J25" s="97"/>
      <c r="K25" s="108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ht="10.5" customHeight="1">
      <c r="A26" s="107" t="s">
        <v>486</v>
      </c>
      <c r="B26" s="108">
        <v>1.0</v>
      </c>
      <c r="C26" s="108" t="s">
        <v>362</v>
      </c>
      <c r="D26" s="261">
        <v>0.005</v>
      </c>
      <c r="E26" s="108" t="s">
        <v>364</v>
      </c>
      <c r="F26" s="108" t="s">
        <v>190</v>
      </c>
      <c r="G26" s="107" t="s">
        <v>484</v>
      </c>
      <c r="H26" s="97"/>
      <c r="I26" s="97" t="s">
        <v>1411</v>
      </c>
      <c r="J26" s="97"/>
      <c r="K26" s="108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ht="10.5" customHeight="1">
      <c r="A27" s="107" t="s">
        <v>193</v>
      </c>
      <c r="B27" s="109">
        <v>2.0</v>
      </c>
      <c r="C27" s="115" t="s">
        <v>367</v>
      </c>
      <c r="D27" s="115" t="s">
        <v>368</v>
      </c>
      <c r="E27" s="115"/>
      <c r="F27" s="113" t="str">
        <f>"0603"</f>
        <v>0603</v>
      </c>
      <c r="G27" s="116" t="s">
        <v>369</v>
      </c>
      <c r="H27" s="115"/>
      <c r="I27" s="113" t="s">
        <v>370</v>
      </c>
      <c r="J27" s="97"/>
      <c r="K27" s="108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 ht="12.75" customHeight="1">
      <c r="A28" s="117" t="s">
        <v>371</v>
      </c>
      <c r="B28" s="118"/>
      <c r="C28" s="118"/>
      <c r="D28" s="118"/>
      <c r="E28" s="118"/>
      <c r="F28" s="118"/>
      <c r="G28" s="119"/>
      <c r="H28" s="120"/>
      <c r="I28" s="120"/>
      <c r="J28" s="120"/>
      <c r="K28" s="12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</row>
    <row r="29" ht="10.5" customHeight="1">
      <c r="A29" s="107" t="s">
        <v>372</v>
      </c>
      <c r="B29" s="108">
        <v>12.0</v>
      </c>
      <c r="C29" s="108" t="s">
        <v>373</v>
      </c>
      <c r="D29" s="108"/>
      <c r="E29" s="108"/>
      <c r="F29" s="108"/>
      <c r="G29" s="108"/>
      <c r="H29" s="97"/>
      <c r="I29" s="97" t="s">
        <v>374</v>
      </c>
      <c r="J29" s="97"/>
      <c r="K29" s="108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 ht="10.5" customHeight="1">
      <c r="A30" s="107" t="s">
        <v>676</v>
      </c>
      <c r="B30" s="108">
        <v>4.0</v>
      </c>
      <c r="C30" s="108" t="s">
        <v>376</v>
      </c>
      <c r="D30" s="108"/>
      <c r="E30" s="108"/>
      <c r="F30" s="108"/>
      <c r="G30" s="110" t="s">
        <v>377</v>
      </c>
      <c r="H30" s="97"/>
      <c r="I30" s="108" t="s">
        <v>378</v>
      </c>
      <c r="J30" s="97"/>
      <c r="K30" s="108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 ht="10.5" customHeight="1">
      <c r="A31" s="107" t="str">
        <f>"- LED1, LED2, LED3, LED4"</f>
        <v>- LED1, LED2, LED3, LED4</v>
      </c>
      <c r="B31" s="108">
        <v>4.0</v>
      </c>
      <c r="C31" s="108" t="s">
        <v>1412</v>
      </c>
      <c r="D31" s="108"/>
      <c r="E31" s="108"/>
      <c r="F31" s="108"/>
      <c r="G31" s="110" t="s">
        <v>1413</v>
      </c>
      <c r="H31" s="97"/>
      <c r="I31" s="108" t="s">
        <v>1414</v>
      </c>
      <c r="J31" s="97"/>
      <c r="K31" s="108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 ht="10.5" customHeight="1">
      <c r="A32" s="107" t="s">
        <v>1415</v>
      </c>
      <c r="B32" s="109">
        <v>4.0</v>
      </c>
      <c r="C32" s="113" t="s">
        <v>386</v>
      </c>
      <c r="D32" s="113"/>
      <c r="E32" s="115"/>
      <c r="F32" s="115"/>
      <c r="G32" s="113"/>
      <c r="H32" s="113"/>
      <c r="I32" s="121" t="s">
        <v>387</v>
      </c>
      <c r="J32" s="97"/>
      <c r="K32" s="108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 ht="10.5" customHeight="1">
      <c r="A33" s="107" t="s">
        <v>1416</v>
      </c>
      <c r="B33" s="109">
        <v>4.0</v>
      </c>
      <c r="C33" s="108" t="s">
        <v>389</v>
      </c>
      <c r="D33" s="108"/>
      <c r="E33" s="108"/>
      <c r="F33" s="108"/>
      <c r="G33" s="108"/>
      <c r="H33" s="97"/>
      <c r="I33" s="97" t="s">
        <v>390</v>
      </c>
      <c r="J33" s="97"/>
      <c r="K33" s="108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 ht="10.5" customHeight="1">
      <c r="A34" s="122" t="s">
        <v>391</v>
      </c>
      <c r="B34" s="123"/>
      <c r="C34" s="122"/>
      <c r="D34" s="122"/>
      <c r="E34" s="124"/>
      <c r="F34" s="124"/>
      <c r="G34" s="123"/>
      <c r="H34" s="120"/>
      <c r="I34" s="120"/>
      <c r="J34" s="120"/>
      <c r="K34" s="12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ht="10.5" customHeight="1">
      <c r="A35" s="107" t="s">
        <v>392</v>
      </c>
      <c r="B35" s="113">
        <v>1.0</v>
      </c>
      <c r="C35" s="113" t="s">
        <v>393</v>
      </c>
      <c r="D35" s="113"/>
      <c r="E35" s="113"/>
      <c r="F35" s="113"/>
      <c r="G35" s="113" t="s">
        <v>394</v>
      </c>
      <c r="H35" s="113"/>
      <c r="I35" s="113"/>
      <c r="J35" s="97"/>
      <c r="K35" s="108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 ht="10.5" customHeight="1">
      <c r="A36" s="125" t="s">
        <v>395</v>
      </c>
      <c r="B36" s="125"/>
      <c r="C36" s="125" t="s">
        <v>396</v>
      </c>
      <c r="D36" s="125"/>
      <c r="E36" s="125"/>
      <c r="F36" s="125"/>
      <c r="G36" s="125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</row>
    <row r="37" ht="10.5" customHeight="1">
      <c r="A37" s="108"/>
      <c r="B37" s="108"/>
      <c r="C37" s="115"/>
      <c r="D37" s="108"/>
      <c r="E37" s="108"/>
      <c r="F37" s="108"/>
      <c r="G37" s="108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ht="10.5" customHeight="1">
      <c r="A38" s="108"/>
      <c r="B38" s="108"/>
      <c r="C38" s="108"/>
      <c r="D38" s="108"/>
      <c r="E38" s="108"/>
      <c r="F38" s="108"/>
      <c r="G38" s="108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 ht="10.5" customHeight="1">
      <c r="A39" s="108"/>
      <c r="B39" s="108"/>
      <c r="C39" s="108"/>
      <c r="D39" s="108"/>
      <c r="E39" s="108"/>
      <c r="F39" s="108"/>
      <c r="G39" s="108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 ht="10.5" customHeight="1">
      <c r="A40" s="108"/>
      <c r="B40" s="108"/>
      <c r="C40" s="108"/>
      <c r="D40" s="108"/>
      <c r="E40" s="108"/>
      <c r="F40" s="108"/>
      <c r="G40" s="108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 ht="10.5" customHeight="1">
      <c r="A41" s="108"/>
      <c r="B41" s="108"/>
      <c r="C41" s="108"/>
      <c r="D41" s="108"/>
      <c r="E41" s="108"/>
      <c r="F41" s="108"/>
      <c r="G41" s="108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 ht="10.5" customHeight="1">
      <c r="A42" s="108"/>
      <c r="B42" s="108"/>
      <c r="C42" s="108"/>
      <c r="D42" s="108"/>
      <c r="E42" s="108"/>
      <c r="F42" s="108"/>
      <c r="G42" s="108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ht="10.5" customHeight="1">
      <c r="A43" s="108"/>
      <c r="B43" s="108"/>
      <c r="C43" s="108"/>
      <c r="D43" s="108"/>
      <c r="E43" s="108"/>
      <c r="F43" s="108"/>
      <c r="G43" s="108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 ht="10.5" customHeight="1">
      <c r="A44" s="108"/>
      <c r="B44" s="108"/>
      <c r="C44" s="108"/>
      <c r="D44" s="108"/>
      <c r="E44" s="108"/>
      <c r="F44" s="108"/>
      <c r="G44" s="108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 ht="10.5" customHeight="1">
      <c r="A45" s="108"/>
      <c r="B45" s="108"/>
      <c r="C45" s="108"/>
      <c r="D45" s="108"/>
      <c r="E45" s="108"/>
      <c r="F45" s="108"/>
      <c r="G45" s="108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 ht="10.5" customHeight="1">
      <c r="A46" s="108"/>
      <c r="B46" s="108"/>
      <c r="C46" s="108"/>
      <c r="D46" s="108"/>
      <c r="E46" s="108"/>
      <c r="F46" s="108"/>
      <c r="G46" s="108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 ht="10.5" customHeight="1">
      <c r="A47" s="108"/>
      <c r="B47" s="108"/>
      <c r="C47" s="108"/>
      <c r="D47" s="108"/>
      <c r="E47" s="108"/>
      <c r="F47" s="108"/>
      <c r="G47" s="108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 ht="10.5" customHeight="1">
      <c r="A48" s="108"/>
      <c r="B48" s="108"/>
      <c r="C48" s="108"/>
      <c r="D48" s="108"/>
      <c r="E48" s="108"/>
      <c r="F48" s="108"/>
      <c r="G48" s="108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 ht="10.5" customHeight="1">
      <c r="A49" s="108"/>
      <c r="B49" s="108"/>
      <c r="C49" s="108"/>
      <c r="D49" s="108"/>
      <c r="E49" s="108"/>
      <c r="F49" s="108"/>
      <c r="G49" s="108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 ht="10.5" customHeight="1">
      <c r="A50" s="108"/>
      <c r="B50" s="108"/>
      <c r="C50" s="108"/>
      <c r="D50" s="108"/>
      <c r="E50" s="108"/>
      <c r="F50" s="108"/>
      <c r="G50" s="108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 ht="10.5" customHeight="1">
      <c r="A51" s="108"/>
      <c r="B51" s="108"/>
      <c r="C51" s="108"/>
      <c r="D51" s="108"/>
      <c r="E51" s="108"/>
      <c r="F51" s="108"/>
      <c r="G51" s="108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 ht="10.5" customHeight="1">
      <c r="A52" s="108"/>
      <c r="B52" s="108"/>
      <c r="C52" s="108"/>
      <c r="D52" s="108"/>
      <c r="E52" s="108"/>
      <c r="F52" s="108"/>
      <c r="G52" s="108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 ht="10.5" customHeight="1">
      <c r="A53" s="108"/>
      <c r="B53" s="108"/>
      <c r="C53" s="108"/>
      <c r="D53" s="108"/>
      <c r="E53" s="108"/>
      <c r="F53" s="108"/>
      <c r="G53" s="108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 ht="10.5" customHeight="1">
      <c r="A54" s="108"/>
      <c r="B54" s="108"/>
      <c r="C54" s="108"/>
      <c r="D54" s="108"/>
      <c r="E54" s="108"/>
      <c r="F54" s="108"/>
      <c r="G54" s="108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 ht="10.5" customHeight="1">
      <c r="A55" s="108"/>
      <c r="B55" s="108"/>
      <c r="C55" s="108"/>
      <c r="D55" s="108"/>
      <c r="E55" s="108"/>
      <c r="F55" s="108"/>
      <c r="G55" s="108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 ht="10.5" customHeight="1">
      <c r="A56" s="108"/>
      <c r="B56" s="108"/>
      <c r="C56" s="108"/>
      <c r="D56" s="108"/>
      <c r="E56" s="108"/>
      <c r="F56" s="108"/>
      <c r="G56" s="108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 ht="10.5" customHeight="1">
      <c r="A57" s="108"/>
      <c r="B57" s="108"/>
      <c r="C57" s="108"/>
      <c r="D57" s="108"/>
      <c r="E57" s="108"/>
      <c r="F57" s="108"/>
      <c r="G57" s="10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 ht="10.5" customHeight="1">
      <c r="A58" s="108"/>
      <c r="B58" s="108"/>
      <c r="C58" s="108"/>
      <c r="D58" s="108"/>
      <c r="E58" s="108"/>
      <c r="F58" s="108"/>
      <c r="G58" s="108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 ht="10.5" customHeight="1">
      <c r="A59" s="108"/>
      <c r="B59" s="108"/>
      <c r="C59" s="108"/>
      <c r="D59" s="108"/>
      <c r="E59" s="108"/>
      <c r="F59" s="108"/>
      <c r="G59" s="108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ht="10.5" customHeight="1">
      <c r="A60" s="108"/>
      <c r="B60" s="108"/>
      <c r="C60" s="108"/>
      <c r="D60" s="108"/>
      <c r="E60" s="108"/>
      <c r="F60" s="108"/>
      <c r="G60" s="108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ht="10.5" customHeight="1">
      <c r="A61" s="108"/>
      <c r="B61" s="108"/>
      <c r="C61" s="108"/>
      <c r="D61" s="108"/>
      <c r="E61" s="108"/>
      <c r="F61" s="108"/>
      <c r="G61" s="10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ht="10.5" customHeight="1">
      <c r="A62" s="108"/>
      <c r="B62" s="108"/>
      <c r="C62" s="108"/>
      <c r="D62" s="108"/>
      <c r="E62" s="108"/>
      <c r="F62" s="108"/>
      <c r="G62" s="108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ht="10.5" customHeight="1">
      <c r="A63" s="108"/>
      <c r="B63" s="108"/>
      <c r="C63" s="108"/>
      <c r="D63" s="108"/>
      <c r="E63" s="108"/>
      <c r="F63" s="108"/>
      <c r="G63" s="108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ht="10.5" customHeight="1">
      <c r="A64" s="108"/>
      <c r="B64" s="108"/>
      <c r="C64" s="108"/>
      <c r="D64" s="108"/>
      <c r="E64" s="108"/>
      <c r="F64" s="108"/>
      <c r="G64" s="108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ht="10.5" customHeight="1">
      <c r="A65" s="108"/>
      <c r="B65" s="108"/>
      <c r="C65" s="108"/>
      <c r="D65" s="108"/>
      <c r="E65" s="108"/>
      <c r="F65" s="108"/>
      <c r="G65" s="10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ht="10.5" customHeight="1">
      <c r="A66" s="108"/>
      <c r="B66" s="108"/>
      <c r="C66" s="108"/>
      <c r="D66" s="108"/>
      <c r="E66" s="108"/>
      <c r="F66" s="108"/>
      <c r="G66" s="108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 ht="10.5" customHeight="1">
      <c r="A67" s="108"/>
      <c r="B67" s="108"/>
      <c r="C67" s="108"/>
      <c r="D67" s="108"/>
      <c r="E67" s="108"/>
      <c r="F67" s="108"/>
      <c r="G67" s="108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ht="10.5" customHeight="1">
      <c r="A68" s="108"/>
      <c r="B68" s="108"/>
      <c r="C68" s="108"/>
      <c r="D68" s="108"/>
      <c r="E68" s="108"/>
      <c r="F68" s="108"/>
      <c r="G68" s="108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 ht="10.5" customHeight="1">
      <c r="A69" s="108"/>
      <c r="B69" s="108"/>
      <c r="C69" s="108"/>
      <c r="D69" s="108"/>
      <c r="E69" s="108"/>
      <c r="F69" s="108"/>
      <c r="G69" s="10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ht="10.5" customHeight="1">
      <c r="A70" s="108"/>
      <c r="B70" s="108"/>
      <c r="C70" s="108"/>
      <c r="D70" s="108"/>
      <c r="E70" s="108"/>
      <c r="F70" s="108"/>
      <c r="G70" s="108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 ht="10.5" customHeight="1">
      <c r="A71" s="108"/>
      <c r="B71" s="108"/>
      <c r="C71" s="108"/>
      <c r="D71" s="108"/>
      <c r="E71" s="108"/>
      <c r="F71" s="108"/>
      <c r="G71" s="108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 ht="10.5" customHeight="1">
      <c r="A72" s="108"/>
      <c r="B72" s="108"/>
      <c r="C72" s="108"/>
      <c r="D72" s="108"/>
      <c r="E72" s="108"/>
      <c r="F72" s="108"/>
      <c r="G72" s="108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 ht="10.5" customHeight="1">
      <c r="A73" s="108"/>
      <c r="B73" s="108"/>
      <c r="C73" s="108"/>
      <c r="D73" s="108"/>
      <c r="E73" s="108"/>
      <c r="F73" s="108"/>
      <c r="G73" s="108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 ht="10.5" customHeight="1">
      <c r="A74" s="108"/>
      <c r="B74" s="108"/>
      <c r="C74" s="108"/>
      <c r="D74" s="108"/>
      <c r="E74" s="108"/>
      <c r="F74" s="108"/>
      <c r="G74" s="108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 ht="10.5" customHeight="1">
      <c r="A75" s="108"/>
      <c r="B75" s="108"/>
      <c r="C75" s="108"/>
      <c r="D75" s="108"/>
      <c r="E75" s="108"/>
      <c r="F75" s="108"/>
      <c r="G75" s="108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 ht="10.5" customHeight="1">
      <c r="A76" s="108"/>
      <c r="B76" s="108"/>
      <c r="C76" s="108"/>
      <c r="D76" s="108"/>
      <c r="E76" s="108"/>
      <c r="F76" s="108"/>
      <c r="G76" s="108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 ht="10.5" customHeight="1">
      <c r="A77" s="108"/>
      <c r="B77" s="108"/>
      <c r="C77" s="108"/>
      <c r="D77" s="108"/>
      <c r="E77" s="108"/>
      <c r="F77" s="108"/>
      <c r="G77" s="10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 ht="10.5" customHeight="1">
      <c r="A78" s="108"/>
      <c r="B78" s="108"/>
      <c r="C78" s="108"/>
      <c r="D78" s="108"/>
      <c r="E78" s="108"/>
      <c r="F78" s="108"/>
      <c r="G78" s="108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 ht="10.5" customHeight="1">
      <c r="A79" s="108"/>
      <c r="B79" s="108"/>
      <c r="C79" s="108"/>
      <c r="D79" s="108"/>
      <c r="E79" s="108"/>
      <c r="F79" s="108"/>
      <c r="G79" s="108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 ht="10.5" customHeight="1">
      <c r="A80" s="108"/>
      <c r="B80" s="108"/>
      <c r="C80" s="108"/>
      <c r="D80" s="108"/>
      <c r="E80" s="108"/>
      <c r="F80" s="108"/>
      <c r="G80" s="108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 ht="10.5" customHeight="1">
      <c r="A81" s="108"/>
      <c r="B81" s="108"/>
      <c r="C81" s="108"/>
      <c r="D81" s="108"/>
      <c r="E81" s="108"/>
      <c r="F81" s="108"/>
      <c r="G81" s="108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 ht="10.5" customHeight="1">
      <c r="A82" s="108"/>
      <c r="B82" s="108"/>
      <c r="C82" s="108"/>
      <c r="D82" s="108"/>
      <c r="E82" s="108"/>
      <c r="F82" s="108"/>
      <c r="G82" s="108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 ht="10.5" customHeight="1">
      <c r="A83" s="108"/>
      <c r="B83" s="108"/>
      <c r="C83" s="108"/>
      <c r="D83" s="108"/>
      <c r="E83" s="108"/>
      <c r="F83" s="108"/>
      <c r="G83" s="108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 ht="10.5" customHeight="1">
      <c r="A84" s="108"/>
      <c r="B84" s="108"/>
      <c r="C84" s="108"/>
      <c r="D84" s="108"/>
      <c r="E84" s="108"/>
      <c r="F84" s="108"/>
      <c r="G84" s="108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 ht="10.5" customHeight="1">
      <c r="A85" s="108"/>
      <c r="B85" s="108"/>
      <c r="C85" s="108"/>
      <c r="D85" s="108"/>
      <c r="E85" s="108"/>
      <c r="F85" s="108"/>
      <c r="G85" s="10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 ht="10.5" customHeight="1">
      <c r="A86" s="108"/>
      <c r="B86" s="108"/>
      <c r="C86" s="108"/>
      <c r="D86" s="108"/>
      <c r="E86" s="108"/>
      <c r="F86" s="108"/>
      <c r="G86" s="108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 ht="10.5" customHeight="1">
      <c r="A87" s="108"/>
      <c r="B87" s="108"/>
      <c r="C87" s="108"/>
      <c r="D87" s="108"/>
      <c r="E87" s="108"/>
      <c r="F87" s="108"/>
      <c r="G87" s="108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 ht="10.5" customHeight="1">
      <c r="A88" s="108"/>
      <c r="B88" s="108"/>
      <c r="C88" s="108"/>
      <c r="D88" s="108"/>
      <c r="E88" s="108"/>
      <c r="F88" s="108"/>
      <c r="G88" s="108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 ht="10.5" customHeight="1">
      <c r="A89" s="108"/>
      <c r="B89" s="108"/>
      <c r="C89" s="108"/>
      <c r="D89" s="108"/>
      <c r="E89" s="108"/>
      <c r="F89" s="108"/>
      <c r="G89" s="108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ht="10.5" customHeight="1">
      <c r="A90" s="108"/>
      <c r="B90" s="108"/>
      <c r="C90" s="108"/>
      <c r="D90" s="108"/>
      <c r="E90" s="108"/>
      <c r="F90" s="108"/>
      <c r="G90" s="108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ht="10.5" customHeight="1">
      <c r="A91" s="108"/>
      <c r="B91" s="108"/>
      <c r="C91" s="108"/>
      <c r="D91" s="108"/>
      <c r="E91" s="108"/>
      <c r="F91" s="108"/>
      <c r="G91" s="108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 ht="10.5" customHeight="1">
      <c r="A92" s="108"/>
      <c r="B92" s="108"/>
      <c r="C92" s="108"/>
      <c r="D92" s="108"/>
      <c r="E92" s="108"/>
      <c r="F92" s="108"/>
      <c r="G92" s="108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 ht="10.5" customHeight="1">
      <c r="A93" s="108"/>
      <c r="B93" s="108"/>
      <c r="C93" s="108"/>
      <c r="D93" s="108"/>
      <c r="E93" s="108"/>
      <c r="F93" s="108"/>
      <c r="G93" s="108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ht="10.5" customHeight="1">
      <c r="A94" s="108"/>
      <c r="B94" s="108"/>
      <c r="C94" s="108"/>
      <c r="D94" s="108"/>
      <c r="E94" s="108"/>
      <c r="F94" s="108"/>
      <c r="G94" s="108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ht="10.5" customHeight="1">
      <c r="A95" s="108"/>
      <c r="B95" s="108"/>
      <c r="C95" s="108"/>
      <c r="D95" s="108"/>
      <c r="E95" s="108"/>
      <c r="F95" s="108"/>
      <c r="G95" s="108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ht="10.5" customHeight="1">
      <c r="A96" s="108"/>
      <c r="B96" s="108"/>
      <c r="C96" s="108"/>
      <c r="D96" s="108"/>
      <c r="E96" s="108"/>
      <c r="F96" s="108"/>
      <c r="G96" s="108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ht="10.5" customHeight="1">
      <c r="A97" s="108"/>
      <c r="B97" s="108"/>
      <c r="C97" s="108"/>
      <c r="D97" s="108"/>
      <c r="E97" s="108"/>
      <c r="F97" s="108"/>
      <c r="G97" s="10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ht="10.5" customHeight="1">
      <c r="A98" s="108"/>
      <c r="B98" s="108"/>
      <c r="C98" s="108"/>
      <c r="D98" s="108"/>
      <c r="E98" s="108"/>
      <c r="F98" s="108"/>
      <c r="G98" s="108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ht="10.5" customHeight="1">
      <c r="A99" s="108"/>
      <c r="B99" s="108"/>
      <c r="C99" s="108"/>
      <c r="D99" s="108"/>
      <c r="E99" s="108"/>
      <c r="F99" s="108"/>
      <c r="G99" s="108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ht="10.5" customHeight="1">
      <c r="A100" s="108"/>
      <c r="B100" s="108"/>
      <c r="C100" s="108"/>
      <c r="D100" s="108"/>
      <c r="E100" s="108"/>
      <c r="F100" s="108"/>
      <c r="G100" s="108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ht="10.5" customHeight="1">
      <c r="A101" s="108"/>
      <c r="B101" s="108"/>
      <c r="C101" s="108"/>
      <c r="D101" s="108"/>
      <c r="E101" s="108"/>
      <c r="F101" s="108"/>
      <c r="G101" s="108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ht="10.5" customHeight="1">
      <c r="A102" s="108"/>
      <c r="B102" s="108"/>
      <c r="C102" s="108"/>
      <c r="D102" s="108"/>
      <c r="E102" s="108"/>
      <c r="F102" s="108"/>
      <c r="G102" s="108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ht="10.5" customHeight="1">
      <c r="A103" s="108"/>
      <c r="B103" s="108"/>
      <c r="C103" s="108"/>
      <c r="D103" s="108"/>
      <c r="E103" s="108"/>
      <c r="F103" s="108"/>
      <c r="G103" s="108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ht="10.5" customHeight="1">
      <c r="A104" s="108"/>
      <c r="B104" s="108"/>
      <c r="C104" s="108"/>
      <c r="D104" s="108"/>
      <c r="E104" s="108"/>
      <c r="F104" s="108"/>
      <c r="G104" s="108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ht="10.5" customHeight="1">
      <c r="A105" s="108"/>
      <c r="B105" s="108"/>
      <c r="C105" s="108"/>
      <c r="D105" s="108"/>
      <c r="E105" s="108"/>
      <c r="F105" s="108"/>
      <c r="G105" s="108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ht="10.5" customHeight="1">
      <c r="A106" s="108"/>
      <c r="B106" s="108"/>
      <c r="C106" s="108"/>
      <c r="D106" s="108"/>
      <c r="E106" s="108"/>
      <c r="F106" s="108"/>
      <c r="G106" s="108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ht="10.5" customHeight="1">
      <c r="A107" s="108"/>
      <c r="B107" s="108"/>
      <c r="C107" s="108"/>
      <c r="D107" s="108"/>
      <c r="E107" s="108"/>
      <c r="F107" s="108"/>
      <c r="G107" s="108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ht="10.5" customHeight="1">
      <c r="A108" s="108"/>
      <c r="B108" s="108"/>
      <c r="C108" s="108"/>
      <c r="D108" s="108"/>
      <c r="E108" s="108"/>
      <c r="F108" s="108"/>
      <c r="G108" s="108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ht="10.5" customHeight="1">
      <c r="A109" s="108"/>
      <c r="B109" s="108"/>
      <c r="C109" s="108"/>
      <c r="D109" s="108"/>
      <c r="E109" s="108"/>
      <c r="F109" s="108"/>
      <c r="G109" s="108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ht="10.5" customHeight="1">
      <c r="A110" s="108"/>
      <c r="B110" s="108"/>
      <c r="C110" s="108"/>
      <c r="D110" s="108"/>
      <c r="E110" s="108"/>
      <c r="F110" s="108"/>
      <c r="G110" s="108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ht="10.5" customHeight="1">
      <c r="A111" s="108"/>
      <c r="B111" s="108"/>
      <c r="C111" s="108"/>
      <c r="D111" s="108"/>
      <c r="E111" s="108"/>
      <c r="F111" s="108"/>
      <c r="G111" s="108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ht="10.5" customHeight="1">
      <c r="A112" s="108"/>
      <c r="B112" s="108"/>
      <c r="C112" s="108"/>
      <c r="D112" s="108"/>
      <c r="E112" s="108"/>
      <c r="F112" s="108"/>
      <c r="G112" s="108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ht="10.5" customHeight="1">
      <c r="A113" s="108"/>
      <c r="B113" s="108"/>
      <c r="C113" s="108"/>
      <c r="D113" s="108"/>
      <c r="E113" s="108"/>
      <c r="F113" s="108"/>
      <c r="G113" s="108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ht="10.5" customHeight="1">
      <c r="A114" s="108"/>
      <c r="B114" s="108"/>
      <c r="C114" s="108"/>
      <c r="D114" s="108"/>
      <c r="E114" s="108"/>
      <c r="F114" s="108"/>
      <c r="G114" s="108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ht="10.5" customHeight="1">
      <c r="A115" s="108"/>
      <c r="B115" s="108"/>
      <c r="C115" s="108"/>
      <c r="D115" s="108"/>
      <c r="E115" s="108"/>
      <c r="F115" s="108"/>
      <c r="G115" s="108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ht="10.5" customHeight="1">
      <c r="A116" s="108"/>
      <c r="B116" s="108"/>
      <c r="C116" s="108"/>
      <c r="D116" s="108"/>
      <c r="E116" s="108"/>
      <c r="F116" s="108"/>
      <c r="G116" s="108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ht="10.5" customHeight="1">
      <c r="A117" s="108"/>
      <c r="B117" s="108"/>
      <c r="C117" s="108"/>
      <c r="D117" s="108"/>
      <c r="E117" s="108"/>
      <c r="F117" s="108"/>
      <c r="G117" s="10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ht="10.5" customHeight="1">
      <c r="A118" s="108"/>
      <c r="B118" s="108"/>
      <c r="C118" s="108"/>
      <c r="D118" s="108"/>
      <c r="E118" s="108"/>
      <c r="F118" s="108"/>
      <c r="G118" s="108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ht="10.5" customHeight="1">
      <c r="A119" s="108"/>
      <c r="B119" s="108"/>
      <c r="C119" s="108"/>
      <c r="D119" s="108"/>
      <c r="E119" s="108"/>
      <c r="F119" s="108"/>
      <c r="G119" s="108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ht="10.5" customHeight="1">
      <c r="A120" s="108"/>
      <c r="B120" s="108"/>
      <c r="C120" s="108"/>
      <c r="D120" s="108"/>
      <c r="E120" s="108"/>
      <c r="F120" s="108"/>
      <c r="G120" s="108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ht="10.5" customHeight="1">
      <c r="A121" s="108"/>
      <c r="B121" s="108"/>
      <c r="C121" s="108"/>
      <c r="D121" s="108"/>
      <c r="E121" s="108"/>
      <c r="F121" s="108"/>
      <c r="G121" s="10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ht="10.5" customHeight="1">
      <c r="A122" s="108"/>
      <c r="B122" s="108"/>
      <c r="C122" s="108"/>
      <c r="D122" s="108"/>
      <c r="E122" s="108"/>
      <c r="F122" s="108"/>
      <c r="G122" s="108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0.5" customHeight="1">
      <c r="A123" s="108"/>
      <c r="B123" s="108"/>
      <c r="C123" s="108"/>
      <c r="D123" s="108"/>
      <c r="E123" s="108"/>
      <c r="F123" s="108"/>
      <c r="G123" s="108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0.5" customHeight="1">
      <c r="A124" s="108"/>
      <c r="B124" s="108"/>
      <c r="C124" s="108"/>
      <c r="D124" s="108"/>
      <c r="E124" s="108"/>
      <c r="F124" s="108"/>
      <c r="G124" s="108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0.5" customHeight="1">
      <c r="A125" s="108"/>
      <c r="B125" s="108"/>
      <c r="C125" s="108"/>
      <c r="D125" s="108"/>
      <c r="E125" s="108"/>
      <c r="F125" s="108"/>
      <c r="G125" s="10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0.5" customHeight="1">
      <c r="A126" s="108"/>
      <c r="B126" s="108"/>
      <c r="C126" s="108"/>
      <c r="D126" s="108"/>
      <c r="E126" s="108"/>
      <c r="F126" s="108"/>
      <c r="G126" s="108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0.5" customHeight="1">
      <c r="A127" s="108"/>
      <c r="B127" s="108"/>
      <c r="C127" s="108"/>
      <c r="D127" s="108"/>
      <c r="E127" s="108"/>
      <c r="F127" s="108"/>
      <c r="G127" s="108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0.5" customHeight="1">
      <c r="A128" s="108"/>
      <c r="B128" s="108"/>
      <c r="C128" s="108"/>
      <c r="D128" s="108"/>
      <c r="E128" s="108"/>
      <c r="F128" s="108"/>
      <c r="G128" s="108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0.5" customHeight="1">
      <c r="A129" s="108"/>
      <c r="B129" s="108"/>
      <c r="C129" s="108"/>
      <c r="D129" s="108"/>
      <c r="E129" s="108"/>
      <c r="F129" s="108"/>
      <c r="G129" s="108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0.5" customHeight="1">
      <c r="A130" s="108"/>
      <c r="B130" s="108"/>
      <c r="C130" s="108"/>
      <c r="D130" s="108"/>
      <c r="E130" s="108"/>
      <c r="F130" s="108"/>
      <c r="G130" s="108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0.5" customHeight="1">
      <c r="A131" s="108"/>
      <c r="B131" s="108"/>
      <c r="C131" s="108"/>
      <c r="D131" s="108"/>
      <c r="E131" s="108"/>
      <c r="F131" s="108"/>
      <c r="G131" s="108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0.5" customHeight="1">
      <c r="A132" s="108"/>
      <c r="B132" s="108"/>
      <c r="C132" s="108"/>
      <c r="D132" s="108"/>
      <c r="E132" s="108"/>
      <c r="F132" s="108"/>
      <c r="G132" s="108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0.5" customHeight="1">
      <c r="A133" s="108"/>
      <c r="B133" s="108"/>
      <c r="C133" s="108"/>
      <c r="D133" s="108"/>
      <c r="E133" s="108"/>
      <c r="F133" s="108"/>
      <c r="G133" s="10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0.5" customHeight="1">
      <c r="A134" s="108"/>
      <c r="B134" s="108"/>
      <c r="C134" s="108"/>
      <c r="D134" s="108"/>
      <c r="E134" s="108"/>
      <c r="F134" s="108"/>
      <c r="G134" s="108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0.5" customHeight="1">
      <c r="A135" s="108"/>
      <c r="B135" s="108"/>
      <c r="C135" s="108"/>
      <c r="D135" s="108"/>
      <c r="E135" s="108"/>
      <c r="F135" s="108"/>
      <c r="G135" s="108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0.5" customHeight="1">
      <c r="A136" s="108"/>
      <c r="B136" s="108"/>
      <c r="C136" s="108"/>
      <c r="D136" s="108"/>
      <c r="E136" s="108"/>
      <c r="F136" s="108"/>
      <c r="G136" s="108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0.5" customHeight="1">
      <c r="A137" s="108"/>
      <c r="B137" s="108"/>
      <c r="C137" s="108"/>
      <c r="D137" s="108"/>
      <c r="E137" s="108"/>
      <c r="F137" s="108"/>
      <c r="G137" s="108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0.5" customHeight="1">
      <c r="A138" s="108"/>
      <c r="B138" s="108"/>
      <c r="C138" s="108"/>
      <c r="D138" s="108"/>
      <c r="E138" s="108"/>
      <c r="F138" s="108"/>
      <c r="G138" s="108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0.5" customHeight="1">
      <c r="A139" s="108"/>
      <c r="B139" s="108"/>
      <c r="C139" s="108"/>
      <c r="D139" s="108"/>
      <c r="E139" s="108"/>
      <c r="F139" s="108"/>
      <c r="G139" s="108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0.5" customHeight="1">
      <c r="A140" s="108"/>
      <c r="B140" s="108"/>
      <c r="C140" s="108"/>
      <c r="D140" s="108"/>
      <c r="E140" s="108"/>
      <c r="F140" s="108"/>
      <c r="G140" s="108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0.5" customHeight="1">
      <c r="A141" s="108"/>
      <c r="B141" s="108"/>
      <c r="C141" s="108"/>
      <c r="D141" s="108"/>
      <c r="E141" s="108"/>
      <c r="F141" s="108"/>
      <c r="G141" s="10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0.5" customHeight="1">
      <c r="A142" s="108"/>
      <c r="B142" s="108"/>
      <c r="C142" s="108"/>
      <c r="D142" s="108"/>
      <c r="E142" s="108"/>
      <c r="F142" s="108"/>
      <c r="G142" s="108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0.5" customHeight="1">
      <c r="A143" s="108"/>
      <c r="B143" s="108"/>
      <c r="C143" s="108"/>
      <c r="D143" s="108"/>
      <c r="E143" s="108"/>
      <c r="F143" s="108"/>
      <c r="G143" s="108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0.5" customHeight="1">
      <c r="A144" s="108"/>
      <c r="B144" s="108"/>
      <c r="C144" s="108"/>
      <c r="D144" s="108"/>
      <c r="E144" s="108"/>
      <c r="F144" s="108"/>
      <c r="G144" s="108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0.5" customHeight="1">
      <c r="A145" s="108"/>
      <c r="B145" s="108"/>
      <c r="C145" s="108"/>
      <c r="D145" s="108"/>
      <c r="E145" s="108"/>
      <c r="F145" s="108"/>
      <c r="G145" s="10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0.5" customHeight="1">
      <c r="A146" s="108"/>
      <c r="B146" s="108"/>
      <c r="C146" s="108"/>
      <c r="D146" s="108"/>
      <c r="E146" s="108"/>
      <c r="F146" s="108"/>
      <c r="G146" s="108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0.5" customHeight="1">
      <c r="A147" s="108"/>
      <c r="B147" s="108"/>
      <c r="C147" s="108"/>
      <c r="D147" s="108"/>
      <c r="E147" s="108"/>
      <c r="F147" s="108"/>
      <c r="G147" s="108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0.5" customHeight="1">
      <c r="A148" s="108"/>
      <c r="B148" s="108"/>
      <c r="C148" s="108"/>
      <c r="D148" s="108"/>
      <c r="E148" s="108"/>
      <c r="F148" s="108"/>
      <c r="G148" s="108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0.5" customHeight="1">
      <c r="A149" s="108"/>
      <c r="B149" s="108"/>
      <c r="C149" s="108"/>
      <c r="D149" s="108"/>
      <c r="E149" s="108"/>
      <c r="F149" s="108"/>
      <c r="G149" s="108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0.5" customHeight="1">
      <c r="A150" s="108"/>
      <c r="B150" s="108"/>
      <c r="C150" s="108"/>
      <c r="D150" s="108"/>
      <c r="E150" s="108"/>
      <c r="F150" s="108"/>
      <c r="G150" s="108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0.5" customHeight="1">
      <c r="A151" s="108"/>
      <c r="B151" s="108"/>
      <c r="C151" s="108"/>
      <c r="D151" s="108"/>
      <c r="E151" s="108"/>
      <c r="F151" s="108"/>
      <c r="G151" s="108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0.5" customHeight="1">
      <c r="A152" s="108"/>
      <c r="B152" s="108"/>
      <c r="C152" s="108"/>
      <c r="D152" s="108"/>
      <c r="E152" s="108"/>
      <c r="F152" s="108"/>
      <c r="G152" s="108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0.5" customHeight="1">
      <c r="A153" s="108"/>
      <c r="B153" s="108"/>
      <c r="C153" s="108"/>
      <c r="D153" s="108"/>
      <c r="E153" s="108"/>
      <c r="F153" s="108"/>
      <c r="G153" s="108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0.5" customHeight="1">
      <c r="A154" s="108"/>
      <c r="B154" s="108"/>
      <c r="C154" s="108"/>
      <c r="D154" s="108"/>
      <c r="E154" s="108"/>
      <c r="F154" s="108"/>
      <c r="G154" s="108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0.5" customHeight="1">
      <c r="A155" s="108"/>
      <c r="B155" s="108"/>
      <c r="C155" s="108"/>
      <c r="D155" s="108"/>
      <c r="E155" s="108"/>
      <c r="F155" s="108"/>
      <c r="G155" s="108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0.5" customHeight="1">
      <c r="A156" s="108"/>
      <c r="B156" s="108"/>
      <c r="C156" s="108"/>
      <c r="D156" s="108"/>
      <c r="E156" s="108"/>
      <c r="F156" s="108"/>
      <c r="G156" s="108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0.5" customHeight="1">
      <c r="A157" s="108"/>
      <c r="B157" s="108"/>
      <c r="C157" s="108"/>
      <c r="D157" s="108"/>
      <c r="E157" s="108"/>
      <c r="F157" s="108"/>
      <c r="G157" s="108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0.5" customHeight="1">
      <c r="A158" s="108"/>
      <c r="B158" s="108"/>
      <c r="C158" s="108"/>
      <c r="D158" s="108"/>
      <c r="E158" s="108"/>
      <c r="F158" s="108"/>
      <c r="G158" s="108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0.5" customHeight="1">
      <c r="A159" s="108"/>
      <c r="B159" s="108"/>
      <c r="C159" s="108"/>
      <c r="D159" s="108"/>
      <c r="E159" s="108"/>
      <c r="F159" s="108"/>
      <c r="G159" s="108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0.5" customHeight="1">
      <c r="A160" s="108"/>
      <c r="B160" s="108"/>
      <c r="C160" s="108"/>
      <c r="D160" s="108"/>
      <c r="E160" s="108"/>
      <c r="F160" s="108"/>
      <c r="G160" s="108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0.5" customHeight="1">
      <c r="A161" s="108"/>
      <c r="B161" s="108"/>
      <c r="C161" s="108"/>
      <c r="D161" s="108"/>
      <c r="E161" s="108"/>
      <c r="F161" s="108"/>
      <c r="G161" s="108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0.5" customHeight="1">
      <c r="A162" s="108"/>
      <c r="B162" s="108"/>
      <c r="C162" s="108"/>
      <c r="D162" s="108"/>
      <c r="E162" s="108"/>
      <c r="F162" s="108"/>
      <c r="G162" s="108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0.5" customHeight="1">
      <c r="A163" s="108"/>
      <c r="B163" s="108"/>
      <c r="C163" s="108"/>
      <c r="D163" s="108"/>
      <c r="E163" s="108"/>
      <c r="F163" s="108"/>
      <c r="G163" s="108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0.5" customHeight="1">
      <c r="A164" s="108"/>
      <c r="B164" s="108"/>
      <c r="C164" s="108"/>
      <c r="D164" s="108"/>
      <c r="E164" s="108"/>
      <c r="F164" s="108"/>
      <c r="G164" s="108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0.5" customHeight="1">
      <c r="A165" s="108"/>
      <c r="B165" s="108"/>
      <c r="C165" s="108"/>
      <c r="D165" s="108"/>
      <c r="E165" s="108"/>
      <c r="F165" s="108"/>
      <c r="G165" s="108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0.5" customHeight="1">
      <c r="A166" s="108"/>
      <c r="B166" s="108"/>
      <c r="C166" s="108"/>
      <c r="D166" s="108"/>
      <c r="E166" s="108"/>
      <c r="F166" s="108"/>
      <c r="G166" s="108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0.5" customHeight="1">
      <c r="A167" s="108"/>
      <c r="B167" s="108"/>
      <c r="C167" s="108"/>
      <c r="D167" s="108"/>
      <c r="E167" s="108"/>
      <c r="F167" s="108"/>
      <c r="G167" s="108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0.5" customHeight="1">
      <c r="A168" s="108"/>
      <c r="B168" s="108"/>
      <c r="C168" s="108"/>
      <c r="D168" s="108"/>
      <c r="E168" s="108"/>
      <c r="F168" s="108"/>
      <c r="G168" s="108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0.5" customHeight="1">
      <c r="A169" s="108"/>
      <c r="B169" s="108"/>
      <c r="C169" s="108"/>
      <c r="D169" s="108"/>
      <c r="E169" s="108"/>
      <c r="F169" s="108"/>
      <c r="G169" s="108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0.5" customHeight="1">
      <c r="A170" s="108"/>
      <c r="B170" s="108"/>
      <c r="C170" s="108"/>
      <c r="D170" s="108"/>
      <c r="E170" s="108"/>
      <c r="F170" s="108"/>
      <c r="G170" s="108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0.5" customHeight="1">
      <c r="A171" s="108"/>
      <c r="B171" s="108"/>
      <c r="C171" s="108"/>
      <c r="D171" s="108"/>
      <c r="E171" s="108"/>
      <c r="F171" s="108"/>
      <c r="G171" s="108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0.5" customHeight="1">
      <c r="A172" s="108"/>
      <c r="B172" s="108"/>
      <c r="C172" s="108"/>
      <c r="D172" s="108"/>
      <c r="E172" s="108"/>
      <c r="F172" s="108"/>
      <c r="G172" s="108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0.5" customHeight="1">
      <c r="A173" s="108"/>
      <c r="B173" s="108"/>
      <c r="C173" s="108"/>
      <c r="D173" s="108"/>
      <c r="E173" s="108"/>
      <c r="F173" s="108"/>
      <c r="G173" s="10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0.5" customHeight="1">
      <c r="A174" s="108"/>
      <c r="B174" s="108"/>
      <c r="C174" s="108"/>
      <c r="D174" s="108"/>
      <c r="E174" s="108"/>
      <c r="F174" s="108"/>
      <c r="G174" s="108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0.5" customHeight="1">
      <c r="A175" s="108"/>
      <c r="B175" s="108"/>
      <c r="C175" s="108"/>
      <c r="D175" s="108"/>
      <c r="E175" s="108"/>
      <c r="F175" s="108"/>
      <c r="G175" s="108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0.5" customHeight="1">
      <c r="A176" s="108"/>
      <c r="B176" s="108"/>
      <c r="C176" s="108"/>
      <c r="D176" s="108"/>
      <c r="E176" s="108"/>
      <c r="F176" s="108"/>
      <c r="G176" s="108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0.5" customHeight="1">
      <c r="A177" s="108"/>
      <c r="B177" s="108"/>
      <c r="C177" s="108"/>
      <c r="D177" s="108"/>
      <c r="E177" s="108"/>
      <c r="F177" s="108"/>
      <c r="G177" s="108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0.5" customHeight="1">
      <c r="A178" s="108"/>
      <c r="B178" s="108"/>
      <c r="C178" s="108"/>
      <c r="D178" s="108"/>
      <c r="E178" s="108"/>
      <c r="F178" s="108"/>
      <c r="G178" s="108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0.5" customHeight="1">
      <c r="A179" s="108"/>
      <c r="B179" s="108"/>
      <c r="C179" s="108"/>
      <c r="D179" s="108"/>
      <c r="E179" s="108"/>
      <c r="F179" s="108"/>
      <c r="G179" s="108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0.5" customHeight="1">
      <c r="A180" s="108"/>
      <c r="B180" s="108"/>
      <c r="C180" s="108"/>
      <c r="D180" s="108"/>
      <c r="E180" s="108"/>
      <c r="F180" s="108"/>
      <c r="G180" s="108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0.5" customHeight="1">
      <c r="A181" s="108"/>
      <c r="B181" s="108"/>
      <c r="C181" s="108"/>
      <c r="D181" s="108"/>
      <c r="E181" s="108"/>
      <c r="F181" s="108"/>
      <c r="G181" s="10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0.5" customHeight="1">
      <c r="A182" s="108"/>
      <c r="B182" s="108"/>
      <c r="C182" s="108"/>
      <c r="D182" s="108"/>
      <c r="E182" s="108"/>
      <c r="F182" s="108"/>
      <c r="G182" s="108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0.5" customHeight="1">
      <c r="A183" s="108"/>
      <c r="B183" s="108"/>
      <c r="C183" s="108"/>
      <c r="D183" s="108"/>
      <c r="E183" s="108"/>
      <c r="F183" s="108"/>
      <c r="G183" s="108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0.5" customHeight="1">
      <c r="A184" s="108"/>
      <c r="B184" s="108"/>
      <c r="C184" s="108"/>
      <c r="D184" s="108"/>
      <c r="E184" s="108"/>
      <c r="F184" s="108"/>
      <c r="G184" s="108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0.5" customHeight="1">
      <c r="A185" s="108"/>
      <c r="B185" s="108"/>
      <c r="C185" s="108"/>
      <c r="D185" s="108"/>
      <c r="E185" s="108"/>
      <c r="F185" s="108"/>
      <c r="G185" s="108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0.5" customHeight="1">
      <c r="A186" s="108"/>
      <c r="B186" s="108"/>
      <c r="C186" s="108"/>
      <c r="D186" s="108"/>
      <c r="E186" s="108"/>
      <c r="F186" s="108"/>
      <c r="G186" s="108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0.5" customHeight="1">
      <c r="A187" s="108"/>
      <c r="B187" s="108"/>
      <c r="C187" s="108"/>
      <c r="D187" s="108"/>
      <c r="E187" s="108"/>
      <c r="F187" s="108"/>
      <c r="G187" s="108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0.5" customHeight="1">
      <c r="A188" s="108"/>
      <c r="B188" s="108"/>
      <c r="C188" s="108"/>
      <c r="D188" s="108"/>
      <c r="E188" s="108"/>
      <c r="F188" s="108"/>
      <c r="G188" s="108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0.5" customHeight="1">
      <c r="A189" s="108"/>
      <c r="B189" s="108"/>
      <c r="C189" s="108"/>
      <c r="D189" s="108"/>
      <c r="E189" s="108"/>
      <c r="F189" s="108"/>
      <c r="G189" s="108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0.5" customHeight="1">
      <c r="A190" s="108"/>
      <c r="B190" s="108"/>
      <c r="C190" s="108"/>
      <c r="D190" s="108"/>
      <c r="E190" s="108"/>
      <c r="F190" s="108"/>
      <c r="G190" s="108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0.5" customHeight="1">
      <c r="A191" s="108"/>
      <c r="B191" s="108"/>
      <c r="C191" s="108"/>
      <c r="D191" s="108"/>
      <c r="E191" s="108"/>
      <c r="F191" s="108"/>
      <c r="G191" s="108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0.5" customHeight="1">
      <c r="A192" s="108"/>
      <c r="B192" s="108"/>
      <c r="C192" s="108"/>
      <c r="D192" s="108"/>
      <c r="E192" s="108"/>
      <c r="F192" s="108"/>
      <c r="G192" s="108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0.5" customHeight="1">
      <c r="A193" s="108"/>
      <c r="B193" s="108"/>
      <c r="C193" s="108"/>
      <c r="D193" s="108"/>
      <c r="E193" s="108"/>
      <c r="F193" s="108"/>
      <c r="G193" s="10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0.5" customHeight="1">
      <c r="A194" s="108"/>
      <c r="B194" s="108"/>
      <c r="C194" s="108"/>
      <c r="D194" s="108"/>
      <c r="E194" s="108"/>
      <c r="F194" s="108"/>
      <c r="G194" s="108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0.5" customHeight="1">
      <c r="A195" s="108"/>
      <c r="B195" s="108"/>
      <c r="C195" s="108"/>
      <c r="D195" s="108"/>
      <c r="E195" s="108"/>
      <c r="F195" s="108"/>
      <c r="G195" s="108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0.5" customHeight="1">
      <c r="A196" s="108"/>
      <c r="B196" s="108"/>
      <c r="C196" s="108"/>
      <c r="D196" s="108"/>
      <c r="E196" s="108"/>
      <c r="F196" s="108"/>
      <c r="G196" s="10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0.5" customHeight="1">
      <c r="A197" s="108"/>
      <c r="B197" s="108"/>
      <c r="C197" s="108"/>
      <c r="D197" s="108"/>
      <c r="E197" s="108"/>
      <c r="F197" s="108"/>
      <c r="G197" s="10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0.5" customHeight="1">
      <c r="A198" s="108"/>
      <c r="B198" s="108"/>
      <c r="C198" s="108"/>
      <c r="D198" s="108"/>
      <c r="E198" s="108"/>
      <c r="F198" s="108"/>
      <c r="G198" s="108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0.5" customHeight="1">
      <c r="A199" s="108"/>
      <c r="B199" s="108"/>
      <c r="C199" s="108"/>
      <c r="D199" s="108"/>
      <c r="E199" s="108"/>
      <c r="F199" s="108"/>
      <c r="G199" s="108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0.5" customHeight="1">
      <c r="A200" s="108"/>
      <c r="B200" s="108"/>
      <c r="C200" s="108"/>
      <c r="D200" s="108"/>
      <c r="E200" s="108"/>
      <c r="F200" s="108"/>
      <c r="G200" s="108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0.5" customHeight="1">
      <c r="A201" s="108"/>
      <c r="B201" s="108"/>
      <c r="C201" s="108"/>
      <c r="D201" s="108"/>
      <c r="E201" s="108"/>
      <c r="F201" s="108"/>
      <c r="G201" s="10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0.5" customHeight="1">
      <c r="A202" s="108"/>
      <c r="B202" s="108"/>
      <c r="C202" s="108"/>
      <c r="D202" s="108"/>
      <c r="E202" s="108"/>
      <c r="F202" s="108"/>
      <c r="G202" s="108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0.5" customHeight="1">
      <c r="A203" s="108"/>
      <c r="B203" s="108"/>
      <c r="C203" s="108"/>
      <c r="D203" s="108"/>
      <c r="E203" s="108"/>
      <c r="F203" s="108"/>
      <c r="G203" s="108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0.5" customHeight="1">
      <c r="A204" s="108"/>
      <c r="B204" s="108"/>
      <c r="C204" s="108"/>
      <c r="D204" s="108"/>
      <c r="E204" s="108"/>
      <c r="F204" s="108"/>
      <c r="G204" s="108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0.5" customHeight="1">
      <c r="A205" s="108"/>
      <c r="B205" s="108"/>
      <c r="C205" s="108"/>
      <c r="D205" s="108"/>
      <c r="E205" s="108"/>
      <c r="F205" s="108"/>
      <c r="G205" s="10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0.5" customHeight="1">
      <c r="A206" s="108"/>
      <c r="B206" s="108"/>
      <c r="C206" s="108"/>
      <c r="D206" s="108"/>
      <c r="E206" s="108"/>
      <c r="F206" s="108"/>
      <c r="G206" s="108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0.5" customHeight="1">
      <c r="A207" s="108"/>
      <c r="B207" s="108"/>
      <c r="C207" s="108"/>
      <c r="D207" s="108"/>
      <c r="E207" s="108"/>
      <c r="F207" s="108"/>
      <c r="G207" s="108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0.5" customHeight="1">
      <c r="A208" s="108"/>
      <c r="B208" s="108"/>
      <c r="C208" s="108"/>
      <c r="D208" s="108"/>
      <c r="E208" s="108"/>
      <c r="F208" s="108"/>
      <c r="G208" s="108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0.5" customHeight="1">
      <c r="A209" s="108"/>
      <c r="B209" s="108"/>
      <c r="C209" s="108"/>
      <c r="D209" s="108"/>
      <c r="E209" s="108"/>
      <c r="F209" s="108"/>
      <c r="G209" s="10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0.5" customHeight="1">
      <c r="A210" s="108"/>
      <c r="B210" s="108"/>
      <c r="C210" s="108"/>
      <c r="D210" s="108"/>
      <c r="E210" s="108"/>
      <c r="F210" s="108"/>
      <c r="G210" s="108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0.5" customHeight="1">
      <c r="A211" s="108"/>
      <c r="B211" s="108"/>
      <c r="C211" s="108"/>
      <c r="D211" s="108"/>
      <c r="E211" s="108"/>
      <c r="F211" s="108"/>
      <c r="G211" s="108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0.5" customHeight="1">
      <c r="A212" s="108"/>
      <c r="B212" s="108"/>
      <c r="C212" s="108"/>
      <c r="D212" s="108"/>
      <c r="E212" s="108"/>
      <c r="F212" s="108"/>
      <c r="G212" s="108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0.5" customHeight="1">
      <c r="A213" s="108"/>
      <c r="B213" s="108"/>
      <c r="C213" s="108"/>
      <c r="D213" s="108"/>
      <c r="E213" s="108"/>
      <c r="F213" s="108"/>
      <c r="G213" s="10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0.5" customHeight="1">
      <c r="A214" s="108"/>
      <c r="B214" s="108"/>
      <c r="C214" s="108"/>
      <c r="D214" s="108"/>
      <c r="E214" s="108"/>
      <c r="F214" s="108"/>
      <c r="G214" s="108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0.5" customHeight="1">
      <c r="A215" s="108"/>
      <c r="B215" s="108"/>
      <c r="C215" s="108"/>
      <c r="D215" s="108"/>
      <c r="E215" s="108"/>
      <c r="F215" s="108"/>
      <c r="G215" s="108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0.5" customHeight="1">
      <c r="A216" s="108"/>
      <c r="B216" s="108"/>
      <c r="C216" s="108"/>
      <c r="D216" s="108"/>
      <c r="E216" s="108"/>
      <c r="F216" s="108"/>
      <c r="G216" s="108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0.5" customHeight="1">
      <c r="A217" s="108"/>
      <c r="B217" s="108"/>
      <c r="C217" s="108"/>
      <c r="D217" s="108"/>
      <c r="E217" s="108"/>
      <c r="F217" s="108"/>
      <c r="G217" s="10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0.5" customHeight="1">
      <c r="A218" s="108"/>
      <c r="B218" s="108"/>
      <c r="C218" s="108"/>
      <c r="D218" s="108"/>
      <c r="E218" s="108"/>
      <c r="F218" s="108"/>
      <c r="G218" s="108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0.5" customHeight="1">
      <c r="A219" s="108"/>
      <c r="B219" s="108"/>
      <c r="C219" s="108"/>
      <c r="D219" s="108"/>
      <c r="E219" s="108"/>
      <c r="F219" s="108"/>
      <c r="G219" s="108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0.5" customHeight="1">
      <c r="A220" s="108"/>
      <c r="B220" s="108"/>
      <c r="C220" s="108"/>
      <c r="D220" s="108"/>
      <c r="E220" s="108"/>
      <c r="F220" s="108"/>
      <c r="G220" s="108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0.5" customHeight="1">
      <c r="A221" s="108"/>
      <c r="B221" s="108"/>
      <c r="C221" s="108"/>
      <c r="D221" s="108"/>
      <c r="E221" s="108"/>
      <c r="F221" s="108"/>
      <c r="G221" s="10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0.5" customHeight="1">
      <c r="A222" s="108"/>
      <c r="B222" s="108"/>
      <c r="C222" s="108"/>
      <c r="D222" s="108"/>
      <c r="E222" s="108"/>
      <c r="F222" s="108"/>
      <c r="G222" s="108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0.5" customHeight="1">
      <c r="A223" s="108"/>
      <c r="B223" s="108"/>
      <c r="C223" s="108"/>
      <c r="D223" s="108"/>
      <c r="E223" s="108"/>
      <c r="F223" s="108"/>
      <c r="G223" s="108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0.5" customHeight="1">
      <c r="A224" s="108"/>
      <c r="B224" s="108"/>
      <c r="C224" s="108"/>
      <c r="D224" s="108"/>
      <c r="E224" s="108"/>
      <c r="F224" s="108"/>
      <c r="G224" s="108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0.5" customHeight="1">
      <c r="A225" s="108"/>
      <c r="B225" s="108"/>
      <c r="C225" s="108"/>
      <c r="D225" s="108"/>
      <c r="E225" s="108"/>
      <c r="F225" s="108"/>
      <c r="G225" s="10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0.5" customHeight="1">
      <c r="A226" s="108"/>
      <c r="B226" s="108"/>
      <c r="C226" s="108"/>
      <c r="D226" s="108"/>
      <c r="E226" s="108"/>
      <c r="F226" s="108"/>
      <c r="G226" s="108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0.5" customHeight="1">
      <c r="A227" s="108"/>
      <c r="B227" s="108"/>
      <c r="C227" s="108"/>
      <c r="D227" s="108"/>
      <c r="E227" s="108"/>
      <c r="F227" s="108"/>
      <c r="G227" s="108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0.5" customHeight="1">
      <c r="A228" s="108"/>
      <c r="B228" s="108"/>
      <c r="C228" s="108"/>
      <c r="D228" s="108"/>
      <c r="E228" s="108"/>
      <c r="F228" s="108"/>
      <c r="G228" s="108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0.5" customHeight="1">
      <c r="A229" s="108"/>
      <c r="B229" s="108"/>
      <c r="C229" s="108"/>
      <c r="D229" s="108"/>
      <c r="E229" s="108"/>
      <c r="F229" s="108"/>
      <c r="G229" s="10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0.5" customHeight="1">
      <c r="A230" s="108"/>
      <c r="B230" s="108"/>
      <c r="C230" s="108"/>
      <c r="D230" s="108"/>
      <c r="E230" s="108"/>
      <c r="F230" s="108"/>
      <c r="G230" s="108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0.5" customHeight="1">
      <c r="A231" s="108"/>
      <c r="B231" s="108"/>
      <c r="C231" s="108"/>
      <c r="D231" s="108"/>
      <c r="E231" s="108"/>
      <c r="F231" s="108"/>
      <c r="G231" s="108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0.5" customHeight="1">
      <c r="A232" s="108"/>
      <c r="B232" s="108"/>
      <c r="C232" s="108"/>
      <c r="D232" s="108"/>
      <c r="E232" s="108"/>
      <c r="F232" s="108"/>
      <c r="G232" s="108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0.5" customHeight="1">
      <c r="A233" s="108"/>
      <c r="B233" s="108"/>
      <c r="C233" s="108"/>
      <c r="D233" s="108"/>
      <c r="E233" s="108"/>
      <c r="F233" s="108"/>
      <c r="G233" s="10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0.5" customHeight="1">
      <c r="A234" s="108"/>
      <c r="B234" s="108"/>
      <c r="C234" s="108"/>
      <c r="D234" s="108"/>
      <c r="E234" s="108"/>
      <c r="F234" s="108"/>
      <c r="G234" s="108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0.5" customHeight="1">
      <c r="A235" s="108"/>
      <c r="B235" s="108"/>
      <c r="C235" s="108"/>
      <c r="D235" s="108"/>
      <c r="E235" s="108"/>
      <c r="F235" s="108"/>
      <c r="G235" s="108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0.5" customHeight="1">
      <c r="A236" s="108"/>
      <c r="B236" s="108"/>
      <c r="C236" s="108"/>
      <c r="D236" s="108"/>
      <c r="E236" s="108"/>
      <c r="F236" s="108"/>
      <c r="G236" s="108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0.5" customHeight="1">
      <c r="A237" s="108"/>
      <c r="B237" s="108"/>
      <c r="C237" s="108"/>
      <c r="D237" s="108"/>
      <c r="E237" s="108"/>
      <c r="F237" s="108"/>
      <c r="G237" s="10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0.5" customHeight="1">
      <c r="A238" s="108"/>
      <c r="B238" s="108"/>
      <c r="C238" s="108"/>
      <c r="D238" s="108"/>
      <c r="E238" s="108"/>
      <c r="F238" s="108"/>
      <c r="G238" s="108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0.5" customHeight="1">
      <c r="A239" s="108"/>
      <c r="B239" s="108"/>
      <c r="C239" s="108"/>
      <c r="D239" s="108"/>
      <c r="E239" s="108"/>
      <c r="F239" s="108"/>
      <c r="G239" s="108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0.5" customHeight="1">
      <c r="A240" s="108"/>
      <c r="B240" s="108"/>
      <c r="C240" s="108"/>
      <c r="D240" s="108"/>
      <c r="E240" s="108"/>
      <c r="F240" s="108"/>
      <c r="G240" s="108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0.5" customHeight="1">
      <c r="A241" s="108"/>
      <c r="B241" s="108"/>
      <c r="C241" s="108"/>
      <c r="D241" s="108"/>
      <c r="E241" s="108"/>
      <c r="F241" s="108"/>
      <c r="G241" s="10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0.5" customHeight="1">
      <c r="A242" s="108"/>
      <c r="B242" s="108"/>
      <c r="C242" s="108"/>
      <c r="D242" s="108"/>
      <c r="E242" s="108"/>
      <c r="F242" s="108"/>
      <c r="G242" s="108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0.5" customHeight="1">
      <c r="A243" s="108"/>
      <c r="B243" s="108"/>
      <c r="C243" s="108"/>
      <c r="D243" s="108"/>
      <c r="E243" s="108"/>
      <c r="F243" s="108"/>
      <c r="G243" s="108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0.5" customHeight="1">
      <c r="A244" s="108"/>
      <c r="B244" s="108"/>
      <c r="C244" s="108"/>
      <c r="D244" s="108"/>
      <c r="E244" s="108"/>
      <c r="F244" s="108"/>
      <c r="G244" s="108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0.5" customHeight="1">
      <c r="A245" s="108"/>
      <c r="B245" s="108"/>
      <c r="C245" s="108"/>
      <c r="D245" s="108"/>
      <c r="E245" s="108"/>
      <c r="F245" s="108"/>
      <c r="G245" s="108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0.5" customHeight="1">
      <c r="A246" s="108"/>
      <c r="B246" s="108"/>
      <c r="C246" s="108"/>
      <c r="D246" s="108"/>
      <c r="E246" s="108"/>
      <c r="F246" s="108"/>
      <c r="G246" s="108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0.5" customHeight="1">
      <c r="A247" s="108"/>
      <c r="B247" s="108"/>
      <c r="C247" s="108"/>
      <c r="D247" s="108"/>
      <c r="E247" s="108"/>
      <c r="F247" s="108"/>
      <c r="G247" s="108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0.5" customHeight="1">
      <c r="A248" s="108"/>
      <c r="B248" s="108"/>
      <c r="C248" s="108"/>
      <c r="D248" s="108"/>
      <c r="E248" s="108"/>
      <c r="F248" s="108"/>
      <c r="G248" s="108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0.5" customHeight="1">
      <c r="A249" s="108"/>
      <c r="B249" s="108"/>
      <c r="C249" s="108"/>
      <c r="D249" s="108"/>
      <c r="E249" s="108"/>
      <c r="F249" s="108"/>
      <c r="G249" s="108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0.5" customHeight="1">
      <c r="A250" s="108"/>
      <c r="B250" s="108"/>
      <c r="C250" s="108"/>
      <c r="D250" s="108"/>
      <c r="E250" s="108"/>
      <c r="F250" s="108"/>
      <c r="G250" s="108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0.5" customHeight="1">
      <c r="A251" s="108"/>
      <c r="B251" s="108"/>
      <c r="C251" s="108"/>
      <c r="D251" s="108"/>
      <c r="E251" s="108"/>
      <c r="F251" s="108"/>
      <c r="G251" s="108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0.5" customHeight="1">
      <c r="A252" s="108"/>
      <c r="B252" s="108"/>
      <c r="C252" s="108"/>
      <c r="D252" s="108"/>
      <c r="E252" s="108"/>
      <c r="F252" s="108"/>
      <c r="G252" s="108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0.5" customHeight="1">
      <c r="A253" s="108"/>
      <c r="B253" s="108"/>
      <c r="C253" s="108"/>
      <c r="D253" s="108"/>
      <c r="E253" s="108"/>
      <c r="F253" s="108"/>
      <c r="G253" s="108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0.5" customHeight="1">
      <c r="A254" s="108"/>
      <c r="B254" s="108"/>
      <c r="C254" s="108"/>
      <c r="D254" s="108"/>
      <c r="E254" s="108"/>
      <c r="F254" s="108"/>
      <c r="G254" s="108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0.5" customHeight="1">
      <c r="A255" s="108"/>
      <c r="B255" s="108"/>
      <c r="C255" s="108"/>
      <c r="D255" s="108"/>
      <c r="E255" s="108"/>
      <c r="F255" s="108"/>
      <c r="G255" s="108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0.5" customHeight="1">
      <c r="A256" s="108"/>
      <c r="B256" s="108"/>
      <c r="C256" s="108"/>
      <c r="D256" s="108"/>
      <c r="E256" s="108"/>
      <c r="F256" s="108"/>
      <c r="G256" s="108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0.5" customHeight="1">
      <c r="A257" s="108"/>
      <c r="B257" s="108"/>
      <c r="C257" s="108"/>
      <c r="D257" s="108"/>
      <c r="E257" s="108"/>
      <c r="F257" s="108"/>
      <c r="G257" s="108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0.5" customHeight="1">
      <c r="A258" s="108"/>
      <c r="B258" s="108"/>
      <c r="C258" s="108"/>
      <c r="D258" s="108"/>
      <c r="E258" s="108"/>
      <c r="F258" s="108"/>
      <c r="G258" s="108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0.5" customHeight="1">
      <c r="A259" s="108"/>
      <c r="B259" s="108"/>
      <c r="C259" s="108"/>
      <c r="D259" s="108"/>
      <c r="E259" s="108"/>
      <c r="F259" s="108"/>
      <c r="G259" s="108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0.5" customHeight="1">
      <c r="A260" s="108"/>
      <c r="B260" s="108"/>
      <c r="C260" s="108"/>
      <c r="D260" s="108"/>
      <c r="E260" s="108"/>
      <c r="F260" s="108"/>
      <c r="G260" s="108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0.5" customHeight="1">
      <c r="A261" s="108"/>
      <c r="B261" s="108"/>
      <c r="C261" s="108"/>
      <c r="D261" s="108"/>
      <c r="E261" s="108"/>
      <c r="F261" s="108"/>
      <c r="G261" s="108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0.5" customHeight="1">
      <c r="A262" s="108"/>
      <c r="B262" s="108"/>
      <c r="C262" s="108"/>
      <c r="D262" s="108"/>
      <c r="E262" s="108"/>
      <c r="F262" s="108"/>
      <c r="G262" s="108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0.5" customHeight="1">
      <c r="A263" s="108"/>
      <c r="B263" s="108"/>
      <c r="C263" s="108"/>
      <c r="D263" s="108"/>
      <c r="E263" s="108"/>
      <c r="F263" s="108"/>
      <c r="G263" s="108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0.5" customHeight="1">
      <c r="A264" s="108"/>
      <c r="B264" s="108"/>
      <c r="C264" s="108"/>
      <c r="D264" s="108"/>
      <c r="E264" s="108"/>
      <c r="F264" s="108"/>
      <c r="G264" s="108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0.5" customHeight="1">
      <c r="A265" s="108"/>
      <c r="B265" s="108"/>
      <c r="C265" s="108"/>
      <c r="D265" s="108"/>
      <c r="E265" s="108"/>
      <c r="F265" s="108"/>
      <c r="G265" s="108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0.5" customHeight="1">
      <c r="A266" s="108"/>
      <c r="B266" s="108"/>
      <c r="C266" s="108"/>
      <c r="D266" s="108"/>
      <c r="E266" s="108"/>
      <c r="F266" s="108"/>
      <c r="G266" s="108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0.5" customHeight="1">
      <c r="A267" s="108"/>
      <c r="B267" s="108"/>
      <c r="C267" s="108"/>
      <c r="D267" s="108"/>
      <c r="E267" s="108"/>
      <c r="F267" s="108"/>
      <c r="G267" s="108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0.5" customHeight="1">
      <c r="A268" s="108"/>
      <c r="B268" s="108"/>
      <c r="C268" s="108"/>
      <c r="D268" s="108"/>
      <c r="E268" s="108"/>
      <c r="F268" s="108"/>
      <c r="G268" s="108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0.5" customHeight="1">
      <c r="A269" s="108"/>
      <c r="B269" s="108"/>
      <c r="C269" s="108"/>
      <c r="D269" s="108"/>
      <c r="E269" s="108"/>
      <c r="F269" s="108"/>
      <c r="G269" s="108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0.5" customHeight="1">
      <c r="A270" s="108"/>
      <c r="B270" s="108"/>
      <c r="C270" s="108"/>
      <c r="D270" s="108"/>
      <c r="E270" s="108"/>
      <c r="F270" s="108"/>
      <c r="G270" s="108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0.5" customHeight="1">
      <c r="A271" s="108"/>
      <c r="B271" s="108"/>
      <c r="C271" s="108"/>
      <c r="D271" s="108"/>
      <c r="E271" s="108"/>
      <c r="F271" s="108"/>
      <c r="G271" s="108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0.5" customHeight="1">
      <c r="A272" s="108"/>
      <c r="B272" s="108"/>
      <c r="C272" s="108"/>
      <c r="D272" s="108"/>
      <c r="E272" s="108"/>
      <c r="F272" s="108"/>
      <c r="G272" s="108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0.5" customHeight="1">
      <c r="A273" s="108"/>
      <c r="B273" s="108"/>
      <c r="C273" s="108"/>
      <c r="D273" s="108"/>
      <c r="E273" s="108"/>
      <c r="F273" s="108"/>
      <c r="G273" s="108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0.5" customHeight="1">
      <c r="A274" s="108"/>
      <c r="B274" s="108"/>
      <c r="C274" s="108"/>
      <c r="D274" s="108"/>
      <c r="E274" s="108"/>
      <c r="F274" s="108"/>
      <c r="G274" s="108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0.5" customHeight="1">
      <c r="A275" s="108"/>
      <c r="B275" s="108"/>
      <c r="C275" s="108"/>
      <c r="D275" s="108"/>
      <c r="E275" s="108"/>
      <c r="F275" s="108"/>
      <c r="G275" s="108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0.5" customHeight="1">
      <c r="A276" s="108"/>
      <c r="B276" s="108"/>
      <c r="C276" s="108"/>
      <c r="D276" s="108"/>
      <c r="E276" s="108"/>
      <c r="F276" s="108"/>
      <c r="G276" s="108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0.5" customHeight="1">
      <c r="A277" s="108"/>
      <c r="B277" s="108"/>
      <c r="C277" s="108"/>
      <c r="D277" s="108"/>
      <c r="E277" s="108"/>
      <c r="F277" s="108"/>
      <c r="G277" s="108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0.5" customHeight="1">
      <c r="A278" s="108"/>
      <c r="B278" s="108"/>
      <c r="C278" s="108"/>
      <c r="D278" s="108"/>
      <c r="E278" s="108"/>
      <c r="F278" s="108"/>
      <c r="G278" s="108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0.5" customHeight="1">
      <c r="A279" s="108"/>
      <c r="B279" s="108"/>
      <c r="C279" s="108"/>
      <c r="D279" s="108"/>
      <c r="E279" s="108"/>
      <c r="F279" s="108"/>
      <c r="G279" s="108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0.5" customHeight="1">
      <c r="A280" s="108"/>
      <c r="B280" s="108"/>
      <c r="C280" s="108"/>
      <c r="D280" s="108"/>
      <c r="E280" s="108"/>
      <c r="F280" s="108"/>
      <c r="G280" s="108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0.5" customHeight="1">
      <c r="A281" s="108"/>
      <c r="B281" s="108"/>
      <c r="C281" s="108"/>
      <c r="D281" s="108"/>
      <c r="E281" s="108"/>
      <c r="F281" s="108"/>
      <c r="G281" s="108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0.5" customHeight="1">
      <c r="A282" s="108"/>
      <c r="B282" s="108"/>
      <c r="C282" s="108"/>
      <c r="D282" s="108"/>
      <c r="E282" s="108"/>
      <c r="F282" s="108"/>
      <c r="G282" s="108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0.5" customHeight="1">
      <c r="A283" s="108"/>
      <c r="B283" s="108"/>
      <c r="C283" s="108"/>
      <c r="D283" s="108"/>
      <c r="E283" s="108"/>
      <c r="F283" s="108"/>
      <c r="G283" s="108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0.5" customHeight="1">
      <c r="A284" s="108"/>
      <c r="B284" s="108"/>
      <c r="C284" s="108"/>
      <c r="D284" s="108"/>
      <c r="E284" s="108"/>
      <c r="F284" s="108"/>
      <c r="G284" s="108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0.5" customHeight="1">
      <c r="A285" s="108"/>
      <c r="B285" s="108"/>
      <c r="C285" s="108"/>
      <c r="D285" s="108"/>
      <c r="E285" s="108"/>
      <c r="F285" s="108"/>
      <c r="G285" s="108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0.5" customHeight="1">
      <c r="A286" s="108"/>
      <c r="B286" s="108"/>
      <c r="C286" s="108"/>
      <c r="D286" s="108"/>
      <c r="E286" s="108"/>
      <c r="F286" s="108"/>
      <c r="G286" s="108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0.5" customHeight="1">
      <c r="A287" s="108"/>
      <c r="B287" s="108"/>
      <c r="C287" s="108"/>
      <c r="D287" s="108"/>
      <c r="E287" s="108"/>
      <c r="F287" s="108"/>
      <c r="G287" s="108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0.5" customHeight="1">
      <c r="A288" s="108"/>
      <c r="B288" s="108"/>
      <c r="C288" s="108"/>
      <c r="D288" s="108"/>
      <c r="E288" s="108"/>
      <c r="F288" s="108"/>
      <c r="G288" s="108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0.5" customHeight="1">
      <c r="A289" s="108"/>
      <c r="B289" s="108"/>
      <c r="C289" s="108"/>
      <c r="D289" s="108"/>
      <c r="E289" s="108"/>
      <c r="F289" s="108"/>
      <c r="G289" s="108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0.5" customHeight="1">
      <c r="A290" s="108"/>
      <c r="B290" s="108"/>
      <c r="C290" s="108"/>
      <c r="D290" s="108"/>
      <c r="E290" s="108"/>
      <c r="F290" s="108"/>
      <c r="G290" s="108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0.5" customHeight="1">
      <c r="A291" s="108"/>
      <c r="B291" s="108"/>
      <c r="C291" s="108"/>
      <c r="D291" s="108"/>
      <c r="E291" s="108"/>
      <c r="F291" s="108"/>
      <c r="G291" s="108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0.5" customHeight="1">
      <c r="A292" s="108"/>
      <c r="B292" s="108"/>
      <c r="C292" s="108"/>
      <c r="D292" s="108"/>
      <c r="E292" s="108"/>
      <c r="F292" s="108"/>
      <c r="G292" s="108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0.5" customHeight="1">
      <c r="A293" s="108"/>
      <c r="B293" s="108"/>
      <c r="C293" s="108"/>
      <c r="D293" s="108"/>
      <c r="E293" s="108"/>
      <c r="F293" s="108"/>
      <c r="G293" s="108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0.5" customHeight="1">
      <c r="A294" s="108"/>
      <c r="B294" s="108"/>
      <c r="C294" s="108"/>
      <c r="D294" s="108"/>
      <c r="E294" s="108"/>
      <c r="F294" s="108"/>
      <c r="G294" s="108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0.5" customHeight="1">
      <c r="A295" s="108"/>
      <c r="B295" s="108"/>
      <c r="C295" s="108"/>
      <c r="D295" s="108"/>
      <c r="E295" s="108"/>
      <c r="F295" s="108"/>
      <c r="G295" s="108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0.5" customHeight="1">
      <c r="A296" s="108"/>
      <c r="B296" s="108"/>
      <c r="C296" s="108"/>
      <c r="D296" s="108"/>
      <c r="E296" s="108"/>
      <c r="F296" s="108"/>
      <c r="G296" s="108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0.5" customHeight="1">
      <c r="A297" s="108"/>
      <c r="B297" s="108"/>
      <c r="C297" s="108"/>
      <c r="D297" s="108"/>
      <c r="E297" s="108"/>
      <c r="F297" s="108"/>
      <c r="G297" s="108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0.5" customHeight="1">
      <c r="A298" s="108"/>
      <c r="B298" s="108"/>
      <c r="C298" s="108"/>
      <c r="D298" s="108"/>
      <c r="E298" s="108"/>
      <c r="F298" s="108"/>
      <c r="G298" s="108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0.5" customHeight="1">
      <c r="A299" s="108"/>
      <c r="B299" s="108"/>
      <c r="C299" s="108"/>
      <c r="D299" s="108"/>
      <c r="E299" s="108"/>
      <c r="F299" s="108"/>
      <c r="G299" s="108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0.5" customHeight="1">
      <c r="A300" s="108"/>
      <c r="B300" s="108"/>
      <c r="C300" s="108"/>
      <c r="D300" s="108"/>
      <c r="E300" s="108"/>
      <c r="F300" s="108"/>
      <c r="G300" s="108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0.5" customHeight="1">
      <c r="A301" s="108"/>
      <c r="B301" s="108"/>
      <c r="C301" s="108"/>
      <c r="D301" s="108"/>
      <c r="E301" s="108"/>
      <c r="F301" s="108"/>
      <c r="G301" s="108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0.5" customHeight="1">
      <c r="A302" s="108"/>
      <c r="B302" s="108"/>
      <c r="C302" s="108"/>
      <c r="D302" s="108"/>
      <c r="E302" s="108"/>
      <c r="F302" s="108"/>
      <c r="G302" s="108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0.5" customHeight="1">
      <c r="A303" s="108"/>
      <c r="B303" s="108"/>
      <c r="C303" s="108"/>
      <c r="D303" s="108"/>
      <c r="E303" s="108"/>
      <c r="F303" s="108"/>
      <c r="G303" s="108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0.5" customHeight="1">
      <c r="A304" s="108"/>
      <c r="B304" s="108"/>
      <c r="C304" s="108"/>
      <c r="D304" s="108"/>
      <c r="E304" s="108"/>
      <c r="F304" s="108"/>
      <c r="G304" s="108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0.5" customHeight="1">
      <c r="A305" s="108"/>
      <c r="B305" s="108"/>
      <c r="C305" s="108"/>
      <c r="D305" s="108"/>
      <c r="E305" s="108"/>
      <c r="F305" s="108"/>
      <c r="G305" s="108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0.5" customHeight="1">
      <c r="A306" s="108"/>
      <c r="B306" s="108"/>
      <c r="C306" s="108"/>
      <c r="D306" s="108"/>
      <c r="E306" s="108"/>
      <c r="F306" s="108"/>
      <c r="G306" s="108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0.5" customHeight="1">
      <c r="A307" s="108"/>
      <c r="B307" s="108"/>
      <c r="C307" s="108"/>
      <c r="D307" s="108"/>
      <c r="E307" s="108"/>
      <c r="F307" s="108"/>
      <c r="G307" s="108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0.5" customHeight="1">
      <c r="A308" s="108"/>
      <c r="B308" s="108"/>
      <c r="C308" s="108"/>
      <c r="D308" s="108"/>
      <c r="E308" s="108"/>
      <c r="F308" s="108"/>
      <c r="G308" s="108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0.5" customHeight="1">
      <c r="A309" s="108"/>
      <c r="B309" s="108"/>
      <c r="C309" s="108"/>
      <c r="D309" s="108"/>
      <c r="E309" s="108"/>
      <c r="F309" s="108"/>
      <c r="G309" s="108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0.5" customHeight="1">
      <c r="A310" s="108"/>
      <c r="B310" s="108"/>
      <c r="C310" s="108"/>
      <c r="D310" s="108"/>
      <c r="E310" s="108"/>
      <c r="F310" s="108"/>
      <c r="G310" s="108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0.5" customHeight="1">
      <c r="A311" s="108"/>
      <c r="B311" s="108"/>
      <c r="C311" s="108"/>
      <c r="D311" s="108"/>
      <c r="E311" s="108"/>
      <c r="F311" s="108"/>
      <c r="G311" s="108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0.5" customHeight="1">
      <c r="A312" s="108"/>
      <c r="B312" s="108"/>
      <c r="C312" s="108"/>
      <c r="D312" s="108"/>
      <c r="E312" s="108"/>
      <c r="F312" s="108"/>
      <c r="G312" s="108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0.5" customHeight="1">
      <c r="A313" s="108"/>
      <c r="B313" s="108"/>
      <c r="C313" s="108"/>
      <c r="D313" s="108"/>
      <c r="E313" s="108"/>
      <c r="F313" s="108"/>
      <c r="G313" s="108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0.5" customHeight="1">
      <c r="A314" s="108"/>
      <c r="B314" s="108"/>
      <c r="C314" s="108"/>
      <c r="D314" s="108"/>
      <c r="E314" s="108"/>
      <c r="F314" s="108"/>
      <c r="G314" s="108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0.5" customHeight="1">
      <c r="A315" s="108"/>
      <c r="B315" s="108"/>
      <c r="C315" s="108"/>
      <c r="D315" s="108"/>
      <c r="E315" s="108"/>
      <c r="F315" s="108"/>
      <c r="G315" s="108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0.5" customHeight="1">
      <c r="A316" s="108"/>
      <c r="B316" s="108"/>
      <c r="C316" s="108"/>
      <c r="D316" s="108"/>
      <c r="E316" s="108"/>
      <c r="F316" s="108"/>
      <c r="G316" s="108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0.5" customHeight="1">
      <c r="A317" s="108"/>
      <c r="B317" s="108"/>
      <c r="C317" s="108"/>
      <c r="D317" s="108"/>
      <c r="E317" s="108"/>
      <c r="F317" s="108"/>
      <c r="G317" s="108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0.5" customHeight="1">
      <c r="A318" s="108"/>
      <c r="B318" s="108"/>
      <c r="C318" s="108"/>
      <c r="D318" s="108"/>
      <c r="E318" s="108"/>
      <c r="F318" s="108"/>
      <c r="G318" s="108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0.5" customHeight="1">
      <c r="A319" s="108"/>
      <c r="B319" s="108"/>
      <c r="C319" s="108"/>
      <c r="D319" s="108"/>
      <c r="E319" s="108"/>
      <c r="F319" s="108"/>
      <c r="G319" s="108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0.5" customHeight="1">
      <c r="A320" s="108"/>
      <c r="B320" s="108"/>
      <c r="C320" s="108"/>
      <c r="D320" s="108"/>
      <c r="E320" s="108"/>
      <c r="F320" s="108"/>
      <c r="G320" s="108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0.5" customHeight="1">
      <c r="A321" s="108"/>
      <c r="B321" s="108"/>
      <c r="C321" s="108"/>
      <c r="D321" s="108"/>
      <c r="E321" s="108"/>
      <c r="F321" s="108"/>
      <c r="G321" s="108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0.5" customHeight="1">
      <c r="A322" s="108"/>
      <c r="B322" s="108"/>
      <c r="C322" s="108"/>
      <c r="D322" s="108"/>
      <c r="E322" s="108"/>
      <c r="F322" s="108"/>
      <c r="G322" s="108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0.5" customHeight="1">
      <c r="A323" s="108"/>
      <c r="B323" s="108"/>
      <c r="C323" s="108"/>
      <c r="D323" s="108"/>
      <c r="E323" s="108"/>
      <c r="F323" s="108"/>
      <c r="G323" s="108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0.5" customHeight="1">
      <c r="A324" s="108"/>
      <c r="B324" s="108"/>
      <c r="C324" s="108"/>
      <c r="D324" s="108"/>
      <c r="E324" s="108"/>
      <c r="F324" s="108"/>
      <c r="G324" s="108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0.5" customHeight="1">
      <c r="A325" s="108"/>
      <c r="B325" s="108"/>
      <c r="C325" s="108"/>
      <c r="D325" s="108"/>
      <c r="E325" s="108"/>
      <c r="F325" s="108"/>
      <c r="G325" s="108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0.5" customHeight="1">
      <c r="A326" s="108"/>
      <c r="B326" s="108"/>
      <c r="C326" s="108"/>
      <c r="D326" s="108"/>
      <c r="E326" s="108"/>
      <c r="F326" s="108"/>
      <c r="G326" s="108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0.5" customHeight="1">
      <c r="A327" s="108"/>
      <c r="B327" s="108"/>
      <c r="C327" s="108"/>
      <c r="D327" s="108"/>
      <c r="E327" s="108"/>
      <c r="F327" s="108"/>
      <c r="G327" s="108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0.5" customHeight="1">
      <c r="A328" s="108"/>
      <c r="B328" s="108"/>
      <c r="C328" s="108"/>
      <c r="D328" s="108"/>
      <c r="E328" s="108"/>
      <c r="F328" s="108"/>
      <c r="G328" s="108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0.5" customHeight="1">
      <c r="A329" s="108"/>
      <c r="B329" s="108"/>
      <c r="C329" s="108"/>
      <c r="D329" s="108"/>
      <c r="E329" s="108"/>
      <c r="F329" s="108"/>
      <c r="G329" s="108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0.5" customHeight="1">
      <c r="A330" s="108"/>
      <c r="B330" s="108"/>
      <c r="C330" s="108"/>
      <c r="D330" s="108"/>
      <c r="E330" s="108"/>
      <c r="F330" s="108"/>
      <c r="G330" s="108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0.5" customHeight="1">
      <c r="A331" s="108"/>
      <c r="B331" s="108"/>
      <c r="C331" s="108"/>
      <c r="D331" s="108"/>
      <c r="E331" s="108"/>
      <c r="F331" s="108"/>
      <c r="G331" s="108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0.5" customHeight="1">
      <c r="A332" s="108"/>
      <c r="B332" s="108"/>
      <c r="C332" s="108"/>
      <c r="D332" s="108"/>
      <c r="E332" s="108"/>
      <c r="F332" s="108"/>
      <c r="G332" s="108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0.5" customHeight="1">
      <c r="A333" s="108"/>
      <c r="B333" s="108"/>
      <c r="C333" s="108"/>
      <c r="D333" s="108"/>
      <c r="E333" s="108"/>
      <c r="F333" s="108"/>
      <c r="G333" s="108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0.5" customHeight="1">
      <c r="A334" s="108"/>
      <c r="B334" s="108"/>
      <c r="C334" s="108"/>
      <c r="D334" s="108"/>
      <c r="E334" s="108"/>
      <c r="F334" s="108"/>
      <c r="G334" s="108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0.5" customHeight="1">
      <c r="A335" s="108"/>
      <c r="B335" s="108"/>
      <c r="C335" s="108"/>
      <c r="D335" s="108"/>
      <c r="E335" s="108"/>
      <c r="F335" s="108"/>
      <c r="G335" s="108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0.5" customHeight="1">
      <c r="A336" s="108"/>
      <c r="B336" s="108"/>
      <c r="C336" s="108"/>
      <c r="D336" s="108"/>
      <c r="E336" s="108"/>
      <c r="F336" s="108"/>
      <c r="G336" s="108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0.5" customHeight="1">
      <c r="A337" s="108"/>
      <c r="B337" s="108"/>
      <c r="C337" s="108"/>
      <c r="D337" s="108"/>
      <c r="E337" s="108"/>
      <c r="F337" s="108"/>
      <c r="G337" s="108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0.5" customHeight="1">
      <c r="A338" s="108"/>
      <c r="B338" s="108"/>
      <c r="C338" s="108"/>
      <c r="D338" s="108"/>
      <c r="E338" s="108"/>
      <c r="F338" s="108"/>
      <c r="G338" s="108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0.5" customHeight="1">
      <c r="A339" s="108"/>
      <c r="B339" s="108"/>
      <c r="C339" s="108"/>
      <c r="D339" s="108"/>
      <c r="E339" s="108"/>
      <c r="F339" s="108"/>
      <c r="G339" s="108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0.5" customHeight="1">
      <c r="A340" s="108"/>
      <c r="B340" s="108"/>
      <c r="C340" s="108"/>
      <c r="D340" s="108"/>
      <c r="E340" s="108"/>
      <c r="F340" s="108"/>
      <c r="G340" s="108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0.5" customHeight="1">
      <c r="A341" s="108"/>
      <c r="B341" s="108"/>
      <c r="C341" s="108"/>
      <c r="D341" s="108"/>
      <c r="E341" s="108"/>
      <c r="F341" s="108"/>
      <c r="G341" s="108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0.5" customHeight="1">
      <c r="A342" s="108"/>
      <c r="B342" s="108"/>
      <c r="C342" s="108"/>
      <c r="D342" s="108"/>
      <c r="E342" s="108"/>
      <c r="F342" s="108"/>
      <c r="G342" s="108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0.5" customHeight="1">
      <c r="A343" s="108"/>
      <c r="B343" s="108"/>
      <c r="C343" s="108"/>
      <c r="D343" s="108"/>
      <c r="E343" s="108"/>
      <c r="F343" s="108"/>
      <c r="G343" s="108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0.5" customHeight="1">
      <c r="A344" s="108"/>
      <c r="B344" s="108"/>
      <c r="C344" s="108"/>
      <c r="D344" s="108"/>
      <c r="E344" s="108"/>
      <c r="F344" s="108"/>
      <c r="G344" s="108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0.5" customHeight="1">
      <c r="A345" s="108"/>
      <c r="B345" s="108"/>
      <c r="C345" s="108"/>
      <c r="D345" s="108"/>
      <c r="E345" s="108"/>
      <c r="F345" s="108"/>
      <c r="G345" s="108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0.5" customHeight="1">
      <c r="A346" s="108"/>
      <c r="B346" s="108"/>
      <c r="C346" s="108"/>
      <c r="D346" s="108"/>
      <c r="E346" s="108"/>
      <c r="F346" s="108"/>
      <c r="G346" s="108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0.5" customHeight="1">
      <c r="A347" s="108"/>
      <c r="B347" s="108"/>
      <c r="C347" s="108"/>
      <c r="D347" s="108"/>
      <c r="E347" s="108"/>
      <c r="F347" s="108"/>
      <c r="G347" s="108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0.5" customHeight="1">
      <c r="A348" s="108"/>
      <c r="B348" s="108"/>
      <c r="C348" s="108"/>
      <c r="D348" s="108"/>
      <c r="E348" s="108"/>
      <c r="F348" s="108"/>
      <c r="G348" s="108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0.5" customHeight="1">
      <c r="A349" s="108"/>
      <c r="B349" s="108"/>
      <c r="C349" s="108"/>
      <c r="D349" s="108"/>
      <c r="E349" s="108"/>
      <c r="F349" s="108"/>
      <c r="G349" s="108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0.5" customHeight="1">
      <c r="A350" s="108"/>
      <c r="B350" s="108"/>
      <c r="C350" s="108"/>
      <c r="D350" s="108"/>
      <c r="E350" s="108"/>
      <c r="F350" s="108"/>
      <c r="G350" s="108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0.5" customHeight="1">
      <c r="A351" s="108"/>
      <c r="B351" s="108"/>
      <c r="C351" s="108"/>
      <c r="D351" s="108"/>
      <c r="E351" s="108"/>
      <c r="F351" s="108"/>
      <c r="G351" s="108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0.5" customHeight="1">
      <c r="A352" s="108"/>
      <c r="B352" s="108"/>
      <c r="C352" s="108"/>
      <c r="D352" s="108"/>
      <c r="E352" s="108"/>
      <c r="F352" s="108"/>
      <c r="G352" s="108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0.5" customHeight="1">
      <c r="A353" s="108"/>
      <c r="B353" s="108"/>
      <c r="C353" s="108"/>
      <c r="D353" s="108"/>
      <c r="E353" s="108"/>
      <c r="F353" s="108"/>
      <c r="G353" s="108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0.5" customHeight="1">
      <c r="A354" s="108"/>
      <c r="B354" s="108"/>
      <c r="C354" s="108"/>
      <c r="D354" s="108"/>
      <c r="E354" s="108"/>
      <c r="F354" s="108"/>
      <c r="G354" s="108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0.5" customHeight="1">
      <c r="A355" s="108"/>
      <c r="B355" s="108"/>
      <c r="C355" s="108"/>
      <c r="D355" s="108"/>
      <c r="E355" s="108"/>
      <c r="F355" s="108"/>
      <c r="G355" s="108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0.5" customHeight="1">
      <c r="A356" s="108"/>
      <c r="B356" s="108"/>
      <c r="C356" s="108"/>
      <c r="D356" s="108"/>
      <c r="E356" s="108"/>
      <c r="F356" s="108"/>
      <c r="G356" s="108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0.5" customHeight="1">
      <c r="A357" s="108"/>
      <c r="B357" s="108"/>
      <c r="C357" s="108"/>
      <c r="D357" s="108"/>
      <c r="E357" s="108"/>
      <c r="F357" s="108"/>
      <c r="G357" s="108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0.5" customHeight="1">
      <c r="A358" s="108"/>
      <c r="B358" s="108"/>
      <c r="C358" s="108"/>
      <c r="D358" s="108"/>
      <c r="E358" s="108"/>
      <c r="F358" s="108"/>
      <c r="G358" s="108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0.5" customHeight="1">
      <c r="A359" s="108"/>
      <c r="B359" s="108"/>
      <c r="C359" s="108"/>
      <c r="D359" s="108"/>
      <c r="E359" s="108"/>
      <c r="F359" s="108"/>
      <c r="G359" s="10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0.5" customHeight="1">
      <c r="A360" s="108"/>
      <c r="B360" s="108"/>
      <c r="C360" s="108"/>
      <c r="D360" s="108"/>
      <c r="E360" s="108"/>
      <c r="F360" s="108"/>
      <c r="G360" s="108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0.5" customHeight="1">
      <c r="A361" s="108"/>
      <c r="B361" s="108"/>
      <c r="C361" s="108"/>
      <c r="D361" s="108"/>
      <c r="E361" s="108"/>
      <c r="F361" s="108"/>
      <c r="G361" s="108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0.5" customHeight="1">
      <c r="A362" s="108"/>
      <c r="B362" s="108"/>
      <c r="C362" s="108"/>
      <c r="D362" s="108"/>
      <c r="E362" s="108"/>
      <c r="F362" s="108"/>
      <c r="G362" s="108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0.5" customHeight="1">
      <c r="A363" s="108"/>
      <c r="B363" s="108"/>
      <c r="C363" s="108"/>
      <c r="D363" s="108"/>
      <c r="E363" s="108"/>
      <c r="F363" s="108"/>
      <c r="G363" s="108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0.5" customHeight="1">
      <c r="A364" s="108"/>
      <c r="B364" s="108"/>
      <c r="C364" s="108"/>
      <c r="D364" s="108"/>
      <c r="E364" s="108"/>
      <c r="F364" s="108"/>
      <c r="G364" s="108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0.5" customHeight="1">
      <c r="A365" s="108"/>
      <c r="B365" s="108"/>
      <c r="C365" s="108"/>
      <c r="D365" s="108"/>
      <c r="E365" s="108"/>
      <c r="F365" s="108"/>
      <c r="G365" s="108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0.5" customHeight="1">
      <c r="A366" s="108"/>
      <c r="B366" s="108"/>
      <c r="C366" s="108"/>
      <c r="D366" s="108"/>
      <c r="E366" s="108"/>
      <c r="F366" s="108"/>
      <c r="G366" s="108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0.5" customHeight="1">
      <c r="A367" s="108"/>
      <c r="B367" s="108"/>
      <c r="C367" s="108"/>
      <c r="D367" s="108"/>
      <c r="E367" s="108"/>
      <c r="F367" s="108"/>
      <c r="G367" s="108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0.5" customHeight="1">
      <c r="A368" s="108"/>
      <c r="B368" s="108"/>
      <c r="C368" s="108"/>
      <c r="D368" s="108"/>
      <c r="E368" s="108"/>
      <c r="F368" s="108"/>
      <c r="G368" s="108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0.5" customHeight="1">
      <c r="A369" s="108"/>
      <c r="B369" s="108"/>
      <c r="C369" s="108"/>
      <c r="D369" s="108"/>
      <c r="E369" s="108"/>
      <c r="F369" s="108"/>
      <c r="G369" s="108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0.5" customHeight="1">
      <c r="A370" s="108"/>
      <c r="B370" s="108"/>
      <c r="C370" s="108"/>
      <c r="D370" s="108"/>
      <c r="E370" s="108"/>
      <c r="F370" s="108"/>
      <c r="G370" s="108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0.5" customHeight="1">
      <c r="A371" s="108"/>
      <c r="B371" s="108"/>
      <c r="C371" s="108"/>
      <c r="D371" s="108"/>
      <c r="E371" s="108"/>
      <c r="F371" s="108"/>
      <c r="G371" s="108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0.5" customHeight="1">
      <c r="A372" s="108"/>
      <c r="B372" s="108"/>
      <c r="C372" s="108"/>
      <c r="D372" s="108"/>
      <c r="E372" s="108"/>
      <c r="F372" s="108"/>
      <c r="G372" s="108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0.5" customHeight="1">
      <c r="A373" s="108"/>
      <c r="B373" s="108"/>
      <c r="C373" s="108"/>
      <c r="D373" s="108"/>
      <c r="E373" s="108"/>
      <c r="F373" s="108"/>
      <c r="G373" s="108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0.5" customHeight="1">
      <c r="A374" s="108"/>
      <c r="B374" s="108"/>
      <c r="C374" s="108"/>
      <c r="D374" s="108"/>
      <c r="E374" s="108"/>
      <c r="F374" s="108"/>
      <c r="G374" s="108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0.5" customHeight="1">
      <c r="A375" s="108"/>
      <c r="B375" s="108"/>
      <c r="C375" s="108"/>
      <c r="D375" s="108"/>
      <c r="E375" s="108"/>
      <c r="F375" s="108"/>
      <c r="G375" s="108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0.5" customHeight="1">
      <c r="A376" s="108"/>
      <c r="B376" s="108"/>
      <c r="C376" s="108"/>
      <c r="D376" s="108"/>
      <c r="E376" s="108"/>
      <c r="F376" s="108"/>
      <c r="G376" s="108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0.5" customHeight="1">
      <c r="A377" s="108"/>
      <c r="B377" s="108"/>
      <c r="C377" s="108"/>
      <c r="D377" s="108"/>
      <c r="E377" s="108"/>
      <c r="F377" s="108"/>
      <c r="G377" s="108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0.5" customHeight="1">
      <c r="A378" s="108"/>
      <c r="B378" s="108"/>
      <c r="C378" s="108"/>
      <c r="D378" s="108"/>
      <c r="E378" s="108"/>
      <c r="F378" s="108"/>
      <c r="G378" s="108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0.5" customHeight="1">
      <c r="A379" s="108"/>
      <c r="B379" s="108"/>
      <c r="C379" s="108"/>
      <c r="D379" s="108"/>
      <c r="E379" s="108"/>
      <c r="F379" s="108"/>
      <c r="G379" s="108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0.5" customHeight="1">
      <c r="A380" s="108"/>
      <c r="B380" s="108"/>
      <c r="C380" s="108"/>
      <c r="D380" s="108"/>
      <c r="E380" s="108"/>
      <c r="F380" s="108"/>
      <c r="G380" s="108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0.5" customHeight="1">
      <c r="A381" s="108"/>
      <c r="B381" s="108"/>
      <c r="C381" s="108"/>
      <c r="D381" s="108"/>
      <c r="E381" s="108"/>
      <c r="F381" s="108"/>
      <c r="G381" s="108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0.5" customHeight="1">
      <c r="A382" s="108"/>
      <c r="B382" s="108"/>
      <c r="C382" s="108"/>
      <c r="D382" s="108"/>
      <c r="E382" s="108"/>
      <c r="F382" s="108"/>
      <c r="G382" s="108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0.5" customHeight="1">
      <c r="A383" s="108"/>
      <c r="B383" s="108"/>
      <c r="C383" s="108"/>
      <c r="D383" s="108"/>
      <c r="E383" s="108"/>
      <c r="F383" s="108"/>
      <c r="G383" s="108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0.5" customHeight="1">
      <c r="A384" s="108"/>
      <c r="B384" s="108"/>
      <c r="C384" s="108"/>
      <c r="D384" s="108"/>
      <c r="E384" s="108"/>
      <c r="F384" s="108"/>
      <c r="G384" s="108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0.5" customHeight="1">
      <c r="A385" s="108"/>
      <c r="B385" s="108"/>
      <c r="C385" s="108"/>
      <c r="D385" s="108"/>
      <c r="E385" s="108"/>
      <c r="F385" s="108"/>
      <c r="G385" s="108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0.5" customHeight="1">
      <c r="A386" s="108"/>
      <c r="B386" s="108"/>
      <c r="C386" s="108"/>
      <c r="D386" s="108"/>
      <c r="E386" s="108"/>
      <c r="F386" s="108"/>
      <c r="G386" s="108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0.5" customHeight="1">
      <c r="A387" s="108"/>
      <c r="B387" s="108"/>
      <c r="C387" s="108"/>
      <c r="D387" s="108"/>
      <c r="E387" s="108"/>
      <c r="F387" s="108"/>
      <c r="G387" s="108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0.5" customHeight="1">
      <c r="A388" s="108"/>
      <c r="B388" s="108"/>
      <c r="C388" s="108"/>
      <c r="D388" s="108"/>
      <c r="E388" s="108"/>
      <c r="F388" s="108"/>
      <c r="G388" s="108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0.5" customHeight="1">
      <c r="A389" s="108"/>
      <c r="B389" s="108"/>
      <c r="C389" s="108"/>
      <c r="D389" s="108"/>
      <c r="E389" s="108"/>
      <c r="F389" s="108"/>
      <c r="G389" s="108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0.5" customHeight="1">
      <c r="A390" s="108"/>
      <c r="B390" s="108"/>
      <c r="C390" s="108"/>
      <c r="D390" s="108"/>
      <c r="E390" s="108"/>
      <c r="F390" s="108"/>
      <c r="G390" s="108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0.5" customHeight="1">
      <c r="A391" s="108"/>
      <c r="B391" s="108"/>
      <c r="C391" s="108"/>
      <c r="D391" s="108"/>
      <c r="E391" s="108"/>
      <c r="F391" s="108"/>
      <c r="G391" s="108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0.5" customHeight="1">
      <c r="A392" s="108"/>
      <c r="B392" s="108"/>
      <c r="C392" s="108"/>
      <c r="D392" s="108"/>
      <c r="E392" s="108"/>
      <c r="F392" s="108"/>
      <c r="G392" s="108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0.5" customHeight="1">
      <c r="A393" s="108"/>
      <c r="B393" s="108"/>
      <c r="C393" s="108"/>
      <c r="D393" s="108"/>
      <c r="E393" s="108"/>
      <c r="F393" s="108"/>
      <c r="G393" s="108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0.5" customHeight="1">
      <c r="A394" s="108"/>
      <c r="B394" s="108"/>
      <c r="C394" s="108"/>
      <c r="D394" s="108"/>
      <c r="E394" s="108"/>
      <c r="F394" s="108"/>
      <c r="G394" s="108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0.5" customHeight="1">
      <c r="A395" s="108"/>
      <c r="B395" s="108"/>
      <c r="C395" s="108"/>
      <c r="D395" s="108"/>
      <c r="E395" s="108"/>
      <c r="F395" s="108"/>
      <c r="G395" s="108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0.5" customHeight="1">
      <c r="A396" s="108"/>
      <c r="B396" s="108"/>
      <c r="C396" s="108"/>
      <c r="D396" s="108"/>
      <c r="E396" s="108"/>
      <c r="F396" s="108"/>
      <c r="G396" s="108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0.5" customHeight="1">
      <c r="A397" s="108"/>
      <c r="B397" s="108"/>
      <c r="C397" s="108"/>
      <c r="D397" s="108"/>
      <c r="E397" s="108"/>
      <c r="F397" s="108"/>
      <c r="G397" s="108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0.5" customHeight="1">
      <c r="A398" s="108"/>
      <c r="B398" s="108"/>
      <c r="C398" s="108"/>
      <c r="D398" s="108"/>
      <c r="E398" s="108"/>
      <c r="F398" s="108"/>
      <c r="G398" s="108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0.5" customHeight="1">
      <c r="A399" s="108"/>
      <c r="B399" s="108"/>
      <c r="C399" s="108"/>
      <c r="D399" s="108"/>
      <c r="E399" s="108"/>
      <c r="F399" s="108"/>
      <c r="G399" s="108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0.5" customHeight="1">
      <c r="A400" s="108"/>
      <c r="B400" s="108"/>
      <c r="C400" s="108"/>
      <c r="D400" s="108"/>
      <c r="E400" s="108"/>
      <c r="F400" s="108"/>
      <c r="G400" s="108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0.5" customHeight="1">
      <c r="A401" s="108"/>
      <c r="B401" s="108"/>
      <c r="C401" s="108"/>
      <c r="D401" s="108"/>
      <c r="E401" s="108"/>
      <c r="F401" s="108"/>
      <c r="G401" s="108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0.5" customHeight="1">
      <c r="A402" s="108"/>
      <c r="B402" s="108"/>
      <c r="C402" s="108"/>
      <c r="D402" s="108"/>
      <c r="E402" s="108"/>
      <c r="F402" s="108"/>
      <c r="G402" s="108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0.5" customHeight="1">
      <c r="A403" s="108"/>
      <c r="B403" s="108"/>
      <c r="C403" s="108"/>
      <c r="D403" s="108"/>
      <c r="E403" s="108"/>
      <c r="F403" s="108"/>
      <c r="G403" s="108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0.5" customHeight="1">
      <c r="A404" s="108"/>
      <c r="B404" s="108"/>
      <c r="C404" s="108"/>
      <c r="D404" s="108"/>
      <c r="E404" s="108"/>
      <c r="F404" s="108"/>
      <c r="G404" s="108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0.5" customHeight="1">
      <c r="A405" s="108"/>
      <c r="B405" s="108"/>
      <c r="C405" s="108"/>
      <c r="D405" s="108"/>
      <c r="E405" s="108"/>
      <c r="F405" s="108"/>
      <c r="G405" s="108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0.5" customHeight="1">
      <c r="A406" s="108"/>
      <c r="B406" s="108"/>
      <c r="C406" s="108"/>
      <c r="D406" s="108"/>
      <c r="E406" s="108"/>
      <c r="F406" s="108"/>
      <c r="G406" s="108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0.5" customHeight="1">
      <c r="A407" s="108"/>
      <c r="B407" s="108"/>
      <c r="C407" s="108"/>
      <c r="D407" s="108"/>
      <c r="E407" s="108"/>
      <c r="F407" s="108"/>
      <c r="G407" s="108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0.5" customHeight="1">
      <c r="A408" s="108"/>
      <c r="B408" s="108"/>
      <c r="C408" s="108"/>
      <c r="D408" s="108"/>
      <c r="E408" s="108"/>
      <c r="F408" s="108"/>
      <c r="G408" s="108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0.5" customHeight="1">
      <c r="A409" s="108"/>
      <c r="B409" s="108"/>
      <c r="C409" s="108"/>
      <c r="D409" s="108"/>
      <c r="E409" s="108"/>
      <c r="F409" s="108"/>
      <c r="G409" s="108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0.5" customHeight="1">
      <c r="A410" s="108"/>
      <c r="B410" s="108"/>
      <c r="C410" s="108"/>
      <c r="D410" s="108"/>
      <c r="E410" s="108"/>
      <c r="F410" s="108"/>
      <c r="G410" s="108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0.5" customHeight="1">
      <c r="A411" s="108"/>
      <c r="B411" s="108"/>
      <c r="C411" s="108"/>
      <c r="D411" s="108"/>
      <c r="E411" s="108"/>
      <c r="F411" s="108"/>
      <c r="G411" s="108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0.5" customHeight="1">
      <c r="A412" s="108"/>
      <c r="B412" s="108"/>
      <c r="C412" s="108"/>
      <c r="D412" s="108"/>
      <c r="E412" s="108"/>
      <c r="F412" s="108"/>
      <c r="G412" s="108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0.5" customHeight="1">
      <c r="A413" s="108"/>
      <c r="B413" s="108"/>
      <c r="C413" s="108"/>
      <c r="D413" s="108"/>
      <c r="E413" s="108"/>
      <c r="F413" s="108"/>
      <c r="G413" s="108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0.5" customHeight="1">
      <c r="A414" s="108"/>
      <c r="B414" s="108"/>
      <c r="C414" s="108"/>
      <c r="D414" s="108"/>
      <c r="E414" s="108"/>
      <c r="F414" s="108"/>
      <c r="G414" s="108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0.5" customHeight="1">
      <c r="A415" s="108"/>
      <c r="B415" s="108"/>
      <c r="C415" s="108"/>
      <c r="D415" s="108"/>
      <c r="E415" s="108"/>
      <c r="F415" s="108"/>
      <c r="G415" s="108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0.5" customHeight="1">
      <c r="A416" s="108"/>
      <c r="B416" s="108"/>
      <c r="C416" s="108"/>
      <c r="D416" s="108"/>
      <c r="E416" s="108"/>
      <c r="F416" s="108"/>
      <c r="G416" s="108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0.5" customHeight="1">
      <c r="A417" s="108"/>
      <c r="B417" s="108"/>
      <c r="C417" s="108"/>
      <c r="D417" s="108"/>
      <c r="E417" s="108"/>
      <c r="F417" s="108"/>
      <c r="G417" s="108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0.5" customHeight="1">
      <c r="A418" s="108"/>
      <c r="B418" s="108"/>
      <c r="C418" s="108"/>
      <c r="D418" s="108"/>
      <c r="E418" s="108"/>
      <c r="F418" s="108"/>
      <c r="G418" s="108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0.5" customHeight="1">
      <c r="A419" s="108"/>
      <c r="B419" s="108"/>
      <c r="C419" s="108"/>
      <c r="D419" s="108"/>
      <c r="E419" s="108"/>
      <c r="F419" s="108"/>
      <c r="G419" s="108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0.5" customHeight="1">
      <c r="A420" s="108"/>
      <c r="B420" s="108"/>
      <c r="C420" s="108"/>
      <c r="D420" s="108"/>
      <c r="E420" s="108"/>
      <c r="F420" s="108"/>
      <c r="G420" s="108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0.5" customHeight="1">
      <c r="A421" s="108"/>
      <c r="B421" s="108"/>
      <c r="C421" s="108"/>
      <c r="D421" s="108"/>
      <c r="E421" s="108"/>
      <c r="F421" s="108"/>
      <c r="G421" s="108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0.5" customHeight="1">
      <c r="A422" s="108"/>
      <c r="B422" s="108"/>
      <c r="C422" s="108"/>
      <c r="D422" s="108"/>
      <c r="E422" s="108"/>
      <c r="F422" s="108"/>
      <c r="G422" s="108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0.5" customHeight="1">
      <c r="A423" s="108"/>
      <c r="B423" s="108"/>
      <c r="C423" s="108"/>
      <c r="D423" s="108"/>
      <c r="E423" s="108"/>
      <c r="F423" s="108"/>
      <c r="G423" s="108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0.5" customHeight="1">
      <c r="A424" s="108"/>
      <c r="B424" s="108"/>
      <c r="C424" s="108"/>
      <c r="D424" s="108"/>
      <c r="E424" s="108"/>
      <c r="F424" s="108"/>
      <c r="G424" s="108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0.5" customHeight="1">
      <c r="A425" s="108"/>
      <c r="B425" s="108"/>
      <c r="C425" s="108"/>
      <c r="D425" s="108"/>
      <c r="E425" s="108"/>
      <c r="F425" s="108"/>
      <c r="G425" s="108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0.5" customHeight="1">
      <c r="A426" s="108"/>
      <c r="B426" s="108"/>
      <c r="C426" s="108"/>
      <c r="D426" s="108"/>
      <c r="E426" s="108"/>
      <c r="F426" s="108"/>
      <c r="G426" s="108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0.5" customHeight="1">
      <c r="A427" s="108"/>
      <c r="B427" s="108"/>
      <c r="C427" s="108"/>
      <c r="D427" s="108"/>
      <c r="E427" s="108"/>
      <c r="F427" s="108"/>
      <c r="G427" s="108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0.5" customHeight="1">
      <c r="A428" s="108"/>
      <c r="B428" s="108"/>
      <c r="C428" s="108"/>
      <c r="D428" s="108"/>
      <c r="E428" s="108"/>
      <c r="F428" s="108"/>
      <c r="G428" s="108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0.5" customHeight="1">
      <c r="A429" s="108"/>
      <c r="B429" s="108"/>
      <c r="C429" s="108"/>
      <c r="D429" s="108"/>
      <c r="E429" s="108"/>
      <c r="F429" s="108"/>
      <c r="G429" s="108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0.5" customHeight="1">
      <c r="A430" s="108"/>
      <c r="B430" s="108"/>
      <c r="C430" s="108"/>
      <c r="D430" s="108"/>
      <c r="E430" s="108"/>
      <c r="F430" s="108"/>
      <c r="G430" s="108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0.5" customHeight="1">
      <c r="A431" s="108"/>
      <c r="B431" s="108"/>
      <c r="C431" s="108"/>
      <c r="D431" s="108"/>
      <c r="E431" s="108"/>
      <c r="F431" s="108"/>
      <c r="G431" s="108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0.5" customHeight="1">
      <c r="A432" s="108"/>
      <c r="B432" s="108"/>
      <c r="C432" s="108"/>
      <c r="D432" s="108"/>
      <c r="E432" s="108"/>
      <c r="F432" s="108"/>
      <c r="G432" s="108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0.5" customHeight="1">
      <c r="A433" s="108"/>
      <c r="B433" s="108"/>
      <c r="C433" s="108"/>
      <c r="D433" s="108"/>
      <c r="E433" s="108"/>
      <c r="F433" s="108"/>
      <c r="G433" s="108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0.5" customHeight="1">
      <c r="A434" s="108"/>
      <c r="B434" s="108"/>
      <c r="C434" s="108"/>
      <c r="D434" s="108"/>
      <c r="E434" s="108"/>
      <c r="F434" s="108"/>
      <c r="G434" s="108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0.5" customHeight="1">
      <c r="A435" s="108"/>
      <c r="B435" s="108"/>
      <c r="C435" s="108"/>
      <c r="D435" s="108"/>
      <c r="E435" s="108"/>
      <c r="F435" s="108"/>
      <c r="G435" s="108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0.5" customHeight="1">
      <c r="A436" s="108"/>
      <c r="B436" s="108"/>
      <c r="C436" s="108"/>
      <c r="D436" s="108"/>
      <c r="E436" s="108"/>
      <c r="F436" s="108"/>
      <c r="G436" s="108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0.5" customHeight="1">
      <c r="A437" s="108"/>
      <c r="B437" s="108"/>
      <c r="C437" s="108"/>
      <c r="D437" s="108"/>
      <c r="E437" s="108"/>
      <c r="F437" s="108"/>
      <c r="G437" s="108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0.5" customHeight="1">
      <c r="A438" s="108"/>
      <c r="B438" s="108"/>
      <c r="C438" s="108"/>
      <c r="D438" s="108"/>
      <c r="E438" s="108"/>
      <c r="F438" s="108"/>
      <c r="G438" s="108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0.5" customHeight="1">
      <c r="A439" s="108"/>
      <c r="B439" s="108"/>
      <c r="C439" s="108"/>
      <c r="D439" s="108"/>
      <c r="E439" s="108"/>
      <c r="F439" s="108"/>
      <c r="G439" s="108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0.5" customHeight="1">
      <c r="A440" s="108"/>
      <c r="B440" s="108"/>
      <c r="C440" s="108"/>
      <c r="D440" s="108"/>
      <c r="E440" s="108"/>
      <c r="F440" s="108"/>
      <c r="G440" s="108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0.5" customHeight="1">
      <c r="A441" s="108"/>
      <c r="B441" s="108"/>
      <c r="C441" s="108"/>
      <c r="D441" s="108"/>
      <c r="E441" s="108"/>
      <c r="F441" s="108"/>
      <c r="G441" s="108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0.5" customHeight="1">
      <c r="A442" s="108"/>
      <c r="B442" s="108"/>
      <c r="C442" s="108"/>
      <c r="D442" s="108"/>
      <c r="E442" s="108"/>
      <c r="F442" s="108"/>
      <c r="G442" s="108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0.5" customHeight="1">
      <c r="A443" s="108"/>
      <c r="B443" s="108"/>
      <c r="C443" s="108"/>
      <c r="D443" s="108"/>
      <c r="E443" s="108"/>
      <c r="F443" s="108"/>
      <c r="G443" s="108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0.5" customHeight="1">
      <c r="A444" s="108"/>
      <c r="B444" s="108"/>
      <c r="C444" s="108"/>
      <c r="D444" s="108"/>
      <c r="E444" s="108"/>
      <c r="F444" s="108"/>
      <c r="G444" s="108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0.5" customHeight="1">
      <c r="A445" s="108"/>
      <c r="B445" s="108"/>
      <c r="C445" s="108"/>
      <c r="D445" s="108"/>
      <c r="E445" s="108"/>
      <c r="F445" s="108"/>
      <c r="G445" s="108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0.5" customHeight="1">
      <c r="A446" s="108"/>
      <c r="B446" s="108"/>
      <c r="C446" s="108"/>
      <c r="D446" s="108"/>
      <c r="E446" s="108"/>
      <c r="F446" s="108"/>
      <c r="G446" s="108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0.5" customHeight="1">
      <c r="A447" s="108"/>
      <c r="B447" s="108"/>
      <c r="C447" s="108"/>
      <c r="D447" s="108"/>
      <c r="E447" s="108"/>
      <c r="F447" s="108"/>
      <c r="G447" s="108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0.5" customHeight="1">
      <c r="A448" s="108"/>
      <c r="B448" s="108"/>
      <c r="C448" s="108"/>
      <c r="D448" s="108"/>
      <c r="E448" s="108"/>
      <c r="F448" s="108"/>
      <c r="G448" s="108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0.5" customHeight="1">
      <c r="A449" s="108"/>
      <c r="B449" s="108"/>
      <c r="C449" s="108"/>
      <c r="D449" s="108"/>
      <c r="E449" s="108"/>
      <c r="F449" s="108"/>
      <c r="G449" s="108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0.5" customHeight="1">
      <c r="A450" s="108"/>
      <c r="B450" s="108"/>
      <c r="C450" s="108"/>
      <c r="D450" s="108"/>
      <c r="E450" s="108"/>
      <c r="F450" s="108"/>
      <c r="G450" s="108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0.5" customHeight="1">
      <c r="A451" s="108"/>
      <c r="B451" s="108"/>
      <c r="C451" s="108"/>
      <c r="D451" s="108"/>
      <c r="E451" s="108"/>
      <c r="F451" s="108"/>
      <c r="G451" s="108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0.5" customHeight="1">
      <c r="A452" s="108"/>
      <c r="B452" s="108"/>
      <c r="C452" s="108"/>
      <c r="D452" s="108"/>
      <c r="E452" s="108"/>
      <c r="F452" s="108"/>
      <c r="G452" s="108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0.5" customHeight="1">
      <c r="A453" s="108"/>
      <c r="B453" s="108"/>
      <c r="C453" s="108"/>
      <c r="D453" s="108"/>
      <c r="E453" s="108"/>
      <c r="F453" s="108"/>
      <c r="G453" s="108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0.5" customHeight="1">
      <c r="A454" s="108"/>
      <c r="B454" s="108"/>
      <c r="C454" s="108"/>
      <c r="D454" s="108"/>
      <c r="E454" s="108"/>
      <c r="F454" s="108"/>
      <c r="G454" s="108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0.5" customHeight="1">
      <c r="A455" s="108"/>
      <c r="B455" s="108"/>
      <c r="C455" s="108"/>
      <c r="D455" s="108"/>
      <c r="E455" s="108"/>
      <c r="F455" s="108"/>
      <c r="G455" s="108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0.5" customHeight="1">
      <c r="A456" s="108"/>
      <c r="B456" s="108"/>
      <c r="C456" s="108"/>
      <c r="D456" s="108"/>
      <c r="E456" s="108"/>
      <c r="F456" s="108"/>
      <c r="G456" s="108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0.5" customHeight="1">
      <c r="A457" s="108"/>
      <c r="B457" s="108"/>
      <c r="C457" s="108"/>
      <c r="D457" s="108"/>
      <c r="E457" s="108"/>
      <c r="F457" s="108"/>
      <c r="G457" s="108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0.5" customHeight="1">
      <c r="A458" s="108"/>
      <c r="B458" s="108"/>
      <c r="C458" s="108"/>
      <c r="D458" s="108"/>
      <c r="E458" s="108"/>
      <c r="F458" s="108"/>
      <c r="G458" s="108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0.5" customHeight="1">
      <c r="A459" s="108"/>
      <c r="B459" s="108"/>
      <c r="C459" s="108"/>
      <c r="D459" s="108"/>
      <c r="E459" s="108"/>
      <c r="F459" s="108"/>
      <c r="G459" s="108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0.5" customHeight="1">
      <c r="A460" s="108"/>
      <c r="B460" s="108"/>
      <c r="C460" s="108"/>
      <c r="D460" s="108"/>
      <c r="E460" s="108"/>
      <c r="F460" s="108"/>
      <c r="G460" s="108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0.5" customHeight="1">
      <c r="A461" s="108"/>
      <c r="B461" s="108"/>
      <c r="C461" s="108"/>
      <c r="D461" s="108"/>
      <c r="E461" s="108"/>
      <c r="F461" s="108"/>
      <c r="G461" s="108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0.5" customHeight="1">
      <c r="A462" s="108"/>
      <c r="B462" s="108"/>
      <c r="C462" s="108"/>
      <c r="D462" s="108"/>
      <c r="E462" s="108"/>
      <c r="F462" s="108"/>
      <c r="G462" s="108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0.5" customHeight="1">
      <c r="A463" s="108"/>
      <c r="B463" s="108"/>
      <c r="C463" s="108"/>
      <c r="D463" s="108"/>
      <c r="E463" s="108"/>
      <c r="F463" s="108"/>
      <c r="G463" s="108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0.5" customHeight="1">
      <c r="A464" s="108"/>
      <c r="B464" s="108"/>
      <c r="C464" s="108"/>
      <c r="D464" s="108"/>
      <c r="E464" s="108"/>
      <c r="F464" s="108"/>
      <c r="G464" s="108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0.5" customHeight="1">
      <c r="A465" s="108"/>
      <c r="B465" s="108"/>
      <c r="C465" s="108"/>
      <c r="D465" s="108"/>
      <c r="E465" s="108"/>
      <c r="F465" s="108"/>
      <c r="G465" s="108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0.5" customHeight="1">
      <c r="A466" s="108"/>
      <c r="B466" s="108"/>
      <c r="C466" s="108"/>
      <c r="D466" s="108"/>
      <c r="E466" s="108"/>
      <c r="F466" s="108"/>
      <c r="G466" s="108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0.5" customHeight="1">
      <c r="A467" s="108"/>
      <c r="B467" s="108"/>
      <c r="C467" s="108"/>
      <c r="D467" s="108"/>
      <c r="E467" s="108"/>
      <c r="F467" s="108"/>
      <c r="G467" s="108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0.5" customHeight="1">
      <c r="A468" s="108"/>
      <c r="B468" s="108"/>
      <c r="C468" s="108"/>
      <c r="D468" s="108"/>
      <c r="E468" s="108"/>
      <c r="F468" s="108"/>
      <c r="G468" s="108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0.5" customHeight="1">
      <c r="A469" s="108"/>
      <c r="B469" s="108"/>
      <c r="C469" s="108"/>
      <c r="D469" s="108"/>
      <c r="E469" s="108"/>
      <c r="F469" s="108"/>
      <c r="G469" s="108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0.5" customHeight="1">
      <c r="A470" s="108"/>
      <c r="B470" s="108"/>
      <c r="C470" s="108"/>
      <c r="D470" s="108"/>
      <c r="E470" s="108"/>
      <c r="F470" s="108"/>
      <c r="G470" s="108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0.5" customHeight="1">
      <c r="A471" s="108"/>
      <c r="B471" s="108"/>
      <c r="C471" s="108"/>
      <c r="D471" s="108"/>
      <c r="E471" s="108"/>
      <c r="F471" s="108"/>
      <c r="G471" s="108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0.5" customHeight="1">
      <c r="A472" s="108"/>
      <c r="B472" s="108"/>
      <c r="C472" s="108"/>
      <c r="D472" s="108"/>
      <c r="E472" s="108"/>
      <c r="F472" s="108"/>
      <c r="G472" s="108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0.5" customHeight="1">
      <c r="A473" s="108"/>
      <c r="B473" s="108"/>
      <c r="C473" s="108"/>
      <c r="D473" s="108"/>
      <c r="E473" s="108"/>
      <c r="F473" s="108"/>
      <c r="G473" s="108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0.5" customHeight="1">
      <c r="A474" s="108"/>
      <c r="B474" s="108"/>
      <c r="C474" s="108"/>
      <c r="D474" s="108"/>
      <c r="E474" s="108"/>
      <c r="F474" s="108"/>
      <c r="G474" s="108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0.5" customHeight="1">
      <c r="A475" s="108"/>
      <c r="B475" s="108"/>
      <c r="C475" s="108"/>
      <c r="D475" s="108"/>
      <c r="E475" s="108"/>
      <c r="F475" s="108"/>
      <c r="G475" s="108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0.5" customHeight="1">
      <c r="A476" s="108"/>
      <c r="B476" s="108"/>
      <c r="C476" s="108"/>
      <c r="D476" s="108"/>
      <c r="E476" s="108"/>
      <c r="F476" s="108"/>
      <c r="G476" s="108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0.5" customHeight="1">
      <c r="A477" s="108"/>
      <c r="B477" s="108"/>
      <c r="C477" s="108"/>
      <c r="D477" s="108"/>
      <c r="E477" s="108"/>
      <c r="F477" s="108"/>
      <c r="G477" s="108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0.5" customHeight="1">
      <c r="A478" s="108"/>
      <c r="B478" s="108"/>
      <c r="C478" s="108"/>
      <c r="D478" s="108"/>
      <c r="E478" s="108"/>
      <c r="F478" s="108"/>
      <c r="G478" s="108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0.5" customHeight="1">
      <c r="A479" s="108"/>
      <c r="B479" s="108"/>
      <c r="C479" s="108"/>
      <c r="D479" s="108"/>
      <c r="E479" s="108"/>
      <c r="F479" s="108"/>
      <c r="G479" s="108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0.5" customHeight="1">
      <c r="A480" s="108"/>
      <c r="B480" s="108"/>
      <c r="C480" s="108"/>
      <c r="D480" s="108"/>
      <c r="E480" s="108"/>
      <c r="F480" s="108"/>
      <c r="G480" s="108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0.5" customHeight="1">
      <c r="A481" s="108"/>
      <c r="B481" s="108"/>
      <c r="C481" s="108"/>
      <c r="D481" s="108"/>
      <c r="E481" s="108"/>
      <c r="F481" s="108"/>
      <c r="G481" s="108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0.5" customHeight="1">
      <c r="A482" s="108"/>
      <c r="B482" s="108"/>
      <c r="C482" s="108"/>
      <c r="D482" s="108"/>
      <c r="E482" s="108"/>
      <c r="F482" s="108"/>
      <c r="G482" s="108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0.5" customHeight="1">
      <c r="A483" s="108"/>
      <c r="B483" s="108"/>
      <c r="C483" s="108"/>
      <c r="D483" s="108"/>
      <c r="E483" s="108"/>
      <c r="F483" s="108"/>
      <c r="G483" s="108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0.5" customHeight="1">
      <c r="A484" s="108"/>
      <c r="B484" s="108"/>
      <c r="C484" s="108"/>
      <c r="D484" s="108"/>
      <c r="E484" s="108"/>
      <c r="F484" s="108"/>
      <c r="G484" s="108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0.5" customHeight="1">
      <c r="A485" s="108"/>
      <c r="B485" s="108"/>
      <c r="C485" s="108"/>
      <c r="D485" s="108"/>
      <c r="E485" s="108"/>
      <c r="F485" s="108"/>
      <c r="G485" s="108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0.5" customHeight="1">
      <c r="A486" s="108"/>
      <c r="B486" s="108"/>
      <c r="C486" s="108"/>
      <c r="D486" s="108"/>
      <c r="E486" s="108"/>
      <c r="F486" s="108"/>
      <c r="G486" s="108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0.5" customHeight="1">
      <c r="A487" s="108"/>
      <c r="B487" s="108"/>
      <c r="C487" s="108"/>
      <c r="D487" s="108"/>
      <c r="E487" s="108"/>
      <c r="F487" s="108"/>
      <c r="G487" s="108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0.5" customHeight="1">
      <c r="A488" s="108"/>
      <c r="B488" s="108"/>
      <c r="C488" s="108"/>
      <c r="D488" s="108"/>
      <c r="E488" s="108"/>
      <c r="F488" s="108"/>
      <c r="G488" s="108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0.5" customHeight="1">
      <c r="A489" s="108"/>
      <c r="B489" s="108"/>
      <c r="C489" s="108"/>
      <c r="D489" s="108"/>
      <c r="E489" s="108"/>
      <c r="F489" s="108"/>
      <c r="G489" s="108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0.5" customHeight="1">
      <c r="A490" s="108"/>
      <c r="B490" s="108"/>
      <c r="C490" s="108"/>
      <c r="D490" s="108"/>
      <c r="E490" s="108"/>
      <c r="F490" s="108"/>
      <c r="G490" s="108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0.5" customHeight="1">
      <c r="A491" s="108"/>
      <c r="B491" s="108"/>
      <c r="C491" s="108"/>
      <c r="D491" s="108"/>
      <c r="E491" s="108"/>
      <c r="F491" s="108"/>
      <c r="G491" s="108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0.5" customHeight="1">
      <c r="A492" s="108"/>
      <c r="B492" s="108"/>
      <c r="C492" s="108"/>
      <c r="D492" s="108"/>
      <c r="E492" s="108"/>
      <c r="F492" s="108"/>
      <c r="G492" s="108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0.5" customHeight="1">
      <c r="A493" s="108"/>
      <c r="B493" s="108"/>
      <c r="C493" s="108"/>
      <c r="D493" s="108"/>
      <c r="E493" s="108"/>
      <c r="F493" s="108"/>
      <c r="G493" s="108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0.5" customHeight="1">
      <c r="A494" s="108"/>
      <c r="B494" s="108"/>
      <c r="C494" s="108"/>
      <c r="D494" s="108"/>
      <c r="E494" s="108"/>
      <c r="F494" s="108"/>
      <c r="G494" s="108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0.5" customHeight="1">
      <c r="A495" s="108"/>
      <c r="B495" s="108"/>
      <c r="C495" s="108"/>
      <c r="D495" s="108"/>
      <c r="E495" s="108"/>
      <c r="F495" s="108"/>
      <c r="G495" s="108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0.5" customHeight="1">
      <c r="A496" s="108"/>
      <c r="B496" s="108"/>
      <c r="C496" s="108"/>
      <c r="D496" s="108"/>
      <c r="E496" s="108"/>
      <c r="F496" s="108"/>
      <c r="G496" s="108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0.5" customHeight="1">
      <c r="A497" s="108"/>
      <c r="B497" s="108"/>
      <c r="C497" s="108"/>
      <c r="D497" s="108"/>
      <c r="E497" s="108"/>
      <c r="F497" s="108"/>
      <c r="G497" s="108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0.5" customHeight="1">
      <c r="A498" s="108"/>
      <c r="B498" s="108"/>
      <c r="C498" s="108"/>
      <c r="D498" s="108"/>
      <c r="E498" s="108"/>
      <c r="F498" s="108"/>
      <c r="G498" s="108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0.5" customHeight="1">
      <c r="A499" s="108"/>
      <c r="B499" s="108"/>
      <c r="C499" s="108"/>
      <c r="D499" s="108"/>
      <c r="E499" s="108"/>
      <c r="F499" s="108"/>
      <c r="G499" s="108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0.5" customHeight="1">
      <c r="A500" s="108"/>
      <c r="B500" s="108"/>
      <c r="C500" s="108"/>
      <c r="D500" s="108"/>
      <c r="E500" s="108"/>
      <c r="F500" s="108"/>
      <c r="G500" s="108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0.5" customHeight="1">
      <c r="A501" s="108"/>
      <c r="B501" s="108"/>
      <c r="C501" s="108"/>
      <c r="D501" s="108"/>
      <c r="E501" s="108"/>
      <c r="F501" s="108"/>
      <c r="G501" s="108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0.5" customHeight="1">
      <c r="A502" s="108"/>
      <c r="B502" s="108"/>
      <c r="C502" s="108"/>
      <c r="D502" s="108"/>
      <c r="E502" s="108"/>
      <c r="F502" s="108"/>
      <c r="G502" s="108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0.5" customHeight="1">
      <c r="A503" s="108"/>
      <c r="B503" s="108"/>
      <c r="C503" s="108"/>
      <c r="D503" s="108"/>
      <c r="E503" s="108"/>
      <c r="F503" s="108"/>
      <c r="G503" s="108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0.5" customHeight="1">
      <c r="A504" s="108"/>
      <c r="B504" s="108"/>
      <c r="C504" s="108"/>
      <c r="D504" s="108"/>
      <c r="E504" s="108"/>
      <c r="F504" s="108"/>
      <c r="G504" s="108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0.5" customHeight="1">
      <c r="A505" s="108"/>
      <c r="B505" s="108"/>
      <c r="C505" s="108"/>
      <c r="D505" s="108"/>
      <c r="E505" s="108"/>
      <c r="F505" s="108"/>
      <c r="G505" s="108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0.5" customHeight="1">
      <c r="A506" s="108"/>
      <c r="B506" s="108"/>
      <c r="C506" s="108"/>
      <c r="D506" s="108"/>
      <c r="E506" s="108"/>
      <c r="F506" s="108"/>
      <c r="G506" s="108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0.5" customHeight="1">
      <c r="A507" s="108"/>
      <c r="B507" s="108"/>
      <c r="C507" s="108"/>
      <c r="D507" s="108"/>
      <c r="E507" s="108"/>
      <c r="F507" s="108"/>
      <c r="G507" s="108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0.5" customHeight="1">
      <c r="A508" s="108"/>
      <c r="B508" s="108"/>
      <c r="C508" s="108"/>
      <c r="D508" s="108"/>
      <c r="E508" s="108"/>
      <c r="F508" s="108"/>
      <c r="G508" s="108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0.5" customHeight="1">
      <c r="A509" s="108"/>
      <c r="B509" s="108"/>
      <c r="C509" s="108"/>
      <c r="D509" s="108"/>
      <c r="E509" s="108"/>
      <c r="F509" s="108"/>
      <c r="G509" s="108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0.5" customHeight="1">
      <c r="A510" s="108"/>
      <c r="B510" s="108"/>
      <c r="C510" s="108"/>
      <c r="D510" s="108"/>
      <c r="E510" s="108"/>
      <c r="F510" s="108"/>
      <c r="G510" s="108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0.5" customHeight="1">
      <c r="A511" s="108"/>
      <c r="B511" s="108"/>
      <c r="C511" s="108"/>
      <c r="D511" s="108"/>
      <c r="E511" s="108"/>
      <c r="F511" s="108"/>
      <c r="G511" s="108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0.5" customHeight="1">
      <c r="A512" s="108"/>
      <c r="B512" s="108"/>
      <c r="C512" s="108"/>
      <c r="D512" s="108"/>
      <c r="E512" s="108"/>
      <c r="F512" s="108"/>
      <c r="G512" s="108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0.5" customHeight="1">
      <c r="A513" s="108"/>
      <c r="B513" s="108"/>
      <c r="C513" s="108"/>
      <c r="D513" s="108"/>
      <c r="E513" s="108"/>
      <c r="F513" s="108"/>
      <c r="G513" s="108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0.5" customHeight="1">
      <c r="A514" s="108"/>
      <c r="B514" s="108"/>
      <c r="C514" s="108"/>
      <c r="D514" s="108"/>
      <c r="E514" s="108"/>
      <c r="F514" s="108"/>
      <c r="G514" s="108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0.5" customHeight="1">
      <c r="A515" s="108"/>
      <c r="B515" s="108"/>
      <c r="C515" s="108"/>
      <c r="D515" s="108"/>
      <c r="E515" s="108"/>
      <c r="F515" s="108"/>
      <c r="G515" s="108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0.5" customHeight="1">
      <c r="A516" s="108"/>
      <c r="B516" s="108"/>
      <c r="C516" s="108"/>
      <c r="D516" s="108"/>
      <c r="E516" s="108"/>
      <c r="F516" s="108"/>
      <c r="G516" s="108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0.5" customHeight="1">
      <c r="A517" s="108"/>
      <c r="B517" s="108"/>
      <c r="C517" s="108"/>
      <c r="D517" s="108"/>
      <c r="E517" s="108"/>
      <c r="F517" s="108"/>
      <c r="G517" s="108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0.5" customHeight="1">
      <c r="A518" s="108"/>
      <c r="B518" s="108"/>
      <c r="C518" s="108"/>
      <c r="D518" s="108"/>
      <c r="E518" s="108"/>
      <c r="F518" s="108"/>
      <c r="G518" s="108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0.5" customHeight="1">
      <c r="A519" s="108"/>
      <c r="B519" s="108"/>
      <c r="C519" s="108"/>
      <c r="D519" s="108"/>
      <c r="E519" s="108"/>
      <c r="F519" s="108"/>
      <c r="G519" s="108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0.5" customHeight="1">
      <c r="A520" s="108"/>
      <c r="B520" s="108"/>
      <c r="C520" s="108"/>
      <c r="D520" s="108"/>
      <c r="E520" s="108"/>
      <c r="F520" s="108"/>
      <c r="G520" s="108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0.5" customHeight="1">
      <c r="A521" s="108"/>
      <c r="B521" s="108"/>
      <c r="C521" s="108"/>
      <c r="D521" s="108"/>
      <c r="E521" s="108"/>
      <c r="F521" s="108"/>
      <c r="G521" s="108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0.5" customHeight="1">
      <c r="A522" s="108"/>
      <c r="B522" s="108"/>
      <c r="C522" s="108"/>
      <c r="D522" s="108"/>
      <c r="E522" s="108"/>
      <c r="F522" s="108"/>
      <c r="G522" s="108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0.5" customHeight="1">
      <c r="A523" s="108"/>
      <c r="B523" s="108"/>
      <c r="C523" s="108"/>
      <c r="D523" s="108"/>
      <c r="E523" s="108"/>
      <c r="F523" s="108"/>
      <c r="G523" s="108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0.5" customHeight="1">
      <c r="A524" s="108"/>
      <c r="B524" s="108"/>
      <c r="C524" s="108"/>
      <c r="D524" s="108"/>
      <c r="E524" s="108"/>
      <c r="F524" s="108"/>
      <c r="G524" s="108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0.5" customHeight="1">
      <c r="A525" s="108"/>
      <c r="B525" s="108"/>
      <c r="C525" s="108"/>
      <c r="D525" s="108"/>
      <c r="E525" s="108"/>
      <c r="F525" s="108"/>
      <c r="G525" s="108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0.5" customHeight="1">
      <c r="A526" s="108"/>
      <c r="B526" s="108"/>
      <c r="C526" s="108"/>
      <c r="D526" s="108"/>
      <c r="E526" s="108"/>
      <c r="F526" s="108"/>
      <c r="G526" s="108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0.5" customHeight="1">
      <c r="A527" s="108"/>
      <c r="B527" s="108"/>
      <c r="C527" s="108"/>
      <c r="D527" s="108"/>
      <c r="E527" s="108"/>
      <c r="F527" s="108"/>
      <c r="G527" s="108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0.5" customHeight="1">
      <c r="A528" s="108"/>
      <c r="B528" s="108"/>
      <c r="C528" s="108"/>
      <c r="D528" s="108"/>
      <c r="E528" s="108"/>
      <c r="F528" s="108"/>
      <c r="G528" s="108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0.5" customHeight="1">
      <c r="A529" s="108"/>
      <c r="B529" s="108"/>
      <c r="C529" s="108"/>
      <c r="D529" s="108"/>
      <c r="E529" s="108"/>
      <c r="F529" s="108"/>
      <c r="G529" s="108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0.5" customHeight="1">
      <c r="A530" s="108"/>
      <c r="B530" s="108"/>
      <c r="C530" s="108"/>
      <c r="D530" s="108"/>
      <c r="E530" s="108"/>
      <c r="F530" s="108"/>
      <c r="G530" s="108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0.5" customHeight="1">
      <c r="A531" s="108"/>
      <c r="B531" s="108"/>
      <c r="C531" s="108"/>
      <c r="D531" s="108"/>
      <c r="E531" s="108"/>
      <c r="F531" s="108"/>
      <c r="G531" s="108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0.5" customHeight="1">
      <c r="A532" s="108"/>
      <c r="B532" s="108"/>
      <c r="C532" s="108"/>
      <c r="D532" s="108"/>
      <c r="E532" s="108"/>
      <c r="F532" s="108"/>
      <c r="G532" s="108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0.5" customHeight="1">
      <c r="A533" s="108"/>
      <c r="B533" s="108"/>
      <c r="C533" s="108"/>
      <c r="D533" s="108"/>
      <c r="E533" s="108"/>
      <c r="F533" s="108"/>
      <c r="G533" s="108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0.5" customHeight="1">
      <c r="A534" s="108"/>
      <c r="B534" s="108"/>
      <c r="C534" s="108"/>
      <c r="D534" s="108"/>
      <c r="E534" s="108"/>
      <c r="F534" s="108"/>
      <c r="G534" s="108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0.5" customHeight="1">
      <c r="A535" s="108"/>
      <c r="B535" s="108"/>
      <c r="C535" s="108"/>
      <c r="D535" s="108"/>
      <c r="E535" s="108"/>
      <c r="F535" s="108"/>
      <c r="G535" s="108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0.5" customHeight="1">
      <c r="A536" s="108"/>
      <c r="B536" s="108"/>
      <c r="C536" s="108"/>
      <c r="D536" s="108"/>
      <c r="E536" s="108"/>
      <c r="F536" s="108"/>
      <c r="G536" s="108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0.5" customHeight="1">
      <c r="A537" s="108"/>
      <c r="B537" s="108"/>
      <c r="C537" s="108"/>
      <c r="D537" s="108"/>
      <c r="E537" s="108"/>
      <c r="F537" s="108"/>
      <c r="G537" s="108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0.5" customHeight="1">
      <c r="A538" s="108"/>
      <c r="B538" s="108"/>
      <c r="C538" s="108"/>
      <c r="D538" s="108"/>
      <c r="E538" s="108"/>
      <c r="F538" s="108"/>
      <c r="G538" s="108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0.5" customHeight="1">
      <c r="A539" s="108"/>
      <c r="B539" s="108"/>
      <c r="C539" s="108"/>
      <c r="D539" s="108"/>
      <c r="E539" s="108"/>
      <c r="F539" s="108"/>
      <c r="G539" s="108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0.5" customHeight="1">
      <c r="A540" s="108"/>
      <c r="B540" s="108"/>
      <c r="C540" s="108"/>
      <c r="D540" s="108"/>
      <c r="E540" s="108"/>
      <c r="F540" s="108"/>
      <c r="G540" s="108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0.5" customHeight="1">
      <c r="A541" s="108"/>
      <c r="B541" s="108"/>
      <c r="C541" s="108"/>
      <c r="D541" s="108"/>
      <c r="E541" s="108"/>
      <c r="F541" s="108"/>
      <c r="G541" s="108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0.5" customHeight="1">
      <c r="A542" s="108"/>
      <c r="B542" s="108"/>
      <c r="C542" s="108"/>
      <c r="D542" s="108"/>
      <c r="E542" s="108"/>
      <c r="F542" s="108"/>
      <c r="G542" s="108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0.5" customHeight="1">
      <c r="A543" s="108"/>
      <c r="B543" s="108"/>
      <c r="C543" s="108"/>
      <c r="D543" s="108"/>
      <c r="E543" s="108"/>
      <c r="F543" s="108"/>
      <c r="G543" s="108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0.5" customHeight="1">
      <c r="A544" s="108"/>
      <c r="B544" s="108"/>
      <c r="C544" s="108"/>
      <c r="D544" s="108"/>
      <c r="E544" s="108"/>
      <c r="F544" s="108"/>
      <c r="G544" s="108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0.5" customHeight="1">
      <c r="A545" s="108"/>
      <c r="B545" s="108"/>
      <c r="C545" s="108"/>
      <c r="D545" s="108"/>
      <c r="E545" s="108"/>
      <c r="F545" s="108"/>
      <c r="G545" s="108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0.5" customHeight="1">
      <c r="A546" s="108"/>
      <c r="B546" s="108"/>
      <c r="C546" s="108"/>
      <c r="D546" s="108"/>
      <c r="E546" s="108"/>
      <c r="F546" s="108"/>
      <c r="G546" s="108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0.5" customHeight="1">
      <c r="A547" s="108"/>
      <c r="B547" s="108"/>
      <c r="C547" s="108"/>
      <c r="D547" s="108"/>
      <c r="E547" s="108"/>
      <c r="F547" s="108"/>
      <c r="G547" s="108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0.5" customHeight="1">
      <c r="A548" s="108"/>
      <c r="B548" s="108"/>
      <c r="C548" s="108"/>
      <c r="D548" s="108"/>
      <c r="E548" s="108"/>
      <c r="F548" s="108"/>
      <c r="G548" s="108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0.5" customHeight="1">
      <c r="A549" s="108"/>
      <c r="B549" s="108"/>
      <c r="C549" s="108"/>
      <c r="D549" s="108"/>
      <c r="E549" s="108"/>
      <c r="F549" s="108"/>
      <c r="G549" s="108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0.5" customHeight="1">
      <c r="A550" s="108"/>
      <c r="B550" s="108"/>
      <c r="C550" s="108"/>
      <c r="D550" s="108"/>
      <c r="E550" s="108"/>
      <c r="F550" s="108"/>
      <c r="G550" s="108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0.5" customHeight="1">
      <c r="A551" s="108"/>
      <c r="B551" s="108"/>
      <c r="C551" s="108"/>
      <c r="D551" s="108"/>
      <c r="E551" s="108"/>
      <c r="F551" s="108"/>
      <c r="G551" s="108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0.5" customHeight="1">
      <c r="A552" s="108"/>
      <c r="B552" s="108"/>
      <c r="C552" s="108"/>
      <c r="D552" s="108"/>
      <c r="E552" s="108"/>
      <c r="F552" s="108"/>
      <c r="G552" s="108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0.5" customHeight="1">
      <c r="A553" s="108"/>
      <c r="B553" s="108"/>
      <c r="C553" s="108"/>
      <c r="D553" s="108"/>
      <c r="E553" s="108"/>
      <c r="F553" s="108"/>
      <c r="G553" s="108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0.5" customHeight="1">
      <c r="A554" s="108"/>
      <c r="B554" s="108"/>
      <c r="C554" s="108"/>
      <c r="D554" s="108"/>
      <c r="E554" s="108"/>
      <c r="F554" s="108"/>
      <c r="G554" s="108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0.5" customHeight="1">
      <c r="A555" s="108"/>
      <c r="B555" s="108"/>
      <c r="C555" s="108"/>
      <c r="D555" s="108"/>
      <c r="E555" s="108"/>
      <c r="F555" s="108"/>
      <c r="G555" s="108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0.5" customHeight="1">
      <c r="A556" s="108"/>
      <c r="B556" s="108"/>
      <c r="C556" s="108"/>
      <c r="D556" s="108"/>
      <c r="E556" s="108"/>
      <c r="F556" s="108"/>
      <c r="G556" s="108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0.5" customHeight="1">
      <c r="A557" s="108"/>
      <c r="B557" s="108"/>
      <c r="C557" s="108"/>
      <c r="D557" s="108"/>
      <c r="E557" s="108"/>
      <c r="F557" s="108"/>
      <c r="G557" s="108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0.5" customHeight="1">
      <c r="A558" s="108"/>
      <c r="B558" s="108"/>
      <c r="C558" s="108"/>
      <c r="D558" s="108"/>
      <c r="E558" s="108"/>
      <c r="F558" s="108"/>
      <c r="G558" s="108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0.5" customHeight="1">
      <c r="A559" s="108"/>
      <c r="B559" s="108"/>
      <c r="C559" s="108"/>
      <c r="D559" s="108"/>
      <c r="E559" s="108"/>
      <c r="F559" s="108"/>
      <c r="G559" s="108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0.5" customHeight="1">
      <c r="A560" s="108"/>
      <c r="B560" s="108"/>
      <c r="C560" s="108"/>
      <c r="D560" s="108"/>
      <c r="E560" s="108"/>
      <c r="F560" s="108"/>
      <c r="G560" s="108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0.5" customHeight="1">
      <c r="A561" s="108"/>
      <c r="B561" s="108"/>
      <c r="C561" s="108"/>
      <c r="D561" s="108"/>
      <c r="E561" s="108"/>
      <c r="F561" s="108"/>
      <c r="G561" s="108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0.5" customHeight="1">
      <c r="A562" s="108"/>
      <c r="B562" s="108"/>
      <c r="C562" s="108"/>
      <c r="D562" s="108"/>
      <c r="E562" s="108"/>
      <c r="F562" s="108"/>
      <c r="G562" s="108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0.5" customHeight="1">
      <c r="A563" s="108"/>
      <c r="B563" s="108"/>
      <c r="C563" s="108"/>
      <c r="D563" s="108"/>
      <c r="E563" s="108"/>
      <c r="F563" s="108"/>
      <c r="G563" s="108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0.5" customHeight="1">
      <c r="A564" s="108"/>
      <c r="B564" s="108"/>
      <c r="C564" s="108"/>
      <c r="D564" s="108"/>
      <c r="E564" s="108"/>
      <c r="F564" s="108"/>
      <c r="G564" s="108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0.5" customHeight="1">
      <c r="A565" s="108"/>
      <c r="B565" s="108"/>
      <c r="C565" s="108"/>
      <c r="D565" s="108"/>
      <c r="E565" s="108"/>
      <c r="F565" s="108"/>
      <c r="G565" s="108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0.5" customHeight="1">
      <c r="A566" s="108"/>
      <c r="B566" s="108"/>
      <c r="C566" s="108"/>
      <c r="D566" s="108"/>
      <c r="E566" s="108"/>
      <c r="F566" s="108"/>
      <c r="G566" s="108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0.5" customHeight="1">
      <c r="A567" s="108"/>
      <c r="B567" s="108"/>
      <c r="C567" s="108"/>
      <c r="D567" s="108"/>
      <c r="E567" s="108"/>
      <c r="F567" s="108"/>
      <c r="G567" s="108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0.5" customHeight="1">
      <c r="A568" s="108"/>
      <c r="B568" s="108"/>
      <c r="C568" s="108"/>
      <c r="D568" s="108"/>
      <c r="E568" s="108"/>
      <c r="F568" s="108"/>
      <c r="G568" s="108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0.5" customHeight="1">
      <c r="A569" s="108"/>
      <c r="B569" s="108"/>
      <c r="C569" s="108"/>
      <c r="D569" s="108"/>
      <c r="E569" s="108"/>
      <c r="F569" s="108"/>
      <c r="G569" s="108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0.5" customHeight="1">
      <c r="A570" s="108"/>
      <c r="B570" s="108"/>
      <c r="C570" s="108"/>
      <c r="D570" s="108"/>
      <c r="E570" s="108"/>
      <c r="F570" s="108"/>
      <c r="G570" s="108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0.5" customHeight="1">
      <c r="A571" s="108"/>
      <c r="B571" s="108"/>
      <c r="C571" s="108"/>
      <c r="D571" s="108"/>
      <c r="E571" s="108"/>
      <c r="F571" s="108"/>
      <c r="G571" s="108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0.5" customHeight="1">
      <c r="A572" s="108"/>
      <c r="B572" s="108"/>
      <c r="C572" s="108"/>
      <c r="D572" s="108"/>
      <c r="E572" s="108"/>
      <c r="F572" s="108"/>
      <c r="G572" s="108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0.5" customHeight="1">
      <c r="A573" s="108"/>
      <c r="B573" s="108"/>
      <c r="C573" s="108"/>
      <c r="D573" s="108"/>
      <c r="E573" s="108"/>
      <c r="F573" s="108"/>
      <c r="G573" s="108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0.5" customHeight="1">
      <c r="A574" s="108"/>
      <c r="B574" s="108"/>
      <c r="C574" s="108"/>
      <c r="D574" s="108"/>
      <c r="E574" s="108"/>
      <c r="F574" s="108"/>
      <c r="G574" s="108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0.5" customHeight="1">
      <c r="A575" s="108"/>
      <c r="B575" s="108"/>
      <c r="C575" s="108"/>
      <c r="D575" s="108"/>
      <c r="E575" s="108"/>
      <c r="F575" s="108"/>
      <c r="G575" s="108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0.5" customHeight="1">
      <c r="A576" s="108"/>
      <c r="B576" s="108"/>
      <c r="C576" s="108"/>
      <c r="D576" s="108"/>
      <c r="E576" s="108"/>
      <c r="F576" s="108"/>
      <c r="G576" s="108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0.5" customHeight="1">
      <c r="A577" s="108"/>
      <c r="B577" s="108"/>
      <c r="C577" s="108"/>
      <c r="D577" s="108"/>
      <c r="E577" s="108"/>
      <c r="F577" s="108"/>
      <c r="G577" s="108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0.5" customHeight="1">
      <c r="A578" s="108"/>
      <c r="B578" s="108"/>
      <c r="C578" s="108"/>
      <c r="D578" s="108"/>
      <c r="E578" s="108"/>
      <c r="F578" s="108"/>
      <c r="G578" s="108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0.5" customHeight="1">
      <c r="A579" s="108"/>
      <c r="B579" s="108"/>
      <c r="C579" s="108"/>
      <c r="D579" s="108"/>
      <c r="E579" s="108"/>
      <c r="F579" s="108"/>
      <c r="G579" s="108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0.5" customHeight="1">
      <c r="A580" s="108"/>
      <c r="B580" s="108"/>
      <c r="C580" s="108"/>
      <c r="D580" s="108"/>
      <c r="E580" s="108"/>
      <c r="F580" s="108"/>
      <c r="G580" s="108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0.5" customHeight="1">
      <c r="A581" s="108"/>
      <c r="B581" s="108"/>
      <c r="C581" s="108"/>
      <c r="D581" s="108"/>
      <c r="E581" s="108"/>
      <c r="F581" s="108"/>
      <c r="G581" s="108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0.5" customHeight="1">
      <c r="A582" s="108"/>
      <c r="B582" s="108"/>
      <c r="C582" s="108"/>
      <c r="D582" s="108"/>
      <c r="E582" s="108"/>
      <c r="F582" s="108"/>
      <c r="G582" s="108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0.5" customHeight="1">
      <c r="A583" s="108"/>
      <c r="B583" s="108"/>
      <c r="C583" s="108"/>
      <c r="D583" s="108"/>
      <c r="E583" s="108"/>
      <c r="F583" s="108"/>
      <c r="G583" s="108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0.5" customHeight="1">
      <c r="A584" s="108"/>
      <c r="B584" s="108"/>
      <c r="C584" s="108"/>
      <c r="D584" s="108"/>
      <c r="E584" s="108"/>
      <c r="F584" s="108"/>
      <c r="G584" s="108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0.5" customHeight="1">
      <c r="A585" s="108"/>
      <c r="B585" s="108"/>
      <c r="C585" s="108"/>
      <c r="D585" s="108"/>
      <c r="E585" s="108"/>
      <c r="F585" s="108"/>
      <c r="G585" s="108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0.5" customHeight="1">
      <c r="A586" s="108"/>
      <c r="B586" s="108"/>
      <c r="C586" s="108"/>
      <c r="D586" s="108"/>
      <c r="E586" s="108"/>
      <c r="F586" s="108"/>
      <c r="G586" s="108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0.5" customHeight="1">
      <c r="A587" s="108"/>
      <c r="B587" s="108"/>
      <c r="C587" s="108"/>
      <c r="D587" s="108"/>
      <c r="E587" s="108"/>
      <c r="F587" s="108"/>
      <c r="G587" s="108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0.5" customHeight="1">
      <c r="A588" s="108"/>
      <c r="B588" s="108"/>
      <c r="C588" s="108"/>
      <c r="D588" s="108"/>
      <c r="E588" s="108"/>
      <c r="F588" s="108"/>
      <c r="G588" s="108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0.5" customHeight="1">
      <c r="A589" s="108"/>
      <c r="B589" s="108"/>
      <c r="C589" s="108"/>
      <c r="D589" s="108"/>
      <c r="E589" s="108"/>
      <c r="F589" s="108"/>
      <c r="G589" s="108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0.5" customHeight="1">
      <c r="A590" s="108"/>
      <c r="B590" s="108"/>
      <c r="C590" s="108"/>
      <c r="D590" s="108"/>
      <c r="E590" s="108"/>
      <c r="F590" s="108"/>
      <c r="G590" s="108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0.5" customHeight="1">
      <c r="A591" s="108"/>
      <c r="B591" s="108"/>
      <c r="C591" s="108"/>
      <c r="D591" s="108"/>
      <c r="E591" s="108"/>
      <c r="F591" s="108"/>
      <c r="G591" s="108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0.5" customHeight="1">
      <c r="A592" s="108"/>
      <c r="B592" s="108"/>
      <c r="C592" s="108"/>
      <c r="D592" s="108"/>
      <c r="E592" s="108"/>
      <c r="F592" s="108"/>
      <c r="G592" s="108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0.5" customHeight="1">
      <c r="A593" s="108"/>
      <c r="B593" s="108"/>
      <c r="C593" s="108"/>
      <c r="D593" s="108"/>
      <c r="E593" s="108"/>
      <c r="F593" s="108"/>
      <c r="G593" s="108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0.5" customHeight="1">
      <c r="A594" s="108"/>
      <c r="B594" s="108"/>
      <c r="C594" s="108"/>
      <c r="D594" s="108"/>
      <c r="E594" s="108"/>
      <c r="F594" s="108"/>
      <c r="G594" s="108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0.5" customHeight="1">
      <c r="A595" s="108"/>
      <c r="B595" s="108"/>
      <c r="C595" s="108"/>
      <c r="D595" s="108"/>
      <c r="E595" s="108"/>
      <c r="F595" s="108"/>
      <c r="G595" s="108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0.5" customHeight="1">
      <c r="A596" s="108"/>
      <c r="B596" s="108"/>
      <c r="C596" s="108"/>
      <c r="D596" s="108"/>
      <c r="E596" s="108"/>
      <c r="F596" s="108"/>
      <c r="G596" s="108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0.5" customHeight="1">
      <c r="A597" s="108"/>
      <c r="B597" s="108"/>
      <c r="C597" s="108"/>
      <c r="D597" s="108"/>
      <c r="E597" s="108"/>
      <c r="F597" s="108"/>
      <c r="G597" s="108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0.5" customHeight="1">
      <c r="A598" s="108"/>
      <c r="B598" s="108"/>
      <c r="C598" s="108"/>
      <c r="D598" s="108"/>
      <c r="E598" s="108"/>
      <c r="F598" s="108"/>
      <c r="G598" s="108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0.5" customHeight="1">
      <c r="A599" s="108"/>
      <c r="B599" s="108"/>
      <c r="C599" s="108"/>
      <c r="D599" s="108"/>
      <c r="E599" s="108"/>
      <c r="F599" s="108"/>
      <c r="G599" s="108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0.5" customHeight="1">
      <c r="A600" s="108"/>
      <c r="B600" s="108"/>
      <c r="C600" s="108"/>
      <c r="D600" s="108"/>
      <c r="E600" s="108"/>
      <c r="F600" s="108"/>
      <c r="G600" s="108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0.5" customHeight="1">
      <c r="A601" s="108"/>
      <c r="B601" s="108"/>
      <c r="C601" s="108"/>
      <c r="D601" s="108"/>
      <c r="E601" s="108"/>
      <c r="F601" s="108"/>
      <c r="G601" s="108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0.5" customHeight="1">
      <c r="A602" s="108"/>
      <c r="B602" s="108"/>
      <c r="C602" s="108"/>
      <c r="D602" s="108"/>
      <c r="E602" s="108"/>
      <c r="F602" s="108"/>
      <c r="G602" s="108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0.5" customHeight="1">
      <c r="A603" s="108"/>
      <c r="B603" s="108"/>
      <c r="C603" s="108"/>
      <c r="D603" s="108"/>
      <c r="E603" s="108"/>
      <c r="F603" s="108"/>
      <c r="G603" s="108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0.5" customHeight="1">
      <c r="A604" s="108"/>
      <c r="B604" s="108"/>
      <c r="C604" s="108"/>
      <c r="D604" s="108"/>
      <c r="E604" s="108"/>
      <c r="F604" s="108"/>
      <c r="G604" s="108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0.5" customHeight="1">
      <c r="A605" s="108"/>
      <c r="B605" s="108"/>
      <c r="C605" s="108"/>
      <c r="D605" s="108"/>
      <c r="E605" s="108"/>
      <c r="F605" s="108"/>
      <c r="G605" s="108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0.5" customHeight="1">
      <c r="A606" s="108"/>
      <c r="B606" s="108"/>
      <c r="C606" s="108"/>
      <c r="D606" s="108"/>
      <c r="E606" s="108"/>
      <c r="F606" s="108"/>
      <c r="G606" s="108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0.5" customHeight="1">
      <c r="A607" s="108"/>
      <c r="B607" s="108"/>
      <c r="C607" s="108"/>
      <c r="D607" s="108"/>
      <c r="E607" s="108"/>
      <c r="F607" s="108"/>
      <c r="G607" s="108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0.5" customHeight="1">
      <c r="A608" s="108"/>
      <c r="B608" s="108"/>
      <c r="C608" s="108"/>
      <c r="D608" s="108"/>
      <c r="E608" s="108"/>
      <c r="F608" s="108"/>
      <c r="G608" s="108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0.5" customHeight="1">
      <c r="A609" s="108"/>
      <c r="B609" s="108"/>
      <c r="C609" s="108"/>
      <c r="D609" s="108"/>
      <c r="E609" s="108"/>
      <c r="F609" s="108"/>
      <c r="G609" s="108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0.5" customHeight="1">
      <c r="A610" s="108"/>
      <c r="B610" s="108"/>
      <c r="C610" s="108"/>
      <c r="D610" s="108"/>
      <c r="E610" s="108"/>
      <c r="F610" s="108"/>
      <c r="G610" s="108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0.5" customHeight="1">
      <c r="A611" s="108"/>
      <c r="B611" s="108"/>
      <c r="C611" s="108"/>
      <c r="D611" s="108"/>
      <c r="E611" s="108"/>
      <c r="F611" s="108"/>
      <c r="G611" s="108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0.5" customHeight="1">
      <c r="A612" s="108"/>
      <c r="B612" s="108"/>
      <c r="C612" s="108"/>
      <c r="D612" s="108"/>
      <c r="E612" s="108"/>
      <c r="F612" s="108"/>
      <c r="G612" s="108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0.5" customHeight="1">
      <c r="A613" s="108"/>
      <c r="B613" s="108"/>
      <c r="C613" s="108"/>
      <c r="D613" s="108"/>
      <c r="E613" s="108"/>
      <c r="F613" s="108"/>
      <c r="G613" s="108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0.5" customHeight="1">
      <c r="A614" s="108"/>
      <c r="B614" s="108"/>
      <c r="C614" s="108"/>
      <c r="D614" s="108"/>
      <c r="E614" s="108"/>
      <c r="F614" s="108"/>
      <c r="G614" s="108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0.5" customHeight="1">
      <c r="A615" s="108"/>
      <c r="B615" s="108"/>
      <c r="C615" s="108"/>
      <c r="D615" s="108"/>
      <c r="E615" s="108"/>
      <c r="F615" s="108"/>
      <c r="G615" s="108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0.5" customHeight="1">
      <c r="A616" s="108"/>
      <c r="B616" s="108"/>
      <c r="C616" s="108"/>
      <c r="D616" s="108"/>
      <c r="E616" s="108"/>
      <c r="F616" s="108"/>
      <c r="G616" s="108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0.5" customHeight="1">
      <c r="A617" s="108"/>
      <c r="B617" s="108"/>
      <c r="C617" s="108"/>
      <c r="D617" s="108"/>
      <c r="E617" s="108"/>
      <c r="F617" s="108"/>
      <c r="G617" s="108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0.5" customHeight="1">
      <c r="A618" s="108"/>
      <c r="B618" s="108"/>
      <c r="C618" s="108"/>
      <c r="D618" s="108"/>
      <c r="E618" s="108"/>
      <c r="F618" s="108"/>
      <c r="G618" s="108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0.5" customHeight="1">
      <c r="A619" s="108"/>
      <c r="B619" s="108"/>
      <c r="C619" s="108"/>
      <c r="D619" s="108"/>
      <c r="E619" s="108"/>
      <c r="F619" s="108"/>
      <c r="G619" s="108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0.5" customHeight="1">
      <c r="A620" s="108"/>
      <c r="B620" s="108"/>
      <c r="C620" s="108"/>
      <c r="D620" s="108"/>
      <c r="E620" s="108"/>
      <c r="F620" s="108"/>
      <c r="G620" s="108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0.5" customHeight="1">
      <c r="A621" s="108"/>
      <c r="B621" s="108"/>
      <c r="C621" s="108"/>
      <c r="D621" s="108"/>
      <c r="E621" s="108"/>
      <c r="F621" s="108"/>
      <c r="G621" s="108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0.5" customHeight="1">
      <c r="A622" s="108"/>
      <c r="B622" s="108"/>
      <c r="C622" s="108"/>
      <c r="D622" s="108"/>
      <c r="E622" s="108"/>
      <c r="F622" s="108"/>
      <c r="G622" s="108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0.5" customHeight="1">
      <c r="A623" s="108"/>
      <c r="B623" s="108"/>
      <c r="C623" s="108"/>
      <c r="D623" s="108"/>
      <c r="E623" s="108"/>
      <c r="F623" s="108"/>
      <c r="G623" s="108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0.5" customHeight="1">
      <c r="A624" s="108"/>
      <c r="B624" s="108"/>
      <c r="C624" s="108"/>
      <c r="D624" s="108"/>
      <c r="E624" s="108"/>
      <c r="F624" s="108"/>
      <c r="G624" s="108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0.5" customHeight="1">
      <c r="A625" s="108"/>
      <c r="B625" s="108"/>
      <c r="C625" s="108"/>
      <c r="D625" s="108"/>
      <c r="E625" s="108"/>
      <c r="F625" s="108"/>
      <c r="G625" s="108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0.5" customHeight="1">
      <c r="A626" s="108"/>
      <c r="B626" s="108"/>
      <c r="C626" s="108"/>
      <c r="D626" s="108"/>
      <c r="E626" s="108"/>
      <c r="F626" s="108"/>
      <c r="G626" s="108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0.5" customHeight="1">
      <c r="A627" s="108"/>
      <c r="B627" s="108"/>
      <c r="C627" s="108"/>
      <c r="D627" s="108"/>
      <c r="E627" s="108"/>
      <c r="F627" s="108"/>
      <c r="G627" s="108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0.5" customHeight="1">
      <c r="A628" s="108"/>
      <c r="B628" s="108"/>
      <c r="C628" s="108"/>
      <c r="D628" s="108"/>
      <c r="E628" s="108"/>
      <c r="F628" s="108"/>
      <c r="G628" s="108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0.5" customHeight="1">
      <c r="A629" s="108"/>
      <c r="B629" s="108"/>
      <c r="C629" s="108"/>
      <c r="D629" s="108"/>
      <c r="E629" s="108"/>
      <c r="F629" s="108"/>
      <c r="G629" s="108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0.5" customHeight="1">
      <c r="A630" s="108"/>
      <c r="B630" s="108"/>
      <c r="C630" s="108"/>
      <c r="D630" s="108"/>
      <c r="E630" s="108"/>
      <c r="F630" s="108"/>
      <c r="G630" s="108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0.5" customHeight="1">
      <c r="A631" s="108"/>
      <c r="B631" s="108"/>
      <c r="C631" s="108"/>
      <c r="D631" s="108"/>
      <c r="E631" s="108"/>
      <c r="F631" s="108"/>
      <c r="G631" s="108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0.5" customHeight="1">
      <c r="A632" s="108"/>
      <c r="B632" s="108"/>
      <c r="C632" s="108"/>
      <c r="D632" s="108"/>
      <c r="E632" s="108"/>
      <c r="F632" s="108"/>
      <c r="G632" s="108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0.5" customHeight="1">
      <c r="A633" s="108"/>
      <c r="B633" s="108"/>
      <c r="C633" s="108"/>
      <c r="D633" s="108"/>
      <c r="E633" s="108"/>
      <c r="F633" s="108"/>
      <c r="G633" s="108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0.5" customHeight="1">
      <c r="A634" s="108"/>
      <c r="B634" s="108"/>
      <c r="C634" s="108"/>
      <c r="D634" s="108"/>
      <c r="E634" s="108"/>
      <c r="F634" s="108"/>
      <c r="G634" s="108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0.5" customHeight="1">
      <c r="A635" s="108"/>
      <c r="B635" s="108"/>
      <c r="C635" s="108"/>
      <c r="D635" s="108"/>
      <c r="E635" s="108"/>
      <c r="F635" s="108"/>
      <c r="G635" s="108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0.5" customHeight="1">
      <c r="A636" s="108"/>
      <c r="B636" s="108"/>
      <c r="C636" s="108"/>
      <c r="D636" s="108"/>
      <c r="E636" s="108"/>
      <c r="F636" s="108"/>
      <c r="G636" s="108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0.5" customHeight="1">
      <c r="A637" s="108"/>
      <c r="B637" s="108"/>
      <c r="C637" s="108"/>
      <c r="D637" s="108"/>
      <c r="E637" s="108"/>
      <c r="F637" s="108"/>
      <c r="G637" s="108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0.5" customHeight="1">
      <c r="A638" s="108"/>
      <c r="B638" s="108"/>
      <c r="C638" s="108"/>
      <c r="D638" s="108"/>
      <c r="E638" s="108"/>
      <c r="F638" s="108"/>
      <c r="G638" s="108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0.5" customHeight="1">
      <c r="A639" s="108"/>
      <c r="B639" s="108"/>
      <c r="C639" s="108"/>
      <c r="D639" s="108"/>
      <c r="E639" s="108"/>
      <c r="F639" s="108"/>
      <c r="G639" s="108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0.5" customHeight="1">
      <c r="A640" s="108"/>
      <c r="B640" s="108"/>
      <c r="C640" s="108"/>
      <c r="D640" s="108"/>
      <c r="E640" s="108"/>
      <c r="F640" s="108"/>
      <c r="G640" s="108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0.5" customHeight="1">
      <c r="A641" s="108"/>
      <c r="B641" s="108"/>
      <c r="C641" s="108"/>
      <c r="D641" s="108"/>
      <c r="E641" s="108"/>
      <c r="F641" s="108"/>
      <c r="G641" s="108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0.5" customHeight="1">
      <c r="A642" s="108"/>
      <c r="B642" s="108"/>
      <c r="C642" s="108"/>
      <c r="D642" s="108"/>
      <c r="E642" s="108"/>
      <c r="F642" s="108"/>
      <c r="G642" s="108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0.5" customHeight="1">
      <c r="A643" s="108"/>
      <c r="B643" s="108"/>
      <c r="C643" s="108"/>
      <c r="D643" s="108"/>
      <c r="E643" s="108"/>
      <c r="F643" s="108"/>
      <c r="G643" s="108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0.5" customHeight="1">
      <c r="A644" s="108"/>
      <c r="B644" s="108"/>
      <c r="C644" s="108"/>
      <c r="D644" s="108"/>
      <c r="E644" s="108"/>
      <c r="F644" s="108"/>
      <c r="G644" s="108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0.5" customHeight="1">
      <c r="A645" s="108"/>
      <c r="B645" s="108"/>
      <c r="C645" s="108"/>
      <c r="D645" s="108"/>
      <c r="E645" s="108"/>
      <c r="F645" s="108"/>
      <c r="G645" s="108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0.5" customHeight="1">
      <c r="A646" s="108"/>
      <c r="B646" s="108"/>
      <c r="C646" s="108"/>
      <c r="D646" s="108"/>
      <c r="E646" s="108"/>
      <c r="F646" s="108"/>
      <c r="G646" s="108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0.5" customHeight="1">
      <c r="A647" s="108"/>
      <c r="B647" s="108"/>
      <c r="C647" s="108"/>
      <c r="D647" s="108"/>
      <c r="E647" s="108"/>
      <c r="F647" s="108"/>
      <c r="G647" s="108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0.5" customHeight="1">
      <c r="A648" s="108"/>
      <c r="B648" s="108"/>
      <c r="C648" s="108"/>
      <c r="D648" s="108"/>
      <c r="E648" s="108"/>
      <c r="F648" s="108"/>
      <c r="G648" s="108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0.5" customHeight="1">
      <c r="A649" s="108"/>
      <c r="B649" s="108"/>
      <c r="C649" s="108"/>
      <c r="D649" s="108"/>
      <c r="E649" s="108"/>
      <c r="F649" s="108"/>
      <c r="G649" s="108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0.5" customHeight="1">
      <c r="A650" s="108"/>
      <c r="B650" s="108"/>
      <c r="C650" s="108"/>
      <c r="D650" s="108"/>
      <c r="E650" s="108"/>
      <c r="F650" s="108"/>
      <c r="G650" s="108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0.5" customHeight="1">
      <c r="A651" s="108"/>
      <c r="B651" s="108"/>
      <c r="C651" s="108"/>
      <c r="D651" s="108"/>
      <c r="E651" s="108"/>
      <c r="F651" s="108"/>
      <c r="G651" s="108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0.5" customHeight="1">
      <c r="A652" s="108"/>
      <c r="B652" s="108"/>
      <c r="C652" s="108"/>
      <c r="D652" s="108"/>
      <c r="E652" s="108"/>
      <c r="F652" s="108"/>
      <c r="G652" s="108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0.5" customHeight="1">
      <c r="A653" s="108"/>
      <c r="B653" s="108"/>
      <c r="C653" s="108"/>
      <c r="D653" s="108"/>
      <c r="E653" s="108"/>
      <c r="F653" s="108"/>
      <c r="G653" s="108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0.5" customHeight="1">
      <c r="A654" s="108"/>
      <c r="B654" s="108"/>
      <c r="C654" s="108"/>
      <c r="D654" s="108"/>
      <c r="E654" s="108"/>
      <c r="F654" s="108"/>
      <c r="G654" s="108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0.5" customHeight="1">
      <c r="A655" s="108"/>
      <c r="B655" s="108"/>
      <c r="C655" s="108"/>
      <c r="D655" s="108"/>
      <c r="E655" s="108"/>
      <c r="F655" s="108"/>
      <c r="G655" s="108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0.5" customHeight="1">
      <c r="A656" s="108"/>
      <c r="B656" s="108"/>
      <c r="C656" s="108"/>
      <c r="D656" s="108"/>
      <c r="E656" s="108"/>
      <c r="F656" s="108"/>
      <c r="G656" s="108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0.5" customHeight="1">
      <c r="A657" s="108"/>
      <c r="B657" s="108"/>
      <c r="C657" s="108"/>
      <c r="D657" s="108"/>
      <c r="E657" s="108"/>
      <c r="F657" s="108"/>
      <c r="G657" s="108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0.5" customHeight="1">
      <c r="A658" s="108"/>
      <c r="B658" s="108"/>
      <c r="C658" s="108"/>
      <c r="D658" s="108"/>
      <c r="E658" s="108"/>
      <c r="F658" s="108"/>
      <c r="G658" s="108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0.5" customHeight="1">
      <c r="A659" s="108"/>
      <c r="B659" s="108"/>
      <c r="C659" s="108"/>
      <c r="D659" s="108"/>
      <c r="E659" s="108"/>
      <c r="F659" s="108"/>
      <c r="G659" s="108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0.5" customHeight="1">
      <c r="A660" s="108"/>
      <c r="B660" s="108"/>
      <c r="C660" s="108"/>
      <c r="D660" s="108"/>
      <c r="E660" s="108"/>
      <c r="F660" s="108"/>
      <c r="G660" s="108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0.5" customHeight="1">
      <c r="A661" s="108"/>
      <c r="B661" s="108"/>
      <c r="C661" s="108"/>
      <c r="D661" s="108"/>
      <c r="E661" s="108"/>
      <c r="F661" s="108"/>
      <c r="G661" s="108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0.5" customHeight="1">
      <c r="A662" s="108"/>
      <c r="B662" s="108"/>
      <c r="C662" s="108"/>
      <c r="D662" s="108"/>
      <c r="E662" s="108"/>
      <c r="F662" s="108"/>
      <c r="G662" s="108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0.5" customHeight="1">
      <c r="A663" s="108"/>
      <c r="B663" s="108"/>
      <c r="C663" s="108"/>
      <c r="D663" s="108"/>
      <c r="E663" s="108"/>
      <c r="F663" s="108"/>
      <c r="G663" s="108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0.5" customHeight="1">
      <c r="A664" s="108"/>
      <c r="B664" s="108"/>
      <c r="C664" s="108"/>
      <c r="D664" s="108"/>
      <c r="E664" s="108"/>
      <c r="F664" s="108"/>
      <c r="G664" s="108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0.5" customHeight="1">
      <c r="A665" s="108"/>
      <c r="B665" s="108"/>
      <c r="C665" s="108"/>
      <c r="D665" s="108"/>
      <c r="E665" s="108"/>
      <c r="F665" s="108"/>
      <c r="G665" s="108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0.5" customHeight="1">
      <c r="A666" s="108"/>
      <c r="B666" s="108"/>
      <c r="C666" s="108"/>
      <c r="D666" s="108"/>
      <c r="E666" s="108"/>
      <c r="F666" s="108"/>
      <c r="G666" s="108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0.5" customHeight="1">
      <c r="A667" s="108"/>
      <c r="B667" s="108"/>
      <c r="C667" s="108"/>
      <c r="D667" s="108"/>
      <c r="E667" s="108"/>
      <c r="F667" s="108"/>
      <c r="G667" s="108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0.5" customHeight="1">
      <c r="A668" s="108"/>
      <c r="B668" s="108"/>
      <c r="C668" s="108"/>
      <c r="D668" s="108"/>
      <c r="E668" s="108"/>
      <c r="F668" s="108"/>
      <c r="G668" s="108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0.5" customHeight="1">
      <c r="A669" s="108"/>
      <c r="B669" s="108"/>
      <c r="C669" s="108"/>
      <c r="D669" s="108"/>
      <c r="E669" s="108"/>
      <c r="F669" s="108"/>
      <c r="G669" s="108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0.5" customHeight="1">
      <c r="A670" s="108"/>
      <c r="B670" s="108"/>
      <c r="C670" s="108"/>
      <c r="D670" s="108"/>
      <c r="E670" s="108"/>
      <c r="F670" s="108"/>
      <c r="G670" s="108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0.5" customHeight="1">
      <c r="A671" s="108"/>
      <c r="B671" s="108"/>
      <c r="C671" s="108"/>
      <c r="D671" s="108"/>
      <c r="E671" s="108"/>
      <c r="F671" s="108"/>
      <c r="G671" s="108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0.5" customHeight="1">
      <c r="A672" s="108"/>
      <c r="B672" s="108"/>
      <c r="C672" s="108"/>
      <c r="D672" s="108"/>
      <c r="E672" s="108"/>
      <c r="F672" s="108"/>
      <c r="G672" s="108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0.5" customHeight="1">
      <c r="A673" s="108"/>
      <c r="B673" s="108"/>
      <c r="C673" s="108"/>
      <c r="D673" s="108"/>
      <c r="E673" s="108"/>
      <c r="F673" s="108"/>
      <c r="G673" s="108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0.5" customHeight="1">
      <c r="A674" s="108"/>
      <c r="B674" s="108"/>
      <c r="C674" s="108"/>
      <c r="D674" s="108"/>
      <c r="E674" s="108"/>
      <c r="F674" s="108"/>
      <c r="G674" s="108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0.5" customHeight="1">
      <c r="A675" s="108"/>
      <c r="B675" s="108"/>
      <c r="C675" s="108"/>
      <c r="D675" s="108"/>
      <c r="E675" s="108"/>
      <c r="F675" s="108"/>
      <c r="G675" s="108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0.5" customHeight="1">
      <c r="A676" s="108"/>
      <c r="B676" s="108"/>
      <c r="C676" s="108"/>
      <c r="D676" s="108"/>
      <c r="E676" s="108"/>
      <c r="F676" s="108"/>
      <c r="G676" s="108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0.5" customHeight="1">
      <c r="A677" s="108"/>
      <c r="B677" s="108"/>
      <c r="C677" s="108"/>
      <c r="D677" s="108"/>
      <c r="E677" s="108"/>
      <c r="F677" s="108"/>
      <c r="G677" s="108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0.5" customHeight="1">
      <c r="A678" s="108"/>
      <c r="B678" s="108"/>
      <c r="C678" s="108"/>
      <c r="D678" s="108"/>
      <c r="E678" s="108"/>
      <c r="F678" s="108"/>
      <c r="G678" s="108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0.5" customHeight="1">
      <c r="A679" s="108"/>
      <c r="B679" s="108"/>
      <c r="C679" s="108"/>
      <c r="D679" s="108"/>
      <c r="E679" s="108"/>
      <c r="F679" s="108"/>
      <c r="G679" s="108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0.5" customHeight="1">
      <c r="A680" s="108"/>
      <c r="B680" s="108"/>
      <c r="C680" s="108"/>
      <c r="D680" s="108"/>
      <c r="E680" s="108"/>
      <c r="F680" s="108"/>
      <c r="G680" s="108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0.5" customHeight="1">
      <c r="A681" s="108"/>
      <c r="B681" s="108"/>
      <c r="C681" s="108"/>
      <c r="D681" s="108"/>
      <c r="E681" s="108"/>
      <c r="F681" s="108"/>
      <c r="G681" s="108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0.5" customHeight="1">
      <c r="A682" s="108"/>
      <c r="B682" s="108"/>
      <c r="C682" s="108"/>
      <c r="D682" s="108"/>
      <c r="E682" s="108"/>
      <c r="F682" s="108"/>
      <c r="G682" s="108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0.5" customHeight="1">
      <c r="A683" s="108"/>
      <c r="B683" s="108"/>
      <c r="C683" s="108"/>
      <c r="D683" s="108"/>
      <c r="E683" s="108"/>
      <c r="F683" s="108"/>
      <c r="G683" s="108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0.5" customHeight="1">
      <c r="A684" s="108"/>
      <c r="B684" s="108"/>
      <c r="C684" s="108"/>
      <c r="D684" s="108"/>
      <c r="E684" s="108"/>
      <c r="F684" s="108"/>
      <c r="G684" s="108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0.5" customHeight="1">
      <c r="A685" s="108"/>
      <c r="B685" s="108"/>
      <c r="C685" s="108"/>
      <c r="D685" s="108"/>
      <c r="E685" s="108"/>
      <c r="F685" s="108"/>
      <c r="G685" s="108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0.5" customHeight="1">
      <c r="A686" s="108"/>
      <c r="B686" s="108"/>
      <c r="C686" s="108"/>
      <c r="D686" s="108"/>
      <c r="E686" s="108"/>
      <c r="F686" s="108"/>
      <c r="G686" s="108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0.5" customHeight="1">
      <c r="A687" s="108"/>
      <c r="B687" s="108"/>
      <c r="C687" s="108"/>
      <c r="D687" s="108"/>
      <c r="E687" s="108"/>
      <c r="F687" s="108"/>
      <c r="G687" s="108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0.5" customHeight="1">
      <c r="A688" s="108"/>
      <c r="B688" s="108"/>
      <c r="C688" s="108"/>
      <c r="D688" s="108"/>
      <c r="E688" s="108"/>
      <c r="F688" s="108"/>
      <c r="G688" s="108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0.5" customHeight="1">
      <c r="A689" s="108"/>
      <c r="B689" s="108"/>
      <c r="C689" s="108"/>
      <c r="D689" s="108"/>
      <c r="E689" s="108"/>
      <c r="F689" s="108"/>
      <c r="G689" s="108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0.5" customHeight="1">
      <c r="A690" s="108"/>
      <c r="B690" s="108"/>
      <c r="C690" s="108"/>
      <c r="D690" s="108"/>
      <c r="E690" s="108"/>
      <c r="F690" s="108"/>
      <c r="G690" s="108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0.5" customHeight="1">
      <c r="A691" s="108"/>
      <c r="B691" s="108"/>
      <c r="C691" s="108"/>
      <c r="D691" s="108"/>
      <c r="E691" s="108"/>
      <c r="F691" s="108"/>
      <c r="G691" s="108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0.5" customHeight="1">
      <c r="A692" s="108"/>
      <c r="B692" s="108"/>
      <c r="C692" s="108"/>
      <c r="D692" s="108"/>
      <c r="E692" s="108"/>
      <c r="F692" s="108"/>
      <c r="G692" s="108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0.5" customHeight="1">
      <c r="A693" s="108"/>
      <c r="B693" s="108"/>
      <c r="C693" s="108"/>
      <c r="D693" s="108"/>
      <c r="E693" s="108"/>
      <c r="F693" s="108"/>
      <c r="G693" s="108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0.5" customHeight="1">
      <c r="A694" s="108"/>
      <c r="B694" s="108"/>
      <c r="C694" s="108"/>
      <c r="D694" s="108"/>
      <c r="E694" s="108"/>
      <c r="F694" s="108"/>
      <c r="G694" s="108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0.5" customHeight="1">
      <c r="A695" s="108"/>
      <c r="B695" s="108"/>
      <c r="C695" s="108"/>
      <c r="D695" s="108"/>
      <c r="E695" s="108"/>
      <c r="F695" s="108"/>
      <c r="G695" s="108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0.5" customHeight="1">
      <c r="A696" s="108"/>
      <c r="B696" s="108"/>
      <c r="C696" s="108"/>
      <c r="D696" s="108"/>
      <c r="E696" s="108"/>
      <c r="F696" s="108"/>
      <c r="G696" s="108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0.5" customHeight="1">
      <c r="A697" s="108"/>
      <c r="B697" s="108"/>
      <c r="C697" s="108"/>
      <c r="D697" s="108"/>
      <c r="E697" s="108"/>
      <c r="F697" s="108"/>
      <c r="G697" s="108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0.5" customHeight="1">
      <c r="A698" s="108"/>
      <c r="B698" s="108"/>
      <c r="C698" s="108"/>
      <c r="D698" s="108"/>
      <c r="E698" s="108"/>
      <c r="F698" s="108"/>
      <c r="G698" s="108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0.5" customHeight="1">
      <c r="A699" s="108"/>
      <c r="B699" s="108"/>
      <c r="C699" s="108"/>
      <c r="D699" s="108"/>
      <c r="E699" s="108"/>
      <c r="F699" s="108"/>
      <c r="G699" s="108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0.5" customHeight="1">
      <c r="A700" s="108"/>
      <c r="B700" s="108"/>
      <c r="C700" s="108"/>
      <c r="D700" s="108"/>
      <c r="E700" s="108"/>
      <c r="F700" s="108"/>
      <c r="G700" s="108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0.5" customHeight="1">
      <c r="A701" s="108"/>
      <c r="B701" s="108"/>
      <c r="C701" s="108"/>
      <c r="D701" s="108"/>
      <c r="E701" s="108"/>
      <c r="F701" s="108"/>
      <c r="G701" s="108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0.5" customHeight="1">
      <c r="A702" s="108"/>
      <c r="B702" s="108"/>
      <c r="C702" s="108"/>
      <c r="D702" s="108"/>
      <c r="E702" s="108"/>
      <c r="F702" s="108"/>
      <c r="G702" s="108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0.5" customHeight="1">
      <c r="A703" s="108"/>
      <c r="B703" s="108"/>
      <c r="C703" s="108"/>
      <c r="D703" s="108"/>
      <c r="E703" s="108"/>
      <c r="F703" s="108"/>
      <c r="G703" s="108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0.5" customHeight="1">
      <c r="A704" s="108"/>
      <c r="B704" s="108"/>
      <c r="C704" s="108"/>
      <c r="D704" s="108"/>
      <c r="E704" s="108"/>
      <c r="F704" s="108"/>
      <c r="G704" s="108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0.5" customHeight="1">
      <c r="A705" s="108"/>
      <c r="B705" s="108"/>
      <c r="C705" s="108"/>
      <c r="D705" s="108"/>
      <c r="E705" s="108"/>
      <c r="F705" s="108"/>
      <c r="G705" s="108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0.5" customHeight="1">
      <c r="A706" s="108"/>
      <c r="B706" s="108"/>
      <c r="C706" s="108"/>
      <c r="D706" s="108"/>
      <c r="E706" s="108"/>
      <c r="F706" s="108"/>
      <c r="G706" s="108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0.5" customHeight="1">
      <c r="A707" s="108"/>
      <c r="B707" s="108"/>
      <c r="C707" s="108"/>
      <c r="D707" s="108"/>
      <c r="E707" s="108"/>
      <c r="F707" s="108"/>
      <c r="G707" s="108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0.5" customHeight="1">
      <c r="A708" s="108"/>
      <c r="B708" s="108"/>
      <c r="C708" s="108"/>
      <c r="D708" s="108"/>
      <c r="E708" s="108"/>
      <c r="F708" s="108"/>
      <c r="G708" s="108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0.5" customHeight="1">
      <c r="A709" s="108"/>
      <c r="B709" s="108"/>
      <c r="C709" s="108"/>
      <c r="D709" s="108"/>
      <c r="E709" s="108"/>
      <c r="F709" s="108"/>
      <c r="G709" s="108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0.5" customHeight="1">
      <c r="A710" s="108"/>
      <c r="B710" s="108"/>
      <c r="C710" s="108"/>
      <c r="D710" s="108"/>
      <c r="E710" s="108"/>
      <c r="F710" s="108"/>
      <c r="G710" s="108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0.5" customHeight="1">
      <c r="A711" s="108"/>
      <c r="B711" s="108"/>
      <c r="C711" s="108"/>
      <c r="D711" s="108"/>
      <c r="E711" s="108"/>
      <c r="F711" s="108"/>
      <c r="G711" s="108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0.5" customHeight="1">
      <c r="A712" s="108"/>
      <c r="B712" s="108"/>
      <c r="C712" s="108"/>
      <c r="D712" s="108"/>
      <c r="E712" s="108"/>
      <c r="F712" s="108"/>
      <c r="G712" s="108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0.5" customHeight="1">
      <c r="A713" s="108"/>
      <c r="B713" s="108"/>
      <c r="C713" s="108"/>
      <c r="D713" s="108"/>
      <c r="E713" s="108"/>
      <c r="F713" s="108"/>
      <c r="G713" s="108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0.5" customHeight="1">
      <c r="A714" s="108"/>
      <c r="B714" s="108"/>
      <c r="C714" s="108"/>
      <c r="D714" s="108"/>
      <c r="E714" s="108"/>
      <c r="F714" s="108"/>
      <c r="G714" s="108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0.5" customHeight="1">
      <c r="A715" s="108"/>
      <c r="B715" s="108"/>
      <c r="C715" s="108"/>
      <c r="D715" s="108"/>
      <c r="E715" s="108"/>
      <c r="F715" s="108"/>
      <c r="G715" s="108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0.5" customHeight="1">
      <c r="A716" s="108"/>
      <c r="B716" s="108"/>
      <c r="C716" s="108"/>
      <c r="D716" s="108"/>
      <c r="E716" s="108"/>
      <c r="F716" s="108"/>
      <c r="G716" s="108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0.5" customHeight="1">
      <c r="A717" s="108"/>
      <c r="B717" s="108"/>
      <c r="C717" s="108"/>
      <c r="D717" s="108"/>
      <c r="E717" s="108"/>
      <c r="F717" s="108"/>
      <c r="G717" s="108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0.5" customHeight="1">
      <c r="A718" s="108"/>
      <c r="B718" s="108"/>
      <c r="C718" s="108"/>
      <c r="D718" s="108"/>
      <c r="E718" s="108"/>
      <c r="F718" s="108"/>
      <c r="G718" s="108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0.5" customHeight="1">
      <c r="A719" s="108"/>
      <c r="B719" s="108"/>
      <c r="C719" s="108"/>
      <c r="D719" s="108"/>
      <c r="E719" s="108"/>
      <c r="F719" s="108"/>
      <c r="G719" s="108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0.5" customHeight="1">
      <c r="A720" s="108"/>
      <c r="B720" s="108"/>
      <c r="C720" s="108"/>
      <c r="D720" s="108"/>
      <c r="E720" s="108"/>
      <c r="F720" s="108"/>
      <c r="G720" s="108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0.5" customHeight="1">
      <c r="A721" s="108"/>
      <c r="B721" s="108"/>
      <c r="C721" s="108"/>
      <c r="D721" s="108"/>
      <c r="E721" s="108"/>
      <c r="F721" s="108"/>
      <c r="G721" s="108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0.5" customHeight="1">
      <c r="A722" s="108"/>
      <c r="B722" s="108"/>
      <c r="C722" s="108"/>
      <c r="D722" s="108"/>
      <c r="E722" s="108"/>
      <c r="F722" s="108"/>
      <c r="G722" s="108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0.5" customHeight="1">
      <c r="A723" s="108"/>
      <c r="B723" s="108"/>
      <c r="C723" s="108"/>
      <c r="D723" s="108"/>
      <c r="E723" s="108"/>
      <c r="F723" s="108"/>
      <c r="G723" s="108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0.5" customHeight="1">
      <c r="A724" s="108"/>
      <c r="B724" s="108"/>
      <c r="C724" s="108"/>
      <c r="D724" s="108"/>
      <c r="E724" s="108"/>
      <c r="F724" s="108"/>
      <c r="G724" s="108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0.5" customHeight="1">
      <c r="A725" s="108"/>
      <c r="B725" s="108"/>
      <c r="C725" s="108"/>
      <c r="D725" s="108"/>
      <c r="E725" s="108"/>
      <c r="F725" s="108"/>
      <c r="G725" s="108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0.5" customHeight="1">
      <c r="A726" s="108"/>
      <c r="B726" s="108"/>
      <c r="C726" s="108"/>
      <c r="D726" s="108"/>
      <c r="E726" s="108"/>
      <c r="F726" s="108"/>
      <c r="G726" s="108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0.5" customHeight="1">
      <c r="A727" s="108"/>
      <c r="B727" s="108"/>
      <c r="C727" s="108"/>
      <c r="D727" s="108"/>
      <c r="E727" s="108"/>
      <c r="F727" s="108"/>
      <c r="G727" s="108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0.5" customHeight="1">
      <c r="A728" s="108"/>
      <c r="B728" s="108"/>
      <c r="C728" s="108"/>
      <c r="D728" s="108"/>
      <c r="E728" s="108"/>
      <c r="F728" s="108"/>
      <c r="G728" s="108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0.5" customHeight="1">
      <c r="A729" s="108"/>
      <c r="B729" s="108"/>
      <c r="C729" s="108"/>
      <c r="D729" s="108"/>
      <c r="E729" s="108"/>
      <c r="F729" s="108"/>
      <c r="G729" s="108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0.5" customHeight="1">
      <c r="A730" s="108"/>
      <c r="B730" s="108"/>
      <c r="C730" s="108"/>
      <c r="D730" s="108"/>
      <c r="E730" s="108"/>
      <c r="F730" s="108"/>
      <c r="G730" s="108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0.5" customHeight="1">
      <c r="A731" s="108"/>
      <c r="B731" s="108"/>
      <c r="C731" s="108"/>
      <c r="D731" s="108"/>
      <c r="E731" s="108"/>
      <c r="F731" s="108"/>
      <c r="G731" s="108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0.5" customHeight="1">
      <c r="A732" s="108"/>
      <c r="B732" s="108"/>
      <c r="C732" s="108"/>
      <c r="D732" s="108"/>
      <c r="E732" s="108"/>
      <c r="F732" s="108"/>
      <c r="G732" s="108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0.5" customHeight="1">
      <c r="A733" s="108"/>
      <c r="B733" s="108"/>
      <c r="C733" s="108"/>
      <c r="D733" s="108"/>
      <c r="E733" s="108"/>
      <c r="F733" s="108"/>
      <c r="G733" s="108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0.5" customHeight="1">
      <c r="A734" s="108"/>
      <c r="B734" s="108"/>
      <c r="C734" s="108"/>
      <c r="D734" s="108"/>
      <c r="E734" s="108"/>
      <c r="F734" s="108"/>
      <c r="G734" s="108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0.5" customHeight="1">
      <c r="A735" s="108"/>
      <c r="B735" s="108"/>
      <c r="C735" s="108"/>
      <c r="D735" s="108"/>
      <c r="E735" s="108"/>
      <c r="F735" s="108"/>
      <c r="G735" s="108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0.5" customHeight="1">
      <c r="A736" s="108"/>
      <c r="B736" s="108"/>
      <c r="C736" s="108"/>
      <c r="D736" s="108"/>
      <c r="E736" s="108"/>
      <c r="F736" s="108"/>
      <c r="G736" s="108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0.5" customHeight="1">
      <c r="A737" s="108"/>
      <c r="B737" s="108"/>
      <c r="C737" s="108"/>
      <c r="D737" s="108"/>
      <c r="E737" s="108"/>
      <c r="F737" s="108"/>
      <c r="G737" s="108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0.5" customHeight="1">
      <c r="A738" s="108"/>
      <c r="B738" s="108"/>
      <c r="C738" s="108"/>
      <c r="D738" s="108"/>
      <c r="E738" s="108"/>
      <c r="F738" s="108"/>
      <c r="G738" s="108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0.5" customHeight="1">
      <c r="A739" s="108"/>
      <c r="B739" s="108"/>
      <c r="C739" s="108"/>
      <c r="D739" s="108"/>
      <c r="E739" s="108"/>
      <c r="F739" s="108"/>
      <c r="G739" s="108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0.5" customHeight="1">
      <c r="A740" s="108"/>
      <c r="B740" s="108"/>
      <c r="C740" s="108"/>
      <c r="D740" s="108"/>
      <c r="E740" s="108"/>
      <c r="F740" s="108"/>
      <c r="G740" s="108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0.5" customHeight="1">
      <c r="A741" s="108"/>
      <c r="B741" s="108"/>
      <c r="C741" s="108"/>
      <c r="D741" s="108"/>
      <c r="E741" s="108"/>
      <c r="F741" s="108"/>
      <c r="G741" s="108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0.5" customHeight="1">
      <c r="A742" s="108"/>
      <c r="B742" s="108"/>
      <c r="C742" s="108"/>
      <c r="D742" s="108"/>
      <c r="E742" s="108"/>
      <c r="F742" s="108"/>
      <c r="G742" s="108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0.5" customHeight="1">
      <c r="A743" s="108"/>
      <c r="B743" s="108"/>
      <c r="C743" s="108"/>
      <c r="D743" s="108"/>
      <c r="E743" s="108"/>
      <c r="F743" s="108"/>
      <c r="G743" s="108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0.5" customHeight="1">
      <c r="A744" s="108"/>
      <c r="B744" s="108"/>
      <c r="C744" s="108"/>
      <c r="D744" s="108"/>
      <c r="E744" s="108"/>
      <c r="F744" s="108"/>
      <c r="G744" s="108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0.5" customHeight="1">
      <c r="A745" s="108"/>
      <c r="B745" s="108"/>
      <c r="C745" s="108"/>
      <c r="D745" s="108"/>
      <c r="E745" s="108"/>
      <c r="F745" s="108"/>
      <c r="G745" s="108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0.5" customHeight="1">
      <c r="A746" s="108"/>
      <c r="B746" s="108"/>
      <c r="C746" s="108"/>
      <c r="D746" s="108"/>
      <c r="E746" s="108"/>
      <c r="F746" s="108"/>
      <c r="G746" s="108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0.5" customHeight="1">
      <c r="A747" s="108"/>
      <c r="B747" s="108"/>
      <c r="C747" s="108"/>
      <c r="D747" s="108"/>
      <c r="E747" s="108"/>
      <c r="F747" s="108"/>
      <c r="G747" s="108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0.5" customHeight="1">
      <c r="A748" s="108"/>
      <c r="B748" s="108"/>
      <c r="C748" s="108"/>
      <c r="D748" s="108"/>
      <c r="E748" s="108"/>
      <c r="F748" s="108"/>
      <c r="G748" s="108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0.5" customHeight="1">
      <c r="A749" s="108"/>
      <c r="B749" s="108"/>
      <c r="C749" s="108"/>
      <c r="D749" s="108"/>
      <c r="E749" s="108"/>
      <c r="F749" s="108"/>
      <c r="G749" s="108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0.5" customHeight="1">
      <c r="A750" s="108"/>
      <c r="B750" s="108"/>
      <c r="C750" s="108"/>
      <c r="D750" s="108"/>
      <c r="E750" s="108"/>
      <c r="F750" s="108"/>
      <c r="G750" s="108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0.5" customHeight="1">
      <c r="A751" s="108"/>
      <c r="B751" s="108"/>
      <c r="C751" s="108"/>
      <c r="D751" s="108"/>
      <c r="E751" s="108"/>
      <c r="F751" s="108"/>
      <c r="G751" s="108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0.5" customHeight="1">
      <c r="A752" s="108"/>
      <c r="B752" s="108"/>
      <c r="C752" s="108"/>
      <c r="D752" s="108"/>
      <c r="E752" s="108"/>
      <c r="F752" s="108"/>
      <c r="G752" s="108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0.5" customHeight="1">
      <c r="A753" s="108"/>
      <c r="B753" s="108"/>
      <c r="C753" s="108"/>
      <c r="D753" s="108"/>
      <c r="E753" s="108"/>
      <c r="F753" s="108"/>
      <c r="G753" s="108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0.5" customHeight="1">
      <c r="A754" s="108"/>
      <c r="B754" s="108"/>
      <c r="C754" s="108"/>
      <c r="D754" s="108"/>
      <c r="E754" s="108"/>
      <c r="F754" s="108"/>
      <c r="G754" s="108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0.5" customHeight="1">
      <c r="A755" s="108"/>
      <c r="B755" s="108"/>
      <c r="C755" s="108"/>
      <c r="D755" s="108"/>
      <c r="E755" s="108"/>
      <c r="F755" s="108"/>
      <c r="G755" s="108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0.5" customHeight="1">
      <c r="A756" s="108"/>
      <c r="B756" s="108"/>
      <c r="C756" s="108"/>
      <c r="D756" s="108"/>
      <c r="E756" s="108"/>
      <c r="F756" s="108"/>
      <c r="G756" s="108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0.5" customHeight="1">
      <c r="A757" s="108"/>
      <c r="B757" s="108"/>
      <c r="C757" s="108"/>
      <c r="D757" s="108"/>
      <c r="E757" s="108"/>
      <c r="F757" s="108"/>
      <c r="G757" s="108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0.5" customHeight="1">
      <c r="A758" s="108"/>
      <c r="B758" s="108"/>
      <c r="C758" s="108"/>
      <c r="D758" s="108"/>
      <c r="E758" s="108"/>
      <c r="F758" s="108"/>
      <c r="G758" s="108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0.5" customHeight="1">
      <c r="A759" s="108"/>
      <c r="B759" s="108"/>
      <c r="C759" s="108"/>
      <c r="D759" s="108"/>
      <c r="E759" s="108"/>
      <c r="F759" s="108"/>
      <c r="G759" s="108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0.5" customHeight="1">
      <c r="A760" s="108"/>
      <c r="B760" s="108"/>
      <c r="C760" s="108"/>
      <c r="D760" s="108"/>
      <c r="E760" s="108"/>
      <c r="F760" s="108"/>
      <c r="G760" s="108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0.5" customHeight="1">
      <c r="A761" s="108"/>
      <c r="B761" s="108"/>
      <c r="C761" s="108"/>
      <c r="D761" s="108"/>
      <c r="E761" s="108"/>
      <c r="F761" s="108"/>
      <c r="G761" s="108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0.5" customHeight="1">
      <c r="A762" s="108"/>
      <c r="B762" s="108"/>
      <c r="C762" s="108"/>
      <c r="D762" s="108"/>
      <c r="E762" s="108"/>
      <c r="F762" s="108"/>
      <c r="G762" s="108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0.5" customHeight="1">
      <c r="A763" s="108"/>
      <c r="B763" s="108"/>
      <c r="C763" s="108"/>
      <c r="D763" s="108"/>
      <c r="E763" s="108"/>
      <c r="F763" s="108"/>
      <c r="G763" s="108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0.5" customHeight="1">
      <c r="A764" s="108"/>
      <c r="B764" s="108"/>
      <c r="C764" s="108"/>
      <c r="D764" s="108"/>
      <c r="E764" s="108"/>
      <c r="F764" s="108"/>
      <c r="G764" s="108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0.5" customHeight="1">
      <c r="A765" s="108"/>
      <c r="B765" s="108"/>
      <c r="C765" s="108"/>
      <c r="D765" s="108"/>
      <c r="E765" s="108"/>
      <c r="F765" s="108"/>
      <c r="G765" s="108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0.5" customHeight="1">
      <c r="A766" s="108"/>
      <c r="B766" s="108"/>
      <c r="C766" s="108"/>
      <c r="D766" s="108"/>
      <c r="E766" s="108"/>
      <c r="F766" s="108"/>
      <c r="G766" s="108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0.5" customHeight="1">
      <c r="A767" s="108"/>
      <c r="B767" s="108"/>
      <c r="C767" s="108"/>
      <c r="D767" s="108"/>
      <c r="E767" s="108"/>
      <c r="F767" s="108"/>
      <c r="G767" s="108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0.5" customHeight="1">
      <c r="A768" s="108"/>
      <c r="B768" s="108"/>
      <c r="C768" s="108"/>
      <c r="D768" s="108"/>
      <c r="E768" s="108"/>
      <c r="F768" s="108"/>
      <c r="G768" s="108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0.5" customHeight="1">
      <c r="A769" s="108"/>
      <c r="B769" s="108"/>
      <c r="C769" s="108"/>
      <c r="D769" s="108"/>
      <c r="E769" s="108"/>
      <c r="F769" s="108"/>
      <c r="G769" s="108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0.5" customHeight="1">
      <c r="A770" s="108"/>
      <c r="B770" s="108"/>
      <c r="C770" s="108"/>
      <c r="D770" s="108"/>
      <c r="E770" s="108"/>
      <c r="F770" s="108"/>
      <c r="G770" s="108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0.5" customHeight="1">
      <c r="A771" s="108"/>
      <c r="B771" s="108"/>
      <c r="C771" s="108"/>
      <c r="D771" s="108"/>
      <c r="E771" s="108"/>
      <c r="F771" s="108"/>
      <c r="G771" s="108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0.5" customHeight="1">
      <c r="A772" s="108"/>
      <c r="B772" s="108"/>
      <c r="C772" s="108"/>
      <c r="D772" s="108"/>
      <c r="E772" s="108"/>
      <c r="F772" s="108"/>
      <c r="G772" s="108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0.5" customHeight="1">
      <c r="A773" s="108"/>
      <c r="B773" s="108"/>
      <c r="C773" s="108"/>
      <c r="D773" s="108"/>
      <c r="E773" s="108"/>
      <c r="F773" s="108"/>
      <c r="G773" s="108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0.5" customHeight="1">
      <c r="A774" s="108"/>
      <c r="B774" s="108"/>
      <c r="C774" s="108"/>
      <c r="D774" s="108"/>
      <c r="E774" s="108"/>
      <c r="F774" s="108"/>
      <c r="G774" s="108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0.5" customHeight="1">
      <c r="A775" s="108"/>
      <c r="B775" s="108"/>
      <c r="C775" s="108"/>
      <c r="D775" s="108"/>
      <c r="E775" s="108"/>
      <c r="F775" s="108"/>
      <c r="G775" s="108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0.5" customHeight="1">
      <c r="A776" s="108"/>
      <c r="B776" s="108"/>
      <c r="C776" s="108"/>
      <c r="D776" s="108"/>
      <c r="E776" s="108"/>
      <c r="F776" s="108"/>
      <c r="G776" s="108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0.5" customHeight="1">
      <c r="A777" s="108"/>
      <c r="B777" s="108"/>
      <c r="C777" s="108"/>
      <c r="D777" s="108"/>
      <c r="E777" s="108"/>
      <c r="F777" s="108"/>
      <c r="G777" s="108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0.5" customHeight="1">
      <c r="A778" s="108"/>
      <c r="B778" s="108"/>
      <c r="C778" s="108"/>
      <c r="D778" s="108"/>
      <c r="E778" s="108"/>
      <c r="F778" s="108"/>
      <c r="G778" s="108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0.5" customHeight="1">
      <c r="A779" s="108"/>
      <c r="B779" s="108"/>
      <c r="C779" s="108"/>
      <c r="D779" s="108"/>
      <c r="E779" s="108"/>
      <c r="F779" s="108"/>
      <c r="G779" s="108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0.5" customHeight="1">
      <c r="A780" s="108"/>
      <c r="B780" s="108"/>
      <c r="C780" s="108"/>
      <c r="D780" s="108"/>
      <c r="E780" s="108"/>
      <c r="F780" s="108"/>
      <c r="G780" s="108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0.5" customHeight="1">
      <c r="A781" s="108"/>
      <c r="B781" s="108"/>
      <c r="C781" s="108"/>
      <c r="D781" s="108"/>
      <c r="E781" s="108"/>
      <c r="F781" s="108"/>
      <c r="G781" s="108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0.5" customHeight="1">
      <c r="A782" s="108"/>
      <c r="B782" s="108"/>
      <c r="C782" s="108"/>
      <c r="D782" s="108"/>
      <c r="E782" s="108"/>
      <c r="F782" s="108"/>
      <c r="G782" s="108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0.5" customHeight="1">
      <c r="A783" s="108"/>
      <c r="B783" s="108"/>
      <c r="C783" s="108"/>
      <c r="D783" s="108"/>
      <c r="E783" s="108"/>
      <c r="F783" s="108"/>
      <c r="G783" s="108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0.5" customHeight="1">
      <c r="A784" s="108"/>
      <c r="B784" s="108"/>
      <c r="C784" s="108"/>
      <c r="D784" s="108"/>
      <c r="E784" s="108"/>
      <c r="F784" s="108"/>
      <c r="G784" s="108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0.5" customHeight="1">
      <c r="A785" s="108"/>
      <c r="B785" s="108"/>
      <c r="C785" s="108"/>
      <c r="D785" s="108"/>
      <c r="E785" s="108"/>
      <c r="F785" s="108"/>
      <c r="G785" s="108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0.5" customHeight="1">
      <c r="A786" s="108"/>
      <c r="B786" s="108"/>
      <c r="C786" s="108"/>
      <c r="D786" s="108"/>
      <c r="E786" s="108"/>
      <c r="F786" s="108"/>
      <c r="G786" s="108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0.5" customHeight="1">
      <c r="A787" s="108"/>
      <c r="B787" s="108"/>
      <c r="C787" s="108"/>
      <c r="D787" s="108"/>
      <c r="E787" s="108"/>
      <c r="F787" s="108"/>
      <c r="G787" s="108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0.5" customHeight="1">
      <c r="A788" s="108"/>
      <c r="B788" s="108"/>
      <c r="C788" s="108"/>
      <c r="D788" s="108"/>
      <c r="E788" s="108"/>
      <c r="F788" s="108"/>
      <c r="G788" s="108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0.5" customHeight="1">
      <c r="A789" s="108"/>
      <c r="B789" s="108"/>
      <c r="C789" s="108"/>
      <c r="D789" s="108"/>
      <c r="E789" s="108"/>
      <c r="F789" s="108"/>
      <c r="G789" s="108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0.5" customHeight="1">
      <c r="A790" s="108"/>
      <c r="B790" s="108"/>
      <c r="C790" s="108"/>
      <c r="D790" s="108"/>
      <c r="E790" s="108"/>
      <c r="F790" s="108"/>
      <c r="G790" s="108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0.5" customHeight="1">
      <c r="A791" s="108"/>
      <c r="B791" s="108"/>
      <c r="C791" s="108"/>
      <c r="D791" s="108"/>
      <c r="E791" s="108"/>
      <c r="F791" s="108"/>
      <c r="G791" s="108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0.5" customHeight="1">
      <c r="A792" s="108"/>
      <c r="B792" s="108"/>
      <c r="C792" s="108"/>
      <c r="D792" s="108"/>
      <c r="E792" s="108"/>
      <c r="F792" s="108"/>
      <c r="G792" s="108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0.5" customHeight="1">
      <c r="A793" s="108"/>
      <c r="B793" s="108"/>
      <c r="C793" s="108"/>
      <c r="D793" s="108"/>
      <c r="E793" s="108"/>
      <c r="F793" s="108"/>
      <c r="G793" s="108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0.5" customHeight="1">
      <c r="A794" s="108"/>
      <c r="B794" s="108"/>
      <c r="C794" s="108"/>
      <c r="D794" s="108"/>
      <c r="E794" s="108"/>
      <c r="F794" s="108"/>
      <c r="G794" s="108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0.5" customHeight="1">
      <c r="A795" s="108"/>
      <c r="B795" s="108"/>
      <c r="C795" s="108"/>
      <c r="D795" s="108"/>
      <c r="E795" s="108"/>
      <c r="F795" s="108"/>
      <c r="G795" s="108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0.5" customHeight="1">
      <c r="A796" s="108"/>
      <c r="B796" s="108"/>
      <c r="C796" s="108"/>
      <c r="D796" s="108"/>
      <c r="E796" s="108"/>
      <c r="F796" s="108"/>
      <c r="G796" s="108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0.5" customHeight="1">
      <c r="A797" s="108"/>
      <c r="B797" s="108"/>
      <c r="C797" s="108"/>
      <c r="D797" s="108"/>
      <c r="E797" s="108"/>
      <c r="F797" s="108"/>
      <c r="G797" s="108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0.5" customHeight="1">
      <c r="A798" s="108"/>
      <c r="B798" s="108"/>
      <c r="C798" s="108"/>
      <c r="D798" s="108"/>
      <c r="E798" s="108"/>
      <c r="F798" s="108"/>
      <c r="G798" s="108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0.5" customHeight="1">
      <c r="A799" s="108"/>
      <c r="B799" s="108"/>
      <c r="C799" s="108"/>
      <c r="D799" s="108"/>
      <c r="E799" s="108"/>
      <c r="F799" s="108"/>
      <c r="G799" s="108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0.5" customHeight="1">
      <c r="A800" s="108"/>
      <c r="B800" s="108"/>
      <c r="C800" s="108"/>
      <c r="D800" s="108"/>
      <c r="E800" s="108"/>
      <c r="F800" s="108"/>
      <c r="G800" s="108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0.5" customHeight="1">
      <c r="A801" s="108"/>
      <c r="B801" s="108"/>
      <c r="C801" s="108"/>
      <c r="D801" s="108"/>
      <c r="E801" s="108"/>
      <c r="F801" s="108"/>
      <c r="G801" s="108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0.5" customHeight="1">
      <c r="A802" s="108"/>
      <c r="B802" s="108"/>
      <c r="C802" s="108"/>
      <c r="D802" s="108"/>
      <c r="E802" s="108"/>
      <c r="F802" s="108"/>
      <c r="G802" s="108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0.5" customHeight="1">
      <c r="A803" s="108"/>
      <c r="B803" s="108"/>
      <c r="C803" s="108"/>
      <c r="D803" s="108"/>
      <c r="E803" s="108"/>
      <c r="F803" s="108"/>
      <c r="G803" s="108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0.5" customHeight="1">
      <c r="A804" s="108"/>
      <c r="B804" s="108"/>
      <c r="C804" s="108"/>
      <c r="D804" s="108"/>
      <c r="E804" s="108"/>
      <c r="F804" s="108"/>
      <c r="G804" s="108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0.5" customHeight="1">
      <c r="A805" s="108"/>
      <c r="B805" s="108"/>
      <c r="C805" s="108"/>
      <c r="D805" s="108"/>
      <c r="E805" s="108"/>
      <c r="F805" s="108"/>
      <c r="G805" s="108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0.5" customHeight="1">
      <c r="A806" s="108"/>
      <c r="B806" s="108"/>
      <c r="C806" s="108"/>
      <c r="D806" s="108"/>
      <c r="E806" s="108"/>
      <c r="F806" s="108"/>
      <c r="G806" s="108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0.5" customHeight="1">
      <c r="A807" s="108"/>
      <c r="B807" s="108"/>
      <c r="C807" s="108"/>
      <c r="D807" s="108"/>
      <c r="E807" s="108"/>
      <c r="F807" s="108"/>
      <c r="G807" s="108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0.5" customHeight="1">
      <c r="A808" s="108"/>
      <c r="B808" s="108"/>
      <c r="C808" s="108"/>
      <c r="D808" s="108"/>
      <c r="E808" s="108"/>
      <c r="F808" s="108"/>
      <c r="G808" s="108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0.5" customHeight="1">
      <c r="A809" s="108"/>
      <c r="B809" s="108"/>
      <c r="C809" s="108"/>
      <c r="D809" s="108"/>
      <c r="E809" s="108"/>
      <c r="F809" s="108"/>
      <c r="G809" s="108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0.5" customHeight="1">
      <c r="A810" s="108"/>
      <c r="B810" s="108"/>
      <c r="C810" s="108"/>
      <c r="D810" s="108"/>
      <c r="E810" s="108"/>
      <c r="F810" s="108"/>
      <c r="G810" s="108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0.5" customHeight="1">
      <c r="A811" s="108"/>
      <c r="B811" s="108"/>
      <c r="C811" s="108"/>
      <c r="D811" s="108"/>
      <c r="E811" s="108"/>
      <c r="F811" s="108"/>
      <c r="G811" s="108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0.5" customHeight="1">
      <c r="A812" s="108"/>
      <c r="B812" s="108"/>
      <c r="C812" s="108"/>
      <c r="D812" s="108"/>
      <c r="E812" s="108"/>
      <c r="F812" s="108"/>
      <c r="G812" s="108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0.5" customHeight="1">
      <c r="A813" s="108"/>
      <c r="B813" s="108"/>
      <c r="C813" s="108"/>
      <c r="D813" s="108"/>
      <c r="E813" s="108"/>
      <c r="F813" s="108"/>
      <c r="G813" s="108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0.5" customHeight="1">
      <c r="A814" s="108"/>
      <c r="B814" s="108"/>
      <c r="C814" s="108"/>
      <c r="D814" s="108"/>
      <c r="E814" s="108"/>
      <c r="F814" s="108"/>
      <c r="G814" s="108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0.5" customHeight="1">
      <c r="A815" s="108"/>
      <c r="B815" s="108"/>
      <c r="C815" s="108"/>
      <c r="D815" s="108"/>
      <c r="E815" s="108"/>
      <c r="F815" s="108"/>
      <c r="G815" s="108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0.5" customHeight="1">
      <c r="A816" s="108"/>
      <c r="B816" s="108"/>
      <c r="C816" s="108"/>
      <c r="D816" s="108"/>
      <c r="E816" s="108"/>
      <c r="F816" s="108"/>
      <c r="G816" s="108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0.5" customHeight="1">
      <c r="A817" s="108"/>
      <c r="B817" s="108"/>
      <c r="C817" s="108"/>
      <c r="D817" s="108"/>
      <c r="E817" s="108"/>
      <c r="F817" s="108"/>
      <c r="G817" s="108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0.5" customHeight="1">
      <c r="A818" s="108"/>
      <c r="B818" s="108"/>
      <c r="C818" s="108"/>
      <c r="D818" s="108"/>
      <c r="E818" s="108"/>
      <c r="F818" s="108"/>
      <c r="G818" s="108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0.5" customHeight="1">
      <c r="A819" s="108"/>
      <c r="B819" s="108"/>
      <c r="C819" s="108"/>
      <c r="D819" s="108"/>
      <c r="E819" s="108"/>
      <c r="F819" s="108"/>
      <c r="G819" s="108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0.5" customHeight="1">
      <c r="A820" s="108"/>
      <c r="B820" s="108"/>
      <c r="C820" s="108"/>
      <c r="D820" s="108"/>
      <c r="E820" s="108"/>
      <c r="F820" s="108"/>
      <c r="G820" s="108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0.5" customHeight="1">
      <c r="A821" s="108"/>
      <c r="B821" s="108"/>
      <c r="C821" s="108"/>
      <c r="D821" s="108"/>
      <c r="E821" s="108"/>
      <c r="F821" s="108"/>
      <c r="G821" s="108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0.5" customHeight="1">
      <c r="A822" s="108"/>
      <c r="B822" s="108"/>
      <c r="C822" s="108"/>
      <c r="D822" s="108"/>
      <c r="E822" s="108"/>
      <c r="F822" s="108"/>
      <c r="G822" s="108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0.5" customHeight="1">
      <c r="A823" s="108"/>
      <c r="B823" s="108"/>
      <c r="C823" s="108"/>
      <c r="D823" s="108"/>
      <c r="E823" s="108"/>
      <c r="F823" s="108"/>
      <c r="G823" s="108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0.5" customHeight="1">
      <c r="A824" s="108"/>
      <c r="B824" s="108"/>
      <c r="C824" s="108"/>
      <c r="D824" s="108"/>
      <c r="E824" s="108"/>
      <c r="F824" s="108"/>
      <c r="G824" s="108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0.5" customHeight="1">
      <c r="A825" s="108"/>
      <c r="B825" s="108"/>
      <c r="C825" s="108"/>
      <c r="D825" s="108"/>
      <c r="E825" s="108"/>
      <c r="F825" s="108"/>
      <c r="G825" s="108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0.5" customHeight="1">
      <c r="A826" s="108"/>
      <c r="B826" s="108"/>
      <c r="C826" s="108"/>
      <c r="D826" s="108"/>
      <c r="E826" s="108"/>
      <c r="F826" s="108"/>
      <c r="G826" s="108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0.5" customHeight="1">
      <c r="A827" s="108"/>
      <c r="B827" s="108"/>
      <c r="C827" s="108"/>
      <c r="D827" s="108"/>
      <c r="E827" s="108"/>
      <c r="F827" s="108"/>
      <c r="G827" s="108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0.5" customHeight="1">
      <c r="A828" s="108"/>
      <c r="B828" s="108"/>
      <c r="C828" s="108"/>
      <c r="D828" s="108"/>
      <c r="E828" s="108"/>
      <c r="F828" s="108"/>
      <c r="G828" s="108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0.5" customHeight="1">
      <c r="A829" s="108"/>
      <c r="B829" s="108"/>
      <c r="C829" s="108"/>
      <c r="D829" s="108"/>
      <c r="E829" s="108"/>
      <c r="F829" s="108"/>
      <c r="G829" s="108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0.5" customHeight="1">
      <c r="A830" s="108"/>
      <c r="B830" s="108"/>
      <c r="C830" s="108"/>
      <c r="D830" s="108"/>
      <c r="E830" s="108"/>
      <c r="F830" s="108"/>
      <c r="G830" s="108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0.5" customHeight="1">
      <c r="A831" s="108"/>
      <c r="B831" s="108"/>
      <c r="C831" s="108"/>
      <c r="D831" s="108"/>
      <c r="E831" s="108"/>
      <c r="F831" s="108"/>
      <c r="G831" s="108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0.5" customHeight="1">
      <c r="A832" s="108"/>
      <c r="B832" s="108"/>
      <c r="C832" s="108"/>
      <c r="D832" s="108"/>
      <c r="E832" s="108"/>
      <c r="F832" s="108"/>
      <c r="G832" s="108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0.5" customHeight="1">
      <c r="A833" s="108"/>
      <c r="B833" s="108"/>
      <c r="C833" s="108"/>
      <c r="D833" s="108"/>
      <c r="E833" s="108"/>
      <c r="F833" s="108"/>
      <c r="G833" s="108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0.5" customHeight="1">
      <c r="A834" s="108"/>
      <c r="B834" s="108"/>
      <c r="C834" s="108"/>
      <c r="D834" s="108"/>
      <c r="E834" s="108"/>
      <c r="F834" s="108"/>
      <c r="G834" s="108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0.5" customHeight="1">
      <c r="A835" s="108"/>
      <c r="B835" s="108"/>
      <c r="C835" s="108"/>
      <c r="D835" s="108"/>
      <c r="E835" s="108"/>
      <c r="F835" s="108"/>
      <c r="G835" s="108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0.5" customHeight="1">
      <c r="A836" s="108"/>
      <c r="B836" s="108"/>
      <c r="C836" s="108"/>
      <c r="D836" s="108"/>
      <c r="E836" s="108"/>
      <c r="F836" s="108"/>
      <c r="G836" s="108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0.5" customHeight="1">
      <c r="A837" s="108"/>
      <c r="B837" s="108"/>
      <c r="C837" s="108"/>
      <c r="D837" s="108"/>
      <c r="E837" s="108"/>
      <c r="F837" s="108"/>
      <c r="G837" s="108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0.5" customHeight="1">
      <c r="A838" s="108"/>
      <c r="B838" s="108"/>
      <c r="C838" s="108"/>
      <c r="D838" s="108"/>
      <c r="E838" s="108"/>
      <c r="F838" s="108"/>
      <c r="G838" s="108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0.5" customHeight="1">
      <c r="A839" s="108"/>
      <c r="B839" s="108"/>
      <c r="C839" s="108"/>
      <c r="D839" s="108"/>
      <c r="E839" s="108"/>
      <c r="F839" s="108"/>
      <c r="G839" s="108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0.5" customHeight="1">
      <c r="A840" s="108"/>
      <c r="B840" s="108"/>
      <c r="C840" s="108"/>
      <c r="D840" s="108"/>
      <c r="E840" s="108"/>
      <c r="F840" s="108"/>
      <c r="G840" s="108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0.5" customHeight="1">
      <c r="A841" s="108"/>
      <c r="B841" s="108"/>
      <c r="C841" s="108"/>
      <c r="D841" s="108"/>
      <c r="E841" s="108"/>
      <c r="F841" s="108"/>
      <c r="G841" s="108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0.5" customHeight="1">
      <c r="A842" s="108"/>
      <c r="B842" s="108"/>
      <c r="C842" s="108"/>
      <c r="D842" s="108"/>
      <c r="E842" s="108"/>
      <c r="F842" s="108"/>
      <c r="G842" s="108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0.5" customHeight="1">
      <c r="A843" s="108"/>
      <c r="B843" s="108"/>
      <c r="C843" s="108"/>
      <c r="D843" s="108"/>
      <c r="E843" s="108"/>
      <c r="F843" s="108"/>
      <c r="G843" s="108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0.5" customHeight="1">
      <c r="A844" s="108"/>
      <c r="B844" s="108"/>
      <c r="C844" s="108"/>
      <c r="D844" s="108"/>
      <c r="E844" s="108"/>
      <c r="F844" s="108"/>
      <c r="G844" s="108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0.5" customHeight="1">
      <c r="A845" s="108"/>
      <c r="B845" s="108"/>
      <c r="C845" s="108"/>
      <c r="D845" s="108"/>
      <c r="E845" s="108"/>
      <c r="F845" s="108"/>
      <c r="G845" s="108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0.5" customHeight="1">
      <c r="A846" s="108"/>
      <c r="B846" s="108"/>
      <c r="C846" s="108"/>
      <c r="D846" s="108"/>
      <c r="E846" s="108"/>
      <c r="F846" s="108"/>
      <c r="G846" s="108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0.5" customHeight="1">
      <c r="A847" s="108"/>
      <c r="B847" s="108"/>
      <c r="C847" s="108"/>
      <c r="D847" s="108"/>
      <c r="E847" s="108"/>
      <c r="F847" s="108"/>
      <c r="G847" s="108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0.5" customHeight="1">
      <c r="A848" s="108"/>
      <c r="B848" s="108"/>
      <c r="C848" s="108"/>
      <c r="D848" s="108"/>
      <c r="E848" s="108"/>
      <c r="F848" s="108"/>
      <c r="G848" s="108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0.5" customHeight="1">
      <c r="A849" s="108"/>
      <c r="B849" s="108"/>
      <c r="C849" s="108"/>
      <c r="D849" s="108"/>
      <c r="E849" s="108"/>
      <c r="F849" s="108"/>
      <c r="G849" s="108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0.5" customHeight="1">
      <c r="A850" s="108"/>
      <c r="B850" s="108"/>
      <c r="C850" s="108"/>
      <c r="D850" s="108"/>
      <c r="E850" s="108"/>
      <c r="F850" s="108"/>
      <c r="G850" s="108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0.5" customHeight="1">
      <c r="A851" s="108"/>
      <c r="B851" s="108"/>
      <c r="C851" s="108"/>
      <c r="D851" s="108"/>
      <c r="E851" s="108"/>
      <c r="F851" s="108"/>
      <c r="G851" s="108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0.5" customHeight="1">
      <c r="A852" s="108"/>
      <c r="B852" s="108"/>
      <c r="C852" s="108"/>
      <c r="D852" s="108"/>
      <c r="E852" s="108"/>
      <c r="F852" s="108"/>
      <c r="G852" s="108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0.5" customHeight="1">
      <c r="A853" s="108"/>
      <c r="B853" s="108"/>
      <c r="C853" s="108"/>
      <c r="D853" s="108"/>
      <c r="E853" s="108"/>
      <c r="F853" s="108"/>
      <c r="G853" s="108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0.5" customHeight="1">
      <c r="A854" s="108"/>
      <c r="B854" s="108"/>
      <c r="C854" s="108"/>
      <c r="D854" s="108"/>
      <c r="E854" s="108"/>
      <c r="F854" s="108"/>
      <c r="G854" s="108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0.5" customHeight="1">
      <c r="A855" s="108"/>
      <c r="B855" s="108"/>
      <c r="C855" s="108"/>
      <c r="D855" s="108"/>
      <c r="E855" s="108"/>
      <c r="F855" s="108"/>
      <c r="G855" s="108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0.5" customHeight="1">
      <c r="A856" s="108"/>
      <c r="B856" s="108"/>
      <c r="C856" s="108"/>
      <c r="D856" s="108"/>
      <c r="E856" s="108"/>
      <c r="F856" s="108"/>
      <c r="G856" s="108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0.5" customHeight="1">
      <c r="A857" s="108"/>
      <c r="B857" s="108"/>
      <c r="C857" s="108"/>
      <c r="D857" s="108"/>
      <c r="E857" s="108"/>
      <c r="F857" s="108"/>
      <c r="G857" s="108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0.5" customHeight="1">
      <c r="A858" s="108"/>
      <c r="B858" s="108"/>
      <c r="C858" s="108"/>
      <c r="D858" s="108"/>
      <c r="E858" s="108"/>
      <c r="F858" s="108"/>
      <c r="G858" s="108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0.5" customHeight="1">
      <c r="A859" s="108"/>
      <c r="B859" s="108"/>
      <c r="C859" s="108"/>
      <c r="D859" s="108"/>
      <c r="E859" s="108"/>
      <c r="F859" s="108"/>
      <c r="G859" s="108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0.5" customHeight="1">
      <c r="A860" s="108"/>
      <c r="B860" s="108"/>
      <c r="C860" s="108"/>
      <c r="D860" s="108"/>
      <c r="E860" s="108"/>
      <c r="F860" s="108"/>
      <c r="G860" s="108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0.5" customHeight="1">
      <c r="A861" s="108"/>
      <c r="B861" s="108"/>
      <c r="C861" s="108"/>
      <c r="D861" s="108"/>
      <c r="E861" s="108"/>
      <c r="F861" s="108"/>
      <c r="G861" s="108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0.5" customHeight="1">
      <c r="A862" s="108"/>
      <c r="B862" s="108"/>
      <c r="C862" s="108"/>
      <c r="D862" s="108"/>
      <c r="E862" s="108"/>
      <c r="F862" s="108"/>
      <c r="G862" s="108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0.5" customHeight="1">
      <c r="A863" s="108"/>
      <c r="B863" s="108"/>
      <c r="C863" s="108"/>
      <c r="D863" s="108"/>
      <c r="E863" s="108"/>
      <c r="F863" s="108"/>
      <c r="G863" s="108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0.5" customHeight="1">
      <c r="A864" s="108"/>
      <c r="B864" s="108"/>
      <c r="C864" s="108"/>
      <c r="D864" s="108"/>
      <c r="E864" s="108"/>
      <c r="F864" s="108"/>
      <c r="G864" s="108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0.5" customHeight="1">
      <c r="A865" s="108"/>
      <c r="B865" s="108"/>
      <c r="C865" s="108"/>
      <c r="D865" s="108"/>
      <c r="E865" s="108"/>
      <c r="F865" s="108"/>
      <c r="G865" s="108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0.5" customHeight="1">
      <c r="A866" s="108"/>
      <c r="B866" s="108"/>
      <c r="C866" s="108"/>
      <c r="D866" s="108"/>
      <c r="E866" s="108"/>
      <c r="F866" s="108"/>
      <c r="G866" s="108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0.5" customHeight="1">
      <c r="A867" s="108"/>
      <c r="B867" s="108"/>
      <c r="C867" s="108"/>
      <c r="D867" s="108"/>
      <c r="E867" s="108"/>
      <c r="F867" s="108"/>
      <c r="G867" s="108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0.5" customHeight="1">
      <c r="A868" s="108"/>
      <c r="B868" s="108"/>
      <c r="C868" s="108"/>
      <c r="D868" s="108"/>
      <c r="E868" s="108"/>
      <c r="F868" s="108"/>
      <c r="G868" s="108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0.5" customHeight="1">
      <c r="A869" s="108"/>
      <c r="B869" s="108"/>
      <c r="C869" s="108"/>
      <c r="D869" s="108"/>
      <c r="E869" s="108"/>
      <c r="F869" s="108"/>
      <c r="G869" s="108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0.5" customHeight="1">
      <c r="A870" s="108"/>
      <c r="B870" s="108"/>
      <c r="C870" s="108"/>
      <c r="D870" s="108"/>
      <c r="E870" s="108"/>
      <c r="F870" s="108"/>
      <c r="G870" s="108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0.5" customHeight="1">
      <c r="A871" s="108"/>
      <c r="B871" s="108"/>
      <c r="C871" s="108"/>
      <c r="D871" s="108"/>
      <c r="E871" s="108"/>
      <c r="F871" s="108"/>
      <c r="G871" s="108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0.5" customHeight="1">
      <c r="A872" s="108"/>
      <c r="B872" s="108"/>
      <c r="C872" s="108"/>
      <c r="D872" s="108"/>
      <c r="E872" s="108"/>
      <c r="F872" s="108"/>
      <c r="G872" s="108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0.5" customHeight="1">
      <c r="A873" s="108"/>
      <c r="B873" s="108"/>
      <c r="C873" s="108"/>
      <c r="D873" s="108"/>
      <c r="E873" s="108"/>
      <c r="F873" s="108"/>
      <c r="G873" s="108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0.5" customHeight="1">
      <c r="A874" s="108"/>
      <c r="B874" s="108"/>
      <c r="C874" s="108"/>
      <c r="D874" s="108"/>
      <c r="E874" s="108"/>
      <c r="F874" s="108"/>
      <c r="G874" s="108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0.5" customHeight="1">
      <c r="A875" s="108"/>
      <c r="B875" s="108"/>
      <c r="C875" s="108"/>
      <c r="D875" s="108"/>
      <c r="E875" s="108"/>
      <c r="F875" s="108"/>
      <c r="G875" s="108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0.5" customHeight="1">
      <c r="A876" s="108"/>
      <c r="B876" s="108"/>
      <c r="C876" s="108"/>
      <c r="D876" s="108"/>
      <c r="E876" s="108"/>
      <c r="F876" s="108"/>
      <c r="G876" s="108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0.5" customHeight="1">
      <c r="A877" s="108"/>
      <c r="B877" s="108"/>
      <c r="C877" s="108"/>
      <c r="D877" s="108"/>
      <c r="E877" s="108"/>
      <c r="F877" s="108"/>
      <c r="G877" s="108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0.5" customHeight="1">
      <c r="A878" s="108"/>
      <c r="B878" s="108"/>
      <c r="C878" s="108"/>
      <c r="D878" s="108"/>
      <c r="E878" s="108"/>
      <c r="F878" s="108"/>
      <c r="G878" s="108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0.5" customHeight="1">
      <c r="A879" s="108"/>
      <c r="B879" s="108"/>
      <c r="C879" s="108"/>
      <c r="D879" s="108"/>
      <c r="E879" s="108"/>
      <c r="F879" s="108"/>
      <c r="G879" s="108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0.5" customHeight="1">
      <c r="A880" s="108"/>
      <c r="B880" s="108"/>
      <c r="C880" s="108"/>
      <c r="D880" s="108"/>
      <c r="E880" s="108"/>
      <c r="F880" s="108"/>
      <c r="G880" s="108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0.5" customHeight="1">
      <c r="A881" s="108"/>
      <c r="B881" s="108"/>
      <c r="C881" s="108"/>
      <c r="D881" s="108"/>
      <c r="E881" s="108"/>
      <c r="F881" s="108"/>
      <c r="G881" s="108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0.5" customHeight="1">
      <c r="A882" s="108"/>
      <c r="B882" s="108"/>
      <c r="C882" s="108"/>
      <c r="D882" s="108"/>
      <c r="E882" s="108"/>
      <c r="F882" s="108"/>
      <c r="G882" s="108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0.5" customHeight="1">
      <c r="A883" s="108"/>
      <c r="B883" s="108"/>
      <c r="C883" s="108"/>
      <c r="D883" s="108"/>
      <c r="E883" s="108"/>
      <c r="F883" s="108"/>
      <c r="G883" s="108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0.5" customHeight="1">
      <c r="A884" s="108"/>
      <c r="B884" s="108"/>
      <c r="C884" s="108"/>
      <c r="D884" s="108"/>
      <c r="E884" s="108"/>
      <c r="F884" s="108"/>
      <c r="G884" s="108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0.5" customHeight="1">
      <c r="A885" s="108"/>
      <c r="B885" s="108"/>
      <c r="C885" s="108"/>
      <c r="D885" s="108"/>
      <c r="E885" s="108"/>
      <c r="F885" s="108"/>
      <c r="G885" s="108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0.5" customHeight="1">
      <c r="A886" s="108"/>
      <c r="B886" s="108"/>
      <c r="C886" s="108"/>
      <c r="D886" s="108"/>
      <c r="E886" s="108"/>
      <c r="F886" s="108"/>
      <c r="G886" s="108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0.5" customHeight="1">
      <c r="A887" s="108"/>
      <c r="B887" s="108"/>
      <c r="C887" s="108"/>
      <c r="D887" s="108"/>
      <c r="E887" s="108"/>
      <c r="F887" s="108"/>
      <c r="G887" s="108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0.5" customHeight="1">
      <c r="A888" s="108"/>
      <c r="B888" s="108"/>
      <c r="C888" s="108"/>
      <c r="D888" s="108"/>
      <c r="E888" s="108"/>
      <c r="F888" s="108"/>
      <c r="G888" s="108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0.5" customHeight="1">
      <c r="A889" s="108"/>
      <c r="B889" s="108"/>
      <c r="C889" s="108"/>
      <c r="D889" s="108"/>
      <c r="E889" s="108"/>
      <c r="F889" s="108"/>
      <c r="G889" s="108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0.5" customHeight="1">
      <c r="A890" s="108"/>
      <c r="B890" s="108"/>
      <c r="C890" s="108"/>
      <c r="D890" s="108"/>
      <c r="E890" s="108"/>
      <c r="F890" s="108"/>
      <c r="G890" s="108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0.5" customHeight="1">
      <c r="A891" s="108"/>
      <c r="B891" s="108"/>
      <c r="C891" s="108"/>
      <c r="D891" s="108"/>
      <c r="E891" s="108"/>
      <c r="F891" s="108"/>
      <c r="G891" s="108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0.5" customHeight="1">
      <c r="A892" s="108"/>
      <c r="B892" s="108"/>
      <c r="C892" s="108"/>
      <c r="D892" s="108"/>
      <c r="E892" s="108"/>
      <c r="F892" s="108"/>
      <c r="G892" s="108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0.5" customHeight="1">
      <c r="A893" s="108"/>
      <c r="B893" s="108"/>
      <c r="C893" s="108"/>
      <c r="D893" s="108"/>
      <c r="E893" s="108"/>
      <c r="F893" s="108"/>
      <c r="G893" s="108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0.5" customHeight="1">
      <c r="A894" s="108"/>
      <c r="B894" s="108"/>
      <c r="C894" s="108"/>
      <c r="D894" s="108"/>
      <c r="E894" s="108"/>
      <c r="F894" s="108"/>
      <c r="G894" s="108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0.5" customHeight="1">
      <c r="A895" s="108"/>
      <c r="B895" s="108"/>
      <c r="C895" s="108"/>
      <c r="D895" s="108"/>
      <c r="E895" s="108"/>
      <c r="F895" s="108"/>
      <c r="G895" s="108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0.5" customHeight="1">
      <c r="A896" s="108"/>
      <c r="B896" s="108"/>
      <c r="C896" s="108"/>
      <c r="D896" s="108"/>
      <c r="E896" s="108"/>
      <c r="F896" s="108"/>
      <c r="G896" s="108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0.5" customHeight="1">
      <c r="A897" s="108"/>
      <c r="B897" s="108"/>
      <c r="C897" s="108"/>
      <c r="D897" s="108"/>
      <c r="E897" s="108"/>
      <c r="F897" s="108"/>
      <c r="G897" s="108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0.5" customHeight="1">
      <c r="A898" s="108"/>
      <c r="B898" s="108"/>
      <c r="C898" s="108"/>
      <c r="D898" s="108"/>
      <c r="E898" s="108"/>
      <c r="F898" s="108"/>
      <c r="G898" s="108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0.5" customHeight="1">
      <c r="A899" s="108"/>
      <c r="B899" s="108"/>
      <c r="C899" s="108"/>
      <c r="D899" s="108"/>
      <c r="E899" s="108"/>
      <c r="F899" s="108"/>
      <c r="G899" s="108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0.5" customHeight="1">
      <c r="A900" s="108"/>
      <c r="B900" s="108"/>
      <c r="C900" s="108"/>
      <c r="D900" s="108"/>
      <c r="E900" s="108"/>
      <c r="F900" s="108"/>
      <c r="G900" s="108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0.5" customHeight="1">
      <c r="A901" s="108"/>
      <c r="B901" s="108"/>
      <c r="C901" s="108"/>
      <c r="D901" s="108"/>
      <c r="E901" s="108"/>
      <c r="F901" s="108"/>
      <c r="G901" s="108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0.5" customHeight="1">
      <c r="A902" s="108"/>
      <c r="B902" s="108"/>
      <c r="C902" s="108"/>
      <c r="D902" s="108"/>
      <c r="E902" s="108"/>
      <c r="F902" s="108"/>
      <c r="G902" s="108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0.5" customHeight="1">
      <c r="A903" s="108"/>
      <c r="B903" s="108"/>
      <c r="C903" s="108"/>
      <c r="D903" s="108"/>
      <c r="E903" s="108"/>
      <c r="F903" s="108"/>
      <c r="G903" s="108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0.5" customHeight="1">
      <c r="A904" s="108"/>
      <c r="B904" s="108"/>
      <c r="C904" s="108"/>
      <c r="D904" s="108"/>
      <c r="E904" s="108"/>
      <c r="F904" s="108"/>
      <c r="G904" s="108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0.5" customHeight="1">
      <c r="A905" s="108"/>
      <c r="B905" s="108"/>
      <c r="C905" s="108"/>
      <c r="D905" s="108"/>
      <c r="E905" s="108"/>
      <c r="F905" s="108"/>
      <c r="G905" s="108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0.5" customHeight="1">
      <c r="A906" s="108"/>
      <c r="B906" s="108"/>
      <c r="C906" s="108"/>
      <c r="D906" s="108"/>
      <c r="E906" s="108"/>
      <c r="F906" s="108"/>
      <c r="G906" s="108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0.5" customHeight="1">
      <c r="A907" s="108"/>
      <c r="B907" s="108"/>
      <c r="C907" s="108"/>
      <c r="D907" s="108"/>
      <c r="E907" s="108"/>
      <c r="F907" s="108"/>
      <c r="G907" s="108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0.5" customHeight="1">
      <c r="A908" s="108"/>
      <c r="B908" s="108"/>
      <c r="C908" s="108"/>
      <c r="D908" s="108"/>
      <c r="E908" s="108"/>
      <c r="F908" s="108"/>
      <c r="G908" s="108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0.5" customHeight="1">
      <c r="A909" s="108"/>
      <c r="B909" s="108"/>
      <c r="C909" s="108"/>
      <c r="D909" s="108"/>
      <c r="E909" s="108"/>
      <c r="F909" s="108"/>
      <c r="G909" s="108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0.5" customHeight="1">
      <c r="A910" s="108"/>
      <c r="B910" s="108"/>
      <c r="C910" s="108"/>
      <c r="D910" s="108"/>
      <c r="E910" s="108"/>
      <c r="F910" s="108"/>
      <c r="G910" s="108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0.5" customHeight="1">
      <c r="A911" s="108"/>
      <c r="B911" s="108"/>
      <c r="C911" s="108"/>
      <c r="D911" s="108"/>
      <c r="E911" s="108"/>
      <c r="F911" s="108"/>
      <c r="G911" s="108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0.5" customHeight="1">
      <c r="A912" s="108"/>
      <c r="B912" s="108"/>
      <c r="C912" s="108"/>
      <c r="D912" s="108"/>
      <c r="E912" s="108"/>
      <c r="F912" s="108"/>
      <c r="G912" s="108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0.5" customHeight="1">
      <c r="A913" s="108"/>
      <c r="B913" s="108"/>
      <c r="C913" s="108"/>
      <c r="D913" s="108"/>
      <c r="E913" s="108"/>
      <c r="F913" s="108"/>
      <c r="G913" s="108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0.5" customHeight="1">
      <c r="A914" s="108"/>
      <c r="B914" s="108"/>
      <c r="C914" s="108"/>
      <c r="D914" s="108"/>
      <c r="E914" s="108"/>
      <c r="F914" s="108"/>
      <c r="G914" s="108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0.5" customHeight="1">
      <c r="A915" s="108"/>
      <c r="B915" s="108"/>
      <c r="C915" s="108"/>
      <c r="D915" s="108"/>
      <c r="E915" s="108"/>
      <c r="F915" s="108"/>
      <c r="G915" s="108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0.5" customHeight="1">
      <c r="A916" s="108"/>
      <c r="B916" s="108"/>
      <c r="C916" s="108"/>
      <c r="D916" s="108"/>
      <c r="E916" s="108"/>
      <c r="F916" s="108"/>
      <c r="G916" s="108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0.5" customHeight="1">
      <c r="A917" s="108"/>
      <c r="B917" s="108"/>
      <c r="C917" s="108"/>
      <c r="D917" s="108"/>
      <c r="E917" s="108"/>
      <c r="F917" s="108"/>
      <c r="G917" s="108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0.5" customHeight="1">
      <c r="A918" s="108"/>
      <c r="B918" s="108"/>
      <c r="C918" s="108"/>
      <c r="D918" s="108"/>
      <c r="E918" s="108"/>
      <c r="F918" s="108"/>
      <c r="G918" s="108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0.5" customHeight="1">
      <c r="A919" s="108"/>
      <c r="B919" s="108"/>
      <c r="C919" s="108"/>
      <c r="D919" s="108"/>
      <c r="E919" s="108"/>
      <c r="F919" s="108"/>
      <c r="G919" s="108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0.5" customHeight="1">
      <c r="A920" s="108"/>
      <c r="B920" s="108"/>
      <c r="C920" s="108"/>
      <c r="D920" s="108"/>
      <c r="E920" s="108"/>
      <c r="F920" s="108"/>
      <c r="G920" s="108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0.5" customHeight="1">
      <c r="A921" s="108"/>
      <c r="B921" s="108"/>
      <c r="C921" s="108"/>
      <c r="D921" s="108"/>
      <c r="E921" s="108"/>
      <c r="F921" s="108"/>
      <c r="G921" s="108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0.5" customHeight="1">
      <c r="A922" s="108"/>
      <c r="B922" s="108"/>
      <c r="C922" s="108"/>
      <c r="D922" s="108"/>
      <c r="E922" s="108"/>
      <c r="F922" s="108"/>
      <c r="G922" s="108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0.5" customHeight="1">
      <c r="A923" s="108"/>
      <c r="B923" s="108"/>
      <c r="C923" s="108"/>
      <c r="D923" s="108"/>
      <c r="E923" s="108"/>
      <c r="F923" s="108"/>
      <c r="G923" s="108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0.5" customHeight="1">
      <c r="A924" s="108"/>
      <c r="B924" s="108"/>
      <c r="C924" s="108"/>
      <c r="D924" s="108"/>
      <c r="E924" s="108"/>
      <c r="F924" s="108"/>
      <c r="G924" s="108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0.5" customHeight="1">
      <c r="A925" s="108"/>
      <c r="B925" s="108"/>
      <c r="C925" s="108"/>
      <c r="D925" s="108"/>
      <c r="E925" s="108"/>
      <c r="F925" s="108"/>
      <c r="G925" s="108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0.5" customHeight="1">
      <c r="A926" s="108"/>
      <c r="B926" s="108"/>
      <c r="C926" s="108"/>
      <c r="D926" s="108"/>
      <c r="E926" s="108"/>
      <c r="F926" s="108"/>
      <c r="G926" s="108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0.5" customHeight="1">
      <c r="A927" s="108"/>
      <c r="B927" s="108"/>
      <c r="C927" s="108"/>
      <c r="D927" s="108"/>
      <c r="E927" s="108"/>
      <c r="F927" s="108"/>
      <c r="G927" s="108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0.5" customHeight="1">
      <c r="A928" s="108"/>
      <c r="B928" s="108"/>
      <c r="C928" s="108"/>
      <c r="D928" s="108"/>
      <c r="E928" s="108"/>
      <c r="F928" s="108"/>
      <c r="G928" s="108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0.5" customHeight="1">
      <c r="A929" s="108"/>
      <c r="B929" s="108"/>
      <c r="C929" s="108"/>
      <c r="D929" s="108"/>
      <c r="E929" s="108"/>
      <c r="F929" s="108"/>
      <c r="G929" s="108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0.5" customHeight="1">
      <c r="A930" s="108"/>
      <c r="B930" s="108"/>
      <c r="C930" s="108"/>
      <c r="D930" s="108"/>
      <c r="E930" s="108"/>
      <c r="F930" s="108"/>
      <c r="G930" s="108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0.5" customHeight="1">
      <c r="A931" s="108"/>
      <c r="B931" s="108"/>
      <c r="C931" s="108"/>
      <c r="D931" s="108"/>
      <c r="E931" s="108"/>
      <c r="F931" s="108"/>
      <c r="G931" s="108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0.5" customHeight="1">
      <c r="A932" s="108"/>
      <c r="B932" s="108"/>
      <c r="C932" s="108"/>
      <c r="D932" s="108"/>
      <c r="E932" s="108"/>
      <c r="F932" s="108"/>
      <c r="G932" s="108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0.5" customHeight="1">
      <c r="A933" s="108"/>
      <c r="B933" s="108"/>
      <c r="C933" s="108"/>
      <c r="D933" s="108"/>
      <c r="E933" s="108"/>
      <c r="F933" s="108"/>
      <c r="G933" s="108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0.5" customHeight="1">
      <c r="A934" s="108"/>
      <c r="B934" s="108"/>
      <c r="C934" s="108"/>
      <c r="D934" s="108"/>
      <c r="E934" s="108"/>
      <c r="F934" s="108"/>
      <c r="G934" s="108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0.5" customHeight="1">
      <c r="A935" s="108"/>
      <c r="B935" s="108"/>
      <c r="C935" s="108"/>
      <c r="D935" s="108"/>
      <c r="E935" s="108"/>
      <c r="F935" s="108"/>
      <c r="G935" s="108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0.5" customHeight="1">
      <c r="A936" s="108"/>
      <c r="B936" s="108"/>
      <c r="C936" s="108"/>
      <c r="D936" s="108"/>
      <c r="E936" s="108"/>
      <c r="F936" s="108"/>
      <c r="G936" s="108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0.5" customHeight="1">
      <c r="A937" s="108"/>
      <c r="B937" s="108"/>
      <c r="C937" s="108"/>
      <c r="D937" s="108"/>
      <c r="E937" s="108"/>
      <c r="F937" s="108"/>
      <c r="G937" s="108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0.5" customHeight="1">
      <c r="A938" s="108"/>
      <c r="B938" s="108"/>
      <c r="C938" s="108"/>
      <c r="D938" s="108"/>
      <c r="E938" s="108"/>
      <c r="F938" s="108"/>
      <c r="G938" s="108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0.5" customHeight="1">
      <c r="A939" s="108"/>
      <c r="B939" s="108"/>
      <c r="C939" s="108"/>
      <c r="D939" s="108"/>
      <c r="E939" s="108"/>
      <c r="F939" s="108"/>
      <c r="G939" s="108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0.5" customHeight="1">
      <c r="A940" s="108"/>
      <c r="B940" s="108"/>
      <c r="C940" s="108"/>
      <c r="D940" s="108"/>
      <c r="E940" s="108"/>
      <c r="F940" s="108"/>
      <c r="G940" s="108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0.5" customHeight="1">
      <c r="A941" s="108"/>
      <c r="B941" s="108"/>
      <c r="C941" s="108"/>
      <c r="D941" s="108"/>
      <c r="E941" s="108"/>
      <c r="F941" s="108"/>
      <c r="G941" s="108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0.5" customHeight="1">
      <c r="A942" s="108"/>
      <c r="B942" s="108"/>
      <c r="C942" s="108"/>
      <c r="D942" s="108"/>
      <c r="E942" s="108"/>
      <c r="F942" s="108"/>
      <c r="G942" s="108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0.5" customHeight="1">
      <c r="A943" s="108"/>
      <c r="B943" s="108"/>
      <c r="C943" s="108"/>
      <c r="D943" s="108"/>
      <c r="E943" s="108"/>
      <c r="F943" s="108"/>
      <c r="G943" s="108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0.5" customHeight="1">
      <c r="A944" s="108"/>
      <c r="B944" s="108"/>
      <c r="C944" s="108"/>
      <c r="D944" s="108"/>
      <c r="E944" s="108"/>
      <c r="F944" s="108"/>
      <c r="G944" s="108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0.5" customHeight="1">
      <c r="A945" s="108"/>
      <c r="B945" s="108"/>
      <c r="C945" s="108"/>
      <c r="D945" s="108"/>
      <c r="E945" s="108"/>
      <c r="F945" s="108"/>
      <c r="G945" s="108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0.5" customHeight="1">
      <c r="A946" s="108"/>
      <c r="B946" s="108"/>
      <c r="C946" s="108"/>
      <c r="D946" s="108"/>
      <c r="E946" s="108"/>
      <c r="F946" s="108"/>
      <c r="G946" s="108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0.5" customHeight="1">
      <c r="A947" s="108"/>
      <c r="B947" s="108"/>
      <c r="C947" s="108"/>
      <c r="D947" s="108"/>
      <c r="E947" s="108"/>
      <c r="F947" s="108"/>
      <c r="G947" s="108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0.5" customHeight="1">
      <c r="A948" s="108"/>
      <c r="B948" s="108"/>
      <c r="C948" s="108"/>
      <c r="D948" s="108"/>
      <c r="E948" s="108"/>
      <c r="F948" s="108"/>
      <c r="G948" s="108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0.5" customHeight="1">
      <c r="A949" s="108"/>
      <c r="B949" s="108"/>
      <c r="C949" s="108"/>
      <c r="D949" s="108"/>
      <c r="E949" s="108"/>
      <c r="F949" s="108"/>
      <c r="G949" s="108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0.5" customHeight="1">
      <c r="A950" s="108"/>
      <c r="B950" s="108"/>
      <c r="C950" s="108"/>
      <c r="D950" s="108"/>
      <c r="E950" s="108"/>
      <c r="F950" s="108"/>
      <c r="G950" s="108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0.5" customHeight="1">
      <c r="A951" s="108"/>
      <c r="B951" s="108"/>
      <c r="C951" s="108"/>
      <c r="D951" s="108"/>
      <c r="E951" s="108"/>
      <c r="F951" s="108"/>
      <c r="G951" s="108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0.5" customHeight="1">
      <c r="A952" s="108"/>
      <c r="B952" s="108"/>
      <c r="C952" s="108"/>
      <c r="D952" s="108"/>
      <c r="E952" s="108"/>
      <c r="F952" s="108"/>
      <c r="G952" s="108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0.5" customHeight="1">
      <c r="A953" s="108"/>
      <c r="B953" s="108"/>
      <c r="C953" s="108"/>
      <c r="D953" s="108"/>
      <c r="E953" s="108"/>
      <c r="F953" s="108"/>
      <c r="G953" s="108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0.5" customHeight="1">
      <c r="A954" s="108"/>
      <c r="B954" s="108"/>
      <c r="C954" s="108"/>
      <c r="D954" s="108"/>
      <c r="E954" s="108"/>
      <c r="F954" s="108"/>
      <c r="G954" s="108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0.5" customHeight="1">
      <c r="A955" s="108"/>
      <c r="B955" s="108"/>
      <c r="C955" s="108"/>
      <c r="D955" s="108"/>
      <c r="E955" s="108"/>
      <c r="F955" s="108"/>
      <c r="G955" s="108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0.5" customHeight="1">
      <c r="A956" s="108"/>
      <c r="B956" s="108"/>
      <c r="C956" s="108"/>
      <c r="D956" s="108"/>
      <c r="E956" s="108"/>
      <c r="F956" s="108"/>
      <c r="G956" s="108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0.5" customHeight="1">
      <c r="A957" s="108"/>
      <c r="B957" s="108"/>
      <c r="C957" s="108"/>
      <c r="D957" s="108"/>
      <c r="E957" s="108"/>
      <c r="F957" s="108"/>
      <c r="G957" s="108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0.5" customHeight="1">
      <c r="A958" s="108"/>
      <c r="B958" s="108"/>
      <c r="C958" s="108"/>
      <c r="D958" s="108"/>
      <c r="E958" s="108"/>
      <c r="F958" s="108"/>
      <c r="G958" s="108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0.5" customHeight="1">
      <c r="A959" s="108"/>
      <c r="B959" s="108"/>
      <c r="C959" s="108"/>
      <c r="D959" s="108"/>
      <c r="E959" s="108"/>
      <c r="F959" s="108"/>
      <c r="G959" s="108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0.5" customHeight="1">
      <c r="A960" s="108"/>
      <c r="B960" s="108"/>
      <c r="C960" s="108"/>
      <c r="D960" s="108"/>
      <c r="E960" s="108"/>
      <c r="F960" s="108"/>
      <c r="G960" s="108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0.5" customHeight="1">
      <c r="A961" s="108"/>
      <c r="B961" s="108"/>
      <c r="C961" s="108"/>
      <c r="D961" s="108"/>
      <c r="E961" s="108"/>
      <c r="F961" s="108"/>
      <c r="G961" s="108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0.5" customHeight="1">
      <c r="A962" s="108"/>
      <c r="B962" s="108"/>
      <c r="C962" s="108"/>
      <c r="D962" s="108"/>
      <c r="E962" s="108"/>
      <c r="F962" s="108"/>
      <c r="G962" s="108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0.5" customHeight="1">
      <c r="A963" s="108"/>
      <c r="B963" s="108"/>
      <c r="C963" s="108"/>
      <c r="D963" s="108"/>
      <c r="E963" s="108"/>
      <c r="F963" s="108"/>
      <c r="G963" s="108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0.5" customHeight="1">
      <c r="A964" s="108"/>
      <c r="B964" s="108"/>
      <c r="C964" s="108"/>
      <c r="D964" s="108"/>
      <c r="E964" s="108"/>
      <c r="F964" s="108"/>
      <c r="G964" s="108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0.5" customHeight="1">
      <c r="A965" s="108"/>
      <c r="B965" s="108"/>
      <c r="C965" s="108"/>
      <c r="D965" s="108"/>
      <c r="E965" s="108"/>
      <c r="F965" s="108"/>
      <c r="G965" s="108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0.5" customHeight="1">
      <c r="A966" s="108"/>
      <c r="B966" s="108"/>
      <c r="C966" s="108"/>
      <c r="D966" s="108"/>
      <c r="E966" s="108"/>
      <c r="F966" s="108"/>
      <c r="G966" s="108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0.5" customHeight="1">
      <c r="A967" s="108"/>
      <c r="B967" s="108"/>
      <c r="C967" s="108"/>
      <c r="D967" s="108"/>
      <c r="E967" s="108"/>
      <c r="F967" s="108"/>
      <c r="G967" s="108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0.5" customHeight="1">
      <c r="A968" s="108"/>
      <c r="B968" s="108"/>
      <c r="C968" s="108"/>
      <c r="D968" s="108"/>
      <c r="E968" s="108"/>
      <c r="F968" s="108"/>
      <c r="G968" s="108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0.5" customHeight="1">
      <c r="A969" s="108"/>
      <c r="B969" s="108"/>
      <c r="C969" s="108"/>
      <c r="D969" s="108"/>
      <c r="E969" s="108"/>
      <c r="F969" s="108"/>
      <c r="G969" s="108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0.5" customHeight="1">
      <c r="A970" s="108"/>
      <c r="B970" s="108"/>
      <c r="C970" s="108"/>
      <c r="D970" s="108"/>
      <c r="E970" s="108"/>
      <c r="F970" s="108"/>
      <c r="G970" s="108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0.5" customHeight="1">
      <c r="A971" s="108"/>
      <c r="B971" s="108"/>
      <c r="C971" s="108"/>
      <c r="D971" s="108"/>
      <c r="E971" s="108"/>
      <c r="F971" s="108"/>
      <c r="G971" s="108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0.5" customHeight="1">
      <c r="A972" s="108"/>
      <c r="B972" s="108"/>
      <c r="C972" s="108"/>
      <c r="D972" s="108"/>
      <c r="E972" s="108"/>
      <c r="F972" s="108"/>
      <c r="G972" s="108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0.5" customHeight="1">
      <c r="A973" s="108"/>
      <c r="B973" s="108"/>
      <c r="C973" s="108"/>
      <c r="D973" s="108"/>
      <c r="E973" s="108"/>
      <c r="F973" s="108"/>
      <c r="G973" s="108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0.5" customHeight="1">
      <c r="A974" s="108"/>
      <c r="B974" s="108"/>
      <c r="C974" s="108"/>
      <c r="D974" s="108"/>
      <c r="E974" s="108"/>
      <c r="F974" s="108"/>
      <c r="G974" s="108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0.5" customHeight="1">
      <c r="A975" s="108"/>
      <c r="B975" s="108"/>
      <c r="C975" s="108"/>
      <c r="D975" s="108"/>
      <c r="E975" s="108"/>
      <c r="F975" s="108"/>
      <c r="G975" s="108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0.5" customHeight="1">
      <c r="A976" s="108"/>
      <c r="B976" s="108"/>
      <c r="C976" s="108"/>
      <c r="D976" s="108"/>
      <c r="E976" s="108"/>
      <c r="F976" s="108"/>
      <c r="G976" s="108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0.5" customHeight="1">
      <c r="A977" s="108"/>
      <c r="B977" s="108"/>
      <c r="C977" s="108"/>
      <c r="D977" s="108"/>
      <c r="E977" s="108"/>
      <c r="F977" s="108"/>
      <c r="G977" s="108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0.5" customHeight="1">
      <c r="A978" s="108"/>
      <c r="B978" s="108"/>
      <c r="C978" s="108"/>
      <c r="D978" s="108"/>
      <c r="E978" s="108"/>
      <c r="F978" s="108"/>
      <c r="G978" s="108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0.5" customHeight="1">
      <c r="A979" s="108"/>
      <c r="B979" s="108"/>
      <c r="C979" s="108"/>
      <c r="D979" s="108"/>
      <c r="E979" s="108"/>
      <c r="F979" s="108"/>
      <c r="G979" s="108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0.5" customHeight="1">
      <c r="A980" s="108"/>
      <c r="B980" s="108"/>
      <c r="C980" s="108"/>
      <c r="D980" s="108"/>
      <c r="E980" s="108"/>
      <c r="F980" s="108"/>
      <c r="G980" s="108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0.5" customHeight="1">
      <c r="A981" s="108"/>
      <c r="B981" s="108"/>
      <c r="C981" s="108"/>
      <c r="D981" s="108"/>
      <c r="E981" s="108"/>
      <c r="F981" s="108"/>
      <c r="G981" s="108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0.5" customHeight="1">
      <c r="A982" s="108"/>
      <c r="B982" s="108"/>
      <c r="C982" s="108"/>
      <c r="D982" s="108"/>
      <c r="E982" s="108"/>
      <c r="F982" s="108"/>
      <c r="G982" s="108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0.5" customHeight="1">
      <c r="A983" s="108"/>
      <c r="B983" s="108"/>
      <c r="C983" s="108"/>
      <c r="D983" s="108"/>
      <c r="E983" s="108"/>
      <c r="F983" s="108"/>
      <c r="G983" s="108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0.5" customHeight="1">
      <c r="A984" s="108"/>
      <c r="B984" s="108"/>
      <c r="C984" s="108"/>
      <c r="D984" s="108"/>
      <c r="E984" s="108"/>
      <c r="F984" s="108"/>
      <c r="G984" s="108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0.5" customHeight="1">
      <c r="A985" s="108"/>
      <c r="B985" s="108"/>
      <c r="C985" s="108"/>
      <c r="D985" s="108"/>
      <c r="E985" s="108"/>
      <c r="F985" s="108"/>
      <c r="G985" s="108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0.5" customHeight="1">
      <c r="A986" s="108"/>
      <c r="B986" s="108"/>
      <c r="C986" s="108"/>
      <c r="D986" s="108"/>
      <c r="E986" s="108"/>
      <c r="F986" s="108"/>
      <c r="G986" s="108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0.5" customHeight="1">
      <c r="A987" s="108"/>
      <c r="B987" s="108"/>
      <c r="C987" s="108"/>
      <c r="D987" s="108"/>
      <c r="E987" s="108"/>
      <c r="F987" s="108"/>
      <c r="G987" s="108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0.5" customHeight="1">
      <c r="A988" s="108"/>
      <c r="B988" s="108"/>
      <c r="C988" s="108"/>
      <c r="D988" s="108"/>
      <c r="E988" s="108"/>
      <c r="F988" s="108"/>
      <c r="G988" s="108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0.5" customHeight="1">
      <c r="A989" s="108"/>
      <c r="B989" s="108"/>
      <c r="C989" s="108"/>
      <c r="D989" s="108"/>
      <c r="E989" s="108"/>
      <c r="F989" s="108"/>
      <c r="G989" s="108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0.5" customHeight="1">
      <c r="A990" s="108"/>
      <c r="B990" s="108"/>
      <c r="C990" s="108"/>
      <c r="D990" s="108"/>
      <c r="E990" s="108"/>
      <c r="F990" s="108"/>
      <c r="G990" s="108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0.5" customHeight="1">
      <c r="A991" s="108"/>
      <c r="B991" s="108"/>
      <c r="C991" s="108"/>
      <c r="D991" s="108"/>
      <c r="E991" s="108"/>
      <c r="F991" s="108"/>
      <c r="G991" s="108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0.5" customHeight="1">
      <c r="A992" s="108"/>
      <c r="B992" s="108"/>
      <c r="C992" s="108"/>
      <c r="D992" s="108"/>
      <c r="E992" s="108"/>
      <c r="F992" s="108"/>
      <c r="G992" s="108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0.5" customHeight="1">
      <c r="A993" s="108"/>
      <c r="B993" s="108"/>
      <c r="C993" s="108"/>
      <c r="D993" s="108"/>
      <c r="E993" s="108"/>
      <c r="F993" s="108"/>
      <c r="G993" s="108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0.5" customHeight="1">
      <c r="A994" s="108"/>
      <c r="B994" s="108"/>
      <c r="C994" s="108"/>
      <c r="D994" s="108"/>
      <c r="E994" s="108"/>
      <c r="F994" s="108"/>
      <c r="G994" s="108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0.5" customHeight="1">
      <c r="A995" s="108"/>
      <c r="B995" s="108"/>
      <c r="C995" s="108"/>
      <c r="D995" s="108"/>
      <c r="E995" s="108"/>
      <c r="F995" s="108"/>
      <c r="G995" s="108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0.5" customHeight="1">
      <c r="A996" s="108"/>
      <c r="B996" s="108"/>
      <c r="C996" s="108"/>
      <c r="D996" s="108"/>
      <c r="E996" s="108"/>
      <c r="F996" s="108"/>
      <c r="G996" s="108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0.5" customHeight="1">
      <c r="A997" s="108"/>
      <c r="B997" s="108"/>
      <c r="C997" s="108"/>
      <c r="D997" s="108"/>
      <c r="E997" s="108"/>
      <c r="F997" s="108"/>
      <c r="G997" s="108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0.5" customHeight="1">
      <c r="A998" s="108"/>
      <c r="B998" s="108"/>
      <c r="C998" s="108"/>
      <c r="D998" s="108"/>
      <c r="E998" s="108"/>
      <c r="F998" s="108"/>
      <c r="G998" s="108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0.5" customHeight="1">
      <c r="A999" s="108"/>
      <c r="B999" s="108"/>
      <c r="C999" s="108"/>
      <c r="D999" s="108"/>
      <c r="E999" s="108"/>
      <c r="F999" s="108"/>
      <c r="G999" s="108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0.5" customHeight="1">
      <c r="A1000" s="108"/>
      <c r="B1000" s="108"/>
      <c r="C1000" s="108"/>
      <c r="D1000" s="108"/>
      <c r="E1000" s="108"/>
      <c r="F1000" s="108"/>
      <c r="G1000" s="108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3">
    <mergeCell ref="A1:J1"/>
    <mergeCell ref="A3:G3"/>
    <mergeCell ref="A28:G28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5.43"/>
    <col customWidth="1" min="2" max="2" width="3.86"/>
    <col customWidth="1" min="3" max="3" width="36.0"/>
    <col customWidth="1" min="4" max="4" width="18.0"/>
    <col customWidth="1" min="5" max="5" width="5.43"/>
    <col customWidth="1" min="6" max="6" width="18.43"/>
    <col customWidth="1" min="7" max="7" width="22.0"/>
    <col customWidth="1" min="8" max="8" width="86.0"/>
  </cols>
  <sheetData>
    <row r="1" ht="18.0" customHeight="1">
      <c r="A1" s="197" t="s">
        <v>1417</v>
      </c>
    </row>
    <row r="2" ht="12.75" customHeight="1">
      <c r="A2" s="175" t="s">
        <v>106</v>
      </c>
      <c r="B2" s="176" t="s">
        <v>95</v>
      </c>
      <c r="C2" s="175" t="s">
        <v>96</v>
      </c>
      <c r="D2" s="175" t="s">
        <v>97</v>
      </c>
      <c r="E2" s="234" t="s">
        <v>98</v>
      </c>
      <c r="F2" s="178" t="s">
        <v>99</v>
      </c>
      <c r="G2" s="176" t="s">
        <v>107</v>
      </c>
      <c r="H2" s="175" t="s">
        <v>109</v>
      </c>
    </row>
    <row r="3" ht="12.75" customHeight="1">
      <c r="A3" s="179" t="s">
        <v>280</v>
      </c>
      <c r="B3" s="180"/>
      <c r="C3" s="180"/>
      <c r="D3" s="180"/>
      <c r="E3" s="180"/>
      <c r="F3" s="180"/>
      <c r="G3" s="181"/>
      <c r="H3" s="182"/>
    </row>
    <row r="4" ht="12.0" customHeight="1">
      <c r="A4" s="207" t="s">
        <v>1418</v>
      </c>
      <c r="B4" s="262">
        <v>2.0</v>
      </c>
      <c r="C4" s="207" t="s">
        <v>284</v>
      </c>
      <c r="D4" s="207"/>
      <c r="E4" s="207" t="s">
        <v>1419</v>
      </c>
      <c r="F4" s="207" t="s">
        <v>593</v>
      </c>
      <c r="G4" s="263" t="s">
        <v>1420</v>
      </c>
      <c r="H4" s="207"/>
    </row>
    <row r="5" ht="12.0" customHeight="1">
      <c r="A5" s="264" t="s">
        <v>1421</v>
      </c>
      <c r="B5" s="262">
        <v>18.0</v>
      </c>
      <c r="C5" s="207" t="s">
        <v>284</v>
      </c>
      <c r="D5" s="207"/>
      <c r="E5" s="264">
        <v>100.0</v>
      </c>
      <c r="F5" s="207" t="s">
        <v>593</v>
      </c>
      <c r="G5" s="263" t="s">
        <v>832</v>
      </c>
      <c r="H5" s="207"/>
    </row>
    <row r="6" ht="12.0" customHeight="1">
      <c r="A6" s="207" t="s">
        <v>1422</v>
      </c>
      <c r="B6" s="262">
        <v>10.0</v>
      </c>
      <c r="C6" s="207" t="s">
        <v>284</v>
      </c>
      <c r="D6" s="207"/>
      <c r="E6" s="207" t="s">
        <v>598</v>
      </c>
      <c r="F6" s="207" t="s">
        <v>593</v>
      </c>
      <c r="G6" s="263" t="s">
        <v>837</v>
      </c>
      <c r="H6" s="265"/>
    </row>
    <row r="7" ht="12.0" customHeight="1">
      <c r="A7" s="207" t="s">
        <v>1423</v>
      </c>
      <c r="B7" s="262">
        <v>1.0</v>
      </c>
      <c r="C7" s="207" t="s">
        <v>284</v>
      </c>
      <c r="D7" s="207"/>
      <c r="E7" s="207" t="s">
        <v>132</v>
      </c>
      <c r="F7" s="207" t="s">
        <v>593</v>
      </c>
      <c r="G7" s="263" t="s">
        <v>843</v>
      </c>
      <c r="H7" s="207"/>
    </row>
    <row r="8" ht="12.0" customHeight="1">
      <c r="A8" s="207" t="s">
        <v>1424</v>
      </c>
      <c r="B8" s="262">
        <v>6.0</v>
      </c>
      <c r="C8" s="207" t="s">
        <v>284</v>
      </c>
      <c r="D8" s="207"/>
      <c r="E8" s="207" t="s">
        <v>618</v>
      </c>
      <c r="F8" s="207" t="s">
        <v>593</v>
      </c>
      <c r="G8" s="263" t="s">
        <v>1425</v>
      </c>
      <c r="H8" s="207"/>
    </row>
    <row r="9" ht="12.0" customHeight="1">
      <c r="A9" s="207" t="s">
        <v>1426</v>
      </c>
      <c r="B9" s="262">
        <v>4.0</v>
      </c>
      <c r="C9" s="207" t="s">
        <v>284</v>
      </c>
      <c r="D9" s="207"/>
      <c r="E9" s="207" t="s">
        <v>850</v>
      </c>
      <c r="F9" s="207" t="s">
        <v>593</v>
      </c>
      <c r="G9" s="263" t="s">
        <v>851</v>
      </c>
      <c r="H9" s="207"/>
    </row>
    <row r="10" ht="12.0" customHeight="1">
      <c r="A10" s="207" t="s">
        <v>1427</v>
      </c>
      <c r="B10" s="262">
        <v>2.0</v>
      </c>
      <c r="C10" s="207" t="s">
        <v>331</v>
      </c>
      <c r="D10" s="207"/>
      <c r="E10" s="207" t="s">
        <v>421</v>
      </c>
      <c r="F10" s="207" t="s">
        <v>593</v>
      </c>
      <c r="G10" s="266" t="s">
        <v>139</v>
      </c>
      <c r="H10" s="265"/>
    </row>
    <row r="11" ht="12.0" customHeight="1">
      <c r="A11" s="207" t="s">
        <v>1428</v>
      </c>
      <c r="B11" s="262">
        <v>4.0</v>
      </c>
      <c r="C11" s="207" t="s">
        <v>331</v>
      </c>
      <c r="D11" s="207" t="s">
        <v>423</v>
      </c>
      <c r="E11" s="207" t="s">
        <v>421</v>
      </c>
      <c r="F11" s="207" t="s">
        <v>593</v>
      </c>
      <c r="G11" s="267" t="s">
        <v>1429</v>
      </c>
      <c r="H11" s="265"/>
    </row>
    <row r="12" ht="12.0" customHeight="1">
      <c r="A12" s="207" t="s">
        <v>1430</v>
      </c>
      <c r="B12" s="262">
        <v>12.0</v>
      </c>
      <c r="C12" s="207" t="s">
        <v>331</v>
      </c>
      <c r="D12" s="207" t="s">
        <v>432</v>
      </c>
      <c r="E12" s="207" t="s">
        <v>333</v>
      </c>
      <c r="F12" s="207" t="s">
        <v>593</v>
      </c>
      <c r="G12" s="266" t="s">
        <v>116</v>
      </c>
      <c r="H12" s="265"/>
    </row>
    <row r="13" ht="12.0" customHeight="1">
      <c r="A13" s="207" t="s">
        <v>1431</v>
      </c>
      <c r="B13" s="262">
        <v>1.0</v>
      </c>
      <c r="C13" s="207" t="s">
        <v>331</v>
      </c>
      <c r="D13" s="207" t="s">
        <v>432</v>
      </c>
      <c r="E13" s="207" t="s">
        <v>1134</v>
      </c>
      <c r="F13" s="207" t="s">
        <v>1432</v>
      </c>
      <c r="G13" s="266" t="s">
        <v>1135</v>
      </c>
      <c r="H13" s="207"/>
    </row>
    <row r="14" ht="12.0" customHeight="1">
      <c r="A14" s="207" t="s">
        <v>1433</v>
      </c>
      <c r="B14" s="262">
        <v>2.0</v>
      </c>
      <c r="C14" s="207" t="s">
        <v>331</v>
      </c>
      <c r="D14" s="207" t="s">
        <v>332</v>
      </c>
      <c r="E14" s="207" t="s">
        <v>440</v>
      </c>
      <c r="F14" s="207" t="s">
        <v>593</v>
      </c>
      <c r="G14" s="263" t="s">
        <v>1434</v>
      </c>
      <c r="H14" s="207"/>
    </row>
    <row r="15" ht="12.0" customHeight="1">
      <c r="A15" s="207" t="s">
        <v>1435</v>
      </c>
      <c r="B15" s="262">
        <v>1.0</v>
      </c>
      <c r="C15" s="207" t="s">
        <v>331</v>
      </c>
      <c r="D15" s="207" t="s">
        <v>439</v>
      </c>
      <c r="E15" s="207" t="s">
        <v>861</v>
      </c>
      <c r="F15" s="207" t="s">
        <v>593</v>
      </c>
      <c r="G15" s="266" t="s">
        <v>862</v>
      </c>
      <c r="H15" s="207"/>
    </row>
    <row r="16" ht="12.0" customHeight="1">
      <c r="A16" s="207" t="s">
        <v>341</v>
      </c>
      <c r="B16" s="262">
        <v>2.0</v>
      </c>
      <c r="C16" s="207" t="s">
        <v>342</v>
      </c>
      <c r="D16" s="207"/>
      <c r="E16" s="207"/>
      <c r="F16" s="207" t="s">
        <v>343</v>
      </c>
      <c r="G16" s="207" t="s">
        <v>344</v>
      </c>
      <c r="H16" s="207" t="s">
        <v>345</v>
      </c>
    </row>
    <row r="17" ht="12.0" customHeight="1">
      <c r="A17" s="207" t="s">
        <v>553</v>
      </c>
      <c r="B17" s="262">
        <v>1.0</v>
      </c>
      <c r="C17" s="207" t="s">
        <v>474</v>
      </c>
      <c r="D17" s="207"/>
      <c r="E17" s="207" t="s">
        <v>475</v>
      </c>
      <c r="F17" s="207" t="s">
        <v>562</v>
      </c>
      <c r="G17" s="268" t="s">
        <v>221</v>
      </c>
      <c r="H17" s="207" t="s">
        <v>731</v>
      </c>
    </row>
    <row r="18" ht="12.0" customHeight="1">
      <c r="A18" s="207" t="s">
        <v>1436</v>
      </c>
      <c r="B18" s="262">
        <v>2.0</v>
      </c>
      <c r="C18" s="207" t="s">
        <v>455</v>
      </c>
      <c r="D18" s="207"/>
      <c r="E18" s="207"/>
      <c r="F18" s="207" t="s">
        <v>354</v>
      </c>
      <c r="G18" s="268" t="s">
        <v>456</v>
      </c>
      <c r="H18" s="206" t="s">
        <v>457</v>
      </c>
    </row>
    <row r="19" ht="12.0" customHeight="1">
      <c r="A19" s="207" t="s">
        <v>463</v>
      </c>
      <c r="B19" s="262">
        <v>1.0</v>
      </c>
      <c r="C19" s="207" t="s">
        <v>1437</v>
      </c>
      <c r="D19" s="207"/>
      <c r="E19" s="207"/>
      <c r="F19" s="207" t="s">
        <v>801</v>
      </c>
      <c r="G19" s="207" t="s">
        <v>1438</v>
      </c>
      <c r="H19" s="207" t="s">
        <v>1439</v>
      </c>
    </row>
    <row r="20" ht="12.0" customHeight="1">
      <c r="A20" s="207" t="s">
        <v>468</v>
      </c>
      <c r="B20" s="262">
        <v>1.0</v>
      </c>
      <c r="C20" s="207" t="s">
        <v>1440</v>
      </c>
      <c r="D20" s="207"/>
      <c r="E20" s="207" t="s">
        <v>1441</v>
      </c>
      <c r="F20" s="207" t="s">
        <v>492</v>
      </c>
      <c r="G20" s="207" t="s">
        <v>1442</v>
      </c>
      <c r="H20" s="207" t="s">
        <v>1443</v>
      </c>
    </row>
    <row r="21" ht="12.0" customHeight="1">
      <c r="A21" s="207" t="s">
        <v>473</v>
      </c>
      <c r="B21" s="262">
        <v>1.0</v>
      </c>
      <c r="C21" s="207" t="s">
        <v>1444</v>
      </c>
      <c r="D21" s="207"/>
      <c r="E21" s="207"/>
      <c r="F21" s="207" t="s">
        <v>465</v>
      </c>
      <c r="G21" s="207" t="s">
        <v>1445</v>
      </c>
      <c r="H21" s="207" t="s">
        <v>1446</v>
      </c>
    </row>
    <row r="22" ht="12.0" customHeight="1">
      <c r="A22" s="207" t="s">
        <v>1447</v>
      </c>
      <c r="B22" s="262">
        <v>4.0</v>
      </c>
      <c r="C22" s="207" t="s">
        <v>1448</v>
      </c>
      <c r="D22" s="207"/>
      <c r="E22" s="207"/>
      <c r="F22" s="207" t="s">
        <v>733</v>
      </c>
      <c r="G22" s="207" t="s">
        <v>1449</v>
      </c>
      <c r="H22" s="207" t="s">
        <v>1450</v>
      </c>
    </row>
    <row r="23" ht="12.0" customHeight="1">
      <c r="A23" s="207" t="s">
        <v>486</v>
      </c>
      <c r="B23" s="262">
        <v>1.0</v>
      </c>
      <c r="C23" s="207" t="s">
        <v>1451</v>
      </c>
      <c r="D23" s="207"/>
      <c r="E23" s="207" t="s">
        <v>475</v>
      </c>
      <c r="F23" s="207" t="s">
        <v>190</v>
      </c>
      <c r="G23" s="268" t="s">
        <v>1452</v>
      </c>
      <c r="H23" s="207" t="s">
        <v>1453</v>
      </c>
    </row>
    <row r="24" ht="12.0" customHeight="1">
      <c r="A24" s="207" t="s">
        <v>566</v>
      </c>
      <c r="B24" s="262">
        <v>2.0</v>
      </c>
      <c r="C24" s="207" t="s">
        <v>505</v>
      </c>
      <c r="D24" s="207"/>
      <c r="E24" s="207"/>
      <c r="F24" s="207" t="s">
        <v>190</v>
      </c>
      <c r="G24" s="268" t="s">
        <v>506</v>
      </c>
      <c r="H24" s="207" t="s">
        <v>507</v>
      </c>
    </row>
    <row r="25" ht="12.0" customHeight="1">
      <c r="A25" s="269" t="s">
        <v>508</v>
      </c>
      <c r="B25" s="262">
        <v>1.0</v>
      </c>
      <c r="C25" s="207" t="s">
        <v>509</v>
      </c>
      <c r="D25" s="207"/>
      <c r="E25" s="207"/>
      <c r="F25" s="207" t="s">
        <v>510</v>
      </c>
      <c r="G25" s="268" t="s">
        <v>511</v>
      </c>
      <c r="H25" s="207" t="s">
        <v>512</v>
      </c>
    </row>
    <row r="26" ht="12.75" customHeight="1">
      <c r="A26" s="179" t="s">
        <v>1454</v>
      </c>
      <c r="B26" s="180"/>
      <c r="C26" s="180"/>
      <c r="D26" s="180"/>
      <c r="E26" s="180"/>
      <c r="F26" s="180"/>
      <c r="G26" s="181"/>
      <c r="H26" s="120"/>
    </row>
    <row r="27" ht="12.0" customHeight="1">
      <c r="A27" s="207" t="s">
        <v>1455</v>
      </c>
      <c r="B27" s="262">
        <v>1.0</v>
      </c>
      <c r="C27" s="207" t="s">
        <v>284</v>
      </c>
      <c r="D27" s="207"/>
      <c r="E27" s="207" t="s">
        <v>1456</v>
      </c>
      <c r="F27" s="207" t="s">
        <v>593</v>
      </c>
      <c r="G27" s="268" t="s">
        <v>1457</v>
      </c>
      <c r="H27" s="207"/>
    </row>
    <row r="28" ht="12.0" customHeight="1">
      <c r="A28" s="207" t="s">
        <v>784</v>
      </c>
      <c r="B28" s="262">
        <v>1.0</v>
      </c>
      <c r="C28" s="207" t="s">
        <v>284</v>
      </c>
      <c r="D28" s="207"/>
      <c r="E28" s="207" t="s">
        <v>132</v>
      </c>
      <c r="F28" s="207" t="s">
        <v>593</v>
      </c>
      <c r="G28" s="268" t="s">
        <v>843</v>
      </c>
      <c r="H28" s="207"/>
    </row>
    <row r="29" ht="12.0" customHeight="1">
      <c r="A29" s="207" t="s">
        <v>442</v>
      </c>
      <c r="B29" s="262">
        <v>1.0</v>
      </c>
      <c r="C29" s="207" t="s">
        <v>331</v>
      </c>
      <c r="D29" s="207" t="s">
        <v>432</v>
      </c>
      <c r="E29" s="207" t="s">
        <v>333</v>
      </c>
      <c r="F29" s="207" t="s">
        <v>593</v>
      </c>
      <c r="G29" s="207" t="s">
        <v>116</v>
      </c>
      <c r="H29" s="207"/>
    </row>
    <row r="30" ht="12.0" customHeight="1">
      <c r="A30" s="207" t="s">
        <v>1458</v>
      </c>
      <c r="B30" s="262">
        <v>2.0</v>
      </c>
      <c r="C30" s="207" t="s">
        <v>336</v>
      </c>
      <c r="D30" s="207" t="s">
        <v>332</v>
      </c>
      <c r="E30" s="270" t="s">
        <v>970</v>
      </c>
      <c r="F30" s="271" t="s">
        <v>1015</v>
      </c>
      <c r="G30" s="272" t="s">
        <v>1016</v>
      </c>
      <c r="H30" s="246" t="s">
        <v>1459</v>
      </c>
    </row>
    <row r="31" ht="12.0" customHeight="1">
      <c r="A31" s="207" t="s">
        <v>1460</v>
      </c>
      <c r="B31" s="262">
        <v>2.0</v>
      </c>
      <c r="C31" s="207" t="s">
        <v>336</v>
      </c>
      <c r="D31" s="207" t="s">
        <v>332</v>
      </c>
      <c r="E31" s="207" t="s">
        <v>337</v>
      </c>
      <c r="F31" s="207" t="s">
        <v>338</v>
      </c>
      <c r="G31" s="268" t="s">
        <v>339</v>
      </c>
      <c r="H31" s="207" t="s">
        <v>340</v>
      </c>
    </row>
    <row r="32" ht="12.0" customHeight="1">
      <c r="A32" s="207" t="s">
        <v>866</v>
      </c>
      <c r="B32" s="262">
        <v>1.0</v>
      </c>
      <c r="C32" s="207" t="s">
        <v>1143</v>
      </c>
      <c r="D32" s="207"/>
      <c r="E32" s="207"/>
      <c r="F32" s="207" t="s">
        <v>1144</v>
      </c>
      <c r="G32" s="207" t="s">
        <v>1145</v>
      </c>
      <c r="H32" s="207"/>
    </row>
    <row r="33" ht="12.0" customHeight="1">
      <c r="A33" s="207" t="s">
        <v>664</v>
      </c>
      <c r="B33" s="262">
        <v>1.0</v>
      </c>
      <c r="C33" s="207" t="s">
        <v>496</v>
      </c>
      <c r="D33" s="207"/>
      <c r="E33" s="207"/>
      <c r="F33" s="207" t="s">
        <v>497</v>
      </c>
      <c r="G33" s="268" t="s">
        <v>180</v>
      </c>
      <c r="H33" s="207" t="s">
        <v>498</v>
      </c>
    </row>
    <row r="34" ht="12.0" customHeight="1">
      <c r="A34" s="207" t="s">
        <v>1461</v>
      </c>
      <c r="B34" s="262">
        <v>1.0</v>
      </c>
      <c r="C34" s="207" t="s">
        <v>1462</v>
      </c>
      <c r="D34" s="207"/>
      <c r="E34" s="207"/>
      <c r="F34" s="207" t="s">
        <v>1463</v>
      </c>
      <c r="G34" s="207" t="s">
        <v>1464</v>
      </c>
      <c r="H34" s="207" t="s">
        <v>1465</v>
      </c>
    </row>
    <row r="35" ht="12.75" customHeight="1">
      <c r="A35" s="117" t="s">
        <v>371</v>
      </c>
      <c r="B35" s="118"/>
      <c r="C35" s="118"/>
      <c r="D35" s="118"/>
      <c r="E35" s="118"/>
      <c r="F35" s="118"/>
      <c r="G35" s="119"/>
      <c r="H35" s="120"/>
    </row>
    <row r="36" ht="12.0" customHeight="1">
      <c r="A36" s="207" t="s">
        <v>525</v>
      </c>
      <c r="B36" s="262">
        <v>1.0</v>
      </c>
      <c r="C36" s="207" t="s">
        <v>393</v>
      </c>
      <c r="D36" s="207"/>
      <c r="E36" s="207"/>
      <c r="F36" s="207"/>
      <c r="G36" s="97" t="s">
        <v>394</v>
      </c>
      <c r="H36" s="207"/>
    </row>
    <row r="37" ht="12.75" customHeight="1">
      <c r="A37" s="207" t="s">
        <v>895</v>
      </c>
      <c r="B37" s="262">
        <v>1.0</v>
      </c>
      <c r="C37" s="207" t="s">
        <v>526</v>
      </c>
      <c r="D37" s="207"/>
      <c r="E37" s="207"/>
      <c r="F37" s="207"/>
      <c r="G37" s="207" t="s">
        <v>527</v>
      </c>
      <c r="H37" s="207"/>
    </row>
    <row r="38" ht="12.0" customHeight="1">
      <c r="A38" s="122" t="s">
        <v>391</v>
      </c>
      <c r="B38" s="123"/>
      <c r="C38" s="122"/>
      <c r="D38" s="122"/>
      <c r="E38" s="187"/>
      <c r="F38" s="124"/>
      <c r="G38" s="123"/>
      <c r="H38" s="120"/>
    </row>
    <row r="39" ht="12.0" customHeight="1">
      <c r="A39" s="207" t="s">
        <v>1466</v>
      </c>
      <c r="B39" s="262">
        <v>1.0</v>
      </c>
      <c r="C39" s="207" t="s">
        <v>514</v>
      </c>
      <c r="D39" s="207" t="s">
        <v>515</v>
      </c>
      <c r="E39" s="207"/>
      <c r="F39" s="207"/>
      <c r="G39" s="268" t="s">
        <v>516</v>
      </c>
      <c r="H39" s="206" t="s">
        <v>517</v>
      </c>
    </row>
    <row r="40" ht="12.0" customHeight="1">
      <c r="A40" s="207" t="s">
        <v>520</v>
      </c>
      <c r="B40" s="262">
        <v>1.0</v>
      </c>
      <c r="C40" s="207" t="s">
        <v>521</v>
      </c>
      <c r="D40" s="207"/>
      <c r="E40" s="207"/>
      <c r="F40" s="207"/>
      <c r="G40" s="135" t="str">
        <f>HYPERLINK("http://www.mouser.co.uk/search/ProductDetail.aspx?R=0virtualkey0virtualkeyPEC11R-4225F-S0024","652-PEC11R-4225F-S24")</f>
        <v>652-PEC11R-4225F-S24</v>
      </c>
      <c r="H40" s="134" t="s">
        <v>1467</v>
      </c>
    </row>
    <row r="41" ht="12.0" customHeight="1">
      <c r="A41" s="207" t="s">
        <v>1468</v>
      </c>
      <c r="B41" s="262">
        <v>1.0</v>
      </c>
      <c r="C41" s="207" t="s">
        <v>1469</v>
      </c>
      <c r="D41" s="207"/>
      <c r="E41" s="207"/>
      <c r="F41" s="207"/>
      <c r="G41" s="268" t="s">
        <v>1470</v>
      </c>
      <c r="H41" s="207" t="s">
        <v>1471</v>
      </c>
    </row>
    <row r="42" ht="12.0" customHeight="1">
      <c r="A42" s="207" t="s">
        <v>888</v>
      </c>
      <c r="B42" s="262">
        <v>2.0</v>
      </c>
      <c r="C42" s="207" t="s">
        <v>889</v>
      </c>
      <c r="D42" s="207"/>
      <c r="E42" s="207"/>
      <c r="F42" s="207"/>
      <c r="G42" s="268" t="s">
        <v>890</v>
      </c>
      <c r="H42" s="207" t="s">
        <v>891</v>
      </c>
    </row>
    <row r="43" ht="12.0" customHeight="1">
      <c r="A43" s="207" t="s">
        <v>583</v>
      </c>
      <c r="B43" s="262">
        <v>8.0</v>
      </c>
      <c r="C43" s="207" t="s">
        <v>373</v>
      </c>
      <c r="D43" s="207"/>
      <c r="E43" s="207"/>
      <c r="F43" s="207"/>
      <c r="G43" s="268"/>
      <c r="H43" s="207" t="s">
        <v>876</v>
      </c>
    </row>
    <row r="44" ht="12.0" customHeight="1">
      <c r="A44" s="207" t="s">
        <v>676</v>
      </c>
      <c r="B44" s="262">
        <v>4.0</v>
      </c>
      <c r="C44" s="207" t="s">
        <v>922</v>
      </c>
      <c r="D44" s="207"/>
      <c r="E44" s="207"/>
      <c r="F44" s="207"/>
      <c r="G44" s="207" t="s">
        <v>923</v>
      </c>
      <c r="H44" s="206" t="s">
        <v>924</v>
      </c>
    </row>
    <row r="45" ht="12.0" customHeight="1">
      <c r="A45" s="207" t="s">
        <v>1472</v>
      </c>
      <c r="B45" s="262">
        <v>2.0</v>
      </c>
      <c r="C45" s="207" t="s">
        <v>1473</v>
      </c>
      <c r="D45" s="207"/>
      <c r="E45" s="207"/>
      <c r="F45" s="198"/>
      <c r="G45" s="207" t="s">
        <v>1474</v>
      </c>
      <c r="H45" s="207" t="s">
        <v>1475</v>
      </c>
    </row>
    <row r="46" ht="12.0" customHeight="1">
      <c r="A46" s="122" t="s">
        <v>531</v>
      </c>
      <c r="B46" s="122"/>
      <c r="C46" s="122"/>
      <c r="D46" s="122"/>
      <c r="E46" s="187"/>
      <c r="F46" s="122"/>
      <c r="G46" s="239"/>
      <c r="H46" s="120"/>
    </row>
    <row r="47" ht="12.0" customHeight="1">
      <c r="A47" s="125" t="s">
        <v>395</v>
      </c>
      <c r="B47" s="188"/>
      <c r="C47" s="125" t="s">
        <v>1476</v>
      </c>
      <c r="D47" s="125"/>
      <c r="E47" s="240"/>
      <c r="F47" s="125"/>
      <c r="G47" s="273"/>
      <c r="H47" s="273"/>
    </row>
  </sheetData>
  <mergeCells count="4">
    <mergeCell ref="A1:H1"/>
    <mergeCell ref="A3:G3"/>
    <mergeCell ref="A26:G26"/>
    <mergeCell ref="A35:G3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2" width="5.29"/>
    <col customWidth="1" min="3" max="3" width="22.71"/>
    <col customWidth="1" min="4" max="4" width="6.0"/>
    <col customWidth="1" min="5" max="5" width="8.57"/>
    <col customWidth="1" min="6" max="6" width="23.43"/>
    <col customWidth="1" min="7" max="7" width="24.14"/>
    <col customWidth="1" min="8" max="11" width="9.14"/>
    <col customWidth="1" min="12" max="13" width="10.14"/>
    <col customWidth="1" min="14" max="14" width="9.14"/>
    <col customWidth="1" min="15" max="16" width="10.14"/>
    <col customWidth="1" min="17" max="25" width="9.14"/>
  </cols>
  <sheetData>
    <row r="1">
      <c r="A1" s="1" t="s">
        <v>1477</v>
      </c>
      <c r="B1" s="1" t="s">
        <v>1478</v>
      </c>
      <c r="L1" s="274"/>
      <c r="M1" s="274"/>
      <c r="O1" s="274"/>
      <c r="P1" s="274"/>
    </row>
    <row r="2">
      <c r="F2" s="275" t="s">
        <v>1479</v>
      </c>
      <c r="G2" s="275" t="s">
        <v>1480</v>
      </c>
      <c r="L2" s="274"/>
      <c r="M2" s="274"/>
      <c r="O2" s="274"/>
      <c r="P2" s="274"/>
    </row>
    <row r="3">
      <c r="A3" s="1" t="s">
        <v>106</v>
      </c>
      <c r="B3" t="s">
        <v>1481</v>
      </c>
      <c r="C3" s="1" t="s">
        <v>1482</v>
      </c>
      <c r="D3" s="1" t="s">
        <v>1483</v>
      </c>
      <c r="E3" t="s">
        <v>1484</v>
      </c>
      <c r="F3" s="1" t="s">
        <v>1485</v>
      </c>
      <c r="G3" s="1" t="s">
        <v>1486</v>
      </c>
      <c r="L3" s="274"/>
      <c r="M3" s="274"/>
      <c r="O3" s="274"/>
      <c r="P3" s="274"/>
    </row>
    <row r="4">
      <c r="A4" t="s">
        <v>1487</v>
      </c>
      <c r="B4">
        <v>1.0</v>
      </c>
      <c r="C4" s="1" t="s">
        <v>1488</v>
      </c>
      <c r="E4" s="276" t="s">
        <v>1489</v>
      </c>
      <c r="F4" t="s">
        <v>1490</v>
      </c>
      <c r="G4" s="12" t="str">
        <f>HYPERLINK("https://www.digikey.com/products/en?keywords=S270CACT-ND","S270CACT-ND")</f>
        <v>S270CACT-ND</v>
      </c>
      <c r="L4" s="274"/>
      <c r="M4" s="274"/>
      <c r="O4" s="274"/>
      <c r="P4" s="274"/>
    </row>
    <row r="5">
      <c r="A5" t="s">
        <v>1291</v>
      </c>
      <c r="B5">
        <v>1.0</v>
      </c>
      <c r="C5" s="1" t="s">
        <v>1488</v>
      </c>
      <c r="E5" s="276" t="s">
        <v>1491</v>
      </c>
      <c r="F5" t="s">
        <v>1492</v>
      </c>
      <c r="G5" s="12" t="str">
        <f>HYPERLINK("https://www.digikey.com/products/en?keywords=S300CACT-ND","S300CACT-ND")</f>
        <v>S300CACT-ND</v>
      </c>
      <c r="L5" s="274"/>
      <c r="M5" s="274"/>
      <c r="O5" s="274"/>
      <c r="P5" s="274"/>
    </row>
    <row r="6">
      <c r="A6" t="s">
        <v>1493</v>
      </c>
      <c r="B6">
        <v>7.0</v>
      </c>
      <c r="C6" s="1" t="s">
        <v>1488</v>
      </c>
      <c r="E6" t="s">
        <v>120</v>
      </c>
      <c r="F6" s="71" t="str">
        <f>HYPERLINK("http://www.mouser.com/ProductDetail/Xicon/270-100K-RC/?qs=sGAEpiMZZMu61qfTUdNhG0T8NRN%2fRayjYP90eo1gO0Q%3d","270-100K-RC")</f>
        <v>270-100K-RC</v>
      </c>
      <c r="G6" s="12" t="str">
        <f>HYPERLINK("https://www.digikey.com/products/en?keywords=RNF18FTD100KCT-ND","RNF18FTD100KCT-ND")</f>
        <v>RNF18FTD100KCT-ND</v>
      </c>
      <c r="L6" s="274"/>
      <c r="M6" s="274"/>
      <c r="O6" s="274"/>
      <c r="P6" s="274"/>
    </row>
    <row r="7">
      <c r="A7" t="s">
        <v>1494</v>
      </c>
      <c r="B7">
        <v>4.0</v>
      </c>
      <c r="C7" s="1" t="s">
        <v>1488</v>
      </c>
      <c r="E7" t="s">
        <v>132</v>
      </c>
      <c r="F7" s="71" t="str">
        <f>HYPERLINK("http://www.mouser.com/ProductDetail/Xicon/270-10K-RC/?qs=sGAEpiMZZMu61qfTUdNhG%2fNICg4NOtz5D3ChGIwXeqI%3d","270-10K-RC")</f>
        <v>270-10K-RC</v>
      </c>
      <c r="G7" s="12" t="str">
        <f>HYPERLINK("https://www.digikey.com/products/en?keywords=S10KCACT-ND","S10KCACT-ND")</f>
        <v>S10KCACT-ND</v>
      </c>
      <c r="L7" s="274"/>
      <c r="M7" s="274"/>
      <c r="O7" s="274"/>
      <c r="P7" s="274"/>
    </row>
    <row r="8">
      <c r="A8" t="s">
        <v>1495</v>
      </c>
      <c r="B8">
        <v>1.0</v>
      </c>
      <c r="C8" s="1" t="s">
        <v>1488</v>
      </c>
      <c r="E8" t="s">
        <v>1111</v>
      </c>
      <c r="F8" s="71" t="str">
        <f>HYPERLINK("http://www.mouser.com/ProductDetail/Xicon/270-15K-RC/?qs=sGAEpiMZZMu61qfTUdNhG0T8NRN%2fRayjnXHG3sBXkqE%3d","270-15K-RC")</f>
        <v>270-15K-RC</v>
      </c>
      <c r="G8" s="12" t="str">
        <f>HYPERLINK("https://www.digikey.com/products/en?keywords=RNF18FTD15K0CT-ND","RNF18FTD15K0CT-ND")</f>
        <v>RNF18FTD15K0CT-ND</v>
      </c>
      <c r="L8" s="274"/>
      <c r="M8" s="274"/>
      <c r="O8" s="274"/>
      <c r="P8" s="274"/>
    </row>
    <row r="9">
      <c r="A9" t="s">
        <v>1496</v>
      </c>
      <c r="B9">
        <v>4.0</v>
      </c>
      <c r="C9" s="1" t="s">
        <v>1488</v>
      </c>
      <c r="E9" t="s">
        <v>144</v>
      </c>
      <c r="F9" s="71" t="str">
        <f>HYPERLINK("http://www.mouser.com/ProductDetail/Xicon/270-1K-RC/?qs=sGAEpiMZZMu61qfTUdNhGycWKXxEhBp7sB6G%2fdTuvOM%3d","270-1K-RC")</f>
        <v>270-1K-RC</v>
      </c>
      <c r="G9" s="12" t="str">
        <f>HYPERLINK("https://www.digikey.com/products/en?keywords=RNF18FTD1K00CT-ND","RNF18FTD1K00CT-ND")</f>
        <v>RNF18FTD1K00CT-ND</v>
      </c>
      <c r="L9" s="274"/>
      <c r="M9" s="274"/>
      <c r="O9" s="274"/>
      <c r="P9" s="274"/>
    </row>
    <row r="10">
      <c r="A10" t="s">
        <v>1301</v>
      </c>
      <c r="B10">
        <v>1.0</v>
      </c>
      <c r="C10" s="1" t="s">
        <v>1488</v>
      </c>
      <c r="E10" t="s">
        <v>141</v>
      </c>
      <c r="F10" s="71" t="str">
        <f>HYPERLINK("http://www.mouser.com/ProductDetail/Xicon/270-10M-RC/?qs=sGAEpiMZZMu61qfTUdNhG1VZapgQ2mzw5GSB6LCokiA%3d","270-1.0M-RC")</f>
        <v>270-1.0M-RC</v>
      </c>
      <c r="G10" s="12" t="str">
        <f>HYPERLINK("https://www.digikey.com/products/en?keywords=RNF18FTD1M00CT-ND","RNF18FTD1M00CT-ND")</f>
        <v>RNF18FTD1M00CT-ND</v>
      </c>
      <c r="L10" s="274"/>
      <c r="M10" s="274"/>
      <c r="O10" s="274"/>
      <c r="P10" s="274"/>
    </row>
    <row r="11">
      <c r="A11" t="s">
        <v>1497</v>
      </c>
      <c r="B11">
        <v>1.0</v>
      </c>
      <c r="C11" s="1" t="s">
        <v>1488</v>
      </c>
      <c r="E11" t="s">
        <v>775</v>
      </c>
      <c r="F11" s="71" t="str">
        <f>HYPERLINK("http://www.mouser.com/ProductDetail/Xicon/270-20K-RC/?qs=sGAEpiMZZMu61qfTUdNhG01iKAfFMHZrJE%2fwU1671ts%3d","270-20K-RC")</f>
        <v>270-20K-RC</v>
      </c>
      <c r="G11" s="12" t="str">
        <f>HYPERLINK("https://www.digikey.com/products/en?keywords=RNF18FTD20K0CT-ND","RNF18FTD20K0CT-ND")</f>
        <v>RNF18FTD20K0CT-ND</v>
      </c>
      <c r="L11" s="274"/>
      <c r="M11" s="274"/>
      <c r="O11" s="274"/>
      <c r="P11" s="274"/>
    </row>
    <row r="12">
      <c r="A12" t="s">
        <v>1115</v>
      </c>
      <c r="B12">
        <v>1.0</v>
      </c>
      <c r="C12" s="1" t="s">
        <v>1488</v>
      </c>
      <c r="E12" t="s">
        <v>945</v>
      </c>
      <c r="F12" t="s">
        <v>1498</v>
      </c>
      <c r="G12" t="s">
        <v>1499</v>
      </c>
      <c r="L12" s="274"/>
      <c r="M12" s="274"/>
      <c r="O12" s="274"/>
      <c r="P12" s="274"/>
    </row>
    <row r="13">
      <c r="A13" t="s">
        <v>1500</v>
      </c>
      <c r="B13">
        <v>3.0</v>
      </c>
      <c r="C13" s="1" t="s">
        <v>1488</v>
      </c>
      <c r="E13" t="s">
        <v>610</v>
      </c>
      <c r="F13" t="s">
        <v>1501</v>
      </c>
      <c r="G13" t="s">
        <v>1502</v>
      </c>
      <c r="L13" s="274"/>
      <c r="M13" s="274"/>
      <c r="O13" s="274"/>
      <c r="P13" s="274"/>
    </row>
    <row r="14">
      <c r="A14" t="s">
        <v>1503</v>
      </c>
      <c r="B14">
        <v>2.0</v>
      </c>
      <c r="C14" s="1" t="s">
        <v>1488</v>
      </c>
      <c r="E14" t="s">
        <v>1116</v>
      </c>
      <c r="F14" s="71" t="str">
        <f>HYPERLINK("http://www.mouser.com/ProductDetail/Xicon/270-27K-RC/?qs=sGAEpiMZZMu61qfTUdNhG8DCUhfQWu4hLI18cywVbvQ%3d","270-27K-RC")</f>
        <v>270-27K-RC</v>
      </c>
      <c r="G14" t="s">
        <v>1504</v>
      </c>
      <c r="L14" s="274"/>
      <c r="M14" s="274"/>
      <c r="O14" s="274"/>
      <c r="P14" s="274"/>
    </row>
    <row r="15">
      <c r="A15" t="s">
        <v>838</v>
      </c>
      <c r="B15">
        <v>1.0</v>
      </c>
      <c r="C15" s="1" t="s">
        <v>1488</v>
      </c>
      <c r="E15" t="s">
        <v>1505</v>
      </c>
      <c r="F15" t="s">
        <v>1506</v>
      </c>
      <c r="L15" s="274"/>
      <c r="M15" s="274"/>
      <c r="O15" s="274"/>
      <c r="P15" s="274"/>
    </row>
    <row r="16">
      <c r="A16" t="s">
        <v>1507</v>
      </c>
      <c r="B16">
        <v>8.0</v>
      </c>
      <c r="C16" s="1" t="s">
        <v>1488</v>
      </c>
      <c r="E16" t="s">
        <v>1302</v>
      </c>
      <c r="F16" t="s">
        <v>1508</v>
      </c>
      <c r="G16" t="s">
        <v>1509</v>
      </c>
      <c r="L16" s="274"/>
      <c r="M16" s="274"/>
      <c r="O16" s="274"/>
      <c r="P16" s="274"/>
    </row>
    <row r="17">
      <c r="A17" t="s">
        <v>1510</v>
      </c>
      <c r="B17">
        <v>1.0</v>
      </c>
      <c r="C17" s="1" t="s">
        <v>1488</v>
      </c>
      <c r="E17" t="s">
        <v>613</v>
      </c>
      <c r="F17" t="s">
        <v>1511</v>
      </c>
      <c r="L17" s="274"/>
      <c r="M17" s="274"/>
      <c r="O17" s="274"/>
      <c r="P17" s="274"/>
    </row>
    <row r="18">
      <c r="A18" t="s">
        <v>1512</v>
      </c>
      <c r="B18">
        <v>1.0</v>
      </c>
      <c r="C18" s="1" t="s">
        <v>1488</v>
      </c>
      <c r="E18" t="s">
        <v>1513</v>
      </c>
      <c r="F18" t="s">
        <v>1514</v>
      </c>
      <c r="G18" t="s">
        <v>1515</v>
      </c>
      <c r="L18" s="274"/>
      <c r="M18" s="274"/>
      <c r="O18" s="274"/>
      <c r="P18" s="274"/>
    </row>
    <row r="19">
      <c r="A19" t="s">
        <v>1516</v>
      </c>
      <c r="B19">
        <v>1.0</v>
      </c>
      <c r="C19" s="1" t="s">
        <v>1488</v>
      </c>
      <c r="E19" t="s">
        <v>1517</v>
      </c>
      <c r="F19" s="1" t="s">
        <v>1518</v>
      </c>
      <c r="G19" t="s">
        <v>1519</v>
      </c>
      <c r="L19" s="274"/>
      <c r="M19" s="274"/>
      <c r="O19" s="274"/>
      <c r="P19" s="274"/>
    </row>
    <row r="20">
      <c r="A20" t="s">
        <v>1520</v>
      </c>
      <c r="B20">
        <v>1.0</v>
      </c>
      <c r="C20" s="1" t="s">
        <v>1488</v>
      </c>
      <c r="E20" t="s">
        <v>618</v>
      </c>
      <c r="F20" s="1" t="s">
        <v>1521</v>
      </c>
      <c r="G20" t="s">
        <v>1522</v>
      </c>
      <c r="L20" s="274"/>
      <c r="M20" s="274"/>
      <c r="O20" s="274"/>
      <c r="P20" s="274"/>
    </row>
    <row r="21">
      <c r="A21" t="s">
        <v>1523</v>
      </c>
      <c r="B21">
        <v>1.0</v>
      </c>
      <c r="C21" s="1" t="s">
        <v>1488</v>
      </c>
      <c r="E21" t="s">
        <v>1524</v>
      </c>
      <c r="F21" s="1" t="s">
        <v>1525</v>
      </c>
      <c r="G21" t="s">
        <v>1526</v>
      </c>
      <c r="L21" s="274"/>
      <c r="M21" s="274"/>
      <c r="O21" s="274"/>
      <c r="P21" s="274"/>
    </row>
    <row r="22">
      <c r="A22" t="s">
        <v>1527</v>
      </c>
      <c r="B22">
        <v>1.0</v>
      </c>
      <c r="C22" s="1" t="s">
        <v>1488</v>
      </c>
      <c r="E22" t="s">
        <v>170</v>
      </c>
      <c r="F22" s="1" t="s">
        <v>1528</v>
      </c>
      <c r="G22" t="s">
        <v>1529</v>
      </c>
      <c r="L22" s="274"/>
      <c r="M22" s="274"/>
      <c r="O22" s="274"/>
      <c r="P22" s="274"/>
    </row>
    <row r="23">
      <c r="A23" t="s">
        <v>1423</v>
      </c>
      <c r="B23">
        <v>1.0</v>
      </c>
      <c r="C23" s="1" t="s">
        <v>1488</v>
      </c>
      <c r="E23" t="s">
        <v>1530</v>
      </c>
      <c r="F23" s="1" t="s">
        <v>1531</v>
      </c>
      <c r="G23" t="s">
        <v>1532</v>
      </c>
      <c r="L23" s="274"/>
      <c r="M23" s="274"/>
      <c r="O23" s="274"/>
      <c r="P23" s="274"/>
    </row>
    <row r="24">
      <c r="A24" t="s">
        <v>1533</v>
      </c>
      <c r="B24">
        <v>1.0</v>
      </c>
      <c r="C24" s="1" t="s">
        <v>1488</v>
      </c>
      <c r="E24" t="s">
        <v>1534</v>
      </c>
      <c r="F24" s="1" t="s">
        <v>1535</v>
      </c>
      <c r="G24" t="s">
        <v>1536</v>
      </c>
      <c r="L24" s="274"/>
      <c r="M24" s="274"/>
      <c r="O24" s="274"/>
      <c r="P24" s="274"/>
    </row>
    <row r="25">
      <c r="A25" t="s">
        <v>1537</v>
      </c>
      <c r="B25">
        <v>1.0</v>
      </c>
      <c r="C25" s="1" t="s">
        <v>1488</v>
      </c>
      <c r="E25" t="s">
        <v>1538</v>
      </c>
      <c r="F25" s="1" t="s">
        <v>1539</v>
      </c>
      <c r="G25" t="s">
        <v>1540</v>
      </c>
      <c r="L25" s="274"/>
      <c r="M25" s="274"/>
      <c r="O25" s="274"/>
      <c r="P25" s="274"/>
    </row>
    <row r="26">
      <c r="A26" t="s">
        <v>1541</v>
      </c>
      <c r="B26">
        <v>11.0</v>
      </c>
      <c r="C26" s="1" t="s">
        <v>1542</v>
      </c>
      <c r="E26" t="s">
        <v>333</v>
      </c>
      <c r="L26" s="274"/>
      <c r="M26" s="274"/>
      <c r="O26" s="274"/>
      <c r="P26" s="274"/>
    </row>
    <row r="27">
      <c r="A27" t="s">
        <v>1543</v>
      </c>
      <c r="B27">
        <v>2.0</v>
      </c>
      <c r="C27" s="1" t="s">
        <v>1542</v>
      </c>
      <c r="E27" t="s">
        <v>1544</v>
      </c>
      <c r="L27" s="274"/>
      <c r="M27" s="274"/>
      <c r="O27" s="274"/>
      <c r="P27" s="274"/>
    </row>
    <row r="28">
      <c r="A28" t="s">
        <v>961</v>
      </c>
      <c r="B28">
        <v>1.0</v>
      </c>
      <c r="C28" s="1" t="s">
        <v>1542</v>
      </c>
      <c r="E28" t="s">
        <v>426</v>
      </c>
      <c r="L28" s="274"/>
      <c r="M28" s="274"/>
      <c r="O28" s="274"/>
      <c r="P28" s="274"/>
    </row>
    <row r="29">
      <c r="A29" t="s">
        <v>1435</v>
      </c>
      <c r="B29">
        <v>1.0</v>
      </c>
      <c r="C29" s="1" t="s">
        <v>1542</v>
      </c>
      <c r="E29" t="s">
        <v>1545</v>
      </c>
      <c r="F29" t="s">
        <v>1546</v>
      </c>
      <c r="L29" s="274"/>
      <c r="M29" s="274"/>
      <c r="O29" s="274"/>
      <c r="P29" s="274"/>
    </row>
    <row r="30">
      <c r="B30">
        <v>7.0</v>
      </c>
      <c r="C30" t="s">
        <v>1547</v>
      </c>
      <c r="L30" s="274"/>
      <c r="M30" s="274"/>
      <c r="O30" s="274"/>
      <c r="P30" s="274"/>
    </row>
    <row r="31">
      <c r="B31">
        <v>4.0</v>
      </c>
      <c r="C31" t="s">
        <v>1548</v>
      </c>
      <c r="E31" s="1" t="s">
        <v>1549</v>
      </c>
      <c r="F31" s="3" t="str">
        <f>HYPERLINK("https://www.aliexpress.com/item/Free-Shipping-10pcs-B50K-B100K-Potentiometer-Audio-Slide-Pot-Resistor/1670003362.html?spm=2114.13010608.0.0.Oe9i8t","AliExpress")</f>
        <v>AliExpress</v>
      </c>
      <c r="L31" s="274"/>
      <c r="M31" s="274"/>
      <c r="O31" s="274"/>
      <c r="P31" s="274"/>
    </row>
    <row r="32">
      <c r="B32">
        <v>1.0</v>
      </c>
      <c r="C32" t="s">
        <v>1550</v>
      </c>
      <c r="G32" t="s">
        <v>1551</v>
      </c>
      <c r="L32" s="274"/>
      <c r="M32" s="274"/>
      <c r="O32" s="274"/>
      <c r="P32" s="274"/>
    </row>
    <row r="33">
      <c r="B33">
        <v>1.0</v>
      </c>
      <c r="C33" t="s">
        <v>1552</v>
      </c>
      <c r="F33" t="s">
        <v>1553</v>
      </c>
      <c r="L33" s="274"/>
      <c r="M33" s="274"/>
      <c r="O33" s="274"/>
      <c r="P33" s="274"/>
    </row>
    <row r="34">
      <c r="B34">
        <v>1.0</v>
      </c>
      <c r="C34" t="s">
        <v>1554</v>
      </c>
      <c r="L34" s="274"/>
      <c r="M34" s="274"/>
      <c r="O34" s="274"/>
      <c r="P34" s="274"/>
    </row>
    <row r="35">
      <c r="A35" t="s">
        <v>553</v>
      </c>
      <c r="B35">
        <v>1.0</v>
      </c>
      <c r="C35" t="s">
        <v>1555</v>
      </c>
      <c r="F35" s="71" t="str">
        <f>HYPERLINK("http://www.mouser.com/ProductDetail/Texas-Instruments/NE555P/?qs=sGAEpiMZZMsFq5dYAzx%252bAIavvo06qkU3AL3wpiATMNo%3d","595-NE555P")</f>
        <v>595-NE555P</v>
      </c>
      <c r="L35" s="274"/>
      <c r="M35" s="274"/>
      <c r="O35" s="274"/>
      <c r="P35" s="274"/>
    </row>
    <row r="36">
      <c r="A36" t="s">
        <v>560</v>
      </c>
      <c r="B36">
        <v>1.0</v>
      </c>
      <c r="C36" t="s">
        <v>1556</v>
      </c>
      <c r="F36" s="71" t="str">
        <f>HYPERLINK("http://www.mouser.com/ProductDetail/Texas-Instruments/CD4013BE/?qs=sGAEpiMZZMtOXy69nW9rM0%2fHbfl0f%252b3py%252bR9hfQnfYY%3d","595-CD4013BE")</f>
        <v>595-CD4013BE</v>
      </c>
      <c r="L36" s="274"/>
      <c r="M36" s="274"/>
      <c r="O36" s="274"/>
      <c r="P36" s="274"/>
    </row>
    <row r="37">
      <c r="A37" t="s">
        <v>458</v>
      </c>
      <c r="B37">
        <v>1.0</v>
      </c>
      <c r="C37" t="s">
        <v>1557</v>
      </c>
      <c r="F37" s="71" t="str">
        <f>HYPERLINK("http://www.mouser.com/ProductDetail/Texas-Instruments/CD4052BE/?qs=sGAEpiMZZMtxrAS98ir%252bsyyzhQKXP6BbgNfFof9X0tM%3d","595-CD4052BE")</f>
        <v>595-CD4052BE</v>
      </c>
      <c r="L37" s="274"/>
      <c r="M37" s="274"/>
      <c r="O37" s="274"/>
      <c r="P37" s="274"/>
    </row>
    <row r="38">
      <c r="A38" t="s">
        <v>463</v>
      </c>
      <c r="B38">
        <v>1.0</v>
      </c>
      <c r="C38" t="s">
        <v>1558</v>
      </c>
      <c r="L38" s="274"/>
      <c r="M38" s="274"/>
      <c r="O38" s="274"/>
      <c r="P38" s="274"/>
    </row>
    <row r="39">
      <c r="A39" t="s">
        <v>468</v>
      </c>
      <c r="B39">
        <v>1.0</v>
      </c>
      <c r="C39" t="s">
        <v>1559</v>
      </c>
      <c r="F39" s="71" t="str">
        <f>HYPERLINK("http://www.mouser.com/ProductDetail/Texas-Instruments/TL072IP/?qs=sGAEpiMZZMtCHixnSjNA6J5DQWv82hgvnMA72xjDiRo%3d","595-TL072IP")</f>
        <v>595-TL072IP</v>
      </c>
      <c r="L39" s="274"/>
      <c r="M39" s="274"/>
      <c r="O39" s="274"/>
      <c r="P39" s="274"/>
    </row>
    <row r="40">
      <c r="A40" t="s">
        <v>1560</v>
      </c>
      <c r="B40">
        <v>4.0</v>
      </c>
      <c r="C40" t="s">
        <v>1561</v>
      </c>
      <c r="L40" s="274"/>
      <c r="M40" s="274"/>
      <c r="O40" s="274"/>
      <c r="P40" s="274"/>
    </row>
    <row r="41">
      <c r="A41" t="s">
        <v>1562</v>
      </c>
      <c r="B41">
        <v>5.0</v>
      </c>
      <c r="C41" t="s">
        <v>1563</v>
      </c>
      <c r="L41" s="274"/>
      <c r="M41" s="274"/>
      <c r="O41" s="274"/>
      <c r="P41" s="274"/>
    </row>
    <row r="42">
      <c r="A42" t="s">
        <v>1564</v>
      </c>
      <c r="B42">
        <v>2.0</v>
      </c>
      <c r="C42" t="s">
        <v>1565</v>
      </c>
      <c r="L42" s="274"/>
      <c r="M42" s="274"/>
      <c r="O42" s="274"/>
      <c r="P42" s="274"/>
    </row>
    <row r="43">
      <c r="A43" t="s">
        <v>1566</v>
      </c>
      <c r="B43">
        <v>2.0</v>
      </c>
      <c r="C43" s="1" t="s">
        <v>1567</v>
      </c>
      <c r="F43" s="71" t="str">
        <f>HYPERLINK("http://www.mouser.com/ProductDetail/Fair-Rite/2743001112/?qs=sGAEpiMZZMtdyQheitOmRdlbrKoV7KcrLxlbGn63HbQ%3d","623-2743001112LF")</f>
        <v>623-2743001112LF</v>
      </c>
      <c r="L43" s="274"/>
      <c r="M43" s="274"/>
      <c r="O43" s="274"/>
      <c r="P43" s="274"/>
    </row>
    <row r="44">
      <c r="L44" s="274"/>
      <c r="M44" s="274"/>
      <c r="O44" s="274"/>
      <c r="P44" s="274"/>
    </row>
    <row r="45">
      <c r="L45" s="274"/>
      <c r="M45" s="274"/>
      <c r="O45" s="274"/>
      <c r="P45" s="274"/>
      <c r="R45" s="274">
        <f>M45+P45</f>
        <v>0</v>
      </c>
    </row>
    <row r="46">
      <c r="L46" s="274"/>
      <c r="M46" s="274"/>
      <c r="O46" s="274"/>
      <c r="P46" s="274"/>
    </row>
    <row r="47">
      <c r="L47" s="274"/>
      <c r="M47" s="274"/>
      <c r="O47" s="274"/>
      <c r="P47" s="274"/>
    </row>
    <row r="48">
      <c r="L48" s="274"/>
      <c r="M48" s="274"/>
      <c r="O48" s="274"/>
      <c r="P48" s="274"/>
    </row>
    <row r="49">
      <c r="L49" s="274"/>
      <c r="M49" s="274"/>
      <c r="O49" s="274"/>
      <c r="P49" s="274"/>
    </row>
    <row r="50">
      <c r="L50" s="274"/>
      <c r="M50" s="274"/>
      <c r="O50" s="274"/>
      <c r="P50" s="274"/>
    </row>
    <row r="51">
      <c r="L51" s="274"/>
      <c r="M51" s="274"/>
      <c r="O51" s="274"/>
      <c r="P51" s="274"/>
    </row>
    <row r="52">
      <c r="L52" s="274"/>
      <c r="M52" s="274"/>
      <c r="O52" s="274"/>
      <c r="P52" s="274"/>
    </row>
    <row r="53">
      <c r="L53" s="274"/>
      <c r="M53" s="274"/>
      <c r="O53" s="274"/>
      <c r="P53" s="274"/>
    </row>
    <row r="54">
      <c r="L54" s="274"/>
      <c r="M54" s="274"/>
      <c r="O54" s="274"/>
      <c r="P54" s="274"/>
    </row>
    <row r="55">
      <c r="L55" s="274"/>
      <c r="M55" s="274"/>
      <c r="O55" s="274"/>
      <c r="P55" s="274"/>
    </row>
    <row r="56">
      <c r="L56" s="274"/>
      <c r="M56" s="274"/>
      <c r="O56" s="274"/>
      <c r="P56" s="274"/>
    </row>
    <row r="57">
      <c r="L57" s="274"/>
      <c r="M57" s="274"/>
      <c r="O57" s="274"/>
      <c r="P57" s="274"/>
    </row>
    <row r="58">
      <c r="L58" s="274"/>
      <c r="M58" s="274"/>
      <c r="O58" s="274"/>
      <c r="P58" s="274"/>
    </row>
    <row r="59">
      <c r="L59" s="274"/>
      <c r="M59" s="274"/>
      <c r="O59" s="274"/>
      <c r="P59" s="274"/>
    </row>
    <row r="60">
      <c r="L60" s="274"/>
      <c r="M60" s="274"/>
      <c r="O60" s="274"/>
      <c r="P60" s="274"/>
    </row>
    <row r="61">
      <c r="L61" s="274"/>
      <c r="M61" s="274"/>
      <c r="O61" s="274"/>
      <c r="P61" s="274"/>
    </row>
    <row r="62">
      <c r="L62" s="274"/>
      <c r="M62" s="274"/>
      <c r="O62" s="274"/>
      <c r="P62" s="274"/>
    </row>
    <row r="63">
      <c r="L63" s="274"/>
      <c r="M63" s="274"/>
      <c r="O63" s="274"/>
      <c r="P63" s="274"/>
    </row>
    <row r="64">
      <c r="L64" s="274"/>
      <c r="M64" s="274"/>
      <c r="O64" s="274"/>
      <c r="P64" s="274"/>
    </row>
    <row r="65">
      <c r="L65" s="274"/>
      <c r="M65" s="274"/>
      <c r="O65" s="274"/>
      <c r="P65" s="274"/>
    </row>
    <row r="66">
      <c r="L66" s="274"/>
      <c r="M66" s="274"/>
      <c r="O66" s="274"/>
      <c r="P66" s="274"/>
    </row>
    <row r="67">
      <c r="L67" s="274"/>
      <c r="M67" s="274"/>
      <c r="O67" s="274"/>
      <c r="P67" s="274"/>
    </row>
    <row r="68">
      <c r="L68" s="274"/>
      <c r="M68" s="274"/>
      <c r="O68" s="274"/>
      <c r="P68" s="274"/>
    </row>
    <row r="69">
      <c r="L69" s="274"/>
      <c r="M69" s="274"/>
      <c r="O69" s="274"/>
      <c r="P69" s="274"/>
    </row>
    <row r="70">
      <c r="L70" s="274"/>
      <c r="M70" s="274"/>
      <c r="O70" s="274"/>
      <c r="P70" s="274"/>
    </row>
    <row r="71">
      <c r="L71" s="274"/>
      <c r="M71" s="274"/>
      <c r="O71" s="274"/>
      <c r="P71" s="274"/>
    </row>
    <row r="72">
      <c r="L72" s="274"/>
      <c r="M72" s="274"/>
      <c r="O72" s="274"/>
      <c r="P72" s="274"/>
    </row>
    <row r="73">
      <c r="L73" s="274"/>
      <c r="M73" s="274"/>
      <c r="O73" s="274"/>
      <c r="P73" s="274"/>
    </row>
    <row r="74">
      <c r="L74" s="274"/>
      <c r="M74" s="274"/>
      <c r="O74" s="274"/>
      <c r="P74" s="274"/>
    </row>
    <row r="75">
      <c r="L75" s="274"/>
      <c r="M75" s="274"/>
      <c r="O75" s="274"/>
      <c r="P75" s="274"/>
    </row>
    <row r="76">
      <c r="L76" s="274"/>
      <c r="M76" s="274"/>
      <c r="O76" s="274"/>
      <c r="P76" s="274"/>
    </row>
    <row r="77">
      <c r="L77" s="274"/>
      <c r="M77" s="274"/>
      <c r="O77" s="274"/>
      <c r="P77" s="274"/>
    </row>
    <row r="78">
      <c r="L78" s="274"/>
      <c r="M78" s="274"/>
      <c r="O78" s="274"/>
      <c r="P78" s="274"/>
    </row>
    <row r="79">
      <c r="L79" s="274"/>
      <c r="M79" s="274"/>
      <c r="O79" s="274"/>
      <c r="P79" s="274"/>
    </row>
    <row r="80">
      <c r="L80" s="274"/>
      <c r="M80" s="274"/>
      <c r="O80" s="274"/>
      <c r="P80" s="274"/>
    </row>
    <row r="81">
      <c r="L81" s="274"/>
      <c r="M81" s="274"/>
      <c r="O81" s="274"/>
      <c r="P81" s="274"/>
    </row>
    <row r="82">
      <c r="L82" s="274"/>
      <c r="M82" s="274"/>
      <c r="O82" s="274"/>
      <c r="P82" s="274"/>
    </row>
    <row r="83">
      <c r="L83" s="274"/>
      <c r="M83" s="274"/>
      <c r="O83" s="274"/>
      <c r="P83" s="274"/>
    </row>
    <row r="84">
      <c r="L84" s="274"/>
      <c r="M84" s="274"/>
      <c r="O84" s="274"/>
      <c r="P84" s="274"/>
    </row>
    <row r="85">
      <c r="L85" s="274"/>
      <c r="M85" s="274"/>
      <c r="O85" s="274"/>
      <c r="P85" s="274"/>
    </row>
    <row r="86">
      <c r="L86" s="274"/>
      <c r="M86" s="274"/>
      <c r="O86" s="274"/>
      <c r="P86" s="274"/>
    </row>
    <row r="87">
      <c r="L87" s="274"/>
      <c r="M87" s="274"/>
      <c r="O87" s="274"/>
      <c r="P87" s="274"/>
    </row>
    <row r="88">
      <c r="L88" s="274"/>
      <c r="M88" s="274"/>
      <c r="O88" s="274"/>
      <c r="P88" s="274"/>
    </row>
    <row r="89">
      <c r="L89" s="274"/>
      <c r="M89" s="274"/>
      <c r="O89" s="274"/>
      <c r="P89" s="274"/>
    </row>
    <row r="90">
      <c r="L90" s="274"/>
      <c r="M90" s="274"/>
      <c r="O90" s="274"/>
      <c r="P90" s="274"/>
    </row>
    <row r="91">
      <c r="L91" s="274"/>
      <c r="M91" s="274"/>
      <c r="O91" s="274"/>
      <c r="P91" s="274"/>
    </row>
    <row r="92">
      <c r="L92" s="274"/>
      <c r="M92" s="274"/>
      <c r="O92" s="274"/>
      <c r="P92" s="274"/>
    </row>
    <row r="93">
      <c r="L93" s="274"/>
      <c r="M93" s="274"/>
      <c r="O93" s="274"/>
      <c r="P93" s="274"/>
    </row>
    <row r="94">
      <c r="L94" s="274"/>
      <c r="M94" s="274"/>
      <c r="O94" s="274"/>
      <c r="P94" s="274"/>
    </row>
    <row r="95">
      <c r="L95" s="274"/>
      <c r="M95" s="274"/>
      <c r="O95" s="274"/>
      <c r="P95" s="274"/>
    </row>
    <row r="96">
      <c r="L96" s="274"/>
      <c r="M96" s="274"/>
      <c r="O96" s="274"/>
      <c r="P96" s="274"/>
    </row>
    <row r="97">
      <c r="L97" s="274"/>
      <c r="M97" s="274"/>
      <c r="O97" s="274"/>
      <c r="P97" s="274"/>
    </row>
    <row r="98">
      <c r="L98" s="274"/>
      <c r="M98" s="274"/>
      <c r="O98" s="274"/>
      <c r="P98" s="274"/>
    </row>
    <row r="99">
      <c r="L99" s="274"/>
      <c r="M99" s="274"/>
      <c r="O99" s="274"/>
      <c r="P99" s="274"/>
    </row>
    <row r="100">
      <c r="L100" s="274"/>
      <c r="M100" s="274"/>
      <c r="O100" s="274"/>
      <c r="P100" s="274"/>
    </row>
    <row r="101">
      <c r="L101" s="274"/>
      <c r="M101" s="274"/>
      <c r="O101" s="274"/>
      <c r="P101" s="274"/>
    </row>
    <row r="102">
      <c r="L102" s="274"/>
      <c r="M102" s="274"/>
      <c r="O102" s="274"/>
      <c r="P102" s="274"/>
    </row>
    <row r="103">
      <c r="L103" s="274"/>
      <c r="M103" s="274"/>
      <c r="O103" s="274"/>
      <c r="P103" s="274"/>
    </row>
    <row r="104">
      <c r="L104" s="274"/>
      <c r="M104" s="274"/>
      <c r="O104" s="274"/>
      <c r="P104" s="274"/>
    </row>
    <row r="105">
      <c r="L105" s="274"/>
      <c r="M105" s="274"/>
      <c r="O105" s="274"/>
      <c r="P105" s="274"/>
    </row>
    <row r="106">
      <c r="L106" s="274"/>
      <c r="M106" s="274"/>
      <c r="O106" s="274"/>
      <c r="P106" s="274"/>
    </row>
    <row r="107">
      <c r="L107" s="274"/>
      <c r="M107" s="274"/>
      <c r="O107" s="274"/>
      <c r="P107" s="274"/>
    </row>
    <row r="108">
      <c r="L108" s="274"/>
      <c r="M108" s="274"/>
      <c r="O108" s="274"/>
      <c r="P108" s="274"/>
    </row>
    <row r="109">
      <c r="L109" s="274"/>
      <c r="M109" s="274"/>
      <c r="O109" s="274"/>
      <c r="P109" s="274"/>
    </row>
    <row r="110">
      <c r="L110" s="274"/>
      <c r="M110" s="274"/>
      <c r="O110" s="274"/>
      <c r="P110" s="274"/>
    </row>
    <row r="111">
      <c r="L111" s="274"/>
      <c r="M111" s="274"/>
      <c r="O111" s="274"/>
      <c r="P111" s="274"/>
    </row>
    <row r="112">
      <c r="L112" s="274"/>
      <c r="M112" s="274"/>
      <c r="O112" s="274"/>
      <c r="P112" s="274"/>
    </row>
    <row r="113">
      <c r="L113" s="274"/>
      <c r="M113" s="274"/>
      <c r="O113" s="274"/>
      <c r="P113" s="274"/>
    </row>
    <row r="114">
      <c r="L114" s="274"/>
      <c r="M114" s="274"/>
      <c r="O114" s="274"/>
      <c r="P114" s="274"/>
    </row>
    <row r="115">
      <c r="L115" s="274"/>
      <c r="M115" s="274"/>
      <c r="O115" s="274"/>
      <c r="P115" s="274"/>
    </row>
    <row r="116">
      <c r="L116" s="274"/>
      <c r="M116" s="274"/>
      <c r="O116" s="274"/>
      <c r="P116" s="274"/>
    </row>
    <row r="117">
      <c r="L117" s="274"/>
      <c r="M117" s="274"/>
      <c r="O117" s="274"/>
      <c r="P117" s="274"/>
    </row>
    <row r="118">
      <c r="L118" s="274"/>
      <c r="M118" s="274"/>
      <c r="O118" s="274"/>
      <c r="P118" s="274"/>
    </row>
    <row r="119">
      <c r="L119" s="274"/>
      <c r="M119" s="274"/>
      <c r="O119" s="274"/>
      <c r="P119" s="274"/>
    </row>
    <row r="120">
      <c r="L120" s="274"/>
      <c r="M120" s="274"/>
      <c r="O120" s="274"/>
      <c r="P120" s="274"/>
    </row>
    <row r="121">
      <c r="L121" s="274"/>
      <c r="M121" s="274"/>
      <c r="O121" s="274"/>
      <c r="P121" s="274"/>
    </row>
    <row r="122">
      <c r="L122" s="274"/>
      <c r="M122" s="274"/>
      <c r="O122" s="274"/>
      <c r="P122" s="274"/>
    </row>
    <row r="123">
      <c r="L123" s="274"/>
      <c r="M123" s="274"/>
      <c r="O123" s="274"/>
      <c r="P123" s="274"/>
    </row>
    <row r="124">
      <c r="L124" s="274"/>
      <c r="M124" s="274"/>
      <c r="O124" s="274"/>
      <c r="P124" s="274"/>
    </row>
    <row r="125">
      <c r="L125" s="274"/>
      <c r="M125" s="274"/>
      <c r="O125" s="274"/>
      <c r="P125" s="274"/>
    </row>
    <row r="126">
      <c r="L126" s="274"/>
      <c r="M126" s="274"/>
      <c r="O126" s="274"/>
      <c r="P126" s="274"/>
    </row>
    <row r="127">
      <c r="L127" s="274"/>
      <c r="M127" s="274"/>
      <c r="O127" s="274"/>
      <c r="P127" s="274"/>
    </row>
    <row r="128">
      <c r="L128" s="274"/>
      <c r="M128" s="274"/>
      <c r="O128" s="274"/>
      <c r="P128" s="274"/>
    </row>
    <row r="129">
      <c r="L129" s="274"/>
      <c r="M129" s="274"/>
      <c r="O129" s="274"/>
      <c r="P129" s="274"/>
    </row>
    <row r="130">
      <c r="L130" s="274"/>
      <c r="M130" s="274"/>
      <c r="O130" s="274"/>
      <c r="P130" s="274"/>
    </row>
    <row r="131">
      <c r="L131" s="274"/>
      <c r="M131" s="274"/>
      <c r="O131" s="274"/>
      <c r="P131" s="274"/>
    </row>
    <row r="132">
      <c r="L132" s="274"/>
      <c r="M132" s="274"/>
      <c r="O132" s="274"/>
      <c r="P132" s="274"/>
    </row>
    <row r="133">
      <c r="L133" s="274"/>
      <c r="M133" s="274"/>
      <c r="O133" s="274"/>
      <c r="P133" s="274"/>
    </row>
    <row r="134">
      <c r="L134" s="274"/>
      <c r="M134" s="274"/>
      <c r="O134" s="274"/>
      <c r="P134" s="274"/>
    </row>
    <row r="135">
      <c r="L135" s="274"/>
      <c r="M135" s="274"/>
      <c r="O135" s="274"/>
      <c r="P135" s="274"/>
    </row>
    <row r="136">
      <c r="L136" s="274"/>
      <c r="M136" s="274"/>
      <c r="O136" s="274"/>
      <c r="P136" s="274"/>
    </row>
    <row r="137">
      <c r="L137" s="274"/>
      <c r="M137" s="274"/>
      <c r="O137" s="274"/>
      <c r="P137" s="274"/>
    </row>
    <row r="138">
      <c r="L138" s="274"/>
      <c r="M138" s="274"/>
      <c r="O138" s="274"/>
      <c r="P138" s="274"/>
    </row>
    <row r="139">
      <c r="L139" s="274"/>
      <c r="M139" s="274"/>
      <c r="O139" s="274"/>
      <c r="P139" s="274"/>
    </row>
    <row r="140">
      <c r="L140" s="274"/>
      <c r="M140" s="274"/>
      <c r="O140" s="274"/>
      <c r="P140" s="274"/>
    </row>
    <row r="141">
      <c r="L141" s="274"/>
      <c r="M141" s="274"/>
      <c r="O141" s="274"/>
      <c r="P141" s="274"/>
    </row>
    <row r="142">
      <c r="L142" s="274"/>
      <c r="M142" s="274"/>
      <c r="O142" s="274"/>
      <c r="P142" s="274"/>
    </row>
    <row r="143">
      <c r="L143" s="274"/>
      <c r="M143" s="274"/>
      <c r="O143" s="274"/>
      <c r="P143" s="274"/>
    </row>
    <row r="144">
      <c r="L144" s="274"/>
      <c r="M144" s="274"/>
      <c r="O144" s="274"/>
      <c r="P144" s="274"/>
    </row>
    <row r="145">
      <c r="L145" s="274"/>
      <c r="M145" s="274"/>
      <c r="O145" s="274"/>
      <c r="P145" s="274"/>
    </row>
    <row r="146">
      <c r="L146" s="274"/>
      <c r="M146" s="274"/>
      <c r="O146" s="274"/>
      <c r="P146" s="274"/>
    </row>
    <row r="147">
      <c r="L147" s="274"/>
      <c r="M147" s="274"/>
      <c r="O147" s="274"/>
      <c r="P147" s="274"/>
    </row>
    <row r="148">
      <c r="L148" s="274"/>
      <c r="M148" s="274"/>
      <c r="O148" s="274"/>
      <c r="P148" s="274"/>
    </row>
    <row r="149">
      <c r="L149" s="274"/>
      <c r="M149" s="274"/>
      <c r="O149" s="274"/>
      <c r="P149" s="274"/>
    </row>
    <row r="150">
      <c r="L150" s="274"/>
      <c r="M150" s="274"/>
      <c r="O150" s="274"/>
      <c r="P150" s="274"/>
    </row>
    <row r="151">
      <c r="L151" s="274"/>
      <c r="M151" s="274"/>
      <c r="O151" s="274"/>
      <c r="P151" s="274"/>
    </row>
    <row r="152">
      <c r="L152" s="274"/>
      <c r="M152" s="274"/>
      <c r="O152" s="274"/>
      <c r="P152" s="274"/>
    </row>
    <row r="153">
      <c r="L153" s="274"/>
      <c r="M153" s="274"/>
      <c r="O153" s="274"/>
      <c r="P153" s="274"/>
    </row>
    <row r="154">
      <c r="L154" s="274"/>
      <c r="M154" s="274"/>
      <c r="O154" s="274"/>
      <c r="P154" s="274"/>
    </row>
    <row r="155">
      <c r="L155" s="274"/>
      <c r="M155" s="274"/>
      <c r="O155" s="274"/>
      <c r="P155" s="274"/>
    </row>
    <row r="156">
      <c r="L156" s="274"/>
      <c r="M156" s="274"/>
      <c r="O156" s="274"/>
      <c r="P156" s="274"/>
    </row>
    <row r="157">
      <c r="L157" s="274"/>
      <c r="M157" s="274"/>
      <c r="O157" s="274"/>
      <c r="P157" s="274"/>
    </row>
    <row r="158">
      <c r="L158" s="274"/>
      <c r="M158" s="274"/>
      <c r="O158" s="274"/>
      <c r="P158" s="274"/>
    </row>
    <row r="159">
      <c r="L159" s="274"/>
      <c r="M159" s="274"/>
      <c r="O159" s="274"/>
      <c r="P159" s="274"/>
    </row>
    <row r="160">
      <c r="L160" s="274"/>
      <c r="M160" s="274"/>
      <c r="O160" s="274"/>
      <c r="P160" s="274"/>
    </row>
    <row r="161">
      <c r="L161" s="274"/>
      <c r="M161" s="274"/>
      <c r="O161" s="274"/>
      <c r="P161" s="274"/>
    </row>
    <row r="162">
      <c r="L162" s="274"/>
      <c r="M162" s="274"/>
      <c r="O162" s="274"/>
      <c r="P162" s="274"/>
    </row>
    <row r="163">
      <c r="L163" s="274"/>
      <c r="M163" s="274"/>
      <c r="O163" s="274"/>
      <c r="P163" s="274"/>
    </row>
    <row r="164">
      <c r="L164" s="274"/>
      <c r="M164" s="274"/>
      <c r="O164" s="274"/>
      <c r="P164" s="274"/>
    </row>
    <row r="165">
      <c r="L165" s="274"/>
      <c r="M165" s="274"/>
      <c r="O165" s="274"/>
      <c r="P165" s="274"/>
    </row>
    <row r="166">
      <c r="L166" s="274"/>
      <c r="M166" s="274"/>
      <c r="O166" s="274"/>
      <c r="P166" s="274"/>
    </row>
    <row r="167">
      <c r="L167" s="274"/>
      <c r="M167" s="274"/>
      <c r="O167" s="274"/>
      <c r="P167" s="274"/>
    </row>
    <row r="168">
      <c r="L168" s="274"/>
      <c r="M168" s="274"/>
      <c r="O168" s="274"/>
      <c r="P168" s="274"/>
    </row>
    <row r="169">
      <c r="L169" s="274"/>
      <c r="M169" s="274"/>
      <c r="O169" s="274"/>
      <c r="P169" s="274"/>
    </row>
    <row r="170">
      <c r="L170" s="274"/>
      <c r="M170" s="274"/>
      <c r="O170" s="274"/>
      <c r="P170" s="274"/>
    </row>
    <row r="171">
      <c r="L171" s="274"/>
      <c r="M171" s="274"/>
      <c r="O171" s="274"/>
      <c r="P171" s="274"/>
    </row>
    <row r="172">
      <c r="L172" s="274"/>
      <c r="M172" s="274"/>
      <c r="O172" s="274"/>
      <c r="P172" s="274"/>
    </row>
    <row r="173">
      <c r="L173" s="274"/>
      <c r="M173" s="274"/>
      <c r="O173" s="274"/>
      <c r="P173" s="274"/>
    </row>
    <row r="174">
      <c r="L174" s="274"/>
      <c r="M174" s="274"/>
      <c r="O174" s="274"/>
      <c r="P174" s="274"/>
    </row>
    <row r="175">
      <c r="L175" s="274"/>
      <c r="M175" s="274"/>
      <c r="O175" s="274"/>
      <c r="P175" s="274"/>
    </row>
    <row r="176">
      <c r="L176" s="274"/>
      <c r="M176" s="274"/>
      <c r="O176" s="274"/>
      <c r="P176" s="274"/>
    </row>
    <row r="177">
      <c r="L177" s="274"/>
      <c r="M177" s="274"/>
      <c r="O177" s="274"/>
      <c r="P177" s="274"/>
    </row>
    <row r="178">
      <c r="L178" s="274"/>
      <c r="M178" s="274"/>
      <c r="O178" s="274"/>
      <c r="P178" s="274"/>
    </row>
    <row r="179">
      <c r="L179" s="274"/>
      <c r="M179" s="274"/>
      <c r="O179" s="274"/>
      <c r="P179" s="274"/>
    </row>
    <row r="180">
      <c r="L180" s="274"/>
      <c r="M180" s="274"/>
      <c r="O180" s="274"/>
      <c r="P180" s="274"/>
    </row>
    <row r="181">
      <c r="L181" s="274"/>
      <c r="M181" s="274"/>
      <c r="O181" s="274"/>
      <c r="P181" s="274"/>
    </row>
    <row r="182">
      <c r="L182" s="274"/>
      <c r="M182" s="274"/>
      <c r="O182" s="274"/>
      <c r="P182" s="274"/>
    </row>
    <row r="183">
      <c r="L183" s="274"/>
      <c r="M183" s="274"/>
      <c r="O183" s="274"/>
      <c r="P183" s="274"/>
    </row>
    <row r="184">
      <c r="L184" s="274"/>
      <c r="M184" s="274"/>
      <c r="O184" s="274"/>
      <c r="P184" s="274"/>
    </row>
    <row r="185">
      <c r="L185" s="274"/>
      <c r="M185" s="274"/>
      <c r="O185" s="274"/>
      <c r="P185" s="274"/>
    </row>
    <row r="186">
      <c r="L186" s="274"/>
      <c r="M186" s="274"/>
      <c r="O186" s="274"/>
      <c r="P186" s="274"/>
    </row>
    <row r="187">
      <c r="L187" s="274"/>
      <c r="M187" s="274"/>
      <c r="O187" s="274"/>
      <c r="P187" s="274"/>
    </row>
    <row r="188">
      <c r="L188" s="274"/>
      <c r="M188" s="274"/>
      <c r="O188" s="274"/>
      <c r="P188" s="274"/>
    </row>
    <row r="189">
      <c r="L189" s="274"/>
      <c r="M189" s="274"/>
      <c r="O189" s="274"/>
      <c r="P189" s="274"/>
    </row>
    <row r="190">
      <c r="L190" s="274"/>
      <c r="M190" s="274"/>
      <c r="O190" s="274"/>
      <c r="P190" s="274"/>
    </row>
    <row r="191">
      <c r="L191" s="274"/>
      <c r="M191" s="274"/>
      <c r="O191" s="274"/>
      <c r="P191" s="274"/>
    </row>
    <row r="192">
      <c r="L192" s="274"/>
      <c r="M192" s="274"/>
      <c r="O192" s="274"/>
      <c r="P192" s="274"/>
    </row>
    <row r="193">
      <c r="L193" s="274"/>
      <c r="M193" s="274"/>
      <c r="O193" s="274"/>
      <c r="P193" s="274"/>
    </row>
    <row r="194">
      <c r="L194" s="274"/>
      <c r="M194" s="274"/>
      <c r="O194" s="274"/>
      <c r="P194" s="274"/>
    </row>
    <row r="195">
      <c r="L195" s="274"/>
      <c r="M195" s="274"/>
      <c r="O195" s="274"/>
      <c r="P195" s="274"/>
    </row>
    <row r="196">
      <c r="L196" s="274"/>
      <c r="M196" s="274"/>
      <c r="O196" s="274"/>
      <c r="P196" s="274"/>
    </row>
    <row r="197">
      <c r="L197" s="274"/>
      <c r="M197" s="274"/>
      <c r="O197" s="274"/>
      <c r="P197" s="274"/>
    </row>
    <row r="198">
      <c r="L198" s="274"/>
      <c r="M198" s="274"/>
      <c r="O198" s="274"/>
      <c r="P198" s="274"/>
    </row>
    <row r="199">
      <c r="L199" s="274"/>
      <c r="M199" s="274"/>
      <c r="O199" s="274"/>
      <c r="P199" s="274"/>
    </row>
    <row r="200">
      <c r="L200" s="274"/>
      <c r="M200" s="274"/>
      <c r="O200" s="274"/>
      <c r="P200" s="274"/>
    </row>
    <row r="201">
      <c r="L201" s="274"/>
      <c r="M201" s="274"/>
      <c r="O201" s="274"/>
      <c r="P201" s="274"/>
    </row>
    <row r="202">
      <c r="L202" s="274"/>
      <c r="M202" s="274"/>
      <c r="O202" s="274"/>
      <c r="P202" s="274"/>
    </row>
    <row r="203">
      <c r="L203" s="274"/>
      <c r="M203" s="274"/>
      <c r="O203" s="274"/>
      <c r="P203" s="274"/>
    </row>
    <row r="204">
      <c r="L204" s="274"/>
      <c r="M204" s="274"/>
      <c r="O204" s="274"/>
      <c r="P204" s="274"/>
    </row>
    <row r="205">
      <c r="L205" s="274"/>
      <c r="M205" s="274"/>
      <c r="O205" s="274"/>
      <c r="P205" s="274"/>
    </row>
    <row r="206">
      <c r="L206" s="274"/>
      <c r="M206" s="274"/>
      <c r="O206" s="274"/>
      <c r="P206" s="274"/>
    </row>
    <row r="207">
      <c r="L207" s="274"/>
      <c r="M207" s="274"/>
      <c r="O207" s="274"/>
      <c r="P207" s="274"/>
    </row>
    <row r="208">
      <c r="L208" s="274"/>
      <c r="M208" s="274"/>
      <c r="O208" s="274"/>
      <c r="P208" s="274"/>
    </row>
    <row r="209">
      <c r="L209" s="274"/>
      <c r="M209" s="274"/>
      <c r="O209" s="274"/>
      <c r="P209" s="274"/>
    </row>
    <row r="210">
      <c r="L210" s="274"/>
      <c r="M210" s="274"/>
      <c r="O210" s="274"/>
      <c r="P210" s="274"/>
    </row>
    <row r="211">
      <c r="L211" s="274"/>
      <c r="M211" s="274"/>
      <c r="O211" s="274"/>
      <c r="P211" s="274"/>
    </row>
    <row r="212">
      <c r="L212" s="274"/>
      <c r="M212" s="274"/>
      <c r="O212" s="274"/>
      <c r="P212" s="274"/>
    </row>
    <row r="213">
      <c r="L213" s="274"/>
      <c r="M213" s="274"/>
      <c r="O213" s="274"/>
      <c r="P213" s="274"/>
    </row>
    <row r="214">
      <c r="L214" s="274"/>
      <c r="M214" s="274"/>
      <c r="O214" s="274"/>
      <c r="P214" s="274"/>
    </row>
    <row r="215">
      <c r="L215" s="274"/>
      <c r="M215" s="274"/>
      <c r="O215" s="274"/>
      <c r="P215" s="274"/>
    </row>
    <row r="216">
      <c r="L216" s="274"/>
      <c r="M216" s="274"/>
      <c r="O216" s="274"/>
      <c r="P216" s="274"/>
    </row>
    <row r="217">
      <c r="L217" s="274"/>
      <c r="M217" s="274"/>
      <c r="O217" s="274"/>
      <c r="P217" s="274"/>
    </row>
    <row r="218">
      <c r="L218" s="274"/>
      <c r="M218" s="274"/>
      <c r="O218" s="274"/>
      <c r="P218" s="274"/>
    </row>
    <row r="219">
      <c r="L219" s="274"/>
      <c r="M219" s="274"/>
      <c r="O219" s="274"/>
      <c r="P219" s="274"/>
    </row>
    <row r="220">
      <c r="L220" s="274"/>
      <c r="M220" s="274"/>
      <c r="O220" s="274"/>
      <c r="P220" s="274"/>
    </row>
    <row r="221">
      <c r="L221" s="274"/>
      <c r="M221" s="274"/>
      <c r="O221" s="274"/>
      <c r="P221" s="274"/>
    </row>
    <row r="222">
      <c r="L222" s="274"/>
      <c r="M222" s="274"/>
      <c r="O222" s="274"/>
      <c r="P222" s="274"/>
    </row>
    <row r="223">
      <c r="L223" s="274"/>
      <c r="M223" s="274"/>
      <c r="O223" s="274"/>
      <c r="P223" s="274"/>
    </row>
    <row r="224">
      <c r="L224" s="274"/>
      <c r="M224" s="274"/>
      <c r="O224" s="274"/>
      <c r="P224" s="274"/>
    </row>
    <row r="225">
      <c r="L225" s="274"/>
      <c r="M225" s="274"/>
      <c r="O225" s="274"/>
      <c r="P225" s="274"/>
    </row>
    <row r="226">
      <c r="L226" s="274"/>
      <c r="M226" s="274"/>
      <c r="O226" s="274"/>
      <c r="P226" s="274"/>
    </row>
    <row r="227">
      <c r="L227" s="274"/>
      <c r="M227" s="274"/>
      <c r="O227" s="274"/>
      <c r="P227" s="274"/>
    </row>
    <row r="228">
      <c r="L228" s="274"/>
      <c r="M228" s="274"/>
      <c r="O228" s="274"/>
      <c r="P228" s="274"/>
    </row>
    <row r="229">
      <c r="L229" s="274"/>
      <c r="M229" s="274"/>
      <c r="O229" s="274"/>
      <c r="P229" s="274"/>
    </row>
    <row r="230">
      <c r="L230" s="274"/>
      <c r="M230" s="274"/>
      <c r="O230" s="274"/>
      <c r="P230" s="274"/>
    </row>
    <row r="231">
      <c r="L231" s="274"/>
      <c r="M231" s="274"/>
      <c r="O231" s="274"/>
      <c r="P231" s="274"/>
    </row>
    <row r="232">
      <c r="L232" s="274"/>
      <c r="M232" s="274"/>
      <c r="O232" s="274"/>
      <c r="P232" s="274"/>
    </row>
    <row r="233">
      <c r="L233" s="274"/>
      <c r="M233" s="274"/>
      <c r="O233" s="274"/>
      <c r="P233" s="274"/>
    </row>
    <row r="234">
      <c r="L234" s="274"/>
      <c r="M234" s="274"/>
      <c r="O234" s="274"/>
      <c r="P234" s="274"/>
    </row>
    <row r="235">
      <c r="L235" s="274"/>
      <c r="M235" s="274"/>
      <c r="O235" s="274"/>
      <c r="P235" s="274"/>
    </row>
    <row r="236">
      <c r="L236" s="274"/>
      <c r="M236" s="274"/>
      <c r="O236" s="274"/>
      <c r="P236" s="274"/>
    </row>
    <row r="237">
      <c r="L237" s="274"/>
      <c r="M237" s="274"/>
      <c r="O237" s="274"/>
      <c r="P237" s="274"/>
    </row>
    <row r="238">
      <c r="L238" s="274"/>
      <c r="M238" s="274"/>
      <c r="O238" s="274"/>
      <c r="P238" s="274"/>
    </row>
    <row r="239">
      <c r="L239" s="274"/>
      <c r="M239" s="274"/>
      <c r="O239" s="274"/>
      <c r="P239" s="274"/>
    </row>
    <row r="240">
      <c r="L240" s="274"/>
      <c r="M240" s="274"/>
      <c r="O240" s="274"/>
      <c r="P240" s="274"/>
    </row>
    <row r="241">
      <c r="L241" s="274"/>
      <c r="M241" s="274"/>
      <c r="O241" s="274"/>
      <c r="P241" s="274"/>
    </row>
    <row r="242">
      <c r="L242" s="274"/>
      <c r="M242" s="274"/>
      <c r="O242" s="274"/>
      <c r="P242" s="274"/>
    </row>
    <row r="243">
      <c r="L243" s="274"/>
      <c r="M243" s="274"/>
      <c r="O243" s="274"/>
      <c r="P243" s="274"/>
    </row>
    <row r="244">
      <c r="L244" s="274"/>
      <c r="M244" s="274"/>
      <c r="O244" s="274"/>
      <c r="P244" s="274"/>
    </row>
    <row r="245">
      <c r="L245" s="274"/>
      <c r="M245" s="274"/>
      <c r="O245" s="274"/>
      <c r="P245" s="274"/>
    </row>
    <row r="246">
      <c r="L246" s="274"/>
      <c r="M246" s="274"/>
      <c r="O246" s="274"/>
      <c r="P246" s="274"/>
    </row>
    <row r="247">
      <c r="L247" s="274"/>
      <c r="M247" s="274"/>
      <c r="O247" s="274"/>
      <c r="P247" s="274"/>
    </row>
    <row r="248">
      <c r="L248" s="274"/>
      <c r="M248" s="274"/>
      <c r="O248" s="274"/>
      <c r="P248" s="274"/>
    </row>
    <row r="249">
      <c r="L249" s="274"/>
      <c r="M249" s="274"/>
      <c r="O249" s="274"/>
      <c r="P249" s="274"/>
    </row>
    <row r="250">
      <c r="L250" s="274"/>
      <c r="M250" s="274"/>
      <c r="O250" s="274"/>
      <c r="P250" s="274"/>
    </row>
    <row r="251">
      <c r="L251" s="274"/>
      <c r="M251" s="274"/>
      <c r="O251" s="274"/>
      <c r="P251" s="274"/>
    </row>
    <row r="252">
      <c r="L252" s="274"/>
      <c r="M252" s="274"/>
      <c r="O252" s="274"/>
      <c r="P252" s="274"/>
    </row>
    <row r="253">
      <c r="L253" s="274"/>
      <c r="M253" s="274"/>
      <c r="O253" s="274"/>
      <c r="P253" s="274"/>
    </row>
    <row r="254">
      <c r="L254" s="274"/>
      <c r="M254" s="274"/>
      <c r="O254" s="274"/>
      <c r="P254" s="274"/>
    </row>
    <row r="255">
      <c r="L255" s="274"/>
      <c r="M255" s="274"/>
      <c r="O255" s="274"/>
      <c r="P255" s="274"/>
    </row>
    <row r="256">
      <c r="L256" s="274"/>
      <c r="M256" s="274"/>
      <c r="O256" s="274"/>
      <c r="P256" s="274"/>
    </row>
    <row r="257">
      <c r="L257" s="274"/>
      <c r="M257" s="274"/>
      <c r="O257" s="274"/>
      <c r="P257" s="274"/>
    </row>
    <row r="258">
      <c r="L258" s="274"/>
      <c r="M258" s="274"/>
      <c r="O258" s="274"/>
      <c r="P258" s="274"/>
    </row>
    <row r="259">
      <c r="L259" s="274"/>
      <c r="M259" s="274"/>
      <c r="O259" s="274"/>
      <c r="P259" s="274"/>
    </row>
    <row r="260">
      <c r="L260" s="274"/>
      <c r="M260" s="274"/>
      <c r="O260" s="274"/>
      <c r="P260" s="274"/>
    </row>
    <row r="261">
      <c r="L261" s="274"/>
      <c r="M261" s="274"/>
      <c r="O261" s="274"/>
      <c r="P261" s="274"/>
    </row>
    <row r="262">
      <c r="L262" s="274"/>
      <c r="M262" s="274"/>
      <c r="O262" s="274"/>
      <c r="P262" s="274"/>
    </row>
    <row r="263">
      <c r="L263" s="274"/>
      <c r="M263" s="274"/>
      <c r="O263" s="274"/>
      <c r="P263" s="274"/>
    </row>
    <row r="264">
      <c r="L264" s="274"/>
      <c r="M264" s="274"/>
      <c r="O264" s="274"/>
      <c r="P264" s="274"/>
    </row>
    <row r="265">
      <c r="L265" s="274"/>
      <c r="M265" s="274"/>
      <c r="O265" s="274"/>
      <c r="P265" s="274"/>
    </row>
    <row r="266">
      <c r="L266" s="274"/>
      <c r="M266" s="274"/>
      <c r="O266" s="274"/>
      <c r="P266" s="274"/>
    </row>
    <row r="267">
      <c r="L267" s="274"/>
      <c r="M267" s="274"/>
      <c r="O267" s="274"/>
      <c r="P267" s="274"/>
    </row>
    <row r="268">
      <c r="L268" s="274"/>
      <c r="M268" s="274"/>
      <c r="O268" s="274"/>
      <c r="P268" s="274"/>
    </row>
    <row r="269">
      <c r="L269" s="274"/>
      <c r="M269" s="274"/>
      <c r="O269" s="274"/>
      <c r="P269" s="274"/>
    </row>
    <row r="270">
      <c r="L270" s="274"/>
      <c r="M270" s="274"/>
      <c r="O270" s="274"/>
      <c r="P270" s="274"/>
    </row>
    <row r="271">
      <c r="L271" s="274"/>
      <c r="M271" s="274"/>
      <c r="O271" s="274"/>
      <c r="P271" s="274"/>
    </row>
    <row r="272">
      <c r="L272" s="274"/>
      <c r="M272" s="274"/>
      <c r="O272" s="274"/>
      <c r="P272" s="274"/>
    </row>
    <row r="273">
      <c r="L273" s="274"/>
      <c r="M273" s="274"/>
      <c r="O273" s="274"/>
      <c r="P273" s="274"/>
    </row>
    <row r="274">
      <c r="L274" s="274"/>
      <c r="M274" s="274"/>
      <c r="O274" s="274"/>
      <c r="P274" s="274"/>
    </row>
    <row r="275">
      <c r="L275" s="274"/>
      <c r="M275" s="274"/>
      <c r="O275" s="274"/>
      <c r="P275" s="274"/>
    </row>
    <row r="276">
      <c r="L276" s="274"/>
      <c r="M276" s="274"/>
      <c r="O276" s="274"/>
      <c r="P276" s="274"/>
    </row>
    <row r="277">
      <c r="L277" s="274"/>
      <c r="M277" s="274"/>
      <c r="O277" s="274"/>
      <c r="P277" s="274"/>
    </row>
    <row r="278">
      <c r="L278" s="274"/>
      <c r="M278" s="274"/>
      <c r="O278" s="274"/>
      <c r="P278" s="274"/>
    </row>
    <row r="279">
      <c r="L279" s="274"/>
      <c r="M279" s="274"/>
      <c r="O279" s="274"/>
      <c r="P279" s="274"/>
    </row>
    <row r="280">
      <c r="L280" s="274"/>
      <c r="M280" s="274"/>
      <c r="O280" s="274"/>
      <c r="P280" s="274"/>
    </row>
    <row r="281">
      <c r="L281" s="274"/>
      <c r="M281" s="274"/>
      <c r="O281" s="274"/>
      <c r="P281" s="274"/>
    </row>
    <row r="282">
      <c r="L282" s="274"/>
      <c r="M282" s="274"/>
      <c r="O282" s="274"/>
      <c r="P282" s="274"/>
    </row>
    <row r="283">
      <c r="L283" s="274"/>
      <c r="M283" s="274"/>
      <c r="O283" s="274"/>
      <c r="P283" s="274"/>
    </row>
    <row r="284">
      <c r="L284" s="274"/>
      <c r="M284" s="274"/>
      <c r="O284" s="274"/>
      <c r="P284" s="274"/>
    </row>
    <row r="285">
      <c r="L285" s="274"/>
      <c r="M285" s="274"/>
      <c r="O285" s="274"/>
      <c r="P285" s="274"/>
    </row>
    <row r="286">
      <c r="L286" s="274"/>
      <c r="M286" s="274"/>
      <c r="O286" s="274"/>
      <c r="P286" s="274"/>
    </row>
    <row r="287">
      <c r="L287" s="274"/>
      <c r="M287" s="274"/>
      <c r="O287" s="274"/>
      <c r="P287" s="274"/>
    </row>
    <row r="288">
      <c r="L288" s="274"/>
      <c r="M288" s="274"/>
      <c r="O288" s="274"/>
      <c r="P288" s="274"/>
    </row>
    <row r="289">
      <c r="L289" s="274"/>
      <c r="M289" s="274"/>
      <c r="O289" s="274"/>
      <c r="P289" s="274"/>
    </row>
    <row r="290">
      <c r="L290" s="274"/>
      <c r="M290" s="274"/>
      <c r="O290" s="274"/>
      <c r="P290" s="274"/>
    </row>
    <row r="291">
      <c r="L291" s="274"/>
      <c r="M291" s="274"/>
      <c r="O291" s="274"/>
      <c r="P291" s="274"/>
    </row>
    <row r="292">
      <c r="L292" s="274"/>
      <c r="M292" s="274"/>
      <c r="O292" s="274"/>
      <c r="P292" s="274"/>
    </row>
    <row r="293">
      <c r="L293" s="274"/>
      <c r="M293" s="274"/>
      <c r="O293" s="274"/>
      <c r="P293" s="274"/>
    </row>
    <row r="294">
      <c r="L294" s="274"/>
      <c r="M294" s="274"/>
      <c r="O294" s="274"/>
      <c r="P294" s="274"/>
    </row>
    <row r="295">
      <c r="L295" s="274"/>
      <c r="M295" s="274"/>
      <c r="O295" s="274"/>
      <c r="P295" s="274"/>
    </row>
    <row r="296">
      <c r="L296" s="274"/>
      <c r="M296" s="274"/>
      <c r="O296" s="274"/>
      <c r="P296" s="274"/>
    </row>
    <row r="297">
      <c r="L297" s="274"/>
      <c r="M297" s="274"/>
      <c r="O297" s="274"/>
      <c r="P297" s="274"/>
    </row>
    <row r="298">
      <c r="L298" s="274"/>
      <c r="M298" s="274"/>
      <c r="O298" s="274"/>
      <c r="P298" s="274"/>
    </row>
    <row r="299">
      <c r="L299" s="274"/>
      <c r="M299" s="274"/>
      <c r="O299" s="274"/>
      <c r="P299" s="274"/>
    </row>
    <row r="300">
      <c r="L300" s="274"/>
      <c r="M300" s="274"/>
      <c r="O300" s="274"/>
      <c r="P300" s="274"/>
    </row>
    <row r="301">
      <c r="L301" s="274"/>
      <c r="M301" s="274"/>
      <c r="O301" s="274"/>
      <c r="P301" s="274"/>
    </row>
    <row r="302">
      <c r="L302" s="274"/>
      <c r="M302" s="274"/>
      <c r="O302" s="274"/>
      <c r="P302" s="274"/>
    </row>
    <row r="303">
      <c r="L303" s="274"/>
      <c r="M303" s="274"/>
      <c r="O303" s="274"/>
      <c r="P303" s="274"/>
    </row>
    <row r="304">
      <c r="L304" s="274"/>
      <c r="M304" s="274"/>
      <c r="O304" s="274"/>
      <c r="P304" s="274"/>
    </row>
    <row r="305">
      <c r="L305" s="274"/>
      <c r="M305" s="274"/>
      <c r="O305" s="274"/>
      <c r="P305" s="274"/>
    </row>
    <row r="306">
      <c r="L306" s="274"/>
      <c r="M306" s="274"/>
      <c r="O306" s="274"/>
      <c r="P306" s="274"/>
    </row>
    <row r="307">
      <c r="L307" s="274"/>
      <c r="M307" s="274"/>
      <c r="O307" s="274"/>
      <c r="P307" s="274"/>
    </row>
    <row r="308">
      <c r="L308" s="274"/>
      <c r="M308" s="274"/>
      <c r="O308" s="274"/>
      <c r="P308" s="274"/>
    </row>
    <row r="309">
      <c r="L309" s="274"/>
      <c r="M309" s="274"/>
      <c r="O309" s="274"/>
      <c r="P309" s="274"/>
    </row>
    <row r="310">
      <c r="L310" s="274"/>
      <c r="M310" s="274"/>
      <c r="O310" s="274"/>
      <c r="P310" s="274"/>
    </row>
    <row r="311">
      <c r="L311" s="274"/>
      <c r="M311" s="274"/>
      <c r="O311" s="274"/>
      <c r="P311" s="274"/>
    </row>
    <row r="312">
      <c r="L312" s="274"/>
      <c r="M312" s="274"/>
      <c r="O312" s="274"/>
      <c r="P312" s="274"/>
    </row>
    <row r="313">
      <c r="L313" s="274"/>
      <c r="M313" s="274"/>
      <c r="O313" s="274"/>
      <c r="P313" s="274"/>
    </row>
    <row r="314">
      <c r="L314" s="274"/>
      <c r="M314" s="274"/>
      <c r="O314" s="274"/>
      <c r="P314" s="274"/>
    </row>
    <row r="315">
      <c r="L315" s="274"/>
      <c r="M315" s="274"/>
      <c r="O315" s="274"/>
      <c r="P315" s="274"/>
    </row>
    <row r="316">
      <c r="L316" s="274"/>
      <c r="M316" s="274"/>
      <c r="O316" s="274"/>
      <c r="P316" s="274"/>
    </row>
    <row r="317">
      <c r="L317" s="274"/>
      <c r="M317" s="274"/>
      <c r="O317" s="274"/>
      <c r="P317" s="274"/>
    </row>
    <row r="318">
      <c r="L318" s="274"/>
      <c r="M318" s="274"/>
      <c r="O318" s="274"/>
      <c r="P318" s="274"/>
    </row>
    <row r="319">
      <c r="L319" s="274"/>
      <c r="M319" s="274"/>
      <c r="O319" s="274"/>
      <c r="P319" s="274"/>
    </row>
    <row r="320">
      <c r="L320" s="274"/>
      <c r="M320" s="274"/>
      <c r="O320" s="274"/>
      <c r="P320" s="274"/>
    </row>
    <row r="321">
      <c r="L321" s="274"/>
      <c r="M321" s="274"/>
      <c r="O321" s="274"/>
      <c r="P321" s="274"/>
    </row>
    <row r="322">
      <c r="L322" s="274"/>
      <c r="M322" s="274"/>
      <c r="O322" s="274"/>
      <c r="P322" s="274"/>
    </row>
    <row r="323">
      <c r="L323" s="274"/>
      <c r="M323" s="274"/>
      <c r="O323" s="274"/>
      <c r="P323" s="274"/>
    </row>
    <row r="324">
      <c r="L324" s="274"/>
      <c r="M324" s="274"/>
      <c r="O324" s="274"/>
      <c r="P324" s="274"/>
    </row>
    <row r="325">
      <c r="L325" s="274"/>
      <c r="M325" s="274"/>
      <c r="O325" s="274"/>
      <c r="P325" s="274"/>
    </row>
    <row r="326">
      <c r="L326" s="274"/>
      <c r="M326" s="274"/>
      <c r="O326" s="274"/>
      <c r="P326" s="274"/>
    </row>
    <row r="327">
      <c r="L327" s="274"/>
      <c r="M327" s="274"/>
      <c r="O327" s="274"/>
      <c r="P327" s="274"/>
    </row>
    <row r="328">
      <c r="L328" s="274"/>
      <c r="M328" s="274"/>
      <c r="O328" s="274"/>
      <c r="P328" s="274"/>
    </row>
    <row r="329">
      <c r="L329" s="274"/>
      <c r="M329" s="274"/>
      <c r="O329" s="274"/>
      <c r="P329" s="274"/>
    </row>
    <row r="330">
      <c r="L330" s="274"/>
      <c r="M330" s="274"/>
      <c r="O330" s="274"/>
      <c r="P330" s="274"/>
    </row>
    <row r="331">
      <c r="L331" s="274"/>
      <c r="M331" s="274"/>
      <c r="O331" s="274"/>
      <c r="P331" s="274"/>
    </row>
    <row r="332">
      <c r="L332" s="274"/>
      <c r="M332" s="274"/>
      <c r="O332" s="274"/>
      <c r="P332" s="274"/>
    </row>
    <row r="333">
      <c r="L333" s="274"/>
      <c r="M333" s="274"/>
      <c r="O333" s="274"/>
      <c r="P333" s="274"/>
    </row>
    <row r="334">
      <c r="L334" s="274"/>
      <c r="M334" s="274"/>
      <c r="O334" s="274"/>
      <c r="P334" s="274"/>
    </row>
    <row r="335">
      <c r="L335" s="274"/>
      <c r="M335" s="274"/>
      <c r="O335" s="274"/>
      <c r="P335" s="274"/>
    </row>
    <row r="336">
      <c r="L336" s="274"/>
      <c r="M336" s="274"/>
      <c r="O336" s="274"/>
      <c r="P336" s="274"/>
    </row>
    <row r="337">
      <c r="L337" s="274"/>
      <c r="M337" s="274"/>
      <c r="O337" s="274"/>
      <c r="P337" s="274"/>
    </row>
    <row r="338">
      <c r="L338" s="274"/>
      <c r="M338" s="274"/>
      <c r="O338" s="274"/>
      <c r="P338" s="274"/>
    </row>
    <row r="339">
      <c r="L339" s="274"/>
      <c r="M339" s="274"/>
      <c r="O339" s="274"/>
      <c r="P339" s="274"/>
    </row>
    <row r="340">
      <c r="L340" s="274"/>
      <c r="M340" s="274"/>
      <c r="O340" s="274"/>
      <c r="P340" s="274"/>
    </row>
    <row r="341">
      <c r="L341" s="274"/>
      <c r="M341" s="274"/>
      <c r="O341" s="274"/>
      <c r="P341" s="274"/>
    </row>
    <row r="342">
      <c r="L342" s="274"/>
      <c r="M342" s="274"/>
      <c r="O342" s="274"/>
      <c r="P342" s="274"/>
    </row>
    <row r="343">
      <c r="L343" s="274"/>
      <c r="M343" s="274"/>
      <c r="O343" s="274"/>
      <c r="P343" s="274"/>
    </row>
    <row r="344">
      <c r="L344" s="274"/>
      <c r="M344" s="274"/>
      <c r="O344" s="274"/>
      <c r="P344" s="274"/>
    </row>
    <row r="345">
      <c r="L345" s="274"/>
      <c r="M345" s="274"/>
      <c r="O345" s="274"/>
      <c r="P345" s="274"/>
    </row>
    <row r="346">
      <c r="L346" s="274"/>
      <c r="M346" s="274"/>
      <c r="O346" s="274"/>
      <c r="P346" s="274"/>
    </row>
    <row r="347">
      <c r="L347" s="274"/>
      <c r="M347" s="274"/>
      <c r="O347" s="274"/>
      <c r="P347" s="274"/>
    </row>
    <row r="348">
      <c r="L348" s="274"/>
      <c r="M348" s="274"/>
      <c r="O348" s="274"/>
      <c r="P348" s="274"/>
    </row>
    <row r="349">
      <c r="L349" s="274"/>
      <c r="M349" s="274"/>
      <c r="O349" s="274"/>
      <c r="P349" s="274"/>
    </row>
    <row r="350">
      <c r="L350" s="274"/>
      <c r="M350" s="274"/>
      <c r="O350" s="274"/>
      <c r="P350" s="274"/>
    </row>
    <row r="351">
      <c r="L351" s="274"/>
      <c r="M351" s="274"/>
      <c r="O351" s="274"/>
      <c r="P351" s="274"/>
    </row>
    <row r="352">
      <c r="L352" s="274"/>
      <c r="M352" s="274"/>
      <c r="O352" s="274"/>
      <c r="P352" s="274"/>
    </row>
    <row r="353">
      <c r="L353" s="274"/>
      <c r="M353" s="274"/>
      <c r="O353" s="274"/>
      <c r="P353" s="274"/>
    </row>
    <row r="354">
      <c r="L354" s="274"/>
      <c r="M354" s="274"/>
      <c r="O354" s="274"/>
      <c r="P354" s="274"/>
    </row>
    <row r="355">
      <c r="L355" s="274"/>
      <c r="M355" s="274"/>
      <c r="O355" s="274"/>
      <c r="P355" s="274"/>
    </row>
    <row r="356">
      <c r="L356" s="274"/>
      <c r="M356" s="274"/>
      <c r="O356" s="274"/>
      <c r="P356" s="274"/>
    </row>
    <row r="357">
      <c r="L357" s="274"/>
      <c r="M357" s="274"/>
      <c r="O357" s="274"/>
      <c r="P357" s="274"/>
    </row>
    <row r="358">
      <c r="L358" s="274"/>
      <c r="M358" s="274"/>
      <c r="O358" s="274"/>
      <c r="P358" s="274"/>
    </row>
    <row r="359">
      <c r="L359" s="274"/>
      <c r="M359" s="274"/>
      <c r="O359" s="274"/>
      <c r="P359" s="274"/>
    </row>
    <row r="360">
      <c r="L360" s="274"/>
      <c r="M360" s="274"/>
      <c r="O360" s="274"/>
      <c r="P360" s="274"/>
    </row>
    <row r="361">
      <c r="L361" s="274"/>
      <c r="M361" s="274"/>
      <c r="O361" s="274"/>
      <c r="P361" s="274"/>
    </row>
    <row r="362">
      <c r="L362" s="274"/>
      <c r="M362" s="274"/>
      <c r="O362" s="274"/>
      <c r="P362" s="274"/>
    </row>
    <row r="363">
      <c r="L363" s="274"/>
      <c r="M363" s="274"/>
      <c r="O363" s="274"/>
      <c r="P363" s="274"/>
    </row>
    <row r="364">
      <c r="L364" s="274"/>
      <c r="M364" s="274"/>
      <c r="O364" s="274"/>
      <c r="P364" s="274"/>
    </row>
    <row r="365">
      <c r="L365" s="274"/>
      <c r="M365" s="274"/>
      <c r="O365" s="274"/>
      <c r="P365" s="274"/>
    </row>
    <row r="366">
      <c r="L366" s="274"/>
      <c r="M366" s="274"/>
      <c r="O366" s="274"/>
      <c r="P366" s="274"/>
    </row>
    <row r="367">
      <c r="L367" s="274"/>
      <c r="M367" s="274"/>
      <c r="O367" s="274"/>
      <c r="P367" s="274"/>
    </row>
    <row r="368">
      <c r="L368" s="274"/>
      <c r="M368" s="274"/>
      <c r="O368" s="274"/>
      <c r="P368" s="274"/>
    </row>
    <row r="369">
      <c r="L369" s="274"/>
      <c r="M369" s="274"/>
      <c r="O369" s="274"/>
      <c r="P369" s="274"/>
    </row>
    <row r="370">
      <c r="L370" s="274"/>
      <c r="M370" s="274"/>
      <c r="O370" s="274"/>
      <c r="P370" s="274"/>
    </row>
    <row r="371">
      <c r="L371" s="274"/>
      <c r="M371" s="274"/>
      <c r="O371" s="274"/>
      <c r="P371" s="274"/>
    </row>
    <row r="372">
      <c r="L372" s="274"/>
      <c r="M372" s="274"/>
      <c r="O372" s="274"/>
      <c r="P372" s="274"/>
    </row>
    <row r="373">
      <c r="L373" s="274"/>
      <c r="M373" s="274"/>
      <c r="O373" s="274"/>
      <c r="P373" s="274"/>
    </row>
    <row r="374">
      <c r="L374" s="274"/>
      <c r="M374" s="274"/>
      <c r="O374" s="274"/>
      <c r="P374" s="274"/>
    </row>
    <row r="375">
      <c r="L375" s="274"/>
      <c r="M375" s="274"/>
      <c r="O375" s="274"/>
      <c r="P375" s="274"/>
    </row>
    <row r="376">
      <c r="L376" s="274"/>
      <c r="M376" s="274"/>
      <c r="O376" s="274"/>
      <c r="P376" s="274"/>
    </row>
    <row r="377">
      <c r="L377" s="274"/>
      <c r="M377" s="274"/>
      <c r="O377" s="274"/>
      <c r="P377" s="274"/>
    </row>
    <row r="378">
      <c r="L378" s="274"/>
      <c r="M378" s="274"/>
      <c r="O378" s="274"/>
      <c r="P378" s="274"/>
    </row>
    <row r="379">
      <c r="L379" s="274"/>
      <c r="M379" s="274"/>
      <c r="O379" s="274"/>
      <c r="P379" s="274"/>
    </row>
    <row r="380">
      <c r="L380" s="274"/>
      <c r="M380" s="274"/>
      <c r="O380" s="274"/>
      <c r="P380" s="274"/>
    </row>
    <row r="381">
      <c r="L381" s="274"/>
      <c r="M381" s="274"/>
      <c r="O381" s="274"/>
      <c r="P381" s="274"/>
    </row>
    <row r="382">
      <c r="L382" s="274"/>
      <c r="M382" s="274"/>
      <c r="O382" s="274"/>
      <c r="P382" s="274"/>
    </row>
    <row r="383">
      <c r="L383" s="274"/>
      <c r="M383" s="274"/>
      <c r="O383" s="274"/>
      <c r="P383" s="274"/>
    </row>
    <row r="384">
      <c r="L384" s="274"/>
      <c r="M384" s="274"/>
      <c r="O384" s="274"/>
      <c r="P384" s="274"/>
    </row>
    <row r="385">
      <c r="L385" s="274"/>
      <c r="M385" s="274"/>
      <c r="O385" s="274"/>
      <c r="P385" s="274"/>
    </row>
    <row r="386">
      <c r="L386" s="274"/>
      <c r="M386" s="274"/>
      <c r="O386" s="274"/>
      <c r="P386" s="274"/>
    </row>
    <row r="387">
      <c r="L387" s="274"/>
      <c r="M387" s="274"/>
      <c r="O387" s="274"/>
      <c r="P387" s="274"/>
    </row>
    <row r="388">
      <c r="L388" s="274"/>
      <c r="M388" s="274"/>
      <c r="O388" s="274"/>
      <c r="P388" s="274"/>
    </row>
    <row r="389">
      <c r="L389" s="274"/>
      <c r="M389" s="274"/>
      <c r="O389" s="274"/>
      <c r="P389" s="274"/>
    </row>
    <row r="390">
      <c r="L390" s="274"/>
      <c r="M390" s="274"/>
      <c r="O390" s="274"/>
      <c r="P390" s="274"/>
    </row>
    <row r="391">
      <c r="L391" s="274"/>
      <c r="M391" s="274"/>
      <c r="O391" s="274"/>
      <c r="P391" s="274"/>
    </row>
    <row r="392">
      <c r="L392" s="274"/>
      <c r="M392" s="274"/>
      <c r="O392" s="274"/>
      <c r="P392" s="274"/>
    </row>
    <row r="393">
      <c r="L393" s="274"/>
      <c r="M393" s="274"/>
      <c r="O393" s="274"/>
      <c r="P393" s="274"/>
    </row>
    <row r="394">
      <c r="L394" s="274"/>
      <c r="M394" s="274"/>
      <c r="O394" s="274"/>
      <c r="P394" s="274"/>
    </row>
    <row r="395">
      <c r="L395" s="274"/>
      <c r="M395" s="274"/>
      <c r="O395" s="274"/>
      <c r="P395" s="274"/>
    </row>
    <row r="396">
      <c r="L396" s="274"/>
      <c r="M396" s="274"/>
      <c r="O396" s="274"/>
      <c r="P396" s="274"/>
    </row>
    <row r="397">
      <c r="L397" s="274"/>
      <c r="M397" s="274"/>
      <c r="O397" s="274"/>
      <c r="P397" s="274"/>
    </row>
    <row r="398">
      <c r="L398" s="274"/>
      <c r="M398" s="274"/>
      <c r="O398" s="274"/>
      <c r="P398" s="274"/>
    </row>
    <row r="399">
      <c r="L399" s="274"/>
      <c r="M399" s="274"/>
      <c r="O399" s="274"/>
      <c r="P399" s="274"/>
    </row>
    <row r="400">
      <c r="L400" s="274"/>
      <c r="M400" s="274"/>
      <c r="O400" s="274"/>
      <c r="P400" s="274"/>
    </row>
    <row r="401">
      <c r="L401" s="274"/>
      <c r="M401" s="274"/>
      <c r="O401" s="274"/>
      <c r="P401" s="274"/>
    </row>
    <row r="402">
      <c r="L402" s="274"/>
      <c r="M402" s="274"/>
      <c r="O402" s="274"/>
      <c r="P402" s="274"/>
    </row>
    <row r="403">
      <c r="L403" s="274"/>
      <c r="M403" s="274"/>
      <c r="O403" s="274"/>
      <c r="P403" s="274"/>
    </row>
    <row r="404">
      <c r="L404" s="274"/>
      <c r="M404" s="274"/>
      <c r="O404" s="274"/>
      <c r="P404" s="274"/>
    </row>
    <row r="405">
      <c r="L405" s="274"/>
      <c r="M405" s="274"/>
      <c r="O405" s="274"/>
      <c r="P405" s="274"/>
    </row>
    <row r="406">
      <c r="L406" s="274"/>
      <c r="M406" s="274"/>
      <c r="O406" s="274"/>
      <c r="P406" s="274"/>
    </row>
    <row r="407">
      <c r="L407" s="274"/>
      <c r="M407" s="274"/>
      <c r="O407" s="274"/>
      <c r="P407" s="274"/>
    </row>
    <row r="408">
      <c r="L408" s="274"/>
      <c r="M408" s="274"/>
      <c r="O408" s="274"/>
      <c r="P408" s="274"/>
    </row>
    <row r="409">
      <c r="L409" s="274"/>
      <c r="M409" s="274"/>
      <c r="O409" s="274"/>
      <c r="P409" s="274"/>
    </row>
    <row r="410">
      <c r="L410" s="274"/>
      <c r="M410" s="274"/>
      <c r="O410" s="274"/>
      <c r="P410" s="274"/>
    </row>
    <row r="411">
      <c r="L411" s="274"/>
      <c r="M411" s="274"/>
      <c r="O411" s="274"/>
      <c r="P411" s="274"/>
    </row>
    <row r="412">
      <c r="L412" s="274"/>
      <c r="M412" s="274"/>
      <c r="O412" s="274"/>
      <c r="P412" s="274"/>
    </row>
    <row r="413">
      <c r="L413" s="274"/>
      <c r="M413" s="274"/>
      <c r="O413" s="274"/>
      <c r="P413" s="274"/>
    </row>
    <row r="414">
      <c r="L414" s="274"/>
      <c r="M414" s="274"/>
      <c r="O414" s="274"/>
      <c r="P414" s="274"/>
    </row>
    <row r="415">
      <c r="L415" s="274"/>
      <c r="M415" s="274"/>
      <c r="O415" s="274"/>
      <c r="P415" s="274"/>
    </row>
    <row r="416">
      <c r="L416" s="274"/>
      <c r="M416" s="274"/>
      <c r="O416" s="274"/>
      <c r="P416" s="274"/>
    </row>
    <row r="417">
      <c r="L417" s="274"/>
      <c r="M417" s="274"/>
      <c r="O417" s="274"/>
      <c r="P417" s="274"/>
    </row>
    <row r="418">
      <c r="L418" s="274"/>
      <c r="M418" s="274"/>
      <c r="O418" s="274"/>
      <c r="P418" s="274"/>
    </row>
    <row r="419">
      <c r="L419" s="274"/>
      <c r="M419" s="274"/>
      <c r="O419" s="274"/>
      <c r="P419" s="274"/>
    </row>
    <row r="420">
      <c r="L420" s="274"/>
      <c r="M420" s="274"/>
      <c r="O420" s="274"/>
      <c r="P420" s="274"/>
    </row>
    <row r="421">
      <c r="L421" s="274"/>
      <c r="M421" s="274"/>
      <c r="O421" s="274"/>
      <c r="P421" s="274"/>
    </row>
    <row r="422">
      <c r="L422" s="274"/>
      <c r="M422" s="274"/>
      <c r="O422" s="274"/>
      <c r="P422" s="274"/>
    </row>
    <row r="423">
      <c r="L423" s="274"/>
      <c r="M423" s="274"/>
      <c r="O423" s="274"/>
      <c r="P423" s="274"/>
    </row>
    <row r="424">
      <c r="L424" s="274"/>
      <c r="M424" s="274"/>
      <c r="O424" s="274"/>
      <c r="P424" s="274"/>
    </row>
    <row r="425">
      <c r="L425" s="274"/>
      <c r="M425" s="274"/>
      <c r="O425" s="274"/>
      <c r="P425" s="274"/>
    </row>
    <row r="426">
      <c r="L426" s="274"/>
      <c r="M426" s="274"/>
      <c r="O426" s="274"/>
      <c r="P426" s="274"/>
    </row>
    <row r="427">
      <c r="L427" s="274"/>
      <c r="M427" s="274"/>
      <c r="O427" s="274"/>
      <c r="P427" s="274"/>
    </row>
    <row r="428">
      <c r="L428" s="274"/>
      <c r="M428" s="274"/>
      <c r="O428" s="274"/>
      <c r="P428" s="274"/>
    </row>
    <row r="429">
      <c r="L429" s="274"/>
      <c r="M429" s="274"/>
      <c r="O429" s="274"/>
      <c r="P429" s="274"/>
    </row>
    <row r="430">
      <c r="L430" s="274"/>
      <c r="M430" s="274"/>
      <c r="O430" s="274"/>
      <c r="P430" s="274"/>
    </row>
    <row r="431">
      <c r="L431" s="274"/>
      <c r="M431" s="274"/>
      <c r="O431" s="274"/>
      <c r="P431" s="274"/>
    </row>
    <row r="432">
      <c r="L432" s="274"/>
      <c r="M432" s="274"/>
      <c r="O432" s="274"/>
      <c r="P432" s="274"/>
    </row>
    <row r="433">
      <c r="L433" s="274"/>
      <c r="M433" s="274"/>
      <c r="O433" s="274"/>
      <c r="P433" s="274"/>
    </row>
    <row r="434">
      <c r="L434" s="274"/>
      <c r="M434" s="274"/>
      <c r="O434" s="274"/>
      <c r="P434" s="274"/>
    </row>
    <row r="435">
      <c r="L435" s="274"/>
      <c r="M435" s="274"/>
      <c r="O435" s="274"/>
      <c r="P435" s="274"/>
    </row>
    <row r="436">
      <c r="L436" s="274"/>
      <c r="M436" s="274"/>
      <c r="O436" s="274"/>
      <c r="P436" s="274"/>
    </row>
    <row r="437">
      <c r="L437" s="274"/>
      <c r="M437" s="274"/>
      <c r="O437" s="274"/>
      <c r="P437" s="274"/>
    </row>
    <row r="438">
      <c r="L438" s="274"/>
      <c r="M438" s="274"/>
      <c r="O438" s="274"/>
      <c r="P438" s="274"/>
    </row>
    <row r="439">
      <c r="L439" s="274"/>
      <c r="M439" s="274"/>
      <c r="O439" s="274"/>
      <c r="P439" s="274"/>
    </row>
    <row r="440">
      <c r="L440" s="274"/>
      <c r="M440" s="274"/>
      <c r="O440" s="274"/>
      <c r="P440" s="274"/>
    </row>
    <row r="441">
      <c r="L441" s="274"/>
      <c r="M441" s="274"/>
      <c r="O441" s="274"/>
      <c r="P441" s="274"/>
    </row>
    <row r="442">
      <c r="L442" s="274"/>
      <c r="M442" s="274"/>
      <c r="O442" s="274"/>
      <c r="P442" s="274"/>
    </row>
    <row r="443">
      <c r="L443" s="274"/>
      <c r="M443" s="274"/>
      <c r="O443" s="274"/>
      <c r="P443" s="274"/>
    </row>
    <row r="444">
      <c r="L444" s="274"/>
      <c r="M444" s="274"/>
      <c r="O444" s="274"/>
      <c r="P444" s="274"/>
    </row>
    <row r="445">
      <c r="L445" s="274"/>
      <c r="M445" s="274"/>
      <c r="O445" s="274"/>
      <c r="P445" s="274"/>
    </row>
    <row r="446">
      <c r="L446" s="274"/>
      <c r="M446" s="274"/>
      <c r="O446" s="274"/>
      <c r="P446" s="274"/>
    </row>
    <row r="447">
      <c r="L447" s="274"/>
      <c r="M447" s="274"/>
      <c r="O447" s="274"/>
      <c r="P447" s="274"/>
    </row>
    <row r="448">
      <c r="L448" s="274"/>
      <c r="M448" s="274"/>
      <c r="O448" s="274"/>
      <c r="P448" s="274"/>
    </row>
    <row r="449">
      <c r="L449" s="274"/>
      <c r="M449" s="274"/>
      <c r="O449" s="274"/>
      <c r="P449" s="274"/>
    </row>
    <row r="450">
      <c r="L450" s="274"/>
      <c r="M450" s="274"/>
      <c r="O450" s="274"/>
      <c r="P450" s="274"/>
    </row>
    <row r="451">
      <c r="L451" s="274"/>
      <c r="M451" s="274"/>
      <c r="O451" s="274"/>
      <c r="P451" s="274"/>
    </row>
    <row r="452">
      <c r="L452" s="274"/>
      <c r="M452" s="274"/>
      <c r="O452" s="274"/>
      <c r="P452" s="274"/>
    </row>
    <row r="453">
      <c r="L453" s="274"/>
      <c r="M453" s="274"/>
      <c r="O453" s="274"/>
      <c r="P453" s="274"/>
    </row>
    <row r="454">
      <c r="L454" s="274"/>
      <c r="M454" s="274"/>
      <c r="O454" s="274"/>
      <c r="P454" s="274"/>
    </row>
    <row r="455">
      <c r="L455" s="274"/>
      <c r="M455" s="274"/>
      <c r="O455" s="274"/>
      <c r="P455" s="274"/>
    </row>
    <row r="456">
      <c r="L456" s="274"/>
      <c r="M456" s="274"/>
      <c r="O456" s="274"/>
      <c r="P456" s="274"/>
    </row>
    <row r="457">
      <c r="L457" s="274"/>
      <c r="M457" s="274"/>
      <c r="O457" s="274"/>
      <c r="P457" s="274"/>
    </row>
    <row r="458">
      <c r="L458" s="274"/>
      <c r="M458" s="274"/>
      <c r="O458" s="274"/>
      <c r="P458" s="274"/>
    </row>
    <row r="459">
      <c r="L459" s="274"/>
      <c r="M459" s="274"/>
      <c r="O459" s="274"/>
      <c r="P459" s="274"/>
    </row>
    <row r="460">
      <c r="L460" s="274"/>
      <c r="M460" s="274"/>
      <c r="O460" s="274"/>
      <c r="P460" s="274"/>
    </row>
    <row r="461">
      <c r="L461" s="274"/>
      <c r="M461" s="274"/>
      <c r="O461" s="274"/>
      <c r="P461" s="274"/>
    </row>
    <row r="462">
      <c r="L462" s="274"/>
      <c r="M462" s="274"/>
      <c r="O462" s="274"/>
      <c r="P462" s="274"/>
    </row>
    <row r="463">
      <c r="L463" s="274"/>
      <c r="M463" s="274"/>
      <c r="O463" s="274"/>
      <c r="P463" s="274"/>
    </row>
    <row r="464">
      <c r="L464" s="274"/>
      <c r="M464" s="274"/>
      <c r="O464" s="274"/>
      <c r="P464" s="274"/>
    </row>
    <row r="465">
      <c r="L465" s="274"/>
      <c r="M465" s="274"/>
      <c r="O465" s="274"/>
      <c r="P465" s="274"/>
    </row>
    <row r="466">
      <c r="L466" s="274"/>
      <c r="M466" s="274"/>
      <c r="O466" s="274"/>
      <c r="P466" s="274"/>
    </row>
    <row r="467">
      <c r="L467" s="274"/>
      <c r="M467" s="274"/>
      <c r="O467" s="274"/>
      <c r="P467" s="274"/>
    </row>
    <row r="468">
      <c r="L468" s="274"/>
      <c r="M468" s="274"/>
      <c r="O468" s="274"/>
      <c r="P468" s="274"/>
    </row>
    <row r="469">
      <c r="L469" s="274"/>
      <c r="M469" s="274"/>
      <c r="O469" s="274"/>
      <c r="P469" s="274"/>
    </row>
    <row r="470">
      <c r="L470" s="274"/>
      <c r="M470" s="274"/>
      <c r="O470" s="274"/>
      <c r="P470" s="274"/>
    </row>
    <row r="471">
      <c r="L471" s="274"/>
      <c r="M471" s="274"/>
      <c r="O471" s="274"/>
      <c r="P471" s="274"/>
    </row>
    <row r="472">
      <c r="L472" s="274"/>
      <c r="M472" s="274"/>
      <c r="O472" s="274"/>
      <c r="P472" s="274"/>
    </row>
    <row r="473">
      <c r="L473" s="274"/>
      <c r="M473" s="274"/>
      <c r="O473" s="274"/>
      <c r="P473" s="274"/>
    </row>
    <row r="474">
      <c r="L474" s="274"/>
      <c r="M474" s="274"/>
      <c r="O474" s="274"/>
      <c r="P474" s="274"/>
    </row>
    <row r="475">
      <c r="L475" s="274"/>
      <c r="M475" s="274"/>
      <c r="O475" s="274"/>
      <c r="P475" s="274"/>
    </row>
    <row r="476">
      <c r="L476" s="274"/>
      <c r="M476" s="274"/>
      <c r="O476" s="274"/>
      <c r="P476" s="274"/>
    </row>
    <row r="477">
      <c r="L477" s="274"/>
      <c r="M477" s="274"/>
      <c r="O477" s="274"/>
      <c r="P477" s="274"/>
    </row>
    <row r="478">
      <c r="L478" s="274"/>
      <c r="M478" s="274"/>
      <c r="O478" s="274"/>
      <c r="P478" s="274"/>
    </row>
    <row r="479">
      <c r="L479" s="274"/>
      <c r="M479" s="274"/>
      <c r="O479" s="274"/>
      <c r="P479" s="274"/>
    </row>
    <row r="480">
      <c r="L480" s="274"/>
      <c r="M480" s="274"/>
      <c r="O480" s="274"/>
      <c r="P480" s="274"/>
    </row>
    <row r="481">
      <c r="L481" s="274"/>
      <c r="M481" s="274"/>
      <c r="O481" s="274"/>
      <c r="P481" s="274"/>
    </row>
    <row r="482">
      <c r="L482" s="274"/>
      <c r="M482" s="274"/>
      <c r="O482" s="274"/>
      <c r="P482" s="274"/>
    </row>
    <row r="483">
      <c r="L483" s="274"/>
      <c r="M483" s="274"/>
      <c r="O483" s="274"/>
      <c r="P483" s="274"/>
    </row>
    <row r="484">
      <c r="L484" s="274"/>
      <c r="M484" s="274"/>
      <c r="O484" s="274"/>
      <c r="P484" s="274"/>
    </row>
    <row r="485">
      <c r="L485" s="274"/>
      <c r="M485" s="274"/>
      <c r="O485" s="274"/>
      <c r="P485" s="274"/>
    </row>
    <row r="486">
      <c r="L486" s="274"/>
      <c r="M486" s="274"/>
      <c r="O486" s="274"/>
      <c r="P486" s="274"/>
    </row>
    <row r="487">
      <c r="L487" s="274"/>
      <c r="M487" s="274"/>
      <c r="O487" s="274"/>
      <c r="P487" s="274"/>
    </row>
    <row r="488">
      <c r="L488" s="274"/>
      <c r="M488" s="274"/>
      <c r="O488" s="274"/>
      <c r="P488" s="274"/>
    </row>
    <row r="489">
      <c r="L489" s="274"/>
      <c r="M489" s="274"/>
      <c r="O489" s="274"/>
      <c r="P489" s="274"/>
    </row>
    <row r="490">
      <c r="L490" s="274"/>
      <c r="M490" s="274"/>
      <c r="O490" s="274"/>
      <c r="P490" s="274"/>
    </row>
    <row r="491">
      <c r="L491" s="274"/>
      <c r="M491" s="274"/>
      <c r="O491" s="274"/>
      <c r="P491" s="274"/>
    </row>
    <row r="492">
      <c r="L492" s="274"/>
      <c r="M492" s="274"/>
      <c r="O492" s="274"/>
      <c r="P492" s="274"/>
    </row>
    <row r="493">
      <c r="L493" s="274"/>
      <c r="M493" s="274"/>
      <c r="O493" s="274"/>
      <c r="P493" s="274"/>
    </row>
    <row r="494">
      <c r="L494" s="274"/>
      <c r="M494" s="274"/>
      <c r="O494" s="274"/>
      <c r="P494" s="274"/>
    </row>
    <row r="495">
      <c r="L495" s="274"/>
      <c r="M495" s="274"/>
      <c r="O495" s="274"/>
      <c r="P495" s="274"/>
    </row>
    <row r="496">
      <c r="L496" s="274"/>
      <c r="M496" s="274"/>
      <c r="O496" s="274"/>
      <c r="P496" s="274"/>
    </row>
    <row r="497">
      <c r="L497" s="274"/>
      <c r="M497" s="274"/>
      <c r="O497" s="274"/>
      <c r="P497" s="274"/>
    </row>
    <row r="498">
      <c r="L498" s="274"/>
      <c r="M498" s="274"/>
      <c r="O498" s="274"/>
      <c r="P498" s="274"/>
    </row>
    <row r="499">
      <c r="L499" s="274"/>
      <c r="M499" s="274"/>
      <c r="O499" s="274"/>
      <c r="P499" s="274"/>
    </row>
    <row r="500">
      <c r="L500" s="274"/>
      <c r="M500" s="274"/>
      <c r="O500" s="274"/>
      <c r="P500" s="274"/>
    </row>
    <row r="501">
      <c r="L501" s="274"/>
      <c r="M501" s="274"/>
      <c r="O501" s="274"/>
      <c r="P501" s="274"/>
    </row>
    <row r="502">
      <c r="L502" s="274"/>
      <c r="M502" s="274"/>
      <c r="O502" s="274"/>
      <c r="P502" s="274"/>
    </row>
    <row r="503">
      <c r="L503" s="274"/>
      <c r="M503" s="274"/>
      <c r="O503" s="274"/>
      <c r="P503" s="274"/>
    </row>
    <row r="504">
      <c r="L504" s="274"/>
      <c r="M504" s="274"/>
      <c r="O504" s="274"/>
      <c r="P504" s="274"/>
    </row>
    <row r="505">
      <c r="L505" s="274"/>
      <c r="M505" s="274"/>
      <c r="O505" s="274"/>
      <c r="P505" s="274"/>
    </row>
    <row r="506">
      <c r="L506" s="274"/>
      <c r="M506" s="274"/>
      <c r="O506" s="274"/>
      <c r="P506" s="274"/>
    </row>
    <row r="507">
      <c r="L507" s="274"/>
      <c r="M507" s="274"/>
      <c r="O507" s="274"/>
      <c r="P507" s="274"/>
    </row>
    <row r="508">
      <c r="L508" s="274"/>
      <c r="M508" s="274"/>
      <c r="O508" s="274"/>
      <c r="P508" s="274"/>
    </row>
    <row r="509">
      <c r="L509" s="274"/>
      <c r="M509" s="274"/>
      <c r="O509" s="274"/>
      <c r="P509" s="274"/>
    </row>
    <row r="510">
      <c r="L510" s="274"/>
      <c r="M510" s="274"/>
      <c r="O510" s="274"/>
      <c r="P510" s="274"/>
    </row>
    <row r="511">
      <c r="L511" s="274"/>
      <c r="M511" s="274"/>
      <c r="O511" s="274"/>
      <c r="P511" s="274"/>
    </row>
    <row r="512">
      <c r="L512" s="274"/>
      <c r="M512" s="274"/>
      <c r="O512" s="274"/>
      <c r="P512" s="274"/>
    </row>
    <row r="513">
      <c r="L513" s="274"/>
      <c r="M513" s="274"/>
      <c r="O513" s="274"/>
      <c r="P513" s="274"/>
    </row>
    <row r="514">
      <c r="L514" s="274"/>
      <c r="M514" s="274"/>
      <c r="O514" s="274"/>
      <c r="P514" s="274"/>
    </row>
    <row r="515">
      <c r="L515" s="274"/>
      <c r="M515" s="274"/>
      <c r="O515" s="274"/>
      <c r="P515" s="274"/>
    </row>
    <row r="516">
      <c r="L516" s="274"/>
      <c r="M516" s="274"/>
      <c r="O516" s="274"/>
      <c r="P516" s="274"/>
    </row>
    <row r="517">
      <c r="L517" s="274"/>
      <c r="M517" s="274"/>
      <c r="O517" s="274"/>
      <c r="P517" s="274"/>
    </row>
    <row r="518">
      <c r="L518" s="274"/>
      <c r="M518" s="274"/>
      <c r="O518" s="274"/>
      <c r="P518" s="274"/>
    </row>
    <row r="519">
      <c r="L519" s="274"/>
      <c r="M519" s="274"/>
      <c r="O519" s="274"/>
      <c r="P519" s="274"/>
    </row>
    <row r="520">
      <c r="L520" s="274"/>
      <c r="M520" s="274"/>
      <c r="O520" s="274"/>
      <c r="P520" s="274"/>
    </row>
    <row r="521">
      <c r="L521" s="274"/>
      <c r="M521" s="274"/>
      <c r="O521" s="274"/>
      <c r="P521" s="274"/>
    </row>
    <row r="522">
      <c r="L522" s="274"/>
      <c r="M522" s="274"/>
      <c r="O522" s="274"/>
      <c r="P522" s="274"/>
    </row>
    <row r="523">
      <c r="L523" s="274"/>
      <c r="M523" s="274"/>
      <c r="O523" s="274"/>
      <c r="P523" s="274"/>
    </row>
    <row r="524">
      <c r="L524" s="274"/>
      <c r="M524" s="274"/>
      <c r="O524" s="274"/>
      <c r="P524" s="274"/>
    </row>
    <row r="525">
      <c r="L525" s="274"/>
      <c r="M525" s="274"/>
      <c r="O525" s="274"/>
      <c r="P525" s="274"/>
    </row>
    <row r="526">
      <c r="L526" s="274"/>
      <c r="M526" s="274"/>
      <c r="O526" s="274"/>
      <c r="P526" s="274"/>
    </row>
    <row r="527">
      <c r="L527" s="274"/>
      <c r="M527" s="274"/>
      <c r="O527" s="274"/>
      <c r="P527" s="274"/>
    </row>
    <row r="528">
      <c r="L528" s="274"/>
      <c r="M528" s="274"/>
      <c r="O528" s="274"/>
      <c r="P528" s="274"/>
    </row>
    <row r="529">
      <c r="L529" s="274"/>
      <c r="M529" s="274"/>
      <c r="O529" s="274"/>
      <c r="P529" s="274"/>
    </row>
    <row r="530">
      <c r="L530" s="274"/>
      <c r="M530" s="274"/>
      <c r="O530" s="274"/>
      <c r="P530" s="274"/>
    </row>
    <row r="531">
      <c r="L531" s="274"/>
      <c r="M531" s="274"/>
      <c r="O531" s="274"/>
      <c r="P531" s="274"/>
    </row>
    <row r="532">
      <c r="L532" s="274"/>
      <c r="M532" s="274"/>
      <c r="O532" s="274"/>
      <c r="P532" s="274"/>
    </row>
    <row r="533">
      <c r="L533" s="274"/>
      <c r="M533" s="274"/>
      <c r="O533" s="274"/>
      <c r="P533" s="274"/>
    </row>
    <row r="534">
      <c r="L534" s="274"/>
      <c r="M534" s="274"/>
      <c r="O534" s="274"/>
      <c r="P534" s="274"/>
    </row>
    <row r="535">
      <c r="L535" s="274"/>
      <c r="M535" s="274"/>
      <c r="O535" s="274"/>
      <c r="P535" s="274"/>
    </row>
    <row r="536">
      <c r="L536" s="274"/>
      <c r="M536" s="274"/>
      <c r="O536" s="274"/>
      <c r="P536" s="274"/>
    </row>
    <row r="537">
      <c r="L537" s="274"/>
      <c r="M537" s="274"/>
      <c r="O537" s="274"/>
      <c r="P537" s="274"/>
    </row>
    <row r="538">
      <c r="L538" s="274"/>
      <c r="M538" s="274"/>
      <c r="O538" s="274"/>
      <c r="P538" s="274"/>
    </row>
    <row r="539">
      <c r="L539" s="274"/>
      <c r="M539" s="274"/>
      <c r="O539" s="274"/>
      <c r="P539" s="274"/>
    </row>
    <row r="540">
      <c r="L540" s="274"/>
      <c r="M540" s="274"/>
      <c r="O540" s="274"/>
      <c r="P540" s="274"/>
    </row>
    <row r="541">
      <c r="L541" s="274"/>
      <c r="M541" s="274"/>
      <c r="O541" s="274"/>
      <c r="P541" s="274"/>
    </row>
    <row r="542">
      <c r="L542" s="274"/>
      <c r="M542" s="274"/>
      <c r="O542" s="274"/>
      <c r="P542" s="274"/>
    </row>
    <row r="543">
      <c r="L543" s="274"/>
      <c r="M543" s="274"/>
      <c r="O543" s="274"/>
      <c r="P543" s="274"/>
    </row>
    <row r="544">
      <c r="L544" s="274"/>
      <c r="M544" s="274"/>
      <c r="O544" s="274"/>
      <c r="P544" s="274"/>
    </row>
    <row r="545">
      <c r="L545" s="274"/>
      <c r="M545" s="274"/>
      <c r="O545" s="274"/>
      <c r="P545" s="274"/>
    </row>
    <row r="546">
      <c r="L546" s="274"/>
      <c r="M546" s="274"/>
      <c r="O546" s="274"/>
      <c r="P546" s="274"/>
    </row>
    <row r="547">
      <c r="L547" s="274"/>
      <c r="M547" s="274"/>
      <c r="O547" s="274"/>
      <c r="P547" s="274"/>
    </row>
    <row r="548">
      <c r="L548" s="274"/>
      <c r="M548" s="274"/>
      <c r="O548" s="274"/>
      <c r="P548" s="274"/>
    </row>
    <row r="549">
      <c r="L549" s="274"/>
      <c r="M549" s="274"/>
      <c r="O549" s="274"/>
      <c r="P549" s="274"/>
    </row>
    <row r="550">
      <c r="L550" s="274"/>
      <c r="M550" s="274"/>
      <c r="O550" s="274"/>
      <c r="P550" s="274"/>
    </row>
    <row r="551">
      <c r="L551" s="274"/>
      <c r="M551" s="274"/>
      <c r="O551" s="274"/>
      <c r="P551" s="274"/>
    </row>
    <row r="552">
      <c r="L552" s="274"/>
      <c r="M552" s="274"/>
      <c r="O552" s="274"/>
      <c r="P552" s="274"/>
    </row>
    <row r="553">
      <c r="L553" s="274"/>
      <c r="M553" s="274"/>
      <c r="O553" s="274"/>
      <c r="P553" s="274"/>
    </row>
    <row r="554">
      <c r="L554" s="274"/>
      <c r="M554" s="274"/>
      <c r="O554" s="274"/>
      <c r="P554" s="274"/>
    </row>
    <row r="555">
      <c r="L555" s="274"/>
      <c r="M555" s="274"/>
      <c r="O555" s="274"/>
      <c r="P555" s="274"/>
    </row>
    <row r="556">
      <c r="L556" s="274"/>
      <c r="M556" s="274"/>
      <c r="O556" s="274"/>
      <c r="P556" s="274"/>
    </row>
    <row r="557">
      <c r="L557" s="274"/>
      <c r="M557" s="274"/>
      <c r="O557" s="274"/>
      <c r="P557" s="274"/>
    </row>
    <row r="558">
      <c r="L558" s="274"/>
      <c r="M558" s="274"/>
      <c r="O558" s="274"/>
      <c r="P558" s="274"/>
    </row>
    <row r="559">
      <c r="L559" s="274"/>
      <c r="M559" s="274"/>
      <c r="O559" s="274"/>
      <c r="P559" s="274"/>
    </row>
    <row r="560">
      <c r="L560" s="274"/>
      <c r="M560" s="274"/>
      <c r="O560" s="274"/>
      <c r="P560" s="274"/>
    </row>
    <row r="561">
      <c r="L561" s="274"/>
      <c r="M561" s="274"/>
      <c r="O561" s="274"/>
      <c r="P561" s="274"/>
    </row>
    <row r="562">
      <c r="L562" s="274"/>
      <c r="M562" s="274"/>
      <c r="O562" s="274"/>
      <c r="P562" s="274"/>
    </row>
    <row r="563">
      <c r="L563" s="274"/>
      <c r="M563" s="274"/>
      <c r="O563" s="274"/>
      <c r="P563" s="274"/>
    </row>
    <row r="564">
      <c r="L564" s="274"/>
      <c r="M564" s="274"/>
      <c r="O564" s="274"/>
      <c r="P564" s="274"/>
    </row>
    <row r="565">
      <c r="L565" s="274"/>
      <c r="M565" s="274"/>
      <c r="O565" s="274"/>
      <c r="P565" s="274"/>
    </row>
    <row r="566">
      <c r="L566" s="274"/>
      <c r="M566" s="274"/>
      <c r="O566" s="274"/>
      <c r="P566" s="274"/>
    </row>
    <row r="567">
      <c r="L567" s="274"/>
      <c r="M567" s="274"/>
      <c r="O567" s="274"/>
      <c r="P567" s="274"/>
    </row>
    <row r="568">
      <c r="L568" s="274"/>
      <c r="M568" s="274"/>
      <c r="O568" s="274"/>
      <c r="P568" s="274"/>
    </row>
    <row r="569">
      <c r="L569" s="274"/>
      <c r="M569" s="274"/>
      <c r="O569" s="274"/>
      <c r="P569" s="274"/>
    </row>
    <row r="570">
      <c r="L570" s="274"/>
      <c r="M570" s="274"/>
      <c r="O570" s="274"/>
      <c r="P570" s="274"/>
    </row>
    <row r="571">
      <c r="L571" s="274"/>
      <c r="M571" s="274"/>
      <c r="O571" s="274"/>
      <c r="P571" s="274"/>
    </row>
    <row r="572">
      <c r="L572" s="274"/>
      <c r="M572" s="274"/>
      <c r="O572" s="274"/>
      <c r="P572" s="274"/>
    </row>
    <row r="573">
      <c r="L573" s="274"/>
      <c r="M573" s="274"/>
      <c r="O573" s="274"/>
      <c r="P573" s="274"/>
    </row>
    <row r="574">
      <c r="L574" s="274"/>
      <c r="M574" s="274"/>
      <c r="O574" s="274"/>
      <c r="P574" s="274"/>
    </row>
    <row r="575">
      <c r="L575" s="274"/>
      <c r="M575" s="274"/>
      <c r="O575" s="274"/>
      <c r="P575" s="274"/>
    </row>
    <row r="576">
      <c r="L576" s="274"/>
      <c r="M576" s="274"/>
      <c r="O576" s="274"/>
      <c r="P576" s="274"/>
    </row>
    <row r="577">
      <c r="L577" s="274"/>
      <c r="M577" s="274"/>
      <c r="O577" s="274"/>
      <c r="P577" s="274"/>
    </row>
    <row r="578">
      <c r="L578" s="274"/>
      <c r="M578" s="274"/>
      <c r="O578" s="274"/>
      <c r="P578" s="274"/>
    </row>
    <row r="579">
      <c r="L579" s="274"/>
      <c r="M579" s="274"/>
      <c r="O579" s="274"/>
      <c r="P579" s="274"/>
    </row>
    <row r="580">
      <c r="L580" s="274"/>
      <c r="M580" s="274"/>
      <c r="O580" s="274"/>
      <c r="P580" s="274"/>
    </row>
    <row r="581">
      <c r="L581" s="274"/>
      <c r="M581" s="274"/>
      <c r="O581" s="274"/>
      <c r="P581" s="274"/>
    </row>
    <row r="582">
      <c r="L582" s="274"/>
      <c r="M582" s="274"/>
      <c r="O582" s="274"/>
      <c r="P582" s="274"/>
    </row>
    <row r="583">
      <c r="L583" s="274"/>
      <c r="M583" s="274"/>
      <c r="O583" s="274"/>
      <c r="P583" s="274"/>
    </row>
    <row r="584">
      <c r="L584" s="274"/>
      <c r="M584" s="274"/>
      <c r="O584" s="274"/>
      <c r="P584" s="274"/>
    </row>
    <row r="585">
      <c r="L585" s="274"/>
      <c r="M585" s="274"/>
      <c r="O585" s="274"/>
      <c r="P585" s="274"/>
    </row>
    <row r="586">
      <c r="L586" s="274"/>
      <c r="M586" s="274"/>
      <c r="O586" s="274"/>
      <c r="P586" s="274"/>
    </row>
    <row r="587">
      <c r="L587" s="274"/>
      <c r="M587" s="274"/>
      <c r="O587" s="274"/>
      <c r="P587" s="274"/>
    </row>
    <row r="588">
      <c r="L588" s="274"/>
      <c r="M588" s="274"/>
      <c r="O588" s="274"/>
      <c r="P588" s="274"/>
    </row>
    <row r="589">
      <c r="L589" s="274"/>
      <c r="M589" s="274"/>
      <c r="O589" s="274"/>
      <c r="P589" s="274"/>
    </row>
    <row r="590">
      <c r="L590" s="274"/>
      <c r="M590" s="274"/>
      <c r="O590" s="274"/>
      <c r="P590" s="274"/>
    </row>
    <row r="591">
      <c r="L591" s="274"/>
      <c r="M591" s="274"/>
      <c r="O591" s="274"/>
      <c r="P591" s="274"/>
    </row>
    <row r="592">
      <c r="L592" s="274"/>
      <c r="M592" s="274"/>
      <c r="O592" s="274"/>
      <c r="P592" s="274"/>
    </row>
    <row r="593">
      <c r="L593" s="274"/>
      <c r="M593" s="274"/>
      <c r="O593" s="274"/>
      <c r="P593" s="274"/>
    </row>
    <row r="594">
      <c r="L594" s="274"/>
      <c r="M594" s="274"/>
      <c r="O594" s="274"/>
      <c r="P594" s="274"/>
    </row>
    <row r="595">
      <c r="L595" s="274"/>
      <c r="M595" s="274"/>
      <c r="O595" s="274"/>
      <c r="P595" s="274"/>
    </row>
    <row r="596">
      <c r="L596" s="274"/>
      <c r="M596" s="274"/>
      <c r="O596" s="274"/>
      <c r="P596" s="274"/>
    </row>
    <row r="597">
      <c r="L597" s="274"/>
      <c r="M597" s="274"/>
      <c r="O597" s="274"/>
      <c r="P597" s="274"/>
    </row>
    <row r="598">
      <c r="L598" s="274"/>
      <c r="M598" s="274"/>
      <c r="O598" s="274"/>
      <c r="P598" s="274"/>
    </row>
    <row r="599">
      <c r="L599" s="274"/>
      <c r="M599" s="274"/>
      <c r="O599" s="274"/>
      <c r="P599" s="274"/>
    </row>
    <row r="600">
      <c r="L600" s="274"/>
      <c r="M600" s="274"/>
      <c r="O600" s="274"/>
      <c r="P600" s="274"/>
    </row>
    <row r="601">
      <c r="L601" s="274"/>
      <c r="M601" s="274"/>
      <c r="O601" s="274"/>
      <c r="P601" s="274"/>
    </row>
    <row r="602">
      <c r="L602" s="274"/>
      <c r="M602" s="274"/>
      <c r="O602" s="274"/>
      <c r="P602" s="274"/>
    </row>
    <row r="603">
      <c r="L603" s="274"/>
      <c r="M603" s="274"/>
      <c r="O603" s="274"/>
      <c r="P603" s="274"/>
    </row>
    <row r="604">
      <c r="L604" s="274"/>
      <c r="M604" s="274"/>
      <c r="O604" s="274"/>
      <c r="P604" s="274"/>
    </row>
    <row r="605">
      <c r="L605" s="274"/>
      <c r="M605" s="274"/>
      <c r="O605" s="274"/>
      <c r="P605" s="274"/>
    </row>
    <row r="606">
      <c r="L606" s="274"/>
      <c r="M606" s="274"/>
      <c r="O606" s="274"/>
      <c r="P606" s="274"/>
    </row>
    <row r="607">
      <c r="L607" s="274"/>
      <c r="M607" s="274"/>
      <c r="O607" s="274"/>
      <c r="P607" s="274"/>
    </row>
    <row r="608">
      <c r="L608" s="274"/>
      <c r="M608" s="274"/>
      <c r="O608" s="274"/>
      <c r="P608" s="274"/>
    </row>
    <row r="609">
      <c r="L609" s="274"/>
      <c r="M609" s="274"/>
      <c r="O609" s="274"/>
      <c r="P609" s="274"/>
    </row>
    <row r="610">
      <c r="L610" s="274"/>
      <c r="M610" s="274"/>
      <c r="O610" s="274"/>
      <c r="P610" s="274"/>
    </row>
    <row r="611">
      <c r="L611" s="274"/>
      <c r="M611" s="274"/>
      <c r="O611" s="274"/>
      <c r="P611" s="274"/>
    </row>
    <row r="612">
      <c r="L612" s="274"/>
      <c r="M612" s="274"/>
      <c r="O612" s="274"/>
      <c r="P612" s="274"/>
    </row>
    <row r="613">
      <c r="L613" s="274"/>
      <c r="M613" s="274"/>
      <c r="O613" s="274"/>
      <c r="P613" s="274"/>
    </row>
    <row r="614">
      <c r="L614" s="274"/>
      <c r="M614" s="274"/>
      <c r="O614" s="274"/>
      <c r="P614" s="274"/>
    </row>
    <row r="615">
      <c r="L615" s="274"/>
      <c r="M615" s="274"/>
      <c r="O615" s="274"/>
      <c r="P615" s="274"/>
    </row>
    <row r="616">
      <c r="L616" s="274"/>
      <c r="M616" s="274"/>
      <c r="O616" s="274"/>
      <c r="P616" s="274"/>
    </row>
    <row r="617">
      <c r="L617" s="274"/>
      <c r="M617" s="274"/>
      <c r="O617" s="274"/>
      <c r="P617" s="274"/>
    </row>
    <row r="618">
      <c r="L618" s="274"/>
      <c r="M618" s="274"/>
      <c r="O618" s="274"/>
      <c r="P618" s="274"/>
    </row>
    <row r="619">
      <c r="L619" s="274"/>
      <c r="M619" s="274"/>
      <c r="O619" s="274"/>
      <c r="P619" s="274"/>
    </row>
    <row r="620">
      <c r="L620" s="274"/>
      <c r="M620" s="274"/>
      <c r="O620" s="274"/>
      <c r="P620" s="274"/>
    </row>
    <row r="621">
      <c r="L621" s="274"/>
      <c r="M621" s="274"/>
      <c r="O621" s="274"/>
      <c r="P621" s="274"/>
    </row>
    <row r="622">
      <c r="L622" s="274"/>
      <c r="M622" s="274"/>
      <c r="O622" s="274"/>
      <c r="P622" s="274"/>
    </row>
    <row r="623">
      <c r="L623" s="274"/>
      <c r="M623" s="274"/>
      <c r="O623" s="274"/>
      <c r="P623" s="274"/>
    </row>
    <row r="624">
      <c r="L624" s="274"/>
      <c r="M624" s="274"/>
      <c r="O624" s="274"/>
      <c r="P624" s="274"/>
    </row>
    <row r="625">
      <c r="L625" s="274"/>
      <c r="M625" s="274"/>
      <c r="O625" s="274"/>
      <c r="P625" s="274"/>
    </row>
    <row r="626">
      <c r="L626" s="274"/>
      <c r="M626" s="274"/>
      <c r="O626" s="274"/>
      <c r="P626" s="274"/>
    </row>
    <row r="627">
      <c r="L627" s="274"/>
      <c r="M627" s="274"/>
      <c r="O627" s="274"/>
      <c r="P627" s="274"/>
    </row>
    <row r="628">
      <c r="L628" s="274"/>
      <c r="M628" s="274"/>
      <c r="O628" s="274"/>
      <c r="P628" s="274"/>
    </row>
    <row r="629">
      <c r="L629" s="274"/>
      <c r="M629" s="274"/>
      <c r="O629" s="274"/>
      <c r="P629" s="274"/>
    </row>
    <row r="630">
      <c r="L630" s="274"/>
      <c r="M630" s="274"/>
      <c r="O630" s="274"/>
      <c r="P630" s="274"/>
    </row>
    <row r="631">
      <c r="L631" s="274"/>
      <c r="M631" s="274"/>
      <c r="O631" s="274"/>
      <c r="P631" s="274"/>
    </row>
    <row r="632">
      <c r="L632" s="274"/>
      <c r="M632" s="274"/>
      <c r="O632" s="274"/>
      <c r="P632" s="274"/>
    </row>
    <row r="633">
      <c r="L633" s="274"/>
      <c r="M633" s="274"/>
      <c r="O633" s="274"/>
      <c r="P633" s="274"/>
    </row>
    <row r="634">
      <c r="L634" s="274"/>
      <c r="M634" s="274"/>
      <c r="O634" s="274"/>
      <c r="P634" s="274"/>
    </row>
    <row r="635">
      <c r="L635" s="274"/>
      <c r="M635" s="274"/>
      <c r="O635" s="274"/>
      <c r="P635" s="274"/>
    </row>
    <row r="636">
      <c r="L636" s="274"/>
      <c r="M636" s="274"/>
      <c r="O636" s="274"/>
      <c r="P636" s="274"/>
    </row>
    <row r="637">
      <c r="L637" s="274"/>
      <c r="M637" s="274"/>
      <c r="O637" s="274"/>
      <c r="P637" s="274"/>
    </row>
    <row r="638">
      <c r="L638" s="274"/>
      <c r="M638" s="274"/>
      <c r="O638" s="274"/>
      <c r="P638" s="274"/>
    </row>
    <row r="639">
      <c r="L639" s="274"/>
      <c r="M639" s="274"/>
      <c r="O639" s="274"/>
      <c r="P639" s="274"/>
    </row>
    <row r="640">
      <c r="L640" s="274"/>
      <c r="M640" s="274"/>
      <c r="O640" s="274"/>
      <c r="P640" s="274"/>
    </row>
    <row r="641">
      <c r="L641" s="274"/>
      <c r="M641" s="274"/>
      <c r="O641" s="274"/>
      <c r="P641" s="274"/>
    </row>
    <row r="642">
      <c r="L642" s="274"/>
      <c r="M642" s="274"/>
      <c r="O642" s="274"/>
      <c r="P642" s="274"/>
    </row>
    <row r="643">
      <c r="L643" s="274"/>
      <c r="M643" s="274"/>
      <c r="O643" s="274"/>
      <c r="P643" s="274"/>
    </row>
    <row r="644">
      <c r="L644" s="274"/>
      <c r="M644" s="274"/>
      <c r="O644" s="274"/>
      <c r="P644" s="274"/>
    </row>
    <row r="645">
      <c r="L645" s="274"/>
      <c r="M645" s="274"/>
      <c r="O645" s="274"/>
      <c r="P645" s="274"/>
    </row>
    <row r="646">
      <c r="L646" s="274"/>
      <c r="M646" s="274"/>
      <c r="O646" s="274"/>
      <c r="P646" s="274"/>
    </row>
    <row r="647">
      <c r="L647" s="274"/>
      <c r="M647" s="274"/>
      <c r="O647" s="274"/>
      <c r="P647" s="274"/>
    </row>
    <row r="648">
      <c r="L648" s="274"/>
      <c r="M648" s="274"/>
      <c r="O648" s="274"/>
      <c r="P648" s="274"/>
    </row>
    <row r="649">
      <c r="L649" s="274"/>
      <c r="M649" s="274"/>
      <c r="O649" s="274"/>
      <c r="P649" s="274"/>
    </row>
    <row r="650">
      <c r="L650" s="274"/>
      <c r="M650" s="274"/>
      <c r="O650" s="274"/>
      <c r="P650" s="274"/>
    </row>
    <row r="651">
      <c r="L651" s="274"/>
      <c r="M651" s="274"/>
      <c r="O651" s="274"/>
      <c r="P651" s="274"/>
    </row>
    <row r="652">
      <c r="L652" s="274"/>
      <c r="M652" s="274"/>
      <c r="O652" s="274"/>
      <c r="P652" s="274"/>
    </row>
    <row r="653">
      <c r="L653" s="274"/>
      <c r="M653" s="274"/>
      <c r="O653" s="274"/>
      <c r="P653" s="274"/>
    </row>
    <row r="654">
      <c r="L654" s="274"/>
      <c r="M654" s="274"/>
      <c r="O654" s="274"/>
      <c r="P654" s="274"/>
    </row>
    <row r="655">
      <c r="L655" s="274"/>
      <c r="M655" s="274"/>
      <c r="O655" s="274"/>
      <c r="P655" s="274"/>
    </row>
    <row r="656">
      <c r="L656" s="274"/>
      <c r="M656" s="274"/>
      <c r="O656" s="274"/>
      <c r="P656" s="274"/>
    </row>
    <row r="657">
      <c r="L657" s="274"/>
      <c r="M657" s="274"/>
      <c r="O657" s="274"/>
      <c r="P657" s="274"/>
    </row>
    <row r="658">
      <c r="L658" s="274"/>
      <c r="M658" s="274"/>
      <c r="O658" s="274"/>
      <c r="P658" s="274"/>
    </row>
    <row r="659">
      <c r="L659" s="274"/>
      <c r="M659" s="274"/>
      <c r="O659" s="274"/>
      <c r="P659" s="274"/>
    </row>
    <row r="660">
      <c r="L660" s="274"/>
      <c r="M660" s="274"/>
      <c r="O660" s="274"/>
      <c r="P660" s="274"/>
    </row>
    <row r="661">
      <c r="L661" s="274"/>
      <c r="M661" s="274"/>
      <c r="O661" s="274"/>
      <c r="P661" s="274"/>
    </row>
    <row r="662">
      <c r="L662" s="274"/>
      <c r="M662" s="274"/>
      <c r="O662" s="274"/>
      <c r="P662" s="274"/>
    </row>
    <row r="663">
      <c r="L663" s="274"/>
      <c r="M663" s="274"/>
      <c r="O663" s="274"/>
      <c r="P663" s="274"/>
    </row>
    <row r="664">
      <c r="L664" s="274"/>
      <c r="M664" s="274"/>
      <c r="O664" s="274"/>
      <c r="P664" s="274"/>
    </row>
    <row r="665">
      <c r="L665" s="274"/>
      <c r="M665" s="274"/>
      <c r="O665" s="274"/>
      <c r="P665" s="274"/>
    </row>
    <row r="666">
      <c r="L666" s="274"/>
      <c r="M666" s="274"/>
      <c r="O666" s="274"/>
      <c r="P666" s="274"/>
    </row>
    <row r="667">
      <c r="L667" s="274"/>
      <c r="M667" s="274"/>
      <c r="O667" s="274"/>
      <c r="P667" s="274"/>
    </row>
    <row r="668">
      <c r="L668" s="274"/>
      <c r="M668" s="274"/>
      <c r="O668" s="274"/>
      <c r="P668" s="274"/>
    </row>
    <row r="669">
      <c r="L669" s="274"/>
      <c r="M669" s="274"/>
      <c r="O669" s="274"/>
      <c r="P669" s="274"/>
    </row>
    <row r="670">
      <c r="L670" s="274"/>
      <c r="M670" s="274"/>
      <c r="O670" s="274"/>
      <c r="P670" s="274"/>
    </row>
    <row r="671">
      <c r="L671" s="274"/>
      <c r="M671" s="274"/>
      <c r="O671" s="274"/>
      <c r="P671" s="274"/>
    </row>
    <row r="672">
      <c r="L672" s="274"/>
      <c r="M672" s="274"/>
      <c r="O672" s="274"/>
      <c r="P672" s="274"/>
    </row>
    <row r="673">
      <c r="L673" s="274"/>
      <c r="M673" s="274"/>
      <c r="O673" s="274"/>
      <c r="P673" s="274"/>
    </row>
    <row r="674">
      <c r="L674" s="274"/>
      <c r="M674" s="274"/>
      <c r="O674" s="274"/>
      <c r="P674" s="274"/>
    </row>
    <row r="675">
      <c r="L675" s="274"/>
      <c r="M675" s="274"/>
      <c r="O675" s="274"/>
      <c r="P675" s="274"/>
    </row>
    <row r="676">
      <c r="L676" s="274"/>
      <c r="M676" s="274"/>
      <c r="O676" s="274"/>
      <c r="P676" s="274"/>
    </row>
    <row r="677">
      <c r="L677" s="274"/>
      <c r="M677" s="274"/>
      <c r="O677" s="274"/>
      <c r="P677" s="274"/>
    </row>
    <row r="678">
      <c r="L678" s="274"/>
      <c r="M678" s="274"/>
      <c r="O678" s="274"/>
      <c r="P678" s="274"/>
    </row>
    <row r="679">
      <c r="L679" s="274"/>
      <c r="M679" s="274"/>
      <c r="O679" s="274"/>
      <c r="P679" s="274"/>
    </row>
    <row r="680">
      <c r="L680" s="274"/>
      <c r="M680" s="274"/>
      <c r="O680" s="274"/>
      <c r="P680" s="274"/>
    </row>
    <row r="681">
      <c r="L681" s="274"/>
      <c r="M681" s="274"/>
      <c r="O681" s="274"/>
      <c r="P681" s="274"/>
    </row>
    <row r="682">
      <c r="L682" s="274"/>
      <c r="M682" s="274"/>
      <c r="O682" s="274"/>
      <c r="P682" s="274"/>
    </row>
    <row r="683">
      <c r="L683" s="274"/>
      <c r="M683" s="274"/>
      <c r="O683" s="274"/>
      <c r="P683" s="274"/>
    </row>
    <row r="684">
      <c r="L684" s="274"/>
      <c r="M684" s="274"/>
      <c r="O684" s="274"/>
      <c r="P684" s="274"/>
    </row>
    <row r="685">
      <c r="L685" s="274"/>
      <c r="M685" s="274"/>
      <c r="O685" s="274"/>
      <c r="P685" s="274"/>
    </row>
    <row r="686">
      <c r="L686" s="274"/>
      <c r="M686" s="274"/>
      <c r="O686" s="274"/>
      <c r="P686" s="274"/>
    </row>
    <row r="687">
      <c r="L687" s="274"/>
      <c r="M687" s="274"/>
      <c r="O687" s="274"/>
      <c r="P687" s="274"/>
    </row>
    <row r="688">
      <c r="L688" s="274"/>
      <c r="M688" s="274"/>
      <c r="O688" s="274"/>
      <c r="P688" s="274"/>
    </row>
    <row r="689">
      <c r="L689" s="274"/>
      <c r="M689" s="274"/>
      <c r="O689" s="274"/>
      <c r="P689" s="274"/>
    </row>
    <row r="690">
      <c r="L690" s="274"/>
      <c r="M690" s="274"/>
      <c r="O690" s="274"/>
      <c r="P690" s="274"/>
    </row>
    <row r="691">
      <c r="L691" s="274"/>
      <c r="M691" s="274"/>
      <c r="O691" s="274"/>
      <c r="P691" s="274"/>
    </row>
    <row r="692">
      <c r="L692" s="274"/>
      <c r="M692" s="274"/>
      <c r="O692" s="274"/>
      <c r="P692" s="274"/>
    </row>
    <row r="693">
      <c r="L693" s="274"/>
      <c r="M693" s="274"/>
      <c r="O693" s="274"/>
      <c r="P693" s="274"/>
    </row>
    <row r="694">
      <c r="L694" s="274"/>
      <c r="M694" s="274"/>
      <c r="O694" s="274"/>
      <c r="P694" s="274"/>
    </row>
    <row r="695">
      <c r="L695" s="274"/>
      <c r="M695" s="274"/>
      <c r="O695" s="274"/>
      <c r="P695" s="274"/>
    </row>
    <row r="696">
      <c r="L696" s="274"/>
      <c r="M696" s="274"/>
      <c r="O696" s="274"/>
      <c r="P696" s="274"/>
    </row>
    <row r="697">
      <c r="L697" s="274"/>
      <c r="M697" s="274"/>
      <c r="O697" s="274"/>
      <c r="P697" s="274"/>
    </row>
    <row r="698">
      <c r="L698" s="274"/>
      <c r="M698" s="274"/>
      <c r="O698" s="274"/>
      <c r="P698" s="274"/>
    </row>
    <row r="699">
      <c r="L699" s="274"/>
      <c r="M699" s="274"/>
      <c r="O699" s="274"/>
      <c r="P699" s="274"/>
    </row>
    <row r="700">
      <c r="L700" s="274"/>
      <c r="M700" s="274"/>
      <c r="O700" s="274"/>
      <c r="P700" s="274"/>
    </row>
    <row r="701">
      <c r="L701" s="274"/>
      <c r="M701" s="274"/>
      <c r="O701" s="274"/>
      <c r="P701" s="274"/>
    </row>
    <row r="702">
      <c r="L702" s="274"/>
      <c r="M702" s="274"/>
      <c r="O702" s="274"/>
      <c r="P702" s="274"/>
    </row>
    <row r="703">
      <c r="L703" s="274"/>
      <c r="M703" s="274"/>
      <c r="O703" s="274"/>
      <c r="P703" s="274"/>
    </row>
    <row r="704">
      <c r="L704" s="274"/>
      <c r="M704" s="274"/>
      <c r="O704" s="274"/>
      <c r="P704" s="274"/>
    </row>
    <row r="705">
      <c r="L705" s="274"/>
      <c r="M705" s="274"/>
      <c r="O705" s="274"/>
      <c r="P705" s="274"/>
    </row>
    <row r="706">
      <c r="L706" s="274"/>
      <c r="M706" s="274"/>
      <c r="O706" s="274"/>
      <c r="P706" s="274"/>
    </row>
    <row r="707">
      <c r="L707" s="274"/>
      <c r="M707" s="274"/>
      <c r="O707" s="274"/>
      <c r="P707" s="274"/>
    </row>
    <row r="708">
      <c r="L708" s="274"/>
      <c r="M708" s="274"/>
      <c r="O708" s="274"/>
      <c r="P708" s="274"/>
    </row>
    <row r="709">
      <c r="L709" s="274"/>
      <c r="M709" s="274"/>
      <c r="O709" s="274"/>
      <c r="P709" s="274"/>
    </row>
    <row r="710">
      <c r="L710" s="274"/>
      <c r="M710" s="274"/>
      <c r="O710" s="274"/>
      <c r="P710" s="274"/>
    </row>
    <row r="711">
      <c r="L711" s="274"/>
      <c r="M711" s="274"/>
      <c r="O711" s="274"/>
      <c r="P711" s="274"/>
    </row>
    <row r="712">
      <c r="L712" s="274"/>
      <c r="M712" s="274"/>
      <c r="O712" s="274"/>
      <c r="P712" s="274"/>
    </row>
    <row r="713">
      <c r="L713" s="274"/>
      <c r="M713" s="274"/>
      <c r="O713" s="274"/>
      <c r="P713" s="274"/>
    </row>
    <row r="714">
      <c r="L714" s="274"/>
      <c r="M714" s="274"/>
      <c r="O714" s="274"/>
      <c r="P714" s="274"/>
    </row>
    <row r="715">
      <c r="L715" s="274"/>
      <c r="M715" s="274"/>
      <c r="O715" s="274"/>
      <c r="P715" s="274"/>
    </row>
    <row r="716">
      <c r="L716" s="274"/>
      <c r="M716" s="274"/>
      <c r="O716" s="274"/>
      <c r="P716" s="274"/>
    </row>
    <row r="717">
      <c r="L717" s="274"/>
      <c r="M717" s="274"/>
      <c r="O717" s="274"/>
      <c r="P717" s="274"/>
    </row>
    <row r="718">
      <c r="L718" s="274"/>
      <c r="M718" s="274"/>
      <c r="O718" s="274"/>
      <c r="P718" s="274"/>
    </row>
    <row r="719">
      <c r="L719" s="274"/>
      <c r="M719" s="274"/>
      <c r="O719" s="274"/>
      <c r="P719" s="274"/>
    </row>
    <row r="720">
      <c r="L720" s="274"/>
      <c r="M720" s="274"/>
      <c r="O720" s="274"/>
      <c r="P720" s="274"/>
    </row>
    <row r="721">
      <c r="L721" s="274"/>
      <c r="M721" s="274"/>
      <c r="O721" s="274"/>
      <c r="P721" s="274"/>
    </row>
    <row r="722">
      <c r="L722" s="274"/>
      <c r="M722" s="274"/>
      <c r="O722" s="274"/>
      <c r="P722" s="274"/>
    </row>
    <row r="723">
      <c r="L723" s="274"/>
      <c r="M723" s="274"/>
      <c r="O723" s="274"/>
      <c r="P723" s="274"/>
    </row>
    <row r="724">
      <c r="L724" s="274"/>
      <c r="M724" s="274"/>
      <c r="O724" s="274"/>
      <c r="P724" s="274"/>
    </row>
    <row r="725">
      <c r="L725" s="274"/>
      <c r="M725" s="274"/>
      <c r="O725" s="274"/>
      <c r="P725" s="274"/>
    </row>
    <row r="726">
      <c r="L726" s="274"/>
      <c r="M726" s="274"/>
      <c r="O726" s="274"/>
      <c r="P726" s="274"/>
    </row>
    <row r="727">
      <c r="L727" s="274"/>
      <c r="M727" s="274"/>
      <c r="O727" s="274"/>
      <c r="P727" s="274"/>
    </row>
    <row r="728">
      <c r="L728" s="274"/>
      <c r="M728" s="274"/>
      <c r="O728" s="274"/>
      <c r="P728" s="274"/>
    </row>
    <row r="729">
      <c r="L729" s="274"/>
      <c r="M729" s="274"/>
      <c r="O729" s="274"/>
      <c r="P729" s="274"/>
    </row>
    <row r="730">
      <c r="L730" s="274"/>
      <c r="M730" s="274"/>
      <c r="O730" s="274"/>
      <c r="P730" s="274"/>
    </row>
    <row r="731">
      <c r="L731" s="274"/>
      <c r="M731" s="274"/>
      <c r="O731" s="274"/>
      <c r="P731" s="274"/>
    </row>
    <row r="732">
      <c r="L732" s="274"/>
      <c r="M732" s="274"/>
      <c r="O732" s="274"/>
      <c r="P732" s="274"/>
    </row>
    <row r="733">
      <c r="L733" s="274"/>
      <c r="M733" s="274"/>
      <c r="O733" s="274"/>
      <c r="P733" s="274"/>
    </row>
    <row r="734">
      <c r="L734" s="274"/>
      <c r="M734" s="274"/>
      <c r="O734" s="274"/>
      <c r="P734" s="274"/>
    </row>
    <row r="735">
      <c r="L735" s="274"/>
      <c r="M735" s="274"/>
      <c r="O735" s="274"/>
      <c r="P735" s="274"/>
    </row>
    <row r="736">
      <c r="L736" s="274"/>
      <c r="M736" s="274"/>
      <c r="O736" s="274"/>
      <c r="P736" s="274"/>
    </row>
    <row r="737">
      <c r="L737" s="274"/>
      <c r="M737" s="274"/>
      <c r="O737" s="274"/>
      <c r="P737" s="274"/>
    </row>
    <row r="738">
      <c r="L738" s="274"/>
      <c r="M738" s="274"/>
      <c r="O738" s="274"/>
      <c r="P738" s="274"/>
    </row>
    <row r="739">
      <c r="L739" s="274"/>
      <c r="M739" s="274"/>
      <c r="O739" s="274"/>
      <c r="P739" s="274"/>
    </row>
    <row r="740">
      <c r="L740" s="274"/>
      <c r="M740" s="274"/>
      <c r="O740" s="274"/>
      <c r="P740" s="274"/>
    </row>
    <row r="741">
      <c r="L741" s="274"/>
      <c r="M741" s="274"/>
      <c r="O741" s="274"/>
      <c r="P741" s="274"/>
    </row>
    <row r="742">
      <c r="L742" s="274"/>
      <c r="M742" s="274"/>
      <c r="O742" s="274"/>
      <c r="P742" s="274"/>
    </row>
    <row r="743">
      <c r="L743" s="274"/>
      <c r="M743" s="274"/>
      <c r="O743" s="274"/>
      <c r="P743" s="274"/>
    </row>
    <row r="744">
      <c r="L744" s="274"/>
      <c r="M744" s="274"/>
      <c r="O744" s="274"/>
      <c r="P744" s="274"/>
    </row>
    <row r="745">
      <c r="L745" s="274"/>
      <c r="M745" s="274"/>
      <c r="O745" s="274"/>
      <c r="P745" s="274"/>
    </row>
    <row r="746">
      <c r="L746" s="274"/>
      <c r="M746" s="274"/>
      <c r="O746" s="274"/>
      <c r="P746" s="274"/>
    </row>
    <row r="747">
      <c r="L747" s="274"/>
      <c r="M747" s="274"/>
      <c r="O747" s="274"/>
      <c r="P747" s="274"/>
    </row>
    <row r="748">
      <c r="L748" s="274"/>
      <c r="M748" s="274"/>
      <c r="O748" s="274"/>
      <c r="P748" s="274"/>
    </row>
    <row r="749">
      <c r="L749" s="274"/>
      <c r="M749" s="274"/>
      <c r="O749" s="274"/>
      <c r="P749" s="274"/>
    </row>
    <row r="750">
      <c r="L750" s="274"/>
      <c r="M750" s="274"/>
      <c r="O750" s="274"/>
      <c r="P750" s="274"/>
    </row>
    <row r="751">
      <c r="L751" s="274"/>
      <c r="M751" s="274"/>
      <c r="O751" s="274"/>
      <c r="P751" s="274"/>
    </row>
    <row r="752">
      <c r="L752" s="274"/>
      <c r="M752" s="274"/>
      <c r="O752" s="274"/>
      <c r="P752" s="274"/>
    </row>
    <row r="753">
      <c r="L753" s="274"/>
      <c r="M753" s="274"/>
      <c r="O753" s="274"/>
      <c r="P753" s="274"/>
    </row>
    <row r="754">
      <c r="L754" s="274"/>
      <c r="M754" s="274"/>
      <c r="O754" s="274"/>
      <c r="P754" s="274"/>
    </row>
    <row r="755">
      <c r="L755" s="274"/>
      <c r="M755" s="274"/>
      <c r="O755" s="274"/>
      <c r="P755" s="274"/>
    </row>
    <row r="756">
      <c r="L756" s="274"/>
      <c r="M756" s="274"/>
      <c r="O756" s="274"/>
      <c r="P756" s="274"/>
    </row>
    <row r="757">
      <c r="L757" s="274"/>
      <c r="M757" s="274"/>
      <c r="O757" s="274"/>
      <c r="P757" s="274"/>
    </row>
    <row r="758">
      <c r="L758" s="274"/>
      <c r="M758" s="274"/>
      <c r="O758" s="274"/>
      <c r="P758" s="274"/>
    </row>
    <row r="759">
      <c r="L759" s="274"/>
      <c r="M759" s="274"/>
      <c r="O759" s="274"/>
      <c r="P759" s="274"/>
    </row>
    <row r="760">
      <c r="L760" s="274"/>
      <c r="M760" s="274"/>
      <c r="O760" s="274"/>
      <c r="P760" s="274"/>
    </row>
    <row r="761">
      <c r="L761" s="274"/>
      <c r="M761" s="274"/>
      <c r="O761" s="274"/>
      <c r="P761" s="274"/>
    </row>
    <row r="762">
      <c r="L762" s="274"/>
      <c r="M762" s="274"/>
      <c r="O762" s="274"/>
      <c r="P762" s="274"/>
    </row>
    <row r="763">
      <c r="L763" s="274"/>
      <c r="M763" s="274"/>
      <c r="O763" s="274"/>
      <c r="P763" s="274"/>
    </row>
    <row r="764">
      <c r="L764" s="274"/>
      <c r="M764" s="274"/>
      <c r="O764" s="274"/>
      <c r="P764" s="274"/>
    </row>
    <row r="765">
      <c r="L765" s="274"/>
      <c r="M765" s="274"/>
      <c r="O765" s="274"/>
      <c r="P765" s="274"/>
    </row>
    <row r="766">
      <c r="L766" s="274"/>
      <c r="M766" s="274"/>
      <c r="O766" s="274"/>
      <c r="P766" s="274"/>
    </row>
    <row r="767">
      <c r="L767" s="274"/>
      <c r="M767" s="274"/>
      <c r="O767" s="274"/>
      <c r="P767" s="274"/>
    </row>
    <row r="768">
      <c r="L768" s="274"/>
      <c r="M768" s="274"/>
      <c r="O768" s="274"/>
      <c r="P768" s="274"/>
    </row>
    <row r="769">
      <c r="L769" s="274"/>
      <c r="M769" s="274"/>
      <c r="O769" s="274"/>
      <c r="P769" s="274"/>
    </row>
    <row r="770">
      <c r="L770" s="274"/>
      <c r="M770" s="274"/>
      <c r="O770" s="274"/>
      <c r="P770" s="274"/>
    </row>
    <row r="771">
      <c r="L771" s="274"/>
      <c r="M771" s="274"/>
      <c r="O771" s="274"/>
      <c r="P771" s="274"/>
    </row>
    <row r="772">
      <c r="L772" s="274"/>
      <c r="M772" s="274"/>
      <c r="O772" s="274"/>
      <c r="P772" s="274"/>
    </row>
    <row r="773">
      <c r="L773" s="274"/>
      <c r="M773" s="274"/>
      <c r="O773" s="274"/>
      <c r="P773" s="274"/>
    </row>
    <row r="774">
      <c r="L774" s="274"/>
      <c r="M774" s="274"/>
      <c r="O774" s="274"/>
      <c r="P774" s="274"/>
    </row>
    <row r="775">
      <c r="L775" s="274"/>
      <c r="M775" s="274"/>
      <c r="O775" s="274"/>
      <c r="P775" s="274"/>
    </row>
    <row r="776">
      <c r="L776" s="274"/>
      <c r="M776" s="274"/>
      <c r="O776" s="274"/>
      <c r="P776" s="274"/>
    </row>
    <row r="777">
      <c r="L777" s="274"/>
      <c r="M777" s="274"/>
      <c r="O777" s="274"/>
      <c r="P777" s="274"/>
    </row>
    <row r="778">
      <c r="L778" s="274"/>
      <c r="M778" s="274"/>
      <c r="O778" s="274"/>
      <c r="P778" s="274"/>
    </row>
    <row r="779">
      <c r="L779" s="274"/>
      <c r="M779" s="274"/>
      <c r="O779" s="274"/>
      <c r="P779" s="274"/>
    </row>
    <row r="780">
      <c r="L780" s="274"/>
      <c r="M780" s="274"/>
      <c r="O780" s="274"/>
      <c r="P780" s="274"/>
    </row>
    <row r="781">
      <c r="L781" s="274"/>
      <c r="M781" s="274"/>
      <c r="O781" s="274"/>
      <c r="P781" s="274"/>
    </row>
    <row r="782">
      <c r="L782" s="274"/>
      <c r="M782" s="274"/>
      <c r="O782" s="274"/>
      <c r="P782" s="274"/>
    </row>
    <row r="783">
      <c r="L783" s="274"/>
      <c r="M783" s="274"/>
      <c r="O783" s="274"/>
      <c r="P783" s="274"/>
    </row>
    <row r="784">
      <c r="L784" s="274"/>
      <c r="M784" s="274"/>
      <c r="O784" s="274"/>
      <c r="P784" s="274"/>
    </row>
    <row r="785">
      <c r="L785" s="274"/>
      <c r="M785" s="274"/>
      <c r="O785" s="274"/>
      <c r="P785" s="274"/>
    </row>
    <row r="786">
      <c r="L786" s="274"/>
      <c r="M786" s="274"/>
      <c r="O786" s="274"/>
      <c r="P786" s="274"/>
    </row>
    <row r="787">
      <c r="L787" s="274"/>
      <c r="M787" s="274"/>
      <c r="O787" s="274"/>
      <c r="P787" s="274"/>
    </row>
    <row r="788">
      <c r="L788" s="274"/>
      <c r="M788" s="274"/>
      <c r="O788" s="274"/>
      <c r="P788" s="274"/>
    </row>
    <row r="789">
      <c r="L789" s="274"/>
      <c r="M789" s="274"/>
      <c r="O789" s="274"/>
      <c r="P789" s="274"/>
    </row>
    <row r="790">
      <c r="L790" s="274"/>
      <c r="M790" s="274"/>
      <c r="O790" s="274"/>
      <c r="P790" s="274"/>
    </row>
    <row r="791">
      <c r="L791" s="274"/>
      <c r="M791" s="274"/>
      <c r="O791" s="274"/>
      <c r="P791" s="274"/>
    </row>
    <row r="792">
      <c r="L792" s="274"/>
      <c r="M792" s="274"/>
      <c r="O792" s="274"/>
      <c r="P792" s="274"/>
    </row>
    <row r="793">
      <c r="L793" s="274"/>
      <c r="M793" s="274"/>
      <c r="O793" s="274"/>
      <c r="P793" s="274"/>
    </row>
    <row r="794">
      <c r="L794" s="274"/>
      <c r="M794" s="274"/>
      <c r="O794" s="274"/>
      <c r="P794" s="274"/>
    </row>
    <row r="795">
      <c r="L795" s="274"/>
      <c r="M795" s="274"/>
      <c r="O795" s="274"/>
      <c r="P795" s="274"/>
    </row>
    <row r="796">
      <c r="L796" s="274"/>
      <c r="M796" s="274"/>
      <c r="O796" s="274"/>
      <c r="P796" s="274"/>
    </row>
    <row r="797">
      <c r="L797" s="274"/>
      <c r="M797" s="274"/>
      <c r="O797" s="274"/>
      <c r="P797" s="274"/>
    </row>
    <row r="798">
      <c r="L798" s="274"/>
      <c r="M798" s="274"/>
      <c r="O798" s="274"/>
      <c r="P798" s="274"/>
    </row>
    <row r="799">
      <c r="L799" s="274"/>
      <c r="M799" s="274"/>
      <c r="O799" s="274"/>
      <c r="P799" s="274"/>
    </row>
    <row r="800">
      <c r="L800" s="274"/>
      <c r="M800" s="274"/>
      <c r="O800" s="274"/>
      <c r="P800" s="274"/>
    </row>
    <row r="801">
      <c r="L801" s="274"/>
      <c r="M801" s="274"/>
      <c r="O801" s="274"/>
      <c r="P801" s="274"/>
    </row>
    <row r="802">
      <c r="L802" s="274"/>
      <c r="M802" s="274"/>
      <c r="O802" s="274"/>
      <c r="P802" s="274"/>
    </row>
    <row r="803">
      <c r="L803" s="274"/>
      <c r="M803" s="274"/>
      <c r="O803" s="274"/>
      <c r="P803" s="274"/>
    </row>
    <row r="804">
      <c r="L804" s="274"/>
      <c r="M804" s="274"/>
      <c r="O804" s="274"/>
      <c r="P804" s="274"/>
    </row>
    <row r="805">
      <c r="L805" s="274"/>
      <c r="M805" s="274"/>
      <c r="O805" s="274"/>
      <c r="P805" s="274"/>
    </row>
    <row r="806">
      <c r="L806" s="274"/>
      <c r="M806" s="274"/>
      <c r="O806" s="274"/>
      <c r="P806" s="274"/>
    </row>
    <row r="807">
      <c r="L807" s="274"/>
      <c r="M807" s="274"/>
      <c r="O807" s="274"/>
      <c r="P807" s="274"/>
    </row>
    <row r="808">
      <c r="L808" s="274"/>
      <c r="M808" s="274"/>
      <c r="O808" s="274"/>
      <c r="P808" s="274"/>
    </row>
    <row r="809">
      <c r="L809" s="274"/>
      <c r="M809" s="274"/>
      <c r="O809" s="274"/>
      <c r="P809" s="274"/>
    </row>
    <row r="810">
      <c r="L810" s="274"/>
      <c r="M810" s="274"/>
      <c r="O810" s="274"/>
      <c r="P810" s="274"/>
    </row>
    <row r="811">
      <c r="L811" s="274"/>
      <c r="M811" s="274"/>
      <c r="O811" s="274"/>
      <c r="P811" s="274"/>
    </row>
    <row r="812">
      <c r="L812" s="274"/>
      <c r="M812" s="274"/>
      <c r="O812" s="274"/>
      <c r="P812" s="274"/>
    </row>
    <row r="813">
      <c r="L813" s="274"/>
      <c r="M813" s="274"/>
      <c r="O813" s="274"/>
      <c r="P813" s="274"/>
    </row>
    <row r="814">
      <c r="L814" s="274"/>
      <c r="M814" s="274"/>
      <c r="O814" s="274"/>
      <c r="P814" s="274"/>
    </row>
    <row r="815">
      <c r="L815" s="274"/>
      <c r="M815" s="274"/>
      <c r="O815" s="274"/>
      <c r="P815" s="274"/>
    </row>
    <row r="816">
      <c r="L816" s="274"/>
      <c r="M816" s="274"/>
      <c r="O816" s="274"/>
      <c r="P816" s="274"/>
    </row>
    <row r="817">
      <c r="L817" s="274"/>
      <c r="M817" s="274"/>
      <c r="O817" s="274"/>
      <c r="P817" s="274"/>
    </row>
    <row r="818">
      <c r="L818" s="274"/>
      <c r="M818" s="274"/>
      <c r="O818" s="274"/>
      <c r="P818" s="274"/>
    </row>
    <row r="819">
      <c r="L819" s="274"/>
      <c r="M819" s="274"/>
      <c r="O819" s="274"/>
      <c r="P819" s="274"/>
    </row>
    <row r="820">
      <c r="L820" s="274"/>
      <c r="M820" s="274"/>
      <c r="O820" s="274"/>
      <c r="P820" s="274"/>
    </row>
    <row r="821">
      <c r="L821" s="274"/>
      <c r="M821" s="274"/>
      <c r="O821" s="274"/>
      <c r="P821" s="274"/>
    </row>
    <row r="822">
      <c r="L822" s="274"/>
      <c r="M822" s="274"/>
      <c r="O822" s="274"/>
      <c r="P822" s="274"/>
    </row>
    <row r="823">
      <c r="L823" s="274"/>
      <c r="M823" s="274"/>
      <c r="O823" s="274"/>
      <c r="P823" s="274"/>
    </row>
    <row r="824">
      <c r="L824" s="274"/>
      <c r="M824" s="274"/>
      <c r="O824" s="274"/>
      <c r="P824" s="274"/>
    </row>
    <row r="825">
      <c r="L825" s="274"/>
      <c r="M825" s="274"/>
      <c r="O825" s="274"/>
      <c r="P825" s="274"/>
    </row>
    <row r="826">
      <c r="L826" s="274"/>
      <c r="M826" s="274"/>
      <c r="O826" s="274"/>
      <c r="P826" s="274"/>
    </row>
    <row r="827">
      <c r="L827" s="274"/>
      <c r="M827" s="274"/>
      <c r="O827" s="274"/>
      <c r="P827" s="274"/>
    </row>
    <row r="828">
      <c r="L828" s="274"/>
      <c r="M828" s="274"/>
      <c r="O828" s="274"/>
      <c r="P828" s="274"/>
    </row>
    <row r="829">
      <c r="L829" s="274"/>
      <c r="M829" s="274"/>
      <c r="O829" s="274"/>
      <c r="P829" s="274"/>
    </row>
    <row r="830">
      <c r="L830" s="274"/>
      <c r="M830" s="274"/>
      <c r="O830" s="274"/>
      <c r="P830" s="274"/>
    </row>
    <row r="831">
      <c r="L831" s="274"/>
      <c r="M831" s="274"/>
      <c r="O831" s="274"/>
      <c r="P831" s="274"/>
    </row>
    <row r="832">
      <c r="L832" s="274"/>
      <c r="M832" s="274"/>
      <c r="O832" s="274"/>
      <c r="P832" s="274"/>
    </row>
    <row r="833">
      <c r="L833" s="274"/>
      <c r="M833" s="274"/>
      <c r="O833" s="274"/>
      <c r="P833" s="274"/>
    </row>
    <row r="834">
      <c r="L834" s="274"/>
      <c r="M834" s="274"/>
      <c r="O834" s="274"/>
      <c r="P834" s="274"/>
    </row>
    <row r="835">
      <c r="L835" s="274"/>
      <c r="M835" s="274"/>
      <c r="O835" s="274"/>
      <c r="P835" s="274"/>
    </row>
    <row r="836">
      <c r="L836" s="274"/>
      <c r="M836" s="274"/>
      <c r="O836" s="274"/>
      <c r="P836" s="274"/>
    </row>
    <row r="837">
      <c r="L837" s="274"/>
      <c r="M837" s="274"/>
      <c r="O837" s="274"/>
      <c r="P837" s="274"/>
    </row>
    <row r="838">
      <c r="L838" s="274"/>
      <c r="M838" s="274"/>
      <c r="O838" s="274"/>
      <c r="P838" s="274"/>
    </row>
    <row r="839">
      <c r="L839" s="274"/>
      <c r="M839" s="274"/>
      <c r="O839" s="274"/>
      <c r="P839" s="274"/>
    </row>
    <row r="840">
      <c r="L840" s="274"/>
      <c r="M840" s="274"/>
      <c r="O840" s="274"/>
      <c r="P840" s="274"/>
    </row>
    <row r="841">
      <c r="L841" s="274"/>
      <c r="M841" s="274"/>
      <c r="O841" s="274"/>
      <c r="P841" s="274"/>
    </row>
    <row r="842">
      <c r="L842" s="274"/>
      <c r="M842" s="274"/>
      <c r="O842" s="274"/>
      <c r="P842" s="274"/>
    </row>
    <row r="843">
      <c r="L843" s="274"/>
      <c r="M843" s="274"/>
      <c r="O843" s="274"/>
      <c r="P843" s="274"/>
    </row>
    <row r="844">
      <c r="L844" s="274"/>
      <c r="M844" s="274"/>
      <c r="O844" s="274"/>
      <c r="P844" s="274"/>
    </row>
    <row r="845">
      <c r="L845" s="274"/>
      <c r="M845" s="274"/>
      <c r="O845" s="274"/>
      <c r="P845" s="274"/>
    </row>
    <row r="846">
      <c r="L846" s="274"/>
      <c r="M846" s="274"/>
      <c r="O846" s="274"/>
      <c r="P846" s="274"/>
    </row>
    <row r="847">
      <c r="L847" s="274"/>
      <c r="M847" s="274"/>
      <c r="O847" s="274"/>
      <c r="P847" s="274"/>
    </row>
    <row r="848">
      <c r="L848" s="274"/>
      <c r="M848" s="274"/>
      <c r="O848" s="274"/>
      <c r="P848" s="274"/>
    </row>
    <row r="849">
      <c r="L849" s="274"/>
      <c r="M849" s="274"/>
      <c r="O849" s="274"/>
      <c r="P849" s="274"/>
    </row>
    <row r="850">
      <c r="L850" s="274"/>
      <c r="M850" s="274"/>
      <c r="O850" s="274"/>
      <c r="P850" s="274"/>
    </row>
    <row r="851">
      <c r="L851" s="274"/>
      <c r="M851" s="274"/>
      <c r="O851" s="274"/>
      <c r="P851" s="274"/>
    </row>
    <row r="852">
      <c r="L852" s="274"/>
      <c r="M852" s="274"/>
      <c r="O852" s="274"/>
      <c r="P852" s="274"/>
    </row>
    <row r="853">
      <c r="L853" s="274"/>
      <c r="M853" s="274"/>
      <c r="O853" s="274"/>
      <c r="P853" s="274"/>
    </row>
    <row r="854">
      <c r="L854" s="274"/>
      <c r="M854" s="274"/>
      <c r="O854" s="274"/>
      <c r="P854" s="274"/>
    </row>
    <row r="855">
      <c r="L855" s="274"/>
      <c r="M855" s="274"/>
      <c r="O855" s="274"/>
      <c r="P855" s="274"/>
    </row>
    <row r="856">
      <c r="L856" s="274"/>
      <c r="M856" s="274"/>
      <c r="O856" s="274"/>
      <c r="P856" s="274"/>
    </row>
    <row r="857">
      <c r="L857" s="274"/>
      <c r="M857" s="274"/>
      <c r="O857" s="274"/>
      <c r="P857" s="274"/>
    </row>
    <row r="858">
      <c r="L858" s="274"/>
      <c r="M858" s="274"/>
      <c r="O858" s="274"/>
      <c r="P858" s="274"/>
    </row>
    <row r="859">
      <c r="L859" s="274"/>
      <c r="M859" s="274"/>
      <c r="O859" s="274"/>
      <c r="P859" s="274"/>
    </row>
    <row r="860">
      <c r="L860" s="274"/>
      <c r="M860" s="274"/>
      <c r="O860" s="274"/>
      <c r="P860" s="274"/>
    </row>
    <row r="861">
      <c r="L861" s="274"/>
      <c r="M861" s="274"/>
      <c r="O861" s="274"/>
      <c r="P861" s="274"/>
    </row>
    <row r="862">
      <c r="L862" s="274"/>
      <c r="M862" s="274"/>
      <c r="O862" s="274"/>
      <c r="P862" s="274"/>
    </row>
    <row r="863">
      <c r="L863" s="274"/>
      <c r="M863" s="274"/>
      <c r="O863" s="274"/>
      <c r="P863" s="274"/>
    </row>
    <row r="864">
      <c r="L864" s="274"/>
      <c r="M864" s="274"/>
      <c r="O864" s="274"/>
      <c r="P864" s="274"/>
    </row>
    <row r="865">
      <c r="L865" s="274"/>
      <c r="M865" s="274"/>
      <c r="O865" s="274"/>
      <c r="P865" s="274"/>
    </row>
    <row r="866">
      <c r="L866" s="274"/>
      <c r="M866" s="274"/>
      <c r="O866" s="274"/>
      <c r="P866" s="274"/>
    </row>
    <row r="867">
      <c r="L867" s="274"/>
      <c r="M867" s="274"/>
      <c r="O867" s="274"/>
      <c r="P867" s="274"/>
    </row>
    <row r="868">
      <c r="L868" s="274"/>
      <c r="M868" s="274"/>
      <c r="O868" s="274"/>
      <c r="P868" s="274"/>
    </row>
    <row r="869">
      <c r="L869" s="274"/>
      <c r="M869" s="274"/>
      <c r="O869" s="274"/>
      <c r="P869" s="274"/>
    </row>
    <row r="870">
      <c r="L870" s="274"/>
      <c r="M870" s="274"/>
      <c r="O870" s="274"/>
      <c r="P870" s="274"/>
    </row>
    <row r="871">
      <c r="L871" s="274"/>
      <c r="M871" s="274"/>
      <c r="O871" s="274"/>
      <c r="P871" s="274"/>
    </row>
    <row r="872">
      <c r="L872" s="274"/>
      <c r="M872" s="274"/>
      <c r="O872" s="274"/>
      <c r="P872" s="274"/>
    </row>
    <row r="873">
      <c r="L873" s="274"/>
      <c r="M873" s="274"/>
      <c r="O873" s="274"/>
      <c r="P873" s="274"/>
    </row>
    <row r="874">
      <c r="L874" s="274"/>
      <c r="M874" s="274"/>
      <c r="O874" s="274"/>
      <c r="P874" s="274"/>
    </row>
    <row r="875">
      <c r="L875" s="274"/>
      <c r="M875" s="274"/>
      <c r="O875" s="274"/>
      <c r="P875" s="274"/>
    </row>
    <row r="876">
      <c r="L876" s="274"/>
      <c r="M876" s="274"/>
      <c r="O876" s="274"/>
      <c r="P876" s="274"/>
    </row>
    <row r="877">
      <c r="L877" s="274"/>
      <c r="M877" s="274"/>
      <c r="O877" s="274"/>
      <c r="P877" s="274"/>
    </row>
    <row r="878">
      <c r="L878" s="274"/>
      <c r="M878" s="274"/>
      <c r="O878" s="274"/>
      <c r="P878" s="274"/>
    </row>
    <row r="879">
      <c r="L879" s="274"/>
      <c r="M879" s="274"/>
      <c r="O879" s="274"/>
      <c r="P879" s="274"/>
    </row>
    <row r="880">
      <c r="L880" s="274"/>
      <c r="M880" s="274"/>
      <c r="O880" s="274"/>
      <c r="P880" s="274"/>
    </row>
    <row r="881">
      <c r="L881" s="274"/>
      <c r="M881" s="274"/>
      <c r="O881" s="274"/>
      <c r="P881" s="274"/>
    </row>
    <row r="882">
      <c r="L882" s="274"/>
      <c r="M882" s="274"/>
      <c r="O882" s="274"/>
      <c r="P882" s="274"/>
    </row>
    <row r="883">
      <c r="L883" s="274"/>
      <c r="M883" s="274"/>
      <c r="O883" s="274"/>
      <c r="P883" s="274"/>
    </row>
    <row r="884">
      <c r="L884" s="274"/>
      <c r="M884" s="274"/>
      <c r="O884" s="274"/>
      <c r="P884" s="274"/>
    </row>
    <row r="885">
      <c r="L885" s="274"/>
      <c r="M885" s="274"/>
      <c r="O885" s="274"/>
      <c r="P885" s="274"/>
    </row>
    <row r="886">
      <c r="L886" s="274"/>
      <c r="M886" s="274"/>
      <c r="O886" s="274"/>
      <c r="P886" s="274"/>
    </row>
    <row r="887">
      <c r="L887" s="274"/>
      <c r="M887" s="274"/>
      <c r="O887" s="274"/>
      <c r="P887" s="274"/>
    </row>
    <row r="888">
      <c r="L888" s="274"/>
      <c r="M888" s="274"/>
      <c r="O888" s="274"/>
      <c r="P888" s="274"/>
    </row>
    <row r="889">
      <c r="L889" s="274"/>
      <c r="M889" s="274"/>
      <c r="O889" s="274"/>
      <c r="P889" s="274"/>
    </row>
    <row r="890">
      <c r="L890" s="274"/>
      <c r="M890" s="274"/>
      <c r="O890" s="274"/>
      <c r="P890" s="274"/>
    </row>
    <row r="891">
      <c r="L891" s="274"/>
      <c r="M891" s="274"/>
      <c r="O891" s="274"/>
      <c r="P891" s="274"/>
    </row>
    <row r="892">
      <c r="L892" s="274"/>
      <c r="M892" s="274"/>
      <c r="O892" s="274"/>
      <c r="P892" s="274"/>
    </row>
    <row r="893">
      <c r="L893" s="274"/>
      <c r="M893" s="274"/>
      <c r="O893" s="274"/>
      <c r="P893" s="274"/>
    </row>
    <row r="894">
      <c r="L894" s="274"/>
      <c r="M894" s="274"/>
      <c r="O894" s="274"/>
      <c r="P894" s="274"/>
    </row>
    <row r="895">
      <c r="L895" s="274"/>
      <c r="M895" s="274"/>
      <c r="O895" s="274"/>
      <c r="P895" s="274"/>
    </row>
    <row r="896">
      <c r="L896" s="274"/>
      <c r="M896" s="274"/>
      <c r="O896" s="274"/>
      <c r="P896" s="274"/>
    </row>
    <row r="897">
      <c r="L897" s="274"/>
      <c r="M897" s="274"/>
      <c r="O897" s="274"/>
      <c r="P897" s="274"/>
    </row>
    <row r="898">
      <c r="L898" s="274"/>
      <c r="M898" s="274"/>
      <c r="O898" s="274"/>
      <c r="P898" s="274"/>
    </row>
    <row r="899">
      <c r="L899" s="274"/>
      <c r="M899" s="274"/>
      <c r="O899" s="274"/>
      <c r="P899" s="274"/>
    </row>
    <row r="900">
      <c r="L900" s="274"/>
      <c r="M900" s="274"/>
      <c r="O900" s="274"/>
      <c r="P900" s="274"/>
    </row>
    <row r="901">
      <c r="L901" s="274"/>
      <c r="M901" s="274"/>
      <c r="O901" s="274"/>
      <c r="P901" s="274"/>
    </row>
    <row r="902">
      <c r="L902" s="274"/>
      <c r="M902" s="274"/>
      <c r="O902" s="274"/>
      <c r="P902" s="274"/>
    </row>
    <row r="903">
      <c r="L903" s="274"/>
      <c r="M903" s="274"/>
      <c r="O903" s="274"/>
      <c r="P903" s="274"/>
    </row>
    <row r="904">
      <c r="L904" s="274"/>
      <c r="M904" s="274"/>
      <c r="O904" s="274"/>
      <c r="P904" s="274"/>
    </row>
    <row r="905">
      <c r="L905" s="274"/>
      <c r="M905" s="274"/>
      <c r="O905" s="274"/>
      <c r="P905" s="274"/>
    </row>
    <row r="906">
      <c r="L906" s="274"/>
      <c r="M906" s="274"/>
      <c r="O906" s="274"/>
      <c r="P906" s="274"/>
    </row>
    <row r="907">
      <c r="L907" s="274"/>
      <c r="M907" s="274"/>
      <c r="O907" s="274"/>
      <c r="P907" s="274"/>
    </row>
    <row r="908">
      <c r="L908" s="274"/>
      <c r="M908" s="274"/>
      <c r="O908" s="274"/>
      <c r="P908" s="274"/>
    </row>
    <row r="909">
      <c r="L909" s="274"/>
      <c r="M909" s="274"/>
      <c r="O909" s="274"/>
      <c r="P909" s="274"/>
    </row>
    <row r="910">
      <c r="L910" s="274"/>
      <c r="M910" s="274"/>
      <c r="O910" s="274"/>
      <c r="P910" s="274"/>
    </row>
    <row r="911">
      <c r="L911" s="274"/>
      <c r="M911" s="274"/>
      <c r="O911" s="274"/>
      <c r="P911" s="274"/>
    </row>
    <row r="912">
      <c r="L912" s="274"/>
      <c r="M912" s="274"/>
      <c r="O912" s="274"/>
      <c r="P912" s="274"/>
    </row>
    <row r="913">
      <c r="L913" s="274"/>
      <c r="M913" s="274"/>
      <c r="O913" s="274"/>
      <c r="P913" s="274"/>
    </row>
    <row r="914">
      <c r="L914" s="274"/>
      <c r="M914" s="274"/>
      <c r="O914" s="274"/>
      <c r="P914" s="274"/>
    </row>
    <row r="915">
      <c r="L915" s="274"/>
      <c r="M915" s="274"/>
      <c r="O915" s="274"/>
      <c r="P915" s="274"/>
    </row>
    <row r="916">
      <c r="L916" s="274"/>
      <c r="M916" s="274"/>
      <c r="O916" s="274"/>
      <c r="P916" s="274"/>
    </row>
    <row r="917">
      <c r="L917" s="274"/>
      <c r="M917" s="274"/>
      <c r="O917" s="274"/>
      <c r="P917" s="274"/>
    </row>
    <row r="918">
      <c r="L918" s="274"/>
      <c r="M918" s="274"/>
      <c r="O918" s="274"/>
      <c r="P918" s="274"/>
    </row>
    <row r="919">
      <c r="L919" s="274"/>
      <c r="M919" s="274"/>
      <c r="O919" s="274"/>
      <c r="P919" s="274"/>
    </row>
    <row r="920">
      <c r="L920" s="274"/>
      <c r="M920" s="274"/>
      <c r="O920" s="274"/>
      <c r="P920" s="274"/>
    </row>
    <row r="921">
      <c r="L921" s="274"/>
      <c r="M921" s="274"/>
      <c r="O921" s="274"/>
      <c r="P921" s="274"/>
    </row>
    <row r="922">
      <c r="L922" s="274"/>
      <c r="M922" s="274"/>
      <c r="O922" s="274"/>
      <c r="P922" s="274"/>
    </row>
    <row r="923">
      <c r="L923" s="274"/>
      <c r="M923" s="274"/>
      <c r="O923" s="274"/>
      <c r="P923" s="274"/>
    </row>
    <row r="924">
      <c r="L924" s="274"/>
      <c r="M924" s="274"/>
      <c r="O924" s="274"/>
      <c r="P924" s="274"/>
    </row>
    <row r="925">
      <c r="L925" s="274"/>
      <c r="M925" s="274"/>
      <c r="O925" s="274"/>
      <c r="P925" s="274"/>
    </row>
    <row r="926">
      <c r="L926" s="274"/>
      <c r="M926" s="274"/>
      <c r="O926" s="274"/>
      <c r="P926" s="274"/>
    </row>
    <row r="927">
      <c r="L927" s="274"/>
      <c r="M927" s="274"/>
      <c r="O927" s="274"/>
      <c r="P927" s="274"/>
    </row>
    <row r="928">
      <c r="L928" s="274"/>
      <c r="M928" s="274"/>
      <c r="O928" s="274"/>
      <c r="P928" s="274"/>
    </row>
    <row r="929">
      <c r="L929" s="274"/>
      <c r="M929" s="274"/>
      <c r="O929" s="274"/>
      <c r="P929" s="274"/>
    </row>
    <row r="930">
      <c r="L930" s="274"/>
      <c r="M930" s="274"/>
      <c r="O930" s="274"/>
      <c r="P930" s="274"/>
    </row>
    <row r="931">
      <c r="L931" s="274"/>
      <c r="M931" s="274"/>
      <c r="O931" s="274"/>
      <c r="P931" s="274"/>
    </row>
    <row r="932">
      <c r="L932" s="274"/>
      <c r="M932" s="274"/>
      <c r="O932" s="274"/>
      <c r="P932" s="274"/>
    </row>
    <row r="933">
      <c r="L933" s="274"/>
      <c r="M933" s="274"/>
      <c r="O933" s="274"/>
      <c r="P933" s="274"/>
    </row>
    <row r="934">
      <c r="L934" s="274"/>
      <c r="M934" s="274"/>
      <c r="O934" s="274"/>
      <c r="P934" s="274"/>
    </row>
    <row r="935">
      <c r="L935" s="274"/>
      <c r="M935" s="274"/>
      <c r="O935" s="274"/>
      <c r="P935" s="274"/>
    </row>
    <row r="936">
      <c r="L936" s="274"/>
      <c r="M936" s="274"/>
      <c r="O936" s="274"/>
      <c r="P936" s="274"/>
    </row>
    <row r="937">
      <c r="L937" s="274"/>
      <c r="M937" s="274"/>
      <c r="O937" s="274"/>
      <c r="P937" s="274"/>
    </row>
    <row r="938">
      <c r="L938" s="274"/>
      <c r="M938" s="274"/>
      <c r="O938" s="274"/>
      <c r="P938" s="274"/>
    </row>
    <row r="939">
      <c r="L939" s="274"/>
      <c r="M939" s="274"/>
      <c r="O939" s="274"/>
      <c r="P939" s="274"/>
    </row>
    <row r="940">
      <c r="L940" s="274"/>
      <c r="M940" s="274"/>
      <c r="O940" s="274"/>
      <c r="P940" s="274"/>
    </row>
    <row r="941">
      <c r="L941" s="274"/>
      <c r="M941" s="274"/>
      <c r="O941" s="274"/>
      <c r="P941" s="274"/>
    </row>
    <row r="942">
      <c r="L942" s="274"/>
      <c r="M942" s="274"/>
      <c r="O942" s="274"/>
      <c r="P942" s="274"/>
    </row>
    <row r="943">
      <c r="L943" s="274"/>
      <c r="M943" s="274"/>
      <c r="O943" s="274"/>
      <c r="P943" s="274"/>
    </row>
    <row r="944">
      <c r="L944" s="274"/>
      <c r="M944" s="274"/>
      <c r="O944" s="274"/>
      <c r="P944" s="274"/>
    </row>
    <row r="945">
      <c r="L945" s="274"/>
      <c r="M945" s="274"/>
      <c r="O945" s="274"/>
      <c r="P945" s="274"/>
    </row>
    <row r="946">
      <c r="L946" s="274"/>
      <c r="M946" s="274"/>
      <c r="O946" s="274"/>
      <c r="P946" s="274"/>
    </row>
    <row r="947">
      <c r="L947" s="274"/>
      <c r="M947" s="274"/>
      <c r="O947" s="274"/>
      <c r="P947" s="274"/>
    </row>
    <row r="948">
      <c r="L948" s="274"/>
      <c r="M948" s="274"/>
      <c r="O948" s="274"/>
      <c r="P948" s="274"/>
    </row>
    <row r="949">
      <c r="L949" s="274"/>
      <c r="M949" s="274"/>
      <c r="O949" s="274"/>
      <c r="P949" s="274"/>
    </row>
    <row r="950">
      <c r="L950" s="274"/>
      <c r="M950" s="274"/>
      <c r="O950" s="274"/>
      <c r="P950" s="274"/>
    </row>
    <row r="951">
      <c r="L951" s="274"/>
      <c r="M951" s="274"/>
      <c r="O951" s="274"/>
      <c r="P951" s="274"/>
    </row>
    <row r="952">
      <c r="L952" s="274"/>
      <c r="M952" s="274"/>
      <c r="O952" s="274"/>
      <c r="P952" s="274"/>
    </row>
    <row r="953">
      <c r="L953" s="274"/>
      <c r="M953" s="274"/>
      <c r="O953" s="274"/>
      <c r="P953" s="274"/>
    </row>
    <row r="954">
      <c r="L954" s="274"/>
      <c r="M954" s="274"/>
      <c r="O954" s="274"/>
      <c r="P954" s="274"/>
    </row>
    <row r="955">
      <c r="L955" s="274"/>
      <c r="M955" s="274"/>
      <c r="O955" s="274"/>
      <c r="P955" s="274"/>
    </row>
    <row r="956">
      <c r="L956" s="274"/>
      <c r="M956" s="274"/>
      <c r="O956" s="274"/>
      <c r="P956" s="274"/>
    </row>
    <row r="957">
      <c r="L957" s="274"/>
      <c r="M957" s="274"/>
      <c r="O957" s="274"/>
      <c r="P957" s="274"/>
    </row>
    <row r="958">
      <c r="L958" s="274"/>
      <c r="M958" s="274"/>
      <c r="O958" s="274"/>
      <c r="P958" s="274"/>
    </row>
    <row r="959">
      <c r="L959" s="274"/>
      <c r="M959" s="274"/>
      <c r="O959" s="274"/>
      <c r="P959" s="274"/>
    </row>
    <row r="960">
      <c r="L960" s="274"/>
      <c r="M960" s="274"/>
      <c r="O960" s="274"/>
      <c r="P960" s="274"/>
    </row>
    <row r="961">
      <c r="L961" s="274"/>
      <c r="M961" s="274"/>
      <c r="O961" s="274"/>
      <c r="P961" s="274"/>
    </row>
    <row r="962">
      <c r="L962" s="274"/>
      <c r="M962" s="274"/>
      <c r="O962" s="274"/>
      <c r="P962" s="274"/>
    </row>
    <row r="963">
      <c r="L963" s="274"/>
      <c r="M963" s="274"/>
      <c r="O963" s="274"/>
      <c r="P963" s="274"/>
    </row>
    <row r="964">
      <c r="L964" s="274"/>
      <c r="M964" s="274"/>
      <c r="O964" s="274"/>
      <c r="P964" s="274"/>
    </row>
    <row r="965">
      <c r="L965" s="274"/>
      <c r="M965" s="274"/>
      <c r="O965" s="274"/>
      <c r="P965" s="274"/>
    </row>
    <row r="966">
      <c r="L966" s="274"/>
      <c r="M966" s="274"/>
      <c r="O966" s="274"/>
      <c r="P966" s="274"/>
    </row>
    <row r="967">
      <c r="L967" s="274"/>
      <c r="M967" s="274"/>
      <c r="O967" s="274"/>
      <c r="P967" s="274"/>
    </row>
    <row r="968">
      <c r="L968" s="274"/>
      <c r="M968" s="274"/>
      <c r="O968" s="274"/>
      <c r="P968" s="274"/>
    </row>
    <row r="969">
      <c r="L969" s="274"/>
      <c r="M969" s="274"/>
      <c r="O969" s="274"/>
      <c r="P969" s="274"/>
    </row>
    <row r="970">
      <c r="L970" s="274"/>
      <c r="M970" s="274"/>
      <c r="O970" s="274"/>
      <c r="P970" s="274"/>
    </row>
    <row r="971">
      <c r="L971" s="274"/>
      <c r="M971" s="274"/>
      <c r="O971" s="274"/>
      <c r="P971" s="274"/>
    </row>
    <row r="972">
      <c r="L972" s="274"/>
      <c r="M972" s="274"/>
      <c r="O972" s="274"/>
      <c r="P972" s="274"/>
    </row>
    <row r="973">
      <c r="L973" s="274"/>
      <c r="M973" s="274"/>
      <c r="O973" s="274"/>
      <c r="P973" s="274"/>
    </row>
    <row r="974">
      <c r="L974" s="274"/>
      <c r="M974" s="274"/>
      <c r="O974" s="274"/>
      <c r="P974" s="274"/>
    </row>
    <row r="975">
      <c r="L975" s="274"/>
      <c r="M975" s="274"/>
      <c r="O975" s="274"/>
      <c r="P975" s="274"/>
    </row>
    <row r="976">
      <c r="L976" s="274"/>
      <c r="M976" s="274"/>
      <c r="O976" s="274"/>
      <c r="P976" s="274"/>
    </row>
    <row r="977">
      <c r="L977" s="274"/>
      <c r="M977" s="274"/>
      <c r="O977" s="274"/>
      <c r="P977" s="274"/>
    </row>
    <row r="978">
      <c r="L978" s="274"/>
      <c r="M978" s="274"/>
      <c r="O978" s="274"/>
      <c r="P978" s="274"/>
    </row>
    <row r="979">
      <c r="L979" s="274"/>
      <c r="M979" s="274"/>
      <c r="O979" s="274"/>
      <c r="P979" s="274"/>
    </row>
    <row r="980">
      <c r="L980" s="274"/>
      <c r="M980" s="274"/>
      <c r="O980" s="274"/>
      <c r="P980" s="274"/>
    </row>
    <row r="981">
      <c r="L981" s="274"/>
      <c r="M981" s="274"/>
      <c r="O981" s="274"/>
      <c r="P981" s="274"/>
    </row>
    <row r="982">
      <c r="L982" s="274"/>
      <c r="M982" s="274"/>
      <c r="O982" s="274"/>
      <c r="P982" s="274"/>
    </row>
    <row r="983">
      <c r="L983" s="274"/>
      <c r="M983" s="274"/>
      <c r="O983" s="274"/>
      <c r="P983" s="274"/>
    </row>
    <row r="984">
      <c r="L984" s="274"/>
      <c r="M984" s="274"/>
      <c r="O984" s="274"/>
      <c r="P984" s="274"/>
    </row>
    <row r="985">
      <c r="L985" s="274"/>
      <c r="M985" s="274"/>
      <c r="O985" s="274"/>
      <c r="P985" s="274"/>
    </row>
    <row r="986">
      <c r="L986" s="274"/>
      <c r="M986" s="274"/>
      <c r="O986" s="274"/>
      <c r="P986" s="274"/>
    </row>
    <row r="987">
      <c r="L987" s="274"/>
      <c r="M987" s="274"/>
      <c r="O987" s="274"/>
      <c r="P987" s="274"/>
    </row>
    <row r="988">
      <c r="L988" s="274"/>
      <c r="M988" s="274"/>
      <c r="O988" s="274"/>
      <c r="P988" s="274"/>
    </row>
    <row r="989">
      <c r="L989" s="274"/>
      <c r="M989" s="274"/>
      <c r="O989" s="274"/>
      <c r="P989" s="274"/>
    </row>
    <row r="990">
      <c r="L990" s="274"/>
      <c r="M990" s="274"/>
      <c r="O990" s="274"/>
      <c r="P990" s="274"/>
    </row>
    <row r="991">
      <c r="L991" s="274"/>
      <c r="M991" s="274"/>
      <c r="O991" s="274"/>
      <c r="P991" s="274"/>
    </row>
    <row r="992">
      <c r="L992" s="274"/>
      <c r="M992" s="274"/>
      <c r="O992" s="274"/>
      <c r="P992" s="274"/>
    </row>
    <row r="993">
      <c r="L993" s="274"/>
      <c r="M993" s="274"/>
      <c r="O993" s="274"/>
      <c r="P993" s="274"/>
    </row>
    <row r="994">
      <c r="L994" s="274"/>
      <c r="M994" s="274"/>
      <c r="O994" s="274"/>
      <c r="P994" s="274"/>
    </row>
    <row r="995">
      <c r="L995" s="274"/>
      <c r="M995" s="274"/>
      <c r="O995" s="274"/>
      <c r="P995" s="274"/>
    </row>
    <row r="996">
      <c r="L996" s="274"/>
      <c r="M996" s="274"/>
      <c r="O996" s="274"/>
      <c r="P996" s="274"/>
    </row>
    <row r="997">
      <c r="L997" s="274"/>
      <c r="M997" s="274"/>
      <c r="O997" s="274"/>
      <c r="P997" s="274"/>
    </row>
    <row r="998">
      <c r="L998" s="274"/>
      <c r="M998" s="274"/>
      <c r="O998" s="274"/>
      <c r="P998" s="274"/>
    </row>
    <row r="999">
      <c r="L999" s="274"/>
      <c r="M999" s="274"/>
      <c r="O999" s="274"/>
      <c r="P999" s="274"/>
    </row>
    <row r="1000">
      <c r="L1000" s="274"/>
      <c r="M1000" s="274"/>
      <c r="O1000" s="274"/>
      <c r="P1000" s="27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6.29"/>
    <col customWidth="1" min="3" max="4" width="19.0"/>
    <col customWidth="1" min="5" max="5" width="30.0"/>
    <col customWidth="1" min="6" max="6" width="43.43"/>
    <col customWidth="1" min="7" max="7" width="30.86"/>
    <col customWidth="1" min="8" max="8" width="34.14"/>
    <col customWidth="1" min="9" max="9" width="12.43"/>
    <col customWidth="1" min="10" max="10" width="31.71"/>
  </cols>
  <sheetData>
    <row r="1">
      <c r="F1" s="277"/>
      <c r="G1" s="277"/>
    </row>
    <row r="2">
      <c r="B2" s="278" t="str">
        <f>HYPERLINK("https://www.muffwiggler.com/forum/viewtopic.php?p=2204036#2204036","Altitude909's SMR BOM post")</f>
        <v>Altitude909's SMR BOM post</v>
      </c>
      <c r="F2" s="277"/>
      <c r="G2" s="277"/>
    </row>
    <row r="3">
      <c r="B3" s="12" t="str">
        <f>HYPERLINK("https://docs.google.com/spreadsheets/d/1ZZHWehme2FW-1Q7Ejh6tmEdEOUJmtKFYelXFs8AUCyM/edit?usp=sharing","BOM spreadsheet")</f>
        <v>BOM spreadsheet</v>
      </c>
      <c r="F3" s="277"/>
      <c r="G3" s="277"/>
    </row>
    <row r="4">
      <c r="B4" s="279" t="str">
        <f>IFERROR(__xludf.DUMMYFUNCTION("importrange(""1ZZHWehme2FW-1Q7Ejh6tmEdEOUJmtKFYelXFs8AUCyM"", ""Sheet1!A1:I42"")"),"Qty")</f>
        <v>Qty</v>
      </c>
      <c r="C4" s="7" t="str">
        <f>IFERROR(__xludf.DUMMYFUNCTION("""COMPUTED_VALUE"""),"Value")</f>
        <v>Value</v>
      </c>
      <c r="D4" s="7" t="str">
        <f>IFERROR(__xludf.DUMMYFUNCTION("""COMPUTED_VALUE"""),"Device")</f>
        <v>Device</v>
      </c>
      <c r="E4" s="7" t="str">
        <f>IFERROR(__xludf.DUMMYFUNCTION("""COMPUTED_VALUE"""),"Package")</f>
        <v>Package</v>
      </c>
      <c r="F4" s="280" t="str">
        <f>IFERROR(__xludf.DUMMYFUNCTION("""COMPUTED_VALUE"""),"Parts")</f>
        <v>Parts</v>
      </c>
      <c r="G4" s="280" t="str">
        <f>IFERROR(__xludf.DUMMYFUNCTION("""COMPUTED_VALUE"""),"Description")</f>
        <v>Description</v>
      </c>
      <c r="H4" s="7" t="str">
        <f>IFERROR(__xludf.DUMMYFUNCTION("""COMPUTED_VALUE"""),"MOUSER")</f>
        <v>MOUSER</v>
      </c>
      <c r="I4" s="7" t="str">
        <f>IFERROR(__xludf.DUMMYFUNCTION("""COMPUTED_VALUE"""),"Digikey")</f>
        <v>Digikey</v>
      </c>
      <c r="J4" s="7" t="str">
        <f>IFERROR(__xludf.DUMMYFUNCTION("""COMPUTED_VALUE"""),"Notes")</f>
        <v>Notes</v>
      </c>
    </row>
    <row r="5">
      <c r="B5">
        <f>IFERROR(__xludf.DUMMYFUNCTION("""COMPUTED_VALUE"""),1.0)</f>
        <v>1</v>
      </c>
      <c r="C5" t="str">
        <f>IFERROR(__xludf.DUMMYFUNCTION("""COMPUTED_VALUE"""),"8MHz")</f>
        <v>8MHz</v>
      </c>
      <c r="D5" t="str">
        <f>IFERROR(__xludf.DUMMYFUNCTION("""COMPUTED_VALUE"""),"CRYSTALD")</f>
        <v>CRYSTALD</v>
      </c>
      <c r="E5" t="str">
        <f>IFERROR(__xludf.DUMMYFUNCTION("""COMPUTED_VALUE"""),"HC-49/US")</f>
        <v>HC-49/US</v>
      </c>
      <c r="F5" s="277" t="str">
        <f>IFERROR(__xludf.DUMMYFUNCTION("""COMPUTED_VALUE"""),"X1")</f>
        <v>X1</v>
      </c>
      <c r="G5" s="277" t="str">
        <f>IFERROR(__xludf.DUMMYFUNCTION("""COMPUTED_VALUE"""),"Crystal")</f>
        <v>Crystal</v>
      </c>
      <c r="H5" t="str">
        <f>IFERROR(__xludf.DUMMYFUNCTION("""COMPUTED_VALUE"""),"815-ABLS2-8-D4Y-T")</f>
        <v>815-ABLS2-8-D4Y-T</v>
      </c>
    </row>
    <row r="6">
      <c r="B6">
        <f>IFERROR(__xludf.DUMMYFUNCTION("""COMPUTED_VALUE"""),2.0)</f>
        <v>2</v>
      </c>
      <c r="C6" t="str">
        <f>IFERROR(__xludf.DUMMYFUNCTION("""COMPUTED_VALUE"""),"B140-E3")</f>
        <v>B140-E3</v>
      </c>
      <c r="D6" t="str">
        <f>IFERROR(__xludf.DUMMYFUNCTION("""COMPUTED_VALUE"""),"DA")</f>
        <v>DA</v>
      </c>
      <c r="E6" t="str">
        <f>IFERROR(__xludf.DUMMYFUNCTION("""COMPUTED_VALUE"""),"SMA")</f>
        <v>SMA</v>
      </c>
      <c r="F6" s="277" t="str">
        <f>IFERROR(__xludf.DUMMYFUNCTION("""COMPUTED_VALUE"""),"D13, D19")</f>
        <v>D13, D19</v>
      </c>
      <c r="G6" s="277" t="str">
        <f>IFERROR(__xludf.DUMMYFUNCTION("""COMPUTED_VALUE"""),"Diode")</f>
        <v>Diode</v>
      </c>
      <c r="H6" t="str">
        <f>IFERROR(__xludf.DUMMYFUNCTION("""COMPUTED_VALUE"""),"625-B140-E3/61T")</f>
        <v>625-B140-E3/61T</v>
      </c>
    </row>
    <row r="7">
      <c r="B7">
        <f>IFERROR(__xludf.DUMMYFUNCTION("""COMPUTED_VALUE"""),1.0)</f>
        <v>1</v>
      </c>
      <c r="C7" t="str">
        <f>IFERROR(__xludf.DUMMYFUNCTION("""COMPUTED_VALUE"""),"LEDX2A")</f>
        <v>LEDX2A</v>
      </c>
      <c r="D7" t="str">
        <f>IFERROR(__xludf.DUMMYFUNCTION("""COMPUTED_VALUE"""),"LEDX2A")</f>
        <v>LEDX2A</v>
      </c>
      <c r="E7" t="str">
        <f>IFERROR(__xludf.DUMMYFUNCTION("""COMPUTED_VALUE"""),"LED-T1X2")</f>
        <v>LED-T1X2</v>
      </c>
      <c r="F7" s="277" t="str">
        <f>IFERROR(__xludf.DUMMYFUNCTION("""COMPUTED_VALUE"""),"LED-INCLIP")</f>
        <v>LED-INCLIP</v>
      </c>
      <c r="G7" s="277" t="str">
        <f>IFERROR(__xludf.DUMMYFUNCTION("""COMPUTED_VALUE"""),"Dual LED, Common Cathode")</f>
        <v>Dual LED, Common Cathode</v>
      </c>
      <c r="H7" t="str">
        <f>IFERROR(__xludf.DUMMYFUNCTION("""COMPUTED_VALUE"""),"859-LTL1BEKVJNN")</f>
        <v>859-LTL1BEKVJNN</v>
      </c>
    </row>
    <row r="8">
      <c r="B8">
        <f>IFERROR(__xludf.DUMMYFUNCTION("""COMPUTED_VALUE"""),8.0)</f>
        <v>8</v>
      </c>
      <c r="C8" t="str">
        <f>IFERROR(__xludf.DUMMYFUNCTION("""COMPUTED_VALUE"""),"TL082")</f>
        <v>TL082</v>
      </c>
      <c r="D8" t="str">
        <f>IFERROR(__xludf.DUMMYFUNCTION("""COMPUTED_VALUE"""),"OPAMP-2TL072T")</f>
        <v>OPAMP-2TL072T</v>
      </c>
      <c r="E8" t="str">
        <f>IFERROR(__xludf.DUMMYFUNCTION("""COMPUTED_VALUE"""),"TSSOP8")</f>
        <v>TSSOP8</v>
      </c>
      <c r="F8" s="277" t="str">
        <f>IFERROR(__xludf.DUMMYFUNCTION("""COMPUTED_VALUE"""),"IC1, IC2, IC3, IC4, IC5, IC6, IC8, IC9")</f>
        <v>IC1, IC2, IC3, IC4, IC5, IC6, IC8, IC9</v>
      </c>
      <c r="G8" s="277" t="str">
        <f>IFERROR(__xludf.DUMMYFUNCTION("""COMPUTED_VALUE"""),"Dual OPAMP")</f>
        <v>Dual OPAMP</v>
      </c>
      <c r="H8" t="str">
        <f>IFERROR(__xludf.DUMMYFUNCTION("""COMPUTED_VALUE"""),"511-TL082CP")</f>
        <v>511-TL082CP</v>
      </c>
    </row>
    <row r="9">
      <c r="B9">
        <f>IFERROR(__xludf.DUMMYFUNCTION("""COMPUTED_VALUE"""),26.0)</f>
        <v>26</v>
      </c>
      <c r="C9" t="str">
        <f>IFERROR(__xludf.DUMMYFUNCTION("""COMPUTED_VALUE"""),"LED-RGB-CA-HEBEI")</f>
        <v>LED-RGB-CA-HEBEI</v>
      </c>
      <c r="D9" t="str">
        <f>IFERROR(__xludf.DUMMYFUNCTION("""COMPUTED_VALUE"""),"LED-RGB-CA-HEBEI")</f>
        <v>LED-RGB-CA-HEBEI</v>
      </c>
      <c r="E9" t="str">
        <f>IFERROR(__xludf.DUMMYFUNCTION("""COMPUTED_VALUE"""),"PLCC4")</f>
        <v>PLCC4</v>
      </c>
      <c r="F9" s="277" t="str">
        <f>IFERROR(__xludf.DUMMYFUNCTION("""COMPUTED_VALUE"""),"LED1, LED2, LED3, LED4, LED5, LED6, LED7, LED8, LED9, LED10, LED11, LED12, LED13, LED14, LED15, LED16, LED17, LED18, LED19, LED20, LED21, LED22, LED23, LED24, LED25, LED26")</f>
        <v>LED1, LED2, LED3, LED4, LED5, LED6, LED7, LED8, LED9, LED10, LED11, LED12, LED13, LED14, LED15, LED16, LED17, LED18, LED19, LED20, LED21, LED22, LED23, LED24, LED25, LED26</v>
      </c>
      <c r="G9" s="277" t="str">
        <f>IFERROR(__xludf.DUMMYFUNCTION("""COMPUTED_VALUE"""),"Hebei I.T. (Shanghai) PLCC4RGBCT-CA")</f>
        <v>Hebei I.T. (Shanghai) PLCC4RGBCT-CA</v>
      </c>
      <c r="H9" s="71" t="str">
        <f>IFERROR(__xludf.DUMMYFUNCTION("""COMPUTED_VALUE"""),"http://www.ebay.com/itm/251176235368")</f>
        <v>http://www.ebay.com/itm/251176235368</v>
      </c>
    </row>
    <row r="10">
      <c r="B10">
        <f>IFERROR(__xludf.DUMMYFUNCTION("""COMPUTED_VALUE"""),2.0)</f>
        <v>2</v>
      </c>
      <c r="C10" t="str">
        <f>IFERROR(__xludf.DUMMYFUNCTION("""COMPUTED_VALUE"""),"BEAD")</f>
        <v>BEAD</v>
      </c>
      <c r="D10" t="str">
        <f>IFERROR(__xludf.DUMMYFUNCTION("""COMPUTED_VALUE"""),"LB")</f>
        <v>LB</v>
      </c>
      <c r="E10">
        <f>IFERROR(__xludf.DUMMYFUNCTION("""COMPUTED_VALUE"""),603.0)</f>
        <v>603</v>
      </c>
      <c r="F10" s="277" t="str">
        <f>IFERROR(__xludf.DUMMYFUNCTION("""COMPUTED_VALUE"""),"L1, L2")</f>
        <v>L1, L2</v>
      </c>
      <c r="G10" s="277" t="str">
        <f>IFERROR(__xludf.DUMMYFUNCTION("""COMPUTED_VALUE"""),"Inductor")</f>
        <v>Inductor</v>
      </c>
      <c r="H10" t="str">
        <f>IFERROR(__xludf.DUMMYFUNCTION("""COMPUTED_VALUE"""),"875-MI0603K300R-10")</f>
        <v>875-MI0603K300R-10</v>
      </c>
    </row>
    <row r="11">
      <c r="B11">
        <f>IFERROR(__xludf.DUMMYFUNCTION("""COMPUTED_VALUE"""),2.0)</f>
        <v>2</v>
      </c>
      <c r="C11" t="str">
        <f>IFERROR(__xludf.DUMMYFUNCTION("""COMPUTED_VALUE"""),"LD1117-33")</f>
        <v>LD1117-33</v>
      </c>
      <c r="D11" t="str">
        <f>IFERROR(__xludf.DUMMYFUNCTION("""COMPUTED_VALUE"""),"LD111750TRS")</f>
        <v>LD111750TRS</v>
      </c>
      <c r="E11" t="str">
        <f>IFERROR(__xludf.DUMMYFUNCTION("""COMPUTED_VALUE"""),"SOT223")</f>
        <v>SOT223</v>
      </c>
      <c r="F11" s="277" t="str">
        <f>IFERROR(__xludf.DUMMYFUNCTION("""COMPUTED_VALUE"""),"IC7, IC10")</f>
        <v>IC7, IC10</v>
      </c>
      <c r="G11" s="277" t="str">
        <f>IFERROR(__xludf.DUMMYFUNCTION("""COMPUTED_VALUE"""),"Low drop fixed and adjustable positive voltage regulators 1 A")</f>
        <v>Low drop fixed and adjustable positive voltage regulators 1 A</v>
      </c>
      <c r="H11" t="str">
        <f>IFERROR(__xludf.DUMMYFUNCTION("""COMPUTED_VALUE"""),"511-LD1117AS33")</f>
        <v>511-LD1117AS33</v>
      </c>
    </row>
    <row r="12">
      <c r="B12">
        <f>IFERROR(__xludf.DUMMYFUNCTION("""COMPUTED_VALUE"""),1.0)</f>
        <v>1</v>
      </c>
      <c r="C12" t="str">
        <f>IFERROR(__xludf.DUMMYFUNCTION("""COMPUTED_VALUE"""),"HEADER-1X3-TH")</f>
        <v>HEADER-1X3-TH</v>
      </c>
      <c r="D12" t="str">
        <f>IFERROR(__xludf.DUMMYFUNCTION("""COMPUTED_VALUE"""),"HEADER-1X3")</f>
        <v>HEADER-1X3</v>
      </c>
      <c r="E12" t="str">
        <f>IFERROR(__xludf.DUMMYFUNCTION("""COMPUTED_VALUE"""),"HEADER-1X3-TH")</f>
        <v>HEADER-1X3-TH</v>
      </c>
      <c r="F12" s="277" t="str">
        <f>IFERROR(__xludf.DUMMYFUNCTION("""COMPUTED_VALUE"""),"V-SEL")</f>
        <v>V-SEL</v>
      </c>
      <c r="G12" s="277" t="str">
        <f>IFERROR(__xludf.DUMMYFUNCTION("""COMPUTED_VALUE"""),"Male or Female Header 1x3 (35mil holes fits most square pins)")</f>
        <v>Male or Female Header 1x3 (35mil holes fits most square pins)</v>
      </c>
    </row>
    <row r="13">
      <c r="B13">
        <f>IFERROR(__xludf.DUMMYFUNCTION("""COMPUTED_VALUE"""),4.0)</f>
        <v>4</v>
      </c>
      <c r="C13" t="str">
        <f>IFERROR(__xludf.DUMMYFUNCTION("""COMPUTED_VALUE"""),"10uF/10V")</f>
        <v>10uF/10V</v>
      </c>
      <c r="D13" t="str">
        <f>IFERROR(__xludf.DUMMYFUNCTION("""COMPUTED_VALUE"""),"CB")</f>
        <v>CB</v>
      </c>
      <c r="E13" t="str">
        <f>IFERROR(__xludf.DUMMYFUNCTION("""COMPUTED_VALUE"""),"C0603")</f>
        <v>C0603</v>
      </c>
      <c r="F13" s="277" t="str">
        <f>IFERROR(__xludf.DUMMYFUNCTION("""COMPUTED_VALUE"""),"C1, C2, C52, C53")</f>
        <v>C1, C2, C52, C53</v>
      </c>
      <c r="G13" s="277" t="str">
        <f>IFERROR(__xludf.DUMMYFUNCTION("""COMPUTED_VALUE"""),"Non-Polarized Capacitor")</f>
        <v>Non-Polarized Capacitor</v>
      </c>
      <c r="H13" t="str">
        <f>IFERROR(__xludf.DUMMYFUNCTION("""COMPUTED_VALUE"""),"GRM188R61A106KE69D")</f>
        <v>GRM188R61A106KE69D</v>
      </c>
    </row>
    <row r="14">
      <c r="B14">
        <f>IFERROR(__xludf.DUMMYFUNCTION("""COMPUTED_VALUE"""),3.0)</f>
        <v>3</v>
      </c>
      <c r="C14" t="str">
        <f>IFERROR(__xludf.DUMMYFUNCTION("""COMPUTED_VALUE"""),"2.2uF")</f>
        <v>2.2uF</v>
      </c>
      <c r="D14" t="str">
        <f>IFERROR(__xludf.DUMMYFUNCTION("""COMPUTED_VALUE"""),"CB")</f>
        <v>CB</v>
      </c>
      <c r="E14" t="str">
        <f>IFERROR(__xludf.DUMMYFUNCTION("""COMPUTED_VALUE"""),"C0603")</f>
        <v>C0603</v>
      </c>
      <c r="F14" s="277" t="str">
        <f>IFERROR(__xludf.DUMMYFUNCTION("""COMPUTED_VALUE"""),"C14, C28, C29")</f>
        <v>C14, C28, C29</v>
      </c>
      <c r="G14" s="277" t="str">
        <f>IFERROR(__xludf.DUMMYFUNCTION("""COMPUTED_VALUE"""),"Non-Polarized Capacitor")</f>
        <v>Non-Polarized Capacitor</v>
      </c>
      <c r="H14" t="str">
        <f>IFERROR(__xludf.DUMMYFUNCTION("""COMPUTED_VALUE"""),"80-C0603C225K4P")</f>
        <v>80-C0603C225K4P</v>
      </c>
    </row>
    <row r="15">
      <c r="B15">
        <f>IFERROR(__xludf.DUMMYFUNCTION("""COMPUTED_VALUE"""),58.0)</f>
        <v>58</v>
      </c>
      <c r="C15" t="str">
        <f>IFERROR(__xludf.DUMMYFUNCTION("""COMPUTED_VALUE"""),"0.1uF")</f>
        <v>0.1uF</v>
      </c>
      <c r="D15" t="str">
        <f>IFERROR(__xludf.DUMMYFUNCTION("""COMPUTED_VALUE"""),"CB")</f>
        <v>CB</v>
      </c>
      <c r="E15" t="str">
        <f>IFERROR(__xludf.DUMMYFUNCTION("""COMPUTED_VALUE"""),"C0603")</f>
        <v>C0603</v>
      </c>
      <c r="F15" s="277" t="str">
        <f>IFERROR(__xludf.DUMMYFUNCTION("""COMPUTED_VALUE"""),"C3, C9, C10, C11, C12, C13, C15, C16, C17, C18, C19, C20, C22, C23, C24, C25, C26, C27, C30, C34, C35, C36, C37, C38, C39, C40, C41, C42, C43, C44, C45, C46, C48, C49, C50, C57, C59, C60, C61, C62, C63, C64, C65, C66, C67, C68, C69, C70, C71, C72, C73, C7"&amp;"4, C75, C76, C77, C78, C79, C80")</f>
        <v>C3, C9, C10, C11, C12, C13, C15, C16, C17, C18, C19, C20, C22, C23, C24, C25, C26, C27, C30, C34, C35, C36, C37, C38, C39, C40, C41, C42, C43, C44, C45, C46, C48, C49, C50, C57, C59, C60, C61, C62, C63, C64, C65, C66, C67, C68, C69, C70, C71, C72, C73, C74, C75, C76, C77, C78, C79, C80</v>
      </c>
      <c r="G15" s="277" t="str">
        <f>IFERROR(__xludf.DUMMYFUNCTION("""COMPUTED_VALUE"""),"Non-Polarized Capacitor")</f>
        <v>Non-Polarized Capacitor</v>
      </c>
      <c r="H15" t="str">
        <f>IFERROR(__xludf.DUMMYFUNCTION("""COMPUTED_VALUE"""),"80-C0603C104K5R")</f>
        <v>80-C0603C104K5R</v>
      </c>
    </row>
    <row r="16">
      <c r="B16">
        <f>IFERROR(__xludf.DUMMYFUNCTION("""COMPUTED_VALUE"""),7.0)</f>
        <v>7</v>
      </c>
      <c r="C16" t="str">
        <f>IFERROR(__xludf.DUMMYFUNCTION("""COMPUTED_VALUE"""),"18pF")</f>
        <v>18pF</v>
      </c>
      <c r="D16" t="str">
        <f>IFERROR(__xludf.DUMMYFUNCTION("""COMPUTED_VALUE"""),"CB")</f>
        <v>CB</v>
      </c>
      <c r="E16" t="str">
        <f>IFERROR(__xludf.DUMMYFUNCTION("""COMPUTED_VALUE"""),"C0603")</f>
        <v>C0603</v>
      </c>
      <c r="F16" s="277" t="str">
        <f>IFERROR(__xludf.DUMMYFUNCTION("""COMPUTED_VALUE"""),"C5, C6, C32, C33, C51, C54, C55")</f>
        <v>C5, C6, C32, C33, C51, C54, C55</v>
      </c>
      <c r="G16" s="277" t="str">
        <f>IFERROR(__xludf.DUMMYFUNCTION("""COMPUTED_VALUE"""),"Non-Polarized Capacitor")</f>
        <v>Non-Polarized Capacitor</v>
      </c>
      <c r="H16" t="str">
        <f>IFERROR(__xludf.DUMMYFUNCTION("""COMPUTED_VALUE"""),"80-C0603C180K5G")</f>
        <v>80-C0603C180K5G</v>
      </c>
    </row>
    <row r="17">
      <c r="B17">
        <f>IFERROR(__xludf.DUMMYFUNCTION("""COMPUTED_VALUE"""),17.0)</f>
        <v>17</v>
      </c>
      <c r="C17" t="str">
        <f>IFERROR(__xludf.DUMMYFUNCTION("""COMPUTED_VALUE"""),"BAT54S")</f>
        <v>BAT54S</v>
      </c>
      <c r="D17" t="str">
        <f>IFERROR(__xludf.DUMMYFUNCTION("""COMPUTED_VALUE"""),"DIODE-DUAL")</f>
        <v>DIODE-DUAL</v>
      </c>
      <c r="E17" t="str">
        <f>IFERROR(__xludf.DUMMYFUNCTION("""COMPUTED_VALUE"""),"SOT23")</f>
        <v>SOT23</v>
      </c>
      <c r="F17" s="277" t="str">
        <f>IFERROR(__xludf.DUMMYFUNCTION("""COMPUTED_VALUE"""),"D1, D2, D3, D4, D5, D6, D7, D8, D9, D10, D11, D12, D14, D15, D16, D17, D18")</f>
        <v>D1, D2, D3, D4, D5, D6, D7, D8, D9, D10, D11, D12, D14, D15, D16, D17, D18</v>
      </c>
      <c r="G17" s="277" t="str">
        <f>IFERROR(__xludf.DUMMYFUNCTION("""COMPUTED_VALUE"""),"ON Semi BAT54SLT1G")</f>
        <v>ON Semi BAT54SLT1G</v>
      </c>
      <c r="H17" t="str">
        <f>IFERROR(__xludf.DUMMYFUNCTION("""COMPUTED_VALUE"""),"863-BAT54SLT1G")</f>
        <v>863-BAT54SLT1G</v>
      </c>
    </row>
    <row r="18">
      <c r="B18">
        <f>IFERROR(__xludf.DUMMYFUNCTION("""COMPUTED_VALUE"""),5.0)</f>
        <v>5</v>
      </c>
      <c r="C18" t="str">
        <f>IFERROR(__xludf.DUMMYFUNCTION("""COMPUTED_VALUE"""),"PCA9685")</f>
        <v>PCA9685</v>
      </c>
      <c r="D18" t="str">
        <f>IFERROR(__xludf.DUMMYFUNCTION("""COMPUTED_VALUE"""),"PCA9685")</f>
        <v>PCA9685</v>
      </c>
      <c r="E18" t="str">
        <f>IFERROR(__xludf.DUMMYFUNCTION("""COMPUTED_VALUE"""),"TSSOP28")</f>
        <v>TSSOP28</v>
      </c>
      <c r="F18" s="277" t="str">
        <f>IFERROR(__xludf.DUMMYFUNCTION("""COMPUTED_VALUE"""),"U2, U3, U4, U5, U6")</f>
        <v>U2, U3, U4, U5, U6</v>
      </c>
      <c r="G18" s="277" t="str">
        <f>IFERROR(__xludf.DUMMYFUNCTION("""COMPUTED_VALUE"""),"PCA9685 - 16 Channel 12-Bit I2C PWM Controller")</f>
        <v>PCA9685 - 16 Channel 12-Bit I2C PWM Controller</v>
      </c>
      <c r="H18" t="str">
        <f>IFERROR(__xludf.DUMMYFUNCTION("""COMPUTED_VALUE"""),"771-PCA9685PW,112")</f>
        <v>771-PCA9685PW,112</v>
      </c>
    </row>
    <row r="19">
      <c r="B19">
        <f>IFERROR(__xludf.DUMMYFUNCTION("""COMPUTED_VALUE"""),8.0)</f>
        <v>8</v>
      </c>
      <c r="C19" t="str">
        <f>IFERROR(__xludf.DUMMYFUNCTION("""COMPUTED_VALUE"""),"47uF")</f>
        <v>47uF</v>
      </c>
      <c r="D19" t="str">
        <f>IFERROR(__xludf.DUMMYFUNCTION("""COMPUTED_VALUE"""),"C-POL5")</f>
        <v>C-POL5</v>
      </c>
      <c r="E19" t="str">
        <f>IFERROR(__xludf.DUMMYFUNCTION("""COMPUTED_VALUE"""),"C-POL-5")</f>
        <v>C-POL-5</v>
      </c>
      <c r="F19" s="277" t="str">
        <f>IFERROR(__xludf.DUMMYFUNCTION("""COMPUTED_VALUE"""),"C4, C7, C8, C21, C31, C47, C56, C58")</f>
        <v>C4, C7, C8, C21, C31, C47, C56, C58</v>
      </c>
      <c r="G19" s="277" t="str">
        <f>IFERROR(__xludf.DUMMYFUNCTION("""COMPUTED_VALUE"""),"Polarized Capacitor")</f>
        <v>Polarized Capacitor</v>
      </c>
      <c r="H19" t="str">
        <f>IFERROR(__xludf.DUMMYFUNCTION("""COMPUTED_VALUE"""),"667-EEE-FK1C470UR")</f>
        <v>667-EEE-FK1C470UR</v>
      </c>
    </row>
    <row r="20">
      <c r="B20">
        <f>IFERROR(__xludf.DUMMYFUNCTION("""COMPUTED_VALUE"""),5.0)</f>
        <v>5</v>
      </c>
      <c r="C20" t="str">
        <f>IFERROR(__xludf.DUMMYFUNCTION("""COMPUTED_VALUE"""),"100k")</f>
        <v>100k</v>
      </c>
      <c r="D20" t="str">
        <f>IFERROR(__xludf.DUMMYFUNCTION("""COMPUTED_VALUE"""),"POTR0904N")</f>
        <v>POTR0904N</v>
      </c>
      <c r="E20" t="str">
        <f>IFERROR(__xludf.DUMMYFUNCTION("""COMPUTED_VALUE"""),"POT-9MM-SONGHUEI")</f>
        <v>POT-9MM-SONGHUEI</v>
      </c>
      <c r="F20" s="277" t="str">
        <f>IFERROR(__xludf.DUMMYFUNCTION("""COMPUTED_VALUE"""),"FREQNUDGE1, FREQNUDGE6, MORPH, QVAL, SPREAD")</f>
        <v>FREQNUDGE1, FREQNUDGE6, MORPH, QVAL, SPREAD</v>
      </c>
      <c r="G20" s="277" t="str">
        <f>IFERROR(__xludf.DUMMYFUNCTION("""COMPUTED_VALUE"""),"PVZA: Murata series PVZ3A471C01R00")</f>
        <v>PVZA: Murata series PVZ3A471C01R00</v>
      </c>
      <c r="H20" t="str">
        <f>IFERROR(__xludf.DUMMYFUNCTION("""COMPUTED_VALUE"""),"RV09AF-40-20K-B100K")</f>
        <v>RV09AF-40-20K-B100K</v>
      </c>
    </row>
    <row r="21">
      <c r="B21">
        <f>IFERROR(__xludf.DUMMYFUNCTION("""COMPUTED_VALUE"""),114.0)</f>
        <v>114</v>
      </c>
      <c r="C21" t="str">
        <f>IFERROR(__xludf.DUMMYFUNCTION("""COMPUTED_VALUE"""),"1k")</f>
        <v>1k</v>
      </c>
      <c r="D21" t="str">
        <f>IFERROR(__xludf.DUMMYFUNCTION("""COMPUTED_VALUE"""),"RB")</f>
        <v>RB</v>
      </c>
      <c r="E21" t="str">
        <f>IFERROR(__xludf.DUMMYFUNCTION("""COMPUTED_VALUE"""),"R0603")</f>
        <v>R0603</v>
      </c>
      <c r="F21" s="277" t="str">
        <f>IFERROR(__xludf.DUMMYFUNCTION("""COMPUTED_VALUE"""),"R1, R2, R3, R4, R7, R8, R10, R11, R12, R13, R14, R15, R17, R18, R21, R22, R23, R24, R29, R30, R31, R34, R35, R36, R37, R46, R47, R48, R49, R51, R53, R55, R57, R67, R74, R75, R79, R94, R95, R96, R97, R98, R99, R100, R101, R102, R103, R104, R105, R106, R107"&amp;", R108, R109, R110, R111, R112, R113, R114, R115, R116, R117, R119, R121, R123, R131, R132, R133, R134, R135, R136, R137, R138, R139, R140, R141, R142, R143, R144, R145, R146, R147, R148, R149, R150, R151, R152, R153, R154, R155, R156, R157, R158, R159, R"&amp;"160, R161, R162, R163, R164, R165, R166, R167, R168, R169, R173, R174, R175, R176, R177, R178, R179, R180, R181, R182, R184")</f>
        <v>R1, R2, R3, R4, R7, R8, R10, R11, R12, R13, R14, R15, R17, R18, R21, R22, R23, R24, R29, R30, R31, R34, R35, R36, R37, R46, R47, R48, R49, R51, R53, R55, R57, R67, R74, R75, R79, R94, R95, R96, R97, R98, R99, R100, R101, R102, R103, R104, R105, R106, R107, R108, R109, R110, R111, R112, R113, R114, R115, R116, R117, R119, R121, R123, R131, R132, R133, R134, R135, R136, R137, R138, R139, R140, R141, R142, R143, R144, R145, R146, R147, R148, R149, R150, R151, R152, R153, R154, R155, R156, R157, R158, R159, R160, R161, R162, R163, R164, R165, R166, R167, R168, R169, R173, R174, R175, R176, R177, R178, R179, R180, R181, R182, R184</v>
      </c>
      <c r="G21" s="277" t="str">
        <f>IFERROR(__xludf.DUMMYFUNCTION("""COMPUTED_VALUE"""),"Resistor")</f>
        <v>Resistor</v>
      </c>
      <c r="H21" t="str">
        <f>IFERROR(__xludf.DUMMYFUNCTION("""COMPUTED_VALUE"""),"667-ERJ-3EKF1001V")</f>
        <v>667-ERJ-3EKF1001V</v>
      </c>
    </row>
    <row r="22">
      <c r="B22">
        <f>IFERROR(__xludf.DUMMYFUNCTION("""COMPUTED_VALUE"""),2.0)</f>
        <v>2</v>
      </c>
      <c r="C22" t="str">
        <f>IFERROR(__xludf.DUMMYFUNCTION("""COMPUTED_VALUE"""),"200k?")</f>
        <v>200k?</v>
      </c>
      <c r="D22" t="str">
        <f>IFERROR(__xludf.DUMMYFUNCTION("""COMPUTED_VALUE"""),"RB")</f>
        <v>RB</v>
      </c>
      <c r="E22" t="str">
        <f>IFERROR(__xludf.DUMMYFUNCTION("""COMPUTED_VALUE"""),"R0603")</f>
        <v>R0603</v>
      </c>
      <c r="F22" s="277" t="str">
        <f>IFERROR(__xludf.DUMMYFUNCTION("""COMPUTED_VALUE"""),"R124, R125")</f>
        <v>R124, R125</v>
      </c>
      <c r="G22" s="277" t="str">
        <f>IFERROR(__xludf.DUMMYFUNCTION("""COMPUTED_VALUE"""),"Resistor")</f>
        <v>Resistor</v>
      </c>
      <c r="H22" t="str">
        <f>IFERROR(__xludf.DUMMYFUNCTION("""COMPUTED_VALUE"""),"667-ERJ-3EKF2003V")</f>
        <v>667-ERJ-3EKF2003V</v>
      </c>
    </row>
    <row r="23">
      <c r="B23">
        <f>IFERROR(__xludf.DUMMYFUNCTION("""COMPUTED_VALUE"""),4.0)</f>
        <v>4</v>
      </c>
      <c r="C23" t="str">
        <f>IFERROR(__xludf.DUMMYFUNCTION("""COMPUTED_VALUE"""),"4k7")</f>
        <v>4k7</v>
      </c>
      <c r="D23" t="str">
        <f>IFERROR(__xludf.DUMMYFUNCTION("""COMPUTED_VALUE"""),"RB")</f>
        <v>RB</v>
      </c>
      <c r="E23" t="str">
        <f>IFERROR(__xludf.DUMMYFUNCTION("""COMPUTED_VALUE"""),"R0603")</f>
        <v>R0603</v>
      </c>
      <c r="F23" s="277" t="str">
        <f>IFERROR(__xludf.DUMMYFUNCTION("""COMPUTED_VALUE"""),"R16, R25, R65, R66")</f>
        <v>R16, R25, R65, R66</v>
      </c>
      <c r="G23" s="277" t="str">
        <f>IFERROR(__xludf.DUMMYFUNCTION("""COMPUTED_VALUE"""),"Resistor")</f>
        <v>Resistor</v>
      </c>
      <c r="H23" t="str">
        <f>IFERROR(__xludf.DUMMYFUNCTION("""COMPUTED_VALUE"""),"667-ERJ-3EKF4701V")</f>
        <v>667-ERJ-3EKF4701V</v>
      </c>
    </row>
    <row r="24">
      <c r="B24">
        <f>IFERROR(__xludf.DUMMYFUNCTION("""COMPUTED_VALUE"""),2.0)</f>
        <v>2</v>
      </c>
      <c r="C24" t="str">
        <f>IFERROR(__xludf.DUMMYFUNCTION("""COMPUTED_VALUE"""),"1M")</f>
        <v>1M</v>
      </c>
      <c r="D24" t="str">
        <f>IFERROR(__xludf.DUMMYFUNCTION("""COMPUTED_VALUE"""),"RB")</f>
        <v>RB</v>
      </c>
      <c r="E24" t="str">
        <f>IFERROR(__xludf.DUMMYFUNCTION("""COMPUTED_VALUE"""),"R0603")</f>
        <v>R0603</v>
      </c>
      <c r="F24" s="277" t="str">
        <f>IFERROR(__xludf.DUMMYFUNCTION("""COMPUTED_VALUE"""),"R187, R188")</f>
        <v>R187, R188</v>
      </c>
      <c r="G24" s="277" t="str">
        <f>IFERROR(__xludf.DUMMYFUNCTION("""COMPUTED_VALUE"""),"Resistor")</f>
        <v>Resistor</v>
      </c>
      <c r="H24" t="str">
        <f>IFERROR(__xludf.DUMMYFUNCTION("""COMPUTED_VALUE"""),"667-ERJ-3EKF1004V")</f>
        <v>667-ERJ-3EKF1004V</v>
      </c>
    </row>
    <row r="25">
      <c r="B25">
        <f>IFERROR(__xludf.DUMMYFUNCTION("""COMPUTED_VALUE"""),2.0)</f>
        <v>2</v>
      </c>
      <c r="C25">
        <f>IFERROR(__xludf.DUMMYFUNCTION("""COMPUTED_VALUE"""),22.0)</f>
        <v>22</v>
      </c>
      <c r="D25" t="str">
        <f>IFERROR(__xludf.DUMMYFUNCTION("""COMPUTED_VALUE"""),"RB")</f>
        <v>RB</v>
      </c>
      <c r="E25" t="str">
        <f>IFERROR(__xludf.DUMMYFUNCTION("""COMPUTED_VALUE"""),"R0603")</f>
        <v>R0603</v>
      </c>
      <c r="F25" s="277" t="str">
        <f>IFERROR(__xludf.DUMMYFUNCTION("""COMPUTED_VALUE"""),"R27, R28")</f>
        <v>R27, R28</v>
      </c>
      <c r="G25" s="277" t="str">
        <f>IFERROR(__xludf.DUMMYFUNCTION("""COMPUTED_VALUE"""),"Resistor")</f>
        <v>Resistor</v>
      </c>
      <c r="H25" t="str">
        <f>IFERROR(__xludf.DUMMYFUNCTION("""COMPUTED_VALUE"""),"667-ERJ-3EKF22R0V")</f>
        <v>667-ERJ-3EKF22R0V</v>
      </c>
    </row>
    <row r="26">
      <c r="B26">
        <f>IFERROR(__xludf.DUMMYFUNCTION("""COMPUTED_VALUE"""),26.0)</f>
        <v>26</v>
      </c>
      <c r="C26" t="str">
        <f>IFERROR(__xludf.DUMMYFUNCTION("""COMPUTED_VALUE"""),"100k")</f>
        <v>100k</v>
      </c>
      <c r="D26" t="str">
        <f>IFERROR(__xludf.DUMMYFUNCTION("""COMPUTED_VALUE"""),"RB")</f>
        <v>RB</v>
      </c>
      <c r="E26" t="str">
        <f>IFERROR(__xludf.DUMMYFUNCTION("""COMPUTED_VALUE"""),"R0603")</f>
        <v>R0603</v>
      </c>
      <c r="F26" s="277" t="str">
        <f>IFERROR(__xludf.DUMMYFUNCTION("""COMPUTED_VALUE"""),"R38, R39, R40, R41, R42, R43, R61, R62, R77, R78, R80, R81, R84, R86, R88, R90, R92, R93, R127, R128, R129, R130, R172, R189, R190, R194")</f>
        <v>R38, R39, R40, R41, R42, R43, R61, R62, R77, R78, R80, R81, R84, R86, R88, R90, R92, R93, R127, R128, R129, R130, R172, R189, R190, R194</v>
      </c>
      <c r="G26" s="277" t="str">
        <f>IFERROR(__xludf.DUMMYFUNCTION("""COMPUTED_VALUE"""),"Resistor")</f>
        <v>Resistor</v>
      </c>
      <c r="H26" t="str">
        <f>IFERROR(__xludf.DUMMYFUNCTION("""COMPUTED_VALUE"""),"667-ERJ-3EKF1003V")</f>
        <v>667-ERJ-3EKF1003V</v>
      </c>
    </row>
    <row r="27">
      <c r="B27">
        <f>IFERROR(__xludf.DUMMYFUNCTION("""COMPUTED_VALUE"""),6.0)</f>
        <v>6</v>
      </c>
      <c r="C27">
        <f>IFERROR(__xludf.DUMMYFUNCTION("""COMPUTED_VALUE"""),330.0)</f>
        <v>330</v>
      </c>
      <c r="D27" t="str">
        <f>IFERROR(__xludf.DUMMYFUNCTION("""COMPUTED_VALUE"""),"RB")</f>
        <v>RB</v>
      </c>
      <c r="E27" t="str">
        <f>IFERROR(__xludf.DUMMYFUNCTION("""COMPUTED_VALUE"""),"R0603")</f>
        <v>R0603</v>
      </c>
      <c r="F27" s="277" t="str">
        <f>IFERROR(__xludf.DUMMYFUNCTION("""COMPUTED_VALUE"""),"R44, R45, R50, R118, R120, R122")</f>
        <v>R44, R45, R50, R118, R120, R122</v>
      </c>
      <c r="G27" s="277" t="str">
        <f>IFERROR(__xludf.DUMMYFUNCTION("""COMPUTED_VALUE"""),"Resistor")</f>
        <v>Resistor</v>
      </c>
      <c r="H27" t="str">
        <f>IFERROR(__xludf.DUMMYFUNCTION("""COMPUTED_VALUE"""),"667-ERJ-3EKF3300V")</f>
        <v>667-ERJ-3EKF3300V</v>
      </c>
    </row>
    <row r="28">
      <c r="B28">
        <f>IFERROR(__xludf.DUMMYFUNCTION("""COMPUTED_VALUE"""),12.0)</f>
        <v>12</v>
      </c>
      <c r="C28" t="str">
        <f>IFERROR(__xludf.DUMMYFUNCTION("""COMPUTED_VALUE"""),"49k")</f>
        <v>49k</v>
      </c>
      <c r="D28" t="str">
        <f>IFERROR(__xludf.DUMMYFUNCTION("""COMPUTED_VALUE"""),"RB")</f>
        <v>RB</v>
      </c>
      <c r="E28" t="str">
        <f>IFERROR(__xludf.DUMMYFUNCTION("""COMPUTED_VALUE"""),"R0603")</f>
        <v>R0603</v>
      </c>
      <c r="F28" s="277" t="str">
        <f>IFERROR(__xludf.DUMMYFUNCTION("""COMPUTED_VALUE"""),"R5, R19, R20, R68, R69, R70, R71, R72, R73, R76, R126, R183")</f>
        <v>R5, R19, R20, R68, R69, R70, R71, R72, R73, R76, R126, R183</v>
      </c>
      <c r="G28" s="277" t="str">
        <f>IFERROR(__xludf.DUMMYFUNCTION("""COMPUTED_VALUE"""),"Resistor")</f>
        <v>Resistor</v>
      </c>
      <c r="H28" t="str">
        <f>IFERROR(__xludf.DUMMYFUNCTION("""COMPUTED_VALUE"""),"667-ERJ3EKF4992V")</f>
        <v>667-ERJ3EKF4992V</v>
      </c>
    </row>
    <row r="29">
      <c r="B29">
        <f>IFERROR(__xludf.DUMMYFUNCTION("""COMPUTED_VALUE"""),15.0)</f>
        <v>15</v>
      </c>
      <c r="C29" t="str">
        <f>IFERROR(__xludf.DUMMYFUNCTION("""COMPUTED_VALUE"""),"10k")</f>
        <v>10k</v>
      </c>
      <c r="D29" t="str">
        <f>IFERROR(__xludf.DUMMYFUNCTION("""COMPUTED_VALUE"""),"RB")</f>
        <v>RB</v>
      </c>
      <c r="E29" t="str">
        <f>IFERROR(__xludf.DUMMYFUNCTION("""COMPUTED_VALUE"""),"R0603")</f>
        <v>R0603</v>
      </c>
      <c r="F29" s="277" t="str">
        <f>IFERROR(__xludf.DUMMYFUNCTION("""COMPUTED_VALUE"""),"R6, R9, R26, R32, R33, R52, R54, R56, R58, R59, R60, R63, R64, R185, R186")</f>
        <v>R6, R9, R26, R32, R33, R52, R54, R56, R58, R59, R60, R63, R64, R185, R186</v>
      </c>
      <c r="G29" s="277" t="str">
        <f>IFERROR(__xludf.DUMMYFUNCTION("""COMPUTED_VALUE"""),"Resistor")</f>
        <v>Resistor</v>
      </c>
      <c r="H29" t="str">
        <f>IFERROR(__xludf.DUMMYFUNCTION("""COMPUTED_VALUE"""),"667-ERJ-3EKF1002V")</f>
        <v>667-ERJ-3EKF1002V</v>
      </c>
    </row>
    <row r="30">
      <c r="B30">
        <f>IFERROR(__xludf.DUMMYFUNCTION("""COMPUTED_VALUE"""),7.0)</f>
        <v>7</v>
      </c>
      <c r="C30" t="str">
        <f>IFERROR(__xludf.DUMMYFUNCTION("""COMPUTED_VALUE"""),"68k")</f>
        <v>68k</v>
      </c>
      <c r="D30" t="str">
        <f>IFERROR(__xludf.DUMMYFUNCTION("""COMPUTED_VALUE"""),"RB")</f>
        <v>RB</v>
      </c>
      <c r="E30" t="str">
        <f>IFERROR(__xludf.DUMMYFUNCTION("""COMPUTED_VALUE"""),"R0603")</f>
        <v>R0603</v>
      </c>
      <c r="F30" s="277" t="str">
        <f>IFERROR(__xludf.DUMMYFUNCTION("""COMPUTED_VALUE"""),"R82, R83, R85, R87, R89, R91, R191")</f>
        <v>R82, R83, R85, R87, R89, R91, R191</v>
      </c>
      <c r="G30" s="277" t="str">
        <f>IFERROR(__xludf.DUMMYFUNCTION("""COMPUTED_VALUE"""),"Resistor")</f>
        <v>Resistor</v>
      </c>
      <c r="H30" t="str">
        <f>IFERROR(__xludf.DUMMYFUNCTION("""COMPUTED_VALUE"""),"667-ERJ-3EKF6802V")</f>
        <v>667-ERJ-3EKF6802V</v>
      </c>
    </row>
    <row r="31">
      <c r="B31">
        <f>IFERROR(__xludf.DUMMYFUNCTION("""COMPUTED_VALUE"""),1.0)</f>
        <v>1</v>
      </c>
      <c r="C31" t="str">
        <f>IFERROR(__xludf.DUMMYFUNCTION("""COMPUTED_VALUE"""),"USB-MINIB-5PIN")</f>
        <v>USB-MINIB-5PIN</v>
      </c>
      <c r="D31" t="str">
        <f>IFERROR(__xludf.DUMMYFUNCTION("""COMPUTED_VALUE"""),"USB-MINIB-5PIN")</f>
        <v>USB-MINIB-5PIN</v>
      </c>
      <c r="E31" t="str">
        <f>IFERROR(__xludf.DUMMYFUNCTION("""COMPUTED_VALUE"""),"USB-MINIB")</f>
        <v>USB-MINIB</v>
      </c>
      <c r="F31" s="277" t="str">
        <f>IFERROR(__xludf.DUMMYFUNCTION("""COMPUTED_VALUE"""),"U$1")</f>
        <v>U$1</v>
      </c>
      <c r="G31" s="277" t="str">
        <f>IFERROR(__xludf.DUMMYFUNCTION("""COMPUTED_VALUE"""),"Samtec MUSB-05-F-B-SM-A")</f>
        <v>Samtec MUSB-05-F-B-SM-A</v>
      </c>
      <c r="I31" t="str">
        <f>IFERROR(__xludf.DUMMYFUNCTION("""COMPUTED_VALUE"""),"SAM8840-ND")</f>
        <v>SAM8840-ND</v>
      </c>
    </row>
    <row r="32">
      <c r="B32">
        <f>IFERROR(__xludf.DUMMYFUNCTION("""COMPUTED_VALUE"""),1.0)</f>
        <v>1</v>
      </c>
      <c r="C32" t="str">
        <f>IFERROR(__xludf.DUMMYFUNCTION("""COMPUTED_VALUE"""),"HEADER-2X8-SMT")</f>
        <v>HEADER-2X8-SMT</v>
      </c>
      <c r="D32" t="str">
        <f>IFERROR(__xludf.DUMMYFUNCTION("""COMPUTED_VALUE"""),"HEADER-2X8SHRD")</f>
        <v>HEADER-2X8SHRD</v>
      </c>
      <c r="E32" t="str">
        <f>IFERROR(__xludf.DUMMYFUNCTION("""COMPUTED_VALUE"""),"HEADER-2X8-SMT-SHROUDED")</f>
        <v>HEADER-2X8-SMT-SHROUDED</v>
      </c>
      <c r="F32" s="277" t="str">
        <f>IFERROR(__xludf.DUMMYFUNCTION("""COMPUTED_VALUE"""),"POWER")</f>
        <v>POWER</v>
      </c>
      <c r="G32" s="277" t="str">
        <f>IFERROR(__xludf.DUMMYFUNCTION("""COMPUTED_VALUE"""),"SMT HEADER 2x8")</f>
        <v>SMT HEADER 2x8</v>
      </c>
      <c r="H32" t="str">
        <f>IFERROR(__xludf.DUMMYFUNCTION("""COMPUTED_VALUE"""),"649-95278-101A16LF")</f>
        <v>649-95278-101A16LF</v>
      </c>
    </row>
    <row r="33">
      <c r="B33">
        <f>IFERROR(__xludf.DUMMYFUNCTION("""COMPUTED_VALUE"""),5.0)</f>
        <v>5</v>
      </c>
      <c r="C33" t="str">
        <f>IFERROR(__xludf.DUMMYFUNCTION("""COMPUTED_VALUE"""),"submini-2T")</f>
        <v>submini-2T</v>
      </c>
      <c r="D33" t="str">
        <f>IFERROR(__xludf.DUMMYFUNCTION("""COMPUTED_VALUE"""),"SPDTT")</f>
        <v>SPDTT</v>
      </c>
      <c r="E33" t="str">
        <f>IFERROR(__xludf.DUMMYFUNCTION("""COMPUTED_VALUE"""),"SPDT-SUB")</f>
        <v>SPDT-SUB</v>
      </c>
      <c r="F33" s="277" t="str">
        <f>IFERROR(__xludf.DUMMYFUNCTION("""COMPUTED_VALUE"""),"BANKSCALE-SW, LAG-SW, MOD135-SW, MOD246-SW, PREPOST-SW")</f>
        <v>BANKSCALE-SW, LAG-SW, MOD135-SW, MOD246-SW, PREPOST-SW</v>
      </c>
      <c r="G33" s="277" t="str">
        <f>IFERROR(__xludf.DUMMYFUNCTION("""COMPUTED_VALUE"""),"SPDT Switch")</f>
        <v>SPDT Switch</v>
      </c>
      <c r="H33" t="str">
        <f>IFERROR(__xludf.DUMMYFUNCTION("""COMPUTED_VALUE"""),"611-T101-001")</f>
        <v>611-T101-001</v>
      </c>
    </row>
    <row r="34">
      <c r="B34">
        <f>IFERROR(__xludf.DUMMYFUNCTION("""COMPUTED_VALUE"""),1.0)</f>
        <v>1</v>
      </c>
      <c r="C34" t="str">
        <f>IFERROR(__xludf.DUMMYFUNCTION("""COMPUTED_VALUE"""),"submini-3T")</f>
        <v>submini-3T</v>
      </c>
      <c r="D34" t="str">
        <f>IFERROR(__xludf.DUMMYFUNCTION("""COMPUTED_VALUE"""),"SPDTT")</f>
        <v>SPDTT</v>
      </c>
      <c r="E34" t="str">
        <f>IFERROR(__xludf.DUMMYFUNCTION("""COMPUTED_VALUE"""),"SPDT-SUB")</f>
        <v>SPDT-SUB</v>
      </c>
      <c r="F34" s="277" t="str">
        <f>IFERROR(__xludf.DUMMYFUNCTION("""COMPUTED_VALUE"""),"SLOWFAST-SW")</f>
        <v>SLOWFAST-SW</v>
      </c>
      <c r="G34" s="277" t="str">
        <f>IFERROR(__xludf.DUMMYFUNCTION("""COMPUTED_VALUE"""),"SPDT Switch")</f>
        <v>SPDT Switch</v>
      </c>
      <c r="H34" t="str">
        <f>IFERROR(__xludf.DUMMYFUNCTION("""COMPUTED_VALUE"""),"611-T103-001")</f>
        <v>611-T103-001</v>
      </c>
    </row>
    <row r="35">
      <c r="B35">
        <f>IFERROR(__xludf.DUMMYFUNCTION("""COMPUTED_VALUE"""),7.0)</f>
        <v>7</v>
      </c>
      <c r="D35" t="str">
        <f>IFERROR(__xludf.DUMMYFUNCTION("""COMPUTED_VALUE"""),"PAD-06")</f>
        <v>PAD-06</v>
      </c>
      <c r="E35" t="str">
        <f>IFERROR(__xludf.DUMMYFUNCTION("""COMPUTED_VALUE"""),"PAD-06")</f>
        <v>PAD-06</v>
      </c>
      <c r="F35" s="277" t="str">
        <f>IFERROR(__xludf.DUMMYFUNCTION("""COMPUTED_VALUE"""),"AGND, AGND-OPT, DGND, PG2, PG3, PG5, PG6")</f>
        <v>AGND, AGND-OPT, DGND, PG2, PG3, PG5, PG6</v>
      </c>
      <c r="G35" s="277"/>
    </row>
    <row r="36">
      <c r="B36">
        <f>IFERROR(__xludf.DUMMYFUNCTION("""COMPUTED_VALUE"""),27.0)</f>
        <v>27</v>
      </c>
      <c r="C36" t="str">
        <f>IFERROR(__xludf.DUMMYFUNCTION("""COMPUTED_VALUE"""),"PJ301-M12")</f>
        <v>PJ301-M12</v>
      </c>
      <c r="D36" t="str">
        <f>IFERROR(__xludf.DUMMYFUNCTION("""COMPUTED_VALUE"""),"JACK-MONO-SWM2")</f>
        <v>JACK-MONO-SWM2</v>
      </c>
      <c r="E36" t="str">
        <f>IFERROR(__xludf.DUMMYFUNCTION("""COMPUTED_VALUE"""),"PJ301M-12-FIX")</f>
        <v>PJ301M-12-FIX</v>
      </c>
      <c r="F36" s="277" t="str">
        <f>IFERROR(__xludf.DUMMYFUNCTION("""COMPUTED_VALUE"""),"BANDCV1, BANDCV2, BANDCV3, BANDCV4, BANDCV5, BANDCV6, ENV1, ENV2, ENV3, ENV4, ENV5, ENV6, FREQCV1, FREQCV6, IN-1, IN-2, LOCK_135, LOCK_246, MORPHCV, OUT-1, OUT-2, QVALCV, ROTCV, ROTRIGUP, ROTTRIGDOWN, SCALECV, SPREADCV")</f>
        <v>BANDCV1, BANDCV2, BANDCV3, BANDCV4, BANDCV5, BANDCV6, ENV1, ENV2, ENV3, ENV4, ENV5, ENV6, FREQCV1, FREQCV6, IN-1, IN-2, LOCK_135, LOCK_246, MORPHCV, OUT-1, OUT-2, QVALCV, ROTCV, ROTRIGUP, ROTTRIGDOWN, SCALECV, SPREADCV</v>
      </c>
      <c r="G36" s="277"/>
    </row>
    <row r="37">
      <c r="B37">
        <f>IFERROR(__xludf.DUMMYFUNCTION("""COMPUTED_VALUE"""),1.0)</f>
        <v>1</v>
      </c>
      <c r="C37" t="str">
        <f>IFERROR(__xludf.DUMMYFUNCTION("""COMPUTED_VALUE"""),"ROTENC-BUTTON-A")</f>
        <v>ROTENC-BUTTON-A</v>
      </c>
      <c r="D37" t="str">
        <f>IFERROR(__xludf.DUMMYFUNCTION("""COMPUTED_VALUE"""),"ROTENC-BUTTON-A")</f>
        <v>ROTENC-BUTTON-A</v>
      </c>
      <c r="E37" t="str">
        <f>IFERROR(__xludf.DUMMYFUNCTION("""COMPUTED_VALUE"""),"ROTENC-12MM-BUT")</f>
        <v>ROTENC-12MM-BUT</v>
      </c>
      <c r="F37" s="277" t="str">
        <f>IFERROR(__xludf.DUMMYFUNCTION("""COMPUTED_VALUE"""),"ENC1")</f>
        <v>ENC1</v>
      </c>
      <c r="G37" s="277"/>
      <c r="H37" t="str">
        <f>IFERROR(__xludf.DUMMYFUNCTION("""COMPUTED_VALUE"""),"PEC12R-4220F-S0024")</f>
        <v>PEC12R-4220F-S0024</v>
      </c>
    </row>
    <row r="38">
      <c r="B38">
        <f>IFERROR(__xludf.DUMMYFUNCTION("""COMPUTED_VALUE"""),6.0)</f>
        <v>6</v>
      </c>
      <c r="C38" t="str">
        <f>IFERROR(__xludf.DUMMYFUNCTION("""COMPUTED_VALUE"""),"WHITE-MOM")</f>
        <v>WHITE-MOM</v>
      </c>
      <c r="D38" t="str">
        <f>IFERROR(__xludf.DUMMYFUNCTION("""COMPUTED_VALUE"""),"BUTTON-LED")</f>
        <v>BUTTON-LED</v>
      </c>
      <c r="E38" t="str">
        <f>IFERROR(__xludf.DUMMYFUNCTION("""COMPUTED_VALUE"""),"BUTTON-LED-PB61303")</f>
        <v>BUTTON-LED-PB61303</v>
      </c>
      <c r="F38" s="277" t="str">
        <f>IFERROR(__xludf.DUMMYFUNCTION("""COMPUTED_VALUE"""),"LOCK1, LOCK2, LOCK3, LOCK4, LOCK5, LOCK6")</f>
        <v>LOCK1, LOCK2, LOCK3, LOCK4, LOCK5, LOCK6</v>
      </c>
      <c r="G38" s="277"/>
      <c r="H38" t="str">
        <f>IFERROR(__xludf.DUMMYFUNCTION("""COMPUTED_VALUE"""),"612-LP4OA1PBCTG")</f>
        <v>612-LP4OA1PBCTG</v>
      </c>
      <c r="J38" t="str">
        <f>IFERROR(__xludf.DUMMYFUNCTION("""COMPUTED_VALUE"""),"Green")</f>
        <v>Green</v>
      </c>
    </row>
    <row r="39">
      <c r="B39">
        <f>IFERROR(__xludf.DUMMYFUNCTION("""COMPUTED_VALUE"""),2.0)</f>
        <v>2</v>
      </c>
      <c r="C39" t="str">
        <f>IFERROR(__xludf.DUMMYFUNCTION("""COMPUTED_VALUE"""),"BUTTON-TACT")</f>
        <v>BUTTON-TACT</v>
      </c>
      <c r="D39" t="str">
        <f>IFERROR(__xludf.DUMMYFUNCTION("""COMPUTED_VALUE"""),"BUTTON-TACT")</f>
        <v>BUTTON-TACT</v>
      </c>
      <c r="E39" t="str">
        <f>IFERROR(__xludf.DUMMYFUNCTION("""COMPUTED_VALUE"""),"BUTTON-TACT-SKQG")</f>
        <v>BUTTON-TACT-SKQG</v>
      </c>
      <c r="F39" s="277" t="str">
        <f>IFERROR(__xludf.DUMMYFUNCTION("""COMPUTED_VALUE"""),"S0, S1")</f>
        <v>S0, S1</v>
      </c>
      <c r="G39" s="277"/>
      <c r="H39" t="str">
        <f>IFERROR(__xludf.DUMMYFUNCTION("""COMPUTED_VALUE"""),"667-EVQ-Q2K01W")</f>
        <v>667-EVQ-Q2K01W</v>
      </c>
    </row>
    <row r="40">
      <c r="B40">
        <f>IFERROR(__xludf.DUMMYFUNCTION("""COMPUTED_VALUE"""),6.0)</f>
        <v>6</v>
      </c>
      <c r="C40" t="str">
        <f>IFERROR(__xludf.DUMMYFUNCTION("""COMPUTED_VALUE"""),"100k")</f>
        <v>100k</v>
      </c>
      <c r="D40" t="str">
        <f>IFERROR(__xludf.DUMMYFUNCTION("""COMPUTED_VALUE"""),"POT-LED")</f>
        <v>POT-LED</v>
      </c>
      <c r="E40" t="str">
        <f>IFERROR(__xludf.DUMMYFUNCTION("""COMPUTED_VALUE"""),"POT-SLIDER-ALPHA-RA2045F-20")</f>
        <v>POT-SLIDER-ALPHA-RA2045F-20</v>
      </c>
      <c r="F40" s="277" t="str">
        <f>IFERROR(__xludf.DUMMYFUNCTION("""COMPUTED_VALUE"""),"SLIDE1, SLIDE2, SLIDE3, SLIDE4, SLIDE5, SLIDE6")</f>
        <v>SLIDE1, SLIDE2, SLIDE3, SLIDE4, SLIDE5, SLIDE6</v>
      </c>
      <c r="G40" s="277"/>
      <c r="H40" t="str">
        <f>IFERROR(__xludf.DUMMYFUNCTION("""COMPUTED_VALUE"""),"312-2045F-R50K")</f>
        <v>312-2045F-R50K</v>
      </c>
    </row>
    <row r="41">
      <c r="B41">
        <f>IFERROR(__xludf.DUMMYFUNCTION("""COMPUTED_VALUE"""),1.0)</f>
        <v>1</v>
      </c>
      <c r="C41" t="str">
        <f>IFERROR(__xludf.DUMMYFUNCTION("""COMPUTED_VALUE"""),"HEADER-1X4")</f>
        <v>HEADER-1X4</v>
      </c>
      <c r="D41" t="str">
        <f>IFERROR(__xludf.DUMMYFUNCTION("""COMPUTED_VALUE"""),"HEADER-1X4")</f>
        <v>HEADER-1X4</v>
      </c>
      <c r="E41" t="str">
        <f>IFERROR(__xludf.DUMMYFUNCTION("""COMPUTED_VALUE"""),"HEADER-1X4-TH")</f>
        <v>HEADER-1X4-TH</v>
      </c>
      <c r="F41" s="277" t="str">
        <f>IFERROR(__xludf.DUMMYFUNCTION("""COMPUTED_VALUE"""),"SWD")</f>
        <v>SWD</v>
      </c>
      <c r="G41" s="277"/>
    </row>
    <row r="42">
      <c r="B42">
        <f>IFERROR(__xludf.DUMMYFUNCTION("""COMPUTED_VALUE"""),1.0)</f>
        <v>1</v>
      </c>
      <c r="C42" t="str">
        <f>IFERROR(__xludf.DUMMYFUNCTION("""COMPUTED_VALUE"""),"WM8731")</f>
        <v>WM8731</v>
      </c>
      <c r="D42" t="str">
        <f>IFERROR(__xludf.DUMMYFUNCTION("""COMPUTED_VALUE"""),"WM8731")</f>
        <v>WM8731</v>
      </c>
      <c r="E42" t="str">
        <f>IFERROR(__xludf.DUMMYFUNCTION("""COMPUTED_VALUE"""),"28-SSOP")</f>
        <v>28-SSOP</v>
      </c>
      <c r="F42" s="277" t="str">
        <f>IFERROR(__xludf.DUMMYFUNCTION("""COMPUTED_VALUE"""),"U1")</f>
        <v>U1</v>
      </c>
      <c r="G42" s="277"/>
      <c r="H42" t="str">
        <f>IFERROR(__xludf.DUMMYFUNCTION("""COMPUTED_VALUE"""),"238-WM8731SEDS/V")</f>
        <v>238-WM8731SEDS/V</v>
      </c>
    </row>
    <row r="43">
      <c r="B43">
        <f>IFERROR(__xludf.DUMMYFUNCTION("""COMPUTED_VALUE"""),1.0)</f>
        <v>1</v>
      </c>
      <c r="C43" t="str">
        <f>IFERROR(__xludf.DUMMYFUNCTION("""COMPUTED_VALUE"""),"STM32F427ZG")</f>
        <v>STM32F427ZG</v>
      </c>
      <c r="D43" t="str">
        <f>IFERROR(__xludf.DUMMYFUNCTION("""COMPUTED_VALUE"""),"STM32F429ZI")</f>
        <v>STM32F429ZI</v>
      </c>
      <c r="E43" t="str">
        <f>IFERROR(__xludf.DUMMYFUNCTION("""COMPUTED_VALUE"""),"LQFP144")</f>
        <v>LQFP144</v>
      </c>
      <c r="F43" s="277" t="str">
        <f>IFERROR(__xludf.DUMMYFUNCTION("""COMPUTED_VALUE"""),"U7")</f>
        <v>U7</v>
      </c>
      <c r="G43" s="277"/>
      <c r="H43" t="str">
        <f>IFERROR(__xludf.DUMMYFUNCTION("""COMPUTED_VALUE"""),"511-STM32F427ZGT6")</f>
        <v>511-STM32F427ZGT6</v>
      </c>
    </row>
    <row r="44">
      <c r="B44">
        <f>IFERROR(__xludf.DUMMYFUNCTION("""COMPUTED_VALUE"""),1.0)</f>
        <v>1</v>
      </c>
      <c r="C44" t="str">
        <f>IFERROR(__xludf.DUMMYFUNCTION("""COMPUTED_VALUE"""),"KA78L05")</f>
        <v>KA78L05</v>
      </c>
      <c r="D44" t="str">
        <f>IFERROR(__xludf.DUMMYFUNCTION("""COMPUTED_VALUE"""),"VREG-KA78LXX")</f>
        <v>VREG-KA78LXX</v>
      </c>
      <c r="E44" t="str">
        <f>IFERROR(__xludf.DUMMYFUNCTION("""COMPUTED_VALUE"""),"SOT89")</f>
        <v>SOT89</v>
      </c>
      <c r="F44" s="277" t="str">
        <f>IFERROR(__xludf.DUMMYFUNCTION("""COMPUTED_VALUE"""),"V1")</f>
        <v>V1</v>
      </c>
      <c r="G44" s="277"/>
      <c r="H44" t="str">
        <f>IFERROR(__xludf.DUMMYFUNCTION("""COMPUTED_VALUE"""),"512-KA78L05AIMTF")</f>
        <v>512-KA78L05AIMTF</v>
      </c>
    </row>
    <row r="45">
      <c r="B45">
        <f>IFERROR(__xludf.DUMMYFUNCTION("""COMPUTED_VALUE"""),1.0)</f>
        <v>1</v>
      </c>
      <c r="C45" t="str">
        <f>IFERROR(__xludf.DUMMYFUNCTION("""COMPUTED_VALUE"""),"78E-3.3-0.5")</f>
        <v>78E-3.3-0.5</v>
      </c>
      <c r="D45" t="str">
        <f>IFERROR(__xludf.DUMMYFUNCTION("""COMPUTED_VALUE"""),"VREG-DCDC")</f>
        <v>VREG-DCDC</v>
      </c>
      <c r="E45" t="str">
        <f>IFERROR(__xludf.DUMMYFUNCTION("""COMPUTED_VALUE"""),"RECOM-DCDC")</f>
        <v>RECOM-DCDC</v>
      </c>
      <c r="F45" s="277" t="str">
        <f>IFERROR(__xludf.DUMMYFUNCTION("""COMPUTED_VALUE"""),"VR4")</f>
        <v>VR4</v>
      </c>
      <c r="G45" s="277"/>
      <c r="H45" t="str">
        <f>IFERROR(__xludf.DUMMYFUNCTION("""COMPUTED_VALUE"""),"919-R-78E3.3-0.5")</f>
        <v>919-R-78E3.3-0.5</v>
      </c>
    </row>
    <row r="46">
      <c r="F46" s="277"/>
      <c r="G46" s="277"/>
    </row>
    <row r="47">
      <c r="F47" s="277"/>
      <c r="G47" s="277"/>
    </row>
    <row r="48">
      <c r="F48" s="277"/>
      <c r="G48" s="277"/>
    </row>
    <row r="49">
      <c r="F49" s="277"/>
      <c r="G49" s="277"/>
    </row>
    <row r="50">
      <c r="F50" s="277"/>
      <c r="G50" s="277"/>
    </row>
    <row r="51">
      <c r="F51" s="277"/>
      <c r="G51" s="277"/>
    </row>
    <row r="52">
      <c r="F52" s="277"/>
      <c r="G52" s="277"/>
    </row>
    <row r="53">
      <c r="F53" s="277"/>
      <c r="G53" s="277"/>
    </row>
    <row r="54">
      <c r="F54" s="277"/>
      <c r="G54" s="277"/>
    </row>
    <row r="55">
      <c r="F55" s="277"/>
      <c r="G55" s="277"/>
    </row>
    <row r="56">
      <c r="F56" s="277"/>
      <c r="G56" s="277"/>
    </row>
    <row r="57">
      <c r="F57" s="277"/>
      <c r="G57" s="277"/>
    </row>
    <row r="58">
      <c r="F58" s="277"/>
      <c r="G58" s="277"/>
    </row>
    <row r="59">
      <c r="F59" s="277"/>
      <c r="G59" s="277"/>
    </row>
    <row r="60">
      <c r="F60" s="277"/>
      <c r="G60" s="277"/>
    </row>
    <row r="61">
      <c r="F61" s="277"/>
      <c r="G61" s="277"/>
    </row>
    <row r="62">
      <c r="F62" s="277"/>
      <c r="G62" s="277"/>
    </row>
    <row r="63">
      <c r="F63" s="277"/>
      <c r="G63" s="277"/>
    </row>
    <row r="64">
      <c r="F64" s="277"/>
      <c r="G64" s="277"/>
    </row>
    <row r="65">
      <c r="F65" s="277"/>
      <c r="G65" s="277"/>
    </row>
    <row r="66">
      <c r="F66" s="277"/>
      <c r="G66" s="277"/>
    </row>
    <row r="67">
      <c r="F67" s="277"/>
      <c r="G67" s="277"/>
    </row>
    <row r="68">
      <c r="F68" s="277"/>
      <c r="G68" s="277"/>
    </row>
    <row r="69">
      <c r="F69" s="277"/>
      <c r="G69" s="277"/>
    </row>
    <row r="70">
      <c r="F70" s="277"/>
      <c r="G70" s="277"/>
    </row>
    <row r="71">
      <c r="F71" s="277"/>
      <c r="G71" s="277"/>
    </row>
    <row r="72">
      <c r="F72" s="277"/>
      <c r="G72" s="277"/>
    </row>
    <row r="73">
      <c r="F73" s="277"/>
      <c r="G73" s="277"/>
    </row>
    <row r="74">
      <c r="F74" s="277"/>
      <c r="G74" s="277"/>
    </row>
    <row r="75">
      <c r="F75" s="277"/>
      <c r="G75" s="277"/>
    </row>
    <row r="76">
      <c r="F76" s="277"/>
      <c r="G76" s="277"/>
    </row>
    <row r="77">
      <c r="F77" s="277"/>
      <c r="G77" s="277"/>
    </row>
    <row r="78">
      <c r="F78" s="277"/>
      <c r="G78" s="277"/>
    </row>
    <row r="79">
      <c r="F79" s="277"/>
      <c r="G79" s="277"/>
    </row>
    <row r="80">
      <c r="F80" s="277"/>
      <c r="G80" s="277"/>
    </row>
    <row r="81">
      <c r="F81" s="277"/>
      <c r="G81" s="277"/>
    </row>
    <row r="82">
      <c r="F82" s="277"/>
      <c r="G82" s="277"/>
    </row>
    <row r="83">
      <c r="F83" s="277"/>
      <c r="G83" s="277"/>
    </row>
    <row r="84">
      <c r="F84" s="277"/>
      <c r="G84" s="277"/>
    </row>
    <row r="85">
      <c r="F85" s="277"/>
      <c r="G85" s="277"/>
    </row>
    <row r="86">
      <c r="F86" s="277"/>
      <c r="G86" s="277"/>
    </row>
    <row r="87">
      <c r="F87" s="277"/>
      <c r="G87" s="277"/>
    </row>
    <row r="88">
      <c r="F88" s="277"/>
      <c r="G88" s="277"/>
    </row>
    <row r="89">
      <c r="F89" s="277"/>
      <c r="G89" s="277"/>
    </row>
    <row r="90">
      <c r="F90" s="277"/>
      <c r="G90" s="277"/>
    </row>
    <row r="91">
      <c r="F91" s="277"/>
      <c r="G91" s="277"/>
    </row>
    <row r="92">
      <c r="F92" s="277"/>
      <c r="G92" s="277"/>
    </row>
    <row r="93">
      <c r="F93" s="277"/>
      <c r="G93" s="277"/>
    </row>
    <row r="94">
      <c r="F94" s="277"/>
      <c r="G94" s="277"/>
    </row>
    <row r="95">
      <c r="F95" s="277"/>
      <c r="G95" s="277"/>
    </row>
    <row r="96">
      <c r="F96" s="277"/>
      <c r="G96" s="277"/>
    </row>
    <row r="97">
      <c r="F97" s="277"/>
      <c r="G97" s="277"/>
    </row>
    <row r="98">
      <c r="F98" s="277"/>
      <c r="G98" s="277"/>
    </row>
    <row r="99">
      <c r="F99" s="277"/>
      <c r="G99" s="277"/>
    </row>
    <row r="100">
      <c r="F100" s="277"/>
      <c r="G100" s="277"/>
    </row>
    <row r="101">
      <c r="F101" s="277"/>
      <c r="G101" s="277"/>
    </row>
    <row r="102">
      <c r="F102" s="277"/>
      <c r="G102" s="277"/>
    </row>
    <row r="103">
      <c r="F103" s="277"/>
      <c r="G103" s="277"/>
    </row>
    <row r="104">
      <c r="F104" s="277"/>
      <c r="G104" s="277"/>
    </row>
    <row r="105">
      <c r="F105" s="277"/>
      <c r="G105" s="277"/>
    </row>
    <row r="106">
      <c r="F106" s="277"/>
      <c r="G106" s="277"/>
    </row>
    <row r="107">
      <c r="F107" s="277"/>
      <c r="G107" s="277"/>
    </row>
    <row r="108">
      <c r="F108" s="277"/>
      <c r="G108" s="277"/>
    </row>
    <row r="109">
      <c r="F109" s="277"/>
      <c r="G109" s="277"/>
    </row>
    <row r="110">
      <c r="F110" s="277"/>
      <c r="G110" s="277"/>
    </row>
    <row r="111">
      <c r="F111" s="277"/>
      <c r="G111" s="277"/>
    </row>
    <row r="112">
      <c r="F112" s="277"/>
      <c r="G112" s="277"/>
    </row>
    <row r="113">
      <c r="F113" s="277"/>
      <c r="G113" s="277"/>
    </row>
    <row r="114">
      <c r="F114" s="277"/>
      <c r="G114" s="277"/>
    </row>
    <row r="115">
      <c r="F115" s="277"/>
      <c r="G115" s="277"/>
    </row>
    <row r="116">
      <c r="F116" s="277"/>
      <c r="G116" s="277"/>
    </row>
    <row r="117">
      <c r="F117" s="277"/>
      <c r="G117" s="277"/>
    </row>
    <row r="118">
      <c r="F118" s="277"/>
      <c r="G118" s="277"/>
    </row>
    <row r="119">
      <c r="F119" s="277"/>
      <c r="G119" s="277"/>
    </row>
    <row r="120">
      <c r="F120" s="277"/>
      <c r="G120" s="277"/>
    </row>
    <row r="121">
      <c r="F121" s="277"/>
      <c r="G121" s="277"/>
    </row>
    <row r="122">
      <c r="F122" s="277"/>
      <c r="G122" s="277"/>
    </row>
    <row r="123">
      <c r="F123" s="277"/>
      <c r="G123" s="277"/>
    </row>
    <row r="124">
      <c r="F124" s="277"/>
      <c r="G124" s="277"/>
    </row>
    <row r="125">
      <c r="F125" s="277"/>
      <c r="G125" s="277"/>
    </row>
    <row r="126">
      <c r="F126" s="277"/>
      <c r="G126" s="277"/>
    </row>
    <row r="127">
      <c r="F127" s="277"/>
      <c r="G127" s="277"/>
    </row>
    <row r="128">
      <c r="F128" s="277"/>
      <c r="G128" s="277"/>
    </row>
    <row r="129">
      <c r="F129" s="277"/>
      <c r="G129" s="277"/>
    </row>
    <row r="130">
      <c r="F130" s="277"/>
      <c r="G130" s="277"/>
    </row>
    <row r="131">
      <c r="F131" s="277"/>
      <c r="G131" s="277"/>
    </row>
    <row r="132">
      <c r="F132" s="277"/>
      <c r="G132" s="277"/>
    </row>
    <row r="133">
      <c r="F133" s="277"/>
      <c r="G133" s="277"/>
    </row>
    <row r="134">
      <c r="F134" s="277"/>
      <c r="G134" s="277"/>
    </row>
    <row r="135">
      <c r="F135" s="277"/>
      <c r="G135" s="277"/>
    </row>
    <row r="136">
      <c r="F136" s="277"/>
      <c r="G136" s="277"/>
    </row>
    <row r="137">
      <c r="F137" s="277"/>
      <c r="G137" s="277"/>
    </row>
    <row r="138">
      <c r="F138" s="277"/>
      <c r="G138" s="277"/>
    </row>
    <row r="139">
      <c r="F139" s="277"/>
      <c r="G139" s="277"/>
    </row>
    <row r="140">
      <c r="F140" s="277"/>
      <c r="G140" s="277"/>
    </row>
    <row r="141">
      <c r="F141" s="277"/>
      <c r="G141" s="277"/>
    </row>
    <row r="142">
      <c r="F142" s="277"/>
      <c r="G142" s="277"/>
    </row>
    <row r="143">
      <c r="F143" s="277"/>
      <c r="G143" s="277"/>
    </row>
    <row r="144">
      <c r="F144" s="277"/>
      <c r="G144" s="277"/>
    </row>
    <row r="145">
      <c r="F145" s="277"/>
      <c r="G145" s="277"/>
    </row>
    <row r="146">
      <c r="F146" s="277"/>
      <c r="G146" s="277"/>
    </row>
    <row r="147">
      <c r="F147" s="277"/>
      <c r="G147" s="277"/>
    </row>
    <row r="148">
      <c r="F148" s="277"/>
      <c r="G148" s="277"/>
    </row>
    <row r="149">
      <c r="F149" s="277"/>
      <c r="G149" s="277"/>
    </row>
    <row r="150">
      <c r="F150" s="277"/>
      <c r="G150" s="277"/>
    </row>
    <row r="151">
      <c r="F151" s="277"/>
      <c r="G151" s="277"/>
    </row>
    <row r="152">
      <c r="F152" s="277"/>
      <c r="G152" s="277"/>
    </row>
    <row r="153">
      <c r="F153" s="277"/>
      <c r="G153" s="277"/>
    </row>
    <row r="154">
      <c r="F154" s="277"/>
      <c r="G154" s="277"/>
    </row>
    <row r="155">
      <c r="F155" s="277"/>
      <c r="G155" s="277"/>
    </row>
    <row r="156">
      <c r="F156" s="277"/>
      <c r="G156" s="277"/>
    </row>
    <row r="157">
      <c r="F157" s="277"/>
      <c r="G157" s="277"/>
    </row>
    <row r="158">
      <c r="F158" s="277"/>
      <c r="G158" s="277"/>
    </row>
    <row r="159">
      <c r="F159" s="277"/>
      <c r="G159" s="277"/>
    </row>
    <row r="160">
      <c r="F160" s="277"/>
      <c r="G160" s="277"/>
    </row>
    <row r="161">
      <c r="F161" s="277"/>
      <c r="G161" s="277"/>
    </row>
    <row r="162">
      <c r="F162" s="277"/>
      <c r="G162" s="277"/>
    </row>
    <row r="163">
      <c r="F163" s="277"/>
      <c r="G163" s="277"/>
    </row>
    <row r="164">
      <c r="F164" s="277"/>
      <c r="G164" s="277"/>
    </row>
    <row r="165">
      <c r="F165" s="277"/>
      <c r="G165" s="277"/>
    </row>
    <row r="166">
      <c r="F166" s="277"/>
      <c r="G166" s="277"/>
    </row>
    <row r="167">
      <c r="F167" s="277"/>
      <c r="G167" s="277"/>
    </row>
    <row r="168">
      <c r="F168" s="277"/>
      <c r="G168" s="277"/>
    </row>
    <row r="169">
      <c r="F169" s="277"/>
      <c r="G169" s="277"/>
    </row>
    <row r="170">
      <c r="F170" s="277"/>
      <c r="G170" s="277"/>
    </row>
    <row r="171">
      <c r="F171" s="277"/>
      <c r="G171" s="277"/>
    </row>
    <row r="172">
      <c r="F172" s="277"/>
      <c r="G172" s="277"/>
    </row>
    <row r="173">
      <c r="F173" s="277"/>
      <c r="G173" s="277"/>
    </row>
    <row r="174">
      <c r="F174" s="277"/>
      <c r="G174" s="277"/>
    </row>
    <row r="175">
      <c r="F175" s="277"/>
      <c r="G175" s="277"/>
    </row>
    <row r="176">
      <c r="F176" s="277"/>
      <c r="G176" s="277"/>
    </row>
    <row r="177">
      <c r="F177" s="277"/>
      <c r="G177" s="277"/>
    </row>
    <row r="178">
      <c r="F178" s="277"/>
      <c r="G178" s="277"/>
    </row>
    <row r="179">
      <c r="F179" s="277"/>
      <c r="G179" s="277"/>
    </row>
    <row r="180">
      <c r="F180" s="277"/>
      <c r="G180" s="277"/>
    </row>
    <row r="181">
      <c r="F181" s="277"/>
      <c r="G181" s="277"/>
    </row>
    <row r="182">
      <c r="F182" s="277"/>
      <c r="G182" s="277"/>
    </row>
    <row r="183">
      <c r="F183" s="277"/>
      <c r="G183" s="277"/>
    </row>
    <row r="184">
      <c r="F184" s="277"/>
      <c r="G184" s="277"/>
    </row>
    <row r="185">
      <c r="F185" s="277"/>
      <c r="G185" s="277"/>
    </row>
    <row r="186">
      <c r="F186" s="277"/>
      <c r="G186" s="277"/>
    </row>
    <row r="187">
      <c r="F187" s="277"/>
      <c r="G187" s="277"/>
    </row>
    <row r="188">
      <c r="F188" s="277"/>
      <c r="G188" s="277"/>
    </row>
    <row r="189">
      <c r="F189" s="277"/>
      <c r="G189" s="277"/>
    </row>
    <row r="190">
      <c r="F190" s="277"/>
      <c r="G190" s="277"/>
    </row>
    <row r="191">
      <c r="F191" s="277"/>
      <c r="G191" s="277"/>
    </row>
    <row r="192">
      <c r="F192" s="277"/>
      <c r="G192" s="277"/>
    </row>
    <row r="193">
      <c r="F193" s="277"/>
      <c r="G193" s="277"/>
    </row>
    <row r="194">
      <c r="F194" s="277"/>
      <c r="G194" s="277"/>
    </row>
    <row r="195">
      <c r="F195" s="277"/>
      <c r="G195" s="277"/>
    </row>
    <row r="196">
      <c r="F196" s="277"/>
      <c r="G196" s="277"/>
    </row>
    <row r="197">
      <c r="F197" s="277"/>
      <c r="G197" s="277"/>
    </row>
    <row r="198">
      <c r="F198" s="277"/>
      <c r="G198" s="277"/>
    </row>
    <row r="199">
      <c r="F199" s="277"/>
      <c r="G199" s="277"/>
    </row>
    <row r="200">
      <c r="F200" s="277"/>
      <c r="G200" s="277"/>
    </row>
    <row r="201">
      <c r="F201" s="277"/>
      <c r="G201" s="277"/>
    </row>
    <row r="202">
      <c r="F202" s="277"/>
      <c r="G202" s="277"/>
    </row>
    <row r="203">
      <c r="F203" s="277"/>
      <c r="G203" s="277"/>
    </row>
    <row r="204">
      <c r="F204" s="277"/>
      <c r="G204" s="277"/>
    </row>
    <row r="205">
      <c r="F205" s="277"/>
      <c r="G205" s="277"/>
    </row>
    <row r="206">
      <c r="F206" s="277"/>
      <c r="G206" s="277"/>
    </row>
    <row r="207">
      <c r="F207" s="277"/>
      <c r="G207" s="277"/>
    </row>
    <row r="208">
      <c r="F208" s="277"/>
      <c r="G208" s="277"/>
    </row>
    <row r="209">
      <c r="F209" s="277"/>
      <c r="G209" s="277"/>
    </row>
    <row r="210">
      <c r="F210" s="277"/>
      <c r="G210" s="277"/>
    </row>
    <row r="211">
      <c r="F211" s="277"/>
      <c r="G211" s="277"/>
    </row>
    <row r="212">
      <c r="F212" s="277"/>
      <c r="G212" s="277"/>
    </row>
    <row r="213">
      <c r="F213" s="277"/>
      <c r="G213" s="277"/>
    </row>
    <row r="214">
      <c r="F214" s="277"/>
      <c r="G214" s="277"/>
    </row>
    <row r="215">
      <c r="F215" s="277"/>
      <c r="G215" s="277"/>
    </row>
    <row r="216">
      <c r="F216" s="277"/>
      <c r="G216" s="277"/>
    </row>
    <row r="217">
      <c r="F217" s="277"/>
      <c r="G217" s="277"/>
    </row>
    <row r="218">
      <c r="F218" s="277"/>
      <c r="G218" s="277"/>
    </row>
    <row r="219">
      <c r="F219" s="277"/>
      <c r="G219" s="277"/>
    </row>
    <row r="220">
      <c r="F220" s="277"/>
      <c r="G220" s="277"/>
    </row>
    <row r="221">
      <c r="F221" s="277"/>
      <c r="G221" s="277"/>
    </row>
    <row r="222">
      <c r="F222" s="277"/>
      <c r="G222" s="277"/>
    </row>
    <row r="223">
      <c r="F223" s="277"/>
      <c r="G223" s="277"/>
    </row>
    <row r="224">
      <c r="F224" s="277"/>
      <c r="G224" s="277"/>
    </row>
    <row r="225">
      <c r="F225" s="277"/>
      <c r="G225" s="277"/>
    </row>
    <row r="226">
      <c r="F226" s="277"/>
      <c r="G226" s="277"/>
    </row>
    <row r="227">
      <c r="F227" s="277"/>
      <c r="G227" s="277"/>
    </row>
    <row r="228">
      <c r="F228" s="277"/>
      <c r="G228" s="277"/>
    </row>
    <row r="229">
      <c r="F229" s="277"/>
      <c r="G229" s="277"/>
    </row>
    <row r="230">
      <c r="F230" s="277"/>
      <c r="G230" s="277"/>
    </row>
    <row r="231">
      <c r="F231" s="277"/>
      <c r="G231" s="277"/>
    </row>
    <row r="232">
      <c r="F232" s="277"/>
      <c r="G232" s="277"/>
    </row>
    <row r="233">
      <c r="F233" s="277"/>
      <c r="G233" s="277"/>
    </row>
    <row r="234">
      <c r="F234" s="277"/>
      <c r="G234" s="277"/>
    </row>
    <row r="235">
      <c r="F235" s="277"/>
      <c r="G235" s="277"/>
    </row>
    <row r="236">
      <c r="F236" s="277"/>
      <c r="G236" s="277"/>
    </row>
    <row r="237">
      <c r="F237" s="277"/>
      <c r="G237" s="277"/>
    </row>
    <row r="238">
      <c r="F238" s="277"/>
      <c r="G238" s="277"/>
    </row>
    <row r="239">
      <c r="F239" s="277"/>
      <c r="G239" s="277"/>
    </row>
    <row r="240">
      <c r="F240" s="277"/>
      <c r="G240" s="277"/>
    </row>
    <row r="241">
      <c r="F241" s="277"/>
      <c r="G241" s="277"/>
    </row>
    <row r="242">
      <c r="F242" s="277"/>
      <c r="G242" s="277"/>
    </row>
    <row r="243">
      <c r="F243" s="277"/>
      <c r="G243" s="277"/>
    </row>
    <row r="244">
      <c r="F244" s="277"/>
      <c r="G244" s="277"/>
    </row>
    <row r="245">
      <c r="F245" s="277"/>
      <c r="G245" s="277"/>
    </row>
    <row r="246">
      <c r="F246" s="277"/>
      <c r="G246" s="277"/>
    </row>
    <row r="247">
      <c r="F247" s="277"/>
      <c r="G247" s="277"/>
    </row>
    <row r="248">
      <c r="F248" s="277"/>
      <c r="G248" s="277"/>
    </row>
    <row r="249">
      <c r="F249" s="277"/>
      <c r="G249" s="277"/>
    </row>
    <row r="250">
      <c r="F250" s="277"/>
      <c r="G250" s="277"/>
    </row>
    <row r="251">
      <c r="F251" s="277"/>
      <c r="G251" s="277"/>
    </row>
    <row r="252">
      <c r="F252" s="277"/>
      <c r="G252" s="277"/>
    </row>
    <row r="253">
      <c r="F253" s="277"/>
      <c r="G253" s="277"/>
    </row>
    <row r="254">
      <c r="F254" s="277"/>
      <c r="G254" s="277"/>
    </row>
    <row r="255">
      <c r="F255" s="277"/>
      <c r="G255" s="277"/>
    </row>
    <row r="256">
      <c r="F256" s="277"/>
      <c r="G256" s="277"/>
    </row>
    <row r="257">
      <c r="F257" s="277"/>
      <c r="G257" s="277"/>
    </row>
    <row r="258">
      <c r="F258" s="277"/>
      <c r="G258" s="277"/>
    </row>
    <row r="259">
      <c r="F259" s="277"/>
      <c r="G259" s="277"/>
    </row>
    <row r="260">
      <c r="F260" s="277"/>
      <c r="G260" s="277"/>
    </row>
    <row r="261">
      <c r="F261" s="277"/>
      <c r="G261" s="277"/>
    </row>
    <row r="262">
      <c r="F262" s="277"/>
      <c r="G262" s="277"/>
    </row>
    <row r="263">
      <c r="F263" s="277"/>
      <c r="G263" s="277"/>
    </row>
    <row r="264">
      <c r="F264" s="277"/>
      <c r="G264" s="277"/>
    </row>
    <row r="265">
      <c r="F265" s="277"/>
      <c r="G265" s="277"/>
    </row>
    <row r="266">
      <c r="F266" s="277"/>
      <c r="G266" s="277"/>
    </row>
    <row r="267">
      <c r="F267" s="277"/>
      <c r="G267" s="277"/>
    </row>
    <row r="268">
      <c r="F268" s="277"/>
      <c r="G268" s="277"/>
    </row>
    <row r="269">
      <c r="F269" s="277"/>
      <c r="G269" s="277"/>
    </row>
    <row r="270">
      <c r="F270" s="277"/>
      <c r="G270" s="277"/>
    </row>
    <row r="271">
      <c r="F271" s="277"/>
      <c r="G271" s="277"/>
    </row>
    <row r="272">
      <c r="F272" s="277"/>
      <c r="G272" s="277"/>
    </row>
    <row r="273">
      <c r="F273" s="277"/>
      <c r="G273" s="277"/>
    </row>
    <row r="274">
      <c r="F274" s="277"/>
      <c r="G274" s="277"/>
    </row>
    <row r="275">
      <c r="F275" s="277"/>
      <c r="G275" s="277"/>
    </row>
    <row r="276">
      <c r="F276" s="277"/>
      <c r="G276" s="277"/>
    </row>
    <row r="277">
      <c r="F277" s="277"/>
      <c r="G277" s="277"/>
    </row>
    <row r="278">
      <c r="F278" s="277"/>
      <c r="G278" s="277"/>
    </row>
    <row r="279">
      <c r="F279" s="277"/>
      <c r="G279" s="277"/>
    </row>
    <row r="280">
      <c r="F280" s="277"/>
      <c r="G280" s="277"/>
    </row>
    <row r="281">
      <c r="F281" s="277"/>
      <c r="G281" s="277"/>
    </row>
    <row r="282">
      <c r="F282" s="277"/>
      <c r="G282" s="277"/>
    </row>
    <row r="283">
      <c r="F283" s="277"/>
      <c r="G283" s="277"/>
    </row>
    <row r="284">
      <c r="F284" s="277"/>
      <c r="G284" s="277"/>
    </row>
    <row r="285">
      <c r="F285" s="277"/>
      <c r="G285" s="277"/>
    </row>
    <row r="286">
      <c r="F286" s="277"/>
      <c r="G286" s="277"/>
    </row>
    <row r="287">
      <c r="F287" s="277"/>
      <c r="G287" s="277"/>
    </row>
    <row r="288">
      <c r="F288" s="277"/>
      <c r="G288" s="277"/>
    </row>
    <row r="289">
      <c r="F289" s="277"/>
      <c r="G289" s="277"/>
    </row>
    <row r="290">
      <c r="F290" s="277"/>
      <c r="G290" s="277"/>
    </row>
    <row r="291">
      <c r="F291" s="277"/>
      <c r="G291" s="277"/>
    </row>
    <row r="292">
      <c r="F292" s="277"/>
      <c r="G292" s="277"/>
    </row>
    <row r="293">
      <c r="F293" s="277"/>
      <c r="G293" s="277"/>
    </row>
    <row r="294">
      <c r="F294" s="277"/>
      <c r="G294" s="277"/>
    </row>
    <row r="295">
      <c r="F295" s="277"/>
      <c r="G295" s="277"/>
    </row>
    <row r="296">
      <c r="F296" s="277"/>
      <c r="G296" s="277"/>
    </row>
    <row r="297">
      <c r="F297" s="277"/>
      <c r="G297" s="277"/>
    </row>
    <row r="298">
      <c r="F298" s="277"/>
      <c r="G298" s="277"/>
    </row>
    <row r="299">
      <c r="F299" s="277"/>
      <c r="G299" s="277"/>
    </row>
    <row r="300">
      <c r="F300" s="277"/>
      <c r="G300" s="277"/>
    </row>
    <row r="301">
      <c r="F301" s="277"/>
      <c r="G301" s="277"/>
    </row>
    <row r="302">
      <c r="F302" s="277"/>
      <c r="G302" s="277"/>
    </row>
    <row r="303">
      <c r="F303" s="277"/>
      <c r="G303" s="277"/>
    </row>
    <row r="304">
      <c r="F304" s="277"/>
      <c r="G304" s="277"/>
    </row>
    <row r="305">
      <c r="F305" s="277"/>
      <c r="G305" s="277"/>
    </row>
    <row r="306">
      <c r="F306" s="277"/>
      <c r="G306" s="277"/>
    </row>
    <row r="307">
      <c r="F307" s="277"/>
      <c r="G307" s="277"/>
    </row>
    <row r="308">
      <c r="F308" s="277"/>
      <c r="G308" s="277"/>
    </row>
    <row r="309">
      <c r="F309" s="277"/>
      <c r="G309" s="277"/>
    </row>
    <row r="310">
      <c r="F310" s="277"/>
      <c r="G310" s="277"/>
    </row>
    <row r="311">
      <c r="F311" s="277"/>
      <c r="G311" s="277"/>
    </row>
    <row r="312">
      <c r="F312" s="277"/>
      <c r="G312" s="277"/>
    </row>
    <row r="313">
      <c r="F313" s="277"/>
      <c r="G313" s="277"/>
    </row>
    <row r="314">
      <c r="F314" s="277"/>
      <c r="G314" s="277"/>
    </row>
    <row r="315">
      <c r="F315" s="277"/>
      <c r="G315" s="277"/>
    </row>
    <row r="316">
      <c r="F316" s="277"/>
      <c r="G316" s="277"/>
    </row>
    <row r="317">
      <c r="F317" s="277"/>
      <c r="G317" s="277"/>
    </row>
    <row r="318">
      <c r="F318" s="277"/>
      <c r="G318" s="277"/>
    </row>
    <row r="319">
      <c r="F319" s="277"/>
      <c r="G319" s="277"/>
    </row>
    <row r="320">
      <c r="F320" s="277"/>
      <c r="G320" s="277"/>
    </row>
    <row r="321">
      <c r="F321" s="277"/>
      <c r="G321" s="277"/>
    </row>
    <row r="322">
      <c r="F322" s="277"/>
      <c r="G322" s="277"/>
    </row>
    <row r="323">
      <c r="F323" s="277"/>
      <c r="G323" s="277"/>
    </row>
    <row r="324">
      <c r="F324" s="277"/>
      <c r="G324" s="277"/>
    </row>
    <row r="325">
      <c r="F325" s="277"/>
      <c r="G325" s="277"/>
    </row>
    <row r="326">
      <c r="F326" s="277"/>
      <c r="G326" s="277"/>
    </row>
    <row r="327">
      <c r="F327" s="277"/>
      <c r="G327" s="277"/>
    </row>
    <row r="328">
      <c r="F328" s="277"/>
      <c r="G328" s="277"/>
    </row>
    <row r="329">
      <c r="F329" s="277"/>
      <c r="G329" s="277"/>
    </row>
    <row r="330">
      <c r="F330" s="277"/>
      <c r="G330" s="277"/>
    </row>
    <row r="331">
      <c r="F331" s="277"/>
      <c r="G331" s="277"/>
    </row>
    <row r="332">
      <c r="F332" s="277"/>
      <c r="G332" s="277"/>
    </row>
    <row r="333">
      <c r="F333" s="277"/>
      <c r="G333" s="277"/>
    </row>
    <row r="334">
      <c r="F334" s="277"/>
      <c r="G334" s="277"/>
    </row>
    <row r="335">
      <c r="F335" s="277"/>
      <c r="G335" s="277"/>
    </row>
    <row r="336">
      <c r="F336" s="277"/>
      <c r="G336" s="277"/>
    </row>
    <row r="337">
      <c r="F337" s="277"/>
      <c r="G337" s="277"/>
    </row>
    <row r="338">
      <c r="F338" s="277"/>
      <c r="G338" s="277"/>
    </row>
    <row r="339">
      <c r="F339" s="277"/>
      <c r="G339" s="277"/>
    </row>
    <row r="340">
      <c r="F340" s="277"/>
      <c r="G340" s="277"/>
    </row>
    <row r="341">
      <c r="F341" s="277"/>
      <c r="G341" s="277"/>
    </row>
    <row r="342">
      <c r="F342" s="277"/>
      <c r="G342" s="277"/>
    </row>
    <row r="343">
      <c r="F343" s="277"/>
      <c r="G343" s="277"/>
    </row>
    <row r="344">
      <c r="F344" s="277"/>
      <c r="G344" s="277"/>
    </row>
    <row r="345">
      <c r="F345" s="277"/>
      <c r="G345" s="277"/>
    </row>
    <row r="346">
      <c r="F346" s="277"/>
      <c r="G346" s="277"/>
    </row>
    <row r="347">
      <c r="F347" s="277"/>
      <c r="G347" s="277"/>
    </row>
    <row r="348">
      <c r="F348" s="277"/>
      <c r="G348" s="277"/>
    </row>
    <row r="349">
      <c r="F349" s="277"/>
      <c r="G349" s="277"/>
    </row>
    <row r="350">
      <c r="F350" s="277"/>
      <c r="G350" s="277"/>
    </row>
    <row r="351">
      <c r="F351" s="277"/>
      <c r="G351" s="277"/>
    </row>
    <row r="352">
      <c r="F352" s="277"/>
      <c r="G352" s="277"/>
    </row>
    <row r="353">
      <c r="F353" s="277"/>
      <c r="G353" s="277"/>
    </row>
    <row r="354">
      <c r="F354" s="277"/>
      <c r="G354" s="277"/>
    </row>
    <row r="355">
      <c r="F355" s="277"/>
      <c r="G355" s="277"/>
    </row>
    <row r="356">
      <c r="F356" s="277"/>
      <c r="G356" s="277"/>
    </row>
    <row r="357">
      <c r="F357" s="277"/>
      <c r="G357" s="277"/>
    </row>
    <row r="358">
      <c r="F358" s="277"/>
      <c r="G358" s="277"/>
    </row>
    <row r="359">
      <c r="F359" s="277"/>
      <c r="G359" s="277"/>
    </row>
    <row r="360">
      <c r="F360" s="277"/>
      <c r="G360" s="277"/>
    </row>
    <row r="361">
      <c r="F361" s="277"/>
      <c r="G361" s="277"/>
    </row>
    <row r="362">
      <c r="F362" s="277"/>
      <c r="G362" s="277"/>
    </row>
    <row r="363">
      <c r="F363" s="277"/>
      <c r="G363" s="277"/>
    </row>
    <row r="364">
      <c r="F364" s="277"/>
      <c r="G364" s="277"/>
    </row>
    <row r="365">
      <c r="F365" s="277"/>
      <c r="G365" s="277"/>
    </row>
    <row r="366">
      <c r="F366" s="277"/>
      <c r="G366" s="277"/>
    </row>
    <row r="367">
      <c r="F367" s="277"/>
      <c r="G367" s="277"/>
    </row>
    <row r="368">
      <c r="F368" s="277"/>
      <c r="G368" s="277"/>
    </row>
    <row r="369">
      <c r="F369" s="277"/>
      <c r="G369" s="277"/>
    </row>
    <row r="370">
      <c r="F370" s="277"/>
      <c r="G370" s="277"/>
    </row>
    <row r="371">
      <c r="F371" s="277"/>
      <c r="G371" s="277"/>
    </row>
    <row r="372">
      <c r="F372" s="277"/>
      <c r="G372" s="277"/>
    </row>
    <row r="373">
      <c r="F373" s="277"/>
      <c r="G373" s="277"/>
    </row>
    <row r="374">
      <c r="F374" s="277"/>
      <c r="G374" s="277"/>
    </row>
    <row r="375">
      <c r="F375" s="277"/>
      <c r="G375" s="277"/>
    </row>
    <row r="376">
      <c r="F376" s="277"/>
      <c r="G376" s="277"/>
    </row>
    <row r="377">
      <c r="F377" s="277"/>
      <c r="G377" s="277"/>
    </row>
    <row r="378">
      <c r="F378" s="277"/>
      <c r="G378" s="277"/>
    </row>
    <row r="379">
      <c r="F379" s="277"/>
      <c r="G379" s="277"/>
    </row>
    <row r="380">
      <c r="F380" s="277"/>
      <c r="G380" s="277"/>
    </row>
    <row r="381">
      <c r="F381" s="277"/>
      <c r="G381" s="277"/>
    </row>
    <row r="382">
      <c r="F382" s="277"/>
      <c r="G382" s="277"/>
    </row>
    <row r="383">
      <c r="F383" s="277"/>
      <c r="G383" s="277"/>
    </row>
    <row r="384">
      <c r="F384" s="277"/>
      <c r="G384" s="277"/>
    </row>
    <row r="385">
      <c r="F385" s="277"/>
      <c r="G385" s="277"/>
    </row>
    <row r="386">
      <c r="F386" s="277"/>
      <c r="G386" s="277"/>
    </row>
    <row r="387">
      <c r="F387" s="277"/>
      <c r="G387" s="277"/>
    </row>
    <row r="388">
      <c r="F388" s="277"/>
      <c r="G388" s="277"/>
    </row>
    <row r="389">
      <c r="F389" s="277"/>
      <c r="G389" s="277"/>
    </row>
    <row r="390">
      <c r="F390" s="277"/>
      <c r="G390" s="277"/>
    </row>
    <row r="391">
      <c r="F391" s="277"/>
      <c r="G391" s="277"/>
    </row>
    <row r="392">
      <c r="F392" s="277"/>
      <c r="G392" s="277"/>
    </row>
    <row r="393">
      <c r="F393" s="277"/>
      <c r="G393" s="277"/>
    </row>
    <row r="394">
      <c r="F394" s="277"/>
      <c r="G394" s="277"/>
    </row>
    <row r="395">
      <c r="F395" s="277"/>
      <c r="G395" s="277"/>
    </row>
    <row r="396">
      <c r="F396" s="277"/>
      <c r="G396" s="277"/>
    </row>
    <row r="397">
      <c r="F397" s="277"/>
      <c r="G397" s="277"/>
    </row>
    <row r="398">
      <c r="F398" s="277"/>
      <c r="G398" s="277"/>
    </row>
    <row r="399">
      <c r="F399" s="277"/>
      <c r="G399" s="277"/>
    </row>
    <row r="400">
      <c r="F400" s="277"/>
      <c r="G400" s="277"/>
    </row>
    <row r="401">
      <c r="F401" s="277"/>
      <c r="G401" s="277"/>
    </row>
    <row r="402">
      <c r="F402" s="277"/>
      <c r="G402" s="277"/>
    </row>
    <row r="403">
      <c r="F403" s="277"/>
      <c r="G403" s="277"/>
    </row>
    <row r="404">
      <c r="F404" s="277"/>
      <c r="G404" s="277"/>
    </row>
    <row r="405">
      <c r="F405" s="277"/>
      <c r="G405" s="277"/>
    </row>
    <row r="406">
      <c r="F406" s="277"/>
      <c r="G406" s="277"/>
    </row>
    <row r="407">
      <c r="F407" s="277"/>
      <c r="G407" s="277"/>
    </row>
    <row r="408">
      <c r="F408" s="277"/>
      <c r="G408" s="277"/>
    </row>
    <row r="409">
      <c r="F409" s="277"/>
      <c r="G409" s="277"/>
    </row>
    <row r="410">
      <c r="F410" s="277"/>
      <c r="G410" s="277"/>
    </row>
    <row r="411">
      <c r="F411" s="277"/>
      <c r="G411" s="277"/>
    </row>
    <row r="412">
      <c r="F412" s="277"/>
      <c r="G412" s="277"/>
    </row>
    <row r="413">
      <c r="F413" s="277"/>
      <c r="G413" s="277"/>
    </row>
    <row r="414">
      <c r="F414" s="277"/>
      <c r="G414" s="277"/>
    </row>
    <row r="415">
      <c r="F415" s="277"/>
      <c r="G415" s="277"/>
    </row>
    <row r="416">
      <c r="F416" s="277"/>
      <c r="G416" s="277"/>
    </row>
    <row r="417">
      <c r="F417" s="277"/>
      <c r="G417" s="277"/>
    </row>
    <row r="418">
      <c r="F418" s="277"/>
      <c r="G418" s="277"/>
    </row>
    <row r="419">
      <c r="F419" s="277"/>
      <c r="G419" s="277"/>
    </row>
    <row r="420">
      <c r="F420" s="277"/>
      <c r="G420" s="277"/>
    </row>
    <row r="421">
      <c r="F421" s="277"/>
      <c r="G421" s="277"/>
    </row>
    <row r="422">
      <c r="F422" s="277"/>
      <c r="G422" s="277"/>
    </row>
    <row r="423">
      <c r="F423" s="277"/>
      <c r="G423" s="277"/>
    </row>
    <row r="424">
      <c r="F424" s="277"/>
      <c r="G424" s="277"/>
    </row>
    <row r="425">
      <c r="F425" s="277"/>
      <c r="G425" s="277"/>
    </row>
    <row r="426">
      <c r="F426" s="277"/>
      <c r="G426" s="277"/>
    </row>
    <row r="427">
      <c r="F427" s="277"/>
      <c r="G427" s="277"/>
    </row>
    <row r="428">
      <c r="F428" s="277"/>
      <c r="G428" s="277"/>
    </row>
    <row r="429">
      <c r="F429" s="277"/>
      <c r="G429" s="277"/>
    </row>
    <row r="430">
      <c r="F430" s="277"/>
      <c r="G430" s="277"/>
    </row>
    <row r="431">
      <c r="F431" s="277"/>
      <c r="G431" s="277"/>
    </row>
    <row r="432">
      <c r="F432" s="277"/>
      <c r="G432" s="277"/>
    </row>
    <row r="433">
      <c r="F433" s="277"/>
      <c r="G433" s="277"/>
    </row>
    <row r="434">
      <c r="F434" s="277"/>
      <c r="G434" s="277"/>
    </row>
    <row r="435">
      <c r="F435" s="277"/>
      <c r="G435" s="277"/>
    </row>
    <row r="436">
      <c r="F436" s="277"/>
      <c r="G436" s="277"/>
    </row>
    <row r="437">
      <c r="F437" s="277"/>
      <c r="G437" s="277"/>
    </row>
    <row r="438">
      <c r="F438" s="277"/>
      <c r="G438" s="277"/>
    </row>
    <row r="439">
      <c r="F439" s="277"/>
      <c r="G439" s="277"/>
    </row>
    <row r="440">
      <c r="F440" s="277"/>
      <c r="G440" s="277"/>
    </row>
    <row r="441">
      <c r="F441" s="277"/>
      <c r="G441" s="277"/>
    </row>
    <row r="442">
      <c r="F442" s="277"/>
      <c r="G442" s="277"/>
    </row>
    <row r="443">
      <c r="F443" s="277"/>
      <c r="G443" s="277"/>
    </row>
    <row r="444">
      <c r="F444" s="277"/>
      <c r="G444" s="277"/>
    </row>
    <row r="445">
      <c r="F445" s="277"/>
      <c r="G445" s="277"/>
    </row>
    <row r="446">
      <c r="F446" s="277"/>
      <c r="G446" s="277"/>
    </row>
    <row r="447">
      <c r="F447" s="277"/>
      <c r="G447" s="277"/>
    </row>
    <row r="448">
      <c r="F448" s="277"/>
      <c r="G448" s="277"/>
    </row>
    <row r="449">
      <c r="F449" s="277"/>
      <c r="G449" s="277"/>
    </row>
    <row r="450">
      <c r="F450" s="277"/>
      <c r="G450" s="277"/>
    </row>
    <row r="451">
      <c r="F451" s="277"/>
      <c r="G451" s="277"/>
    </row>
    <row r="452">
      <c r="F452" s="277"/>
      <c r="G452" s="277"/>
    </row>
    <row r="453">
      <c r="F453" s="277"/>
      <c r="G453" s="277"/>
    </row>
    <row r="454">
      <c r="F454" s="277"/>
      <c r="G454" s="277"/>
    </row>
    <row r="455">
      <c r="F455" s="277"/>
      <c r="G455" s="277"/>
    </row>
    <row r="456">
      <c r="F456" s="277"/>
      <c r="G456" s="277"/>
    </row>
    <row r="457">
      <c r="F457" s="277"/>
      <c r="G457" s="277"/>
    </row>
    <row r="458">
      <c r="F458" s="277"/>
      <c r="G458" s="277"/>
    </row>
    <row r="459">
      <c r="F459" s="277"/>
      <c r="G459" s="277"/>
    </row>
    <row r="460">
      <c r="F460" s="277"/>
      <c r="G460" s="277"/>
    </row>
    <row r="461">
      <c r="F461" s="277"/>
      <c r="G461" s="277"/>
    </row>
    <row r="462">
      <c r="F462" s="277"/>
      <c r="G462" s="277"/>
    </row>
    <row r="463">
      <c r="F463" s="277"/>
      <c r="G463" s="277"/>
    </row>
    <row r="464">
      <c r="F464" s="277"/>
      <c r="G464" s="277"/>
    </row>
    <row r="465">
      <c r="F465" s="277"/>
      <c r="G465" s="277"/>
    </row>
    <row r="466">
      <c r="F466" s="277"/>
      <c r="G466" s="277"/>
    </row>
    <row r="467">
      <c r="F467" s="277"/>
      <c r="G467" s="277"/>
    </row>
    <row r="468">
      <c r="F468" s="277"/>
      <c r="G468" s="277"/>
    </row>
    <row r="469">
      <c r="F469" s="277"/>
      <c r="G469" s="277"/>
    </row>
    <row r="470">
      <c r="F470" s="277"/>
      <c r="G470" s="277"/>
    </row>
    <row r="471">
      <c r="F471" s="277"/>
      <c r="G471" s="277"/>
    </row>
    <row r="472">
      <c r="F472" s="277"/>
      <c r="G472" s="277"/>
    </row>
    <row r="473">
      <c r="F473" s="277"/>
      <c r="G473" s="277"/>
    </row>
    <row r="474">
      <c r="F474" s="277"/>
      <c r="G474" s="277"/>
    </row>
    <row r="475">
      <c r="F475" s="277"/>
      <c r="G475" s="277"/>
    </row>
    <row r="476">
      <c r="F476" s="277"/>
      <c r="G476" s="277"/>
    </row>
    <row r="477">
      <c r="F477" s="277"/>
      <c r="G477" s="277"/>
    </row>
    <row r="478">
      <c r="F478" s="277"/>
      <c r="G478" s="277"/>
    </row>
    <row r="479">
      <c r="F479" s="277"/>
      <c r="G479" s="277"/>
    </row>
    <row r="480">
      <c r="F480" s="277"/>
      <c r="G480" s="277"/>
    </row>
    <row r="481">
      <c r="F481" s="277"/>
      <c r="G481" s="277"/>
    </row>
    <row r="482">
      <c r="F482" s="277"/>
      <c r="G482" s="277"/>
    </row>
    <row r="483">
      <c r="F483" s="277"/>
      <c r="G483" s="277"/>
    </row>
    <row r="484">
      <c r="F484" s="277"/>
      <c r="G484" s="277"/>
    </row>
    <row r="485">
      <c r="F485" s="277"/>
      <c r="G485" s="277"/>
    </row>
    <row r="486">
      <c r="F486" s="277"/>
      <c r="G486" s="277"/>
    </row>
    <row r="487">
      <c r="F487" s="277"/>
      <c r="G487" s="277"/>
    </row>
    <row r="488">
      <c r="F488" s="277"/>
      <c r="G488" s="277"/>
    </row>
    <row r="489">
      <c r="F489" s="277"/>
      <c r="G489" s="277"/>
    </row>
    <row r="490">
      <c r="F490" s="277"/>
      <c r="G490" s="277"/>
    </row>
    <row r="491">
      <c r="F491" s="277"/>
      <c r="G491" s="277"/>
    </row>
    <row r="492">
      <c r="F492" s="277"/>
      <c r="G492" s="277"/>
    </row>
    <row r="493">
      <c r="F493" s="277"/>
      <c r="G493" s="277"/>
    </row>
    <row r="494">
      <c r="F494" s="277"/>
      <c r="G494" s="277"/>
    </row>
    <row r="495">
      <c r="F495" s="277"/>
      <c r="G495" s="277"/>
    </row>
    <row r="496">
      <c r="F496" s="277"/>
      <c r="G496" s="277"/>
    </row>
    <row r="497">
      <c r="F497" s="277"/>
      <c r="G497" s="277"/>
    </row>
    <row r="498">
      <c r="F498" s="277"/>
      <c r="G498" s="277"/>
    </row>
    <row r="499">
      <c r="F499" s="277"/>
      <c r="G499" s="277"/>
    </row>
    <row r="500">
      <c r="F500" s="277"/>
      <c r="G500" s="277"/>
    </row>
    <row r="501">
      <c r="F501" s="277"/>
      <c r="G501" s="277"/>
    </row>
    <row r="502">
      <c r="F502" s="277"/>
      <c r="G502" s="277"/>
    </row>
    <row r="503">
      <c r="F503" s="277"/>
      <c r="G503" s="277"/>
    </row>
    <row r="504">
      <c r="F504" s="277"/>
      <c r="G504" s="277"/>
    </row>
    <row r="505">
      <c r="F505" s="277"/>
      <c r="G505" s="277"/>
    </row>
    <row r="506">
      <c r="F506" s="277"/>
      <c r="G506" s="277"/>
    </row>
    <row r="507">
      <c r="F507" s="277"/>
      <c r="G507" s="277"/>
    </row>
    <row r="508">
      <c r="F508" s="277"/>
      <c r="G508" s="277"/>
    </row>
    <row r="509">
      <c r="F509" s="277"/>
      <c r="G509" s="277"/>
    </row>
    <row r="510">
      <c r="F510" s="277"/>
      <c r="G510" s="277"/>
    </row>
    <row r="511">
      <c r="F511" s="277"/>
      <c r="G511" s="277"/>
    </row>
    <row r="512">
      <c r="F512" s="277"/>
      <c r="G512" s="277"/>
    </row>
    <row r="513">
      <c r="F513" s="277"/>
      <c r="G513" s="277"/>
    </row>
    <row r="514">
      <c r="F514" s="277"/>
      <c r="G514" s="277"/>
    </row>
    <row r="515">
      <c r="F515" s="277"/>
      <c r="G515" s="277"/>
    </row>
    <row r="516">
      <c r="F516" s="277"/>
      <c r="G516" s="277"/>
    </row>
    <row r="517">
      <c r="F517" s="277"/>
      <c r="G517" s="277"/>
    </row>
    <row r="518">
      <c r="F518" s="277"/>
      <c r="G518" s="277"/>
    </row>
    <row r="519">
      <c r="F519" s="277"/>
      <c r="G519" s="277"/>
    </row>
    <row r="520">
      <c r="F520" s="277"/>
      <c r="G520" s="277"/>
    </row>
    <row r="521">
      <c r="F521" s="277"/>
      <c r="G521" s="277"/>
    </row>
    <row r="522">
      <c r="F522" s="277"/>
      <c r="G522" s="277"/>
    </row>
    <row r="523">
      <c r="F523" s="277"/>
      <c r="G523" s="277"/>
    </row>
    <row r="524">
      <c r="F524" s="277"/>
      <c r="G524" s="277"/>
    </row>
    <row r="525">
      <c r="F525" s="277"/>
      <c r="G525" s="277"/>
    </row>
    <row r="526">
      <c r="F526" s="277"/>
      <c r="G526" s="277"/>
    </row>
    <row r="527">
      <c r="F527" s="277"/>
      <c r="G527" s="277"/>
    </row>
    <row r="528">
      <c r="F528" s="277"/>
      <c r="G528" s="277"/>
    </row>
    <row r="529">
      <c r="F529" s="277"/>
      <c r="G529" s="277"/>
    </row>
    <row r="530">
      <c r="F530" s="277"/>
      <c r="G530" s="277"/>
    </row>
    <row r="531">
      <c r="F531" s="277"/>
      <c r="G531" s="277"/>
    </row>
    <row r="532">
      <c r="F532" s="277"/>
      <c r="G532" s="277"/>
    </row>
    <row r="533">
      <c r="F533" s="277"/>
      <c r="G533" s="277"/>
    </row>
    <row r="534">
      <c r="F534" s="277"/>
      <c r="G534" s="277"/>
    </row>
    <row r="535">
      <c r="F535" s="277"/>
      <c r="G535" s="277"/>
    </row>
    <row r="536">
      <c r="F536" s="277"/>
      <c r="G536" s="277"/>
    </row>
    <row r="537">
      <c r="F537" s="277"/>
      <c r="G537" s="277"/>
    </row>
    <row r="538">
      <c r="F538" s="277"/>
      <c r="G538" s="277"/>
    </row>
    <row r="539">
      <c r="F539" s="277"/>
      <c r="G539" s="277"/>
    </row>
    <row r="540">
      <c r="F540" s="277"/>
      <c r="G540" s="277"/>
    </row>
    <row r="541">
      <c r="F541" s="277"/>
      <c r="G541" s="277"/>
    </row>
    <row r="542">
      <c r="F542" s="277"/>
      <c r="G542" s="277"/>
    </row>
    <row r="543">
      <c r="F543" s="277"/>
      <c r="G543" s="277"/>
    </row>
    <row r="544">
      <c r="F544" s="277"/>
      <c r="G544" s="277"/>
    </row>
    <row r="545">
      <c r="F545" s="277"/>
      <c r="G545" s="277"/>
    </row>
    <row r="546">
      <c r="F546" s="277"/>
      <c r="G546" s="277"/>
    </row>
    <row r="547">
      <c r="F547" s="277"/>
      <c r="G547" s="277"/>
    </row>
    <row r="548">
      <c r="F548" s="277"/>
      <c r="G548" s="277"/>
    </row>
    <row r="549">
      <c r="F549" s="277"/>
      <c r="G549" s="277"/>
    </row>
    <row r="550">
      <c r="F550" s="277"/>
      <c r="G550" s="277"/>
    </row>
    <row r="551">
      <c r="F551" s="277"/>
      <c r="G551" s="277"/>
    </row>
    <row r="552">
      <c r="F552" s="277"/>
      <c r="G552" s="277"/>
    </row>
    <row r="553">
      <c r="F553" s="277"/>
      <c r="G553" s="277"/>
    </row>
    <row r="554">
      <c r="F554" s="277"/>
      <c r="G554" s="277"/>
    </row>
    <row r="555">
      <c r="F555" s="277"/>
      <c r="G555" s="277"/>
    </row>
    <row r="556">
      <c r="F556" s="277"/>
      <c r="G556" s="277"/>
    </row>
    <row r="557">
      <c r="F557" s="277"/>
      <c r="G557" s="277"/>
    </row>
    <row r="558">
      <c r="F558" s="277"/>
      <c r="G558" s="277"/>
    </row>
    <row r="559">
      <c r="F559" s="277"/>
      <c r="G559" s="277"/>
    </row>
    <row r="560">
      <c r="F560" s="277"/>
      <c r="G560" s="277"/>
    </row>
    <row r="561">
      <c r="F561" s="277"/>
      <c r="G561" s="277"/>
    </row>
    <row r="562">
      <c r="F562" s="277"/>
      <c r="G562" s="277"/>
    </row>
    <row r="563">
      <c r="F563" s="277"/>
      <c r="G563" s="277"/>
    </row>
    <row r="564">
      <c r="F564" s="277"/>
      <c r="G564" s="277"/>
    </row>
    <row r="565">
      <c r="F565" s="277"/>
      <c r="G565" s="277"/>
    </row>
    <row r="566">
      <c r="F566" s="277"/>
      <c r="G566" s="277"/>
    </row>
    <row r="567">
      <c r="F567" s="277"/>
      <c r="G567" s="277"/>
    </row>
    <row r="568">
      <c r="F568" s="277"/>
      <c r="G568" s="277"/>
    </row>
    <row r="569">
      <c r="F569" s="277"/>
      <c r="G569" s="277"/>
    </row>
    <row r="570">
      <c r="F570" s="277"/>
      <c r="G570" s="277"/>
    </row>
    <row r="571">
      <c r="F571" s="277"/>
      <c r="G571" s="277"/>
    </row>
    <row r="572">
      <c r="F572" s="277"/>
      <c r="G572" s="277"/>
    </row>
    <row r="573">
      <c r="F573" s="277"/>
      <c r="G573" s="277"/>
    </row>
    <row r="574">
      <c r="F574" s="277"/>
      <c r="G574" s="277"/>
    </row>
    <row r="575">
      <c r="F575" s="277"/>
      <c r="G575" s="277"/>
    </row>
    <row r="576">
      <c r="F576" s="277"/>
      <c r="G576" s="277"/>
    </row>
    <row r="577">
      <c r="F577" s="277"/>
      <c r="G577" s="277"/>
    </row>
    <row r="578">
      <c r="F578" s="277"/>
      <c r="G578" s="277"/>
    </row>
    <row r="579">
      <c r="F579" s="277"/>
      <c r="G579" s="277"/>
    </row>
    <row r="580">
      <c r="F580" s="277"/>
      <c r="G580" s="277"/>
    </row>
    <row r="581">
      <c r="F581" s="277"/>
      <c r="G581" s="277"/>
    </row>
    <row r="582">
      <c r="F582" s="277"/>
      <c r="G582" s="277"/>
    </row>
    <row r="583">
      <c r="F583" s="277"/>
      <c r="G583" s="277"/>
    </row>
    <row r="584">
      <c r="F584" s="277"/>
      <c r="G584" s="277"/>
    </row>
    <row r="585">
      <c r="F585" s="277"/>
      <c r="G585" s="277"/>
    </row>
    <row r="586">
      <c r="F586" s="277"/>
      <c r="G586" s="277"/>
    </row>
    <row r="587">
      <c r="F587" s="277"/>
      <c r="G587" s="277"/>
    </row>
    <row r="588">
      <c r="F588" s="277"/>
      <c r="G588" s="277"/>
    </row>
    <row r="589">
      <c r="F589" s="277"/>
      <c r="G589" s="277"/>
    </row>
    <row r="590">
      <c r="F590" s="277"/>
      <c r="G590" s="277"/>
    </row>
    <row r="591">
      <c r="F591" s="277"/>
      <c r="G591" s="277"/>
    </row>
    <row r="592">
      <c r="F592" s="277"/>
      <c r="G592" s="277"/>
    </row>
    <row r="593">
      <c r="F593" s="277"/>
      <c r="G593" s="277"/>
    </row>
    <row r="594">
      <c r="F594" s="277"/>
      <c r="G594" s="277"/>
    </row>
    <row r="595">
      <c r="F595" s="277"/>
      <c r="G595" s="277"/>
    </row>
    <row r="596">
      <c r="F596" s="277"/>
      <c r="G596" s="277"/>
    </row>
    <row r="597">
      <c r="F597" s="277"/>
      <c r="G597" s="277"/>
    </row>
    <row r="598">
      <c r="F598" s="277"/>
      <c r="G598" s="277"/>
    </row>
    <row r="599">
      <c r="F599" s="277"/>
      <c r="G599" s="277"/>
    </row>
    <row r="600">
      <c r="F600" s="277"/>
      <c r="G600" s="277"/>
    </row>
    <row r="601">
      <c r="F601" s="277"/>
      <c r="G601" s="277"/>
    </row>
    <row r="602">
      <c r="F602" s="277"/>
      <c r="G602" s="277"/>
    </row>
    <row r="603">
      <c r="F603" s="277"/>
      <c r="G603" s="277"/>
    </row>
    <row r="604">
      <c r="F604" s="277"/>
      <c r="G604" s="277"/>
    </row>
    <row r="605">
      <c r="F605" s="277"/>
      <c r="G605" s="277"/>
    </row>
    <row r="606">
      <c r="F606" s="277"/>
      <c r="G606" s="277"/>
    </row>
    <row r="607">
      <c r="F607" s="277"/>
      <c r="G607" s="277"/>
    </row>
    <row r="608">
      <c r="F608" s="277"/>
      <c r="G608" s="277"/>
    </row>
    <row r="609">
      <c r="F609" s="277"/>
      <c r="G609" s="277"/>
    </row>
    <row r="610">
      <c r="F610" s="277"/>
      <c r="G610" s="277"/>
    </row>
    <row r="611">
      <c r="F611" s="277"/>
      <c r="G611" s="277"/>
    </row>
    <row r="612">
      <c r="F612" s="277"/>
      <c r="G612" s="277"/>
    </row>
    <row r="613">
      <c r="F613" s="277"/>
      <c r="G613" s="277"/>
    </row>
    <row r="614">
      <c r="F614" s="277"/>
      <c r="G614" s="277"/>
    </row>
    <row r="615">
      <c r="F615" s="277"/>
      <c r="G615" s="277"/>
    </row>
    <row r="616">
      <c r="F616" s="277"/>
      <c r="G616" s="277"/>
    </row>
    <row r="617">
      <c r="F617" s="277"/>
      <c r="G617" s="277"/>
    </row>
    <row r="618">
      <c r="F618" s="277"/>
      <c r="G618" s="277"/>
    </row>
    <row r="619">
      <c r="F619" s="277"/>
      <c r="G619" s="277"/>
    </row>
    <row r="620">
      <c r="F620" s="277"/>
      <c r="G620" s="277"/>
    </row>
    <row r="621">
      <c r="F621" s="277"/>
      <c r="G621" s="277"/>
    </row>
    <row r="622">
      <c r="F622" s="277"/>
      <c r="G622" s="277"/>
    </row>
    <row r="623">
      <c r="F623" s="277"/>
      <c r="G623" s="277"/>
    </row>
    <row r="624">
      <c r="F624" s="277"/>
      <c r="G624" s="277"/>
    </row>
    <row r="625">
      <c r="F625" s="277"/>
      <c r="G625" s="277"/>
    </row>
    <row r="626">
      <c r="F626" s="277"/>
      <c r="G626" s="277"/>
    </row>
    <row r="627">
      <c r="F627" s="277"/>
      <c r="G627" s="277"/>
    </row>
    <row r="628">
      <c r="F628" s="277"/>
      <c r="G628" s="277"/>
    </row>
    <row r="629">
      <c r="F629" s="277"/>
      <c r="G629" s="277"/>
    </row>
    <row r="630">
      <c r="F630" s="277"/>
      <c r="G630" s="277"/>
    </row>
    <row r="631">
      <c r="F631" s="277"/>
      <c r="G631" s="277"/>
    </row>
    <row r="632">
      <c r="F632" s="277"/>
      <c r="G632" s="277"/>
    </row>
    <row r="633">
      <c r="F633" s="277"/>
      <c r="G633" s="277"/>
    </row>
    <row r="634">
      <c r="F634" s="277"/>
      <c r="G634" s="277"/>
    </row>
    <row r="635">
      <c r="F635" s="277"/>
      <c r="G635" s="277"/>
    </row>
    <row r="636">
      <c r="F636" s="277"/>
      <c r="G636" s="277"/>
    </row>
    <row r="637">
      <c r="F637" s="277"/>
      <c r="G637" s="277"/>
    </row>
    <row r="638">
      <c r="F638" s="277"/>
      <c r="G638" s="277"/>
    </row>
    <row r="639">
      <c r="F639" s="277"/>
      <c r="G639" s="277"/>
    </row>
    <row r="640">
      <c r="F640" s="277"/>
      <c r="G640" s="277"/>
    </row>
    <row r="641">
      <c r="F641" s="277"/>
      <c r="G641" s="277"/>
    </row>
    <row r="642">
      <c r="F642" s="277"/>
      <c r="G642" s="277"/>
    </row>
    <row r="643">
      <c r="F643" s="277"/>
      <c r="G643" s="277"/>
    </row>
    <row r="644">
      <c r="F644" s="277"/>
      <c r="G644" s="277"/>
    </row>
    <row r="645">
      <c r="F645" s="277"/>
      <c r="G645" s="277"/>
    </row>
    <row r="646">
      <c r="F646" s="277"/>
      <c r="G646" s="277"/>
    </row>
    <row r="647">
      <c r="F647" s="277"/>
      <c r="G647" s="277"/>
    </row>
    <row r="648">
      <c r="F648" s="277"/>
      <c r="G648" s="277"/>
    </row>
    <row r="649">
      <c r="F649" s="277"/>
      <c r="G649" s="277"/>
    </row>
    <row r="650">
      <c r="F650" s="277"/>
      <c r="G650" s="277"/>
    </row>
    <row r="651">
      <c r="F651" s="277"/>
      <c r="G651" s="277"/>
    </row>
    <row r="652">
      <c r="F652" s="277"/>
      <c r="G652" s="277"/>
    </row>
    <row r="653">
      <c r="F653" s="277"/>
      <c r="G653" s="277"/>
    </row>
    <row r="654">
      <c r="F654" s="277"/>
      <c r="G654" s="277"/>
    </row>
    <row r="655">
      <c r="F655" s="277"/>
      <c r="G655" s="277"/>
    </row>
    <row r="656">
      <c r="F656" s="277"/>
      <c r="G656" s="277"/>
    </row>
    <row r="657">
      <c r="F657" s="277"/>
      <c r="G657" s="277"/>
    </row>
    <row r="658">
      <c r="F658" s="277"/>
      <c r="G658" s="277"/>
    </row>
    <row r="659">
      <c r="F659" s="277"/>
      <c r="G659" s="277"/>
    </row>
    <row r="660">
      <c r="F660" s="277"/>
      <c r="G660" s="277"/>
    </row>
    <row r="661">
      <c r="F661" s="277"/>
      <c r="G661" s="277"/>
    </row>
    <row r="662">
      <c r="F662" s="277"/>
      <c r="G662" s="277"/>
    </row>
    <row r="663">
      <c r="F663" s="277"/>
      <c r="G663" s="277"/>
    </row>
    <row r="664">
      <c r="F664" s="277"/>
      <c r="G664" s="277"/>
    </row>
    <row r="665">
      <c r="F665" s="277"/>
      <c r="G665" s="277"/>
    </row>
    <row r="666">
      <c r="F666" s="277"/>
      <c r="G666" s="277"/>
    </row>
    <row r="667">
      <c r="F667" s="277"/>
      <c r="G667" s="277"/>
    </row>
    <row r="668">
      <c r="F668" s="277"/>
      <c r="G668" s="277"/>
    </row>
    <row r="669">
      <c r="F669" s="277"/>
      <c r="G669" s="277"/>
    </row>
    <row r="670">
      <c r="F670" s="277"/>
      <c r="G670" s="277"/>
    </row>
    <row r="671">
      <c r="F671" s="277"/>
      <c r="G671" s="277"/>
    </row>
    <row r="672">
      <c r="F672" s="277"/>
      <c r="G672" s="277"/>
    </row>
    <row r="673">
      <c r="F673" s="277"/>
      <c r="G673" s="277"/>
    </row>
    <row r="674">
      <c r="F674" s="277"/>
      <c r="G674" s="277"/>
    </row>
    <row r="675">
      <c r="F675" s="277"/>
      <c r="G675" s="277"/>
    </row>
    <row r="676">
      <c r="F676" s="277"/>
      <c r="G676" s="277"/>
    </row>
    <row r="677">
      <c r="F677" s="277"/>
      <c r="G677" s="277"/>
    </row>
    <row r="678">
      <c r="F678" s="277"/>
      <c r="G678" s="277"/>
    </row>
    <row r="679">
      <c r="F679" s="277"/>
      <c r="G679" s="277"/>
    </row>
    <row r="680">
      <c r="F680" s="277"/>
      <c r="G680" s="277"/>
    </row>
    <row r="681">
      <c r="F681" s="277"/>
      <c r="G681" s="277"/>
    </row>
    <row r="682">
      <c r="F682" s="277"/>
      <c r="G682" s="277"/>
    </row>
    <row r="683">
      <c r="F683" s="277"/>
      <c r="G683" s="277"/>
    </row>
    <row r="684">
      <c r="F684" s="277"/>
      <c r="G684" s="277"/>
    </row>
    <row r="685">
      <c r="F685" s="277"/>
      <c r="G685" s="277"/>
    </row>
    <row r="686">
      <c r="F686" s="277"/>
      <c r="G686" s="277"/>
    </row>
    <row r="687">
      <c r="F687" s="277"/>
      <c r="G687" s="277"/>
    </row>
    <row r="688">
      <c r="F688" s="277"/>
      <c r="G688" s="277"/>
    </row>
    <row r="689">
      <c r="F689" s="277"/>
      <c r="G689" s="277"/>
    </row>
    <row r="690">
      <c r="F690" s="277"/>
      <c r="G690" s="277"/>
    </row>
    <row r="691">
      <c r="F691" s="277"/>
      <c r="G691" s="277"/>
    </row>
    <row r="692">
      <c r="F692" s="277"/>
      <c r="G692" s="277"/>
    </row>
    <row r="693">
      <c r="F693" s="277"/>
      <c r="G693" s="277"/>
    </row>
    <row r="694">
      <c r="F694" s="277"/>
      <c r="G694" s="277"/>
    </row>
    <row r="695">
      <c r="F695" s="277"/>
      <c r="G695" s="277"/>
    </row>
    <row r="696">
      <c r="F696" s="277"/>
      <c r="G696" s="277"/>
    </row>
    <row r="697">
      <c r="F697" s="277"/>
      <c r="G697" s="277"/>
    </row>
    <row r="698">
      <c r="F698" s="277"/>
      <c r="G698" s="277"/>
    </row>
    <row r="699">
      <c r="F699" s="277"/>
      <c r="G699" s="277"/>
    </row>
    <row r="700">
      <c r="F700" s="277"/>
      <c r="G700" s="277"/>
    </row>
    <row r="701">
      <c r="F701" s="277"/>
      <c r="G701" s="277"/>
    </row>
    <row r="702">
      <c r="F702" s="277"/>
      <c r="G702" s="277"/>
    </row>
    <row r="703">
      <c r="F703" s="277"/>
      <c r="G703" s="277"/>
    </row>
    <row r="704">
      <c r="F704" s="277"/>
      <c r="G704" s="277"/>
    </row>
    <row r="705">
      <c r="F705" s="277"/>
      <c r="G705" s="277"/>
    </row>
    <row r="706">
      <c r="F706" s="277"/>
      <c r="G706" s="277"/>
    </row>
    <row r="707">
      <c r="F707" s="277"/>
      <c r="G707" s="277"/>
    </row>
    <row r="708">
      <c r="F708" s="277"/>
      <c r="G708" s="277"/>
    </row>
    <row r="709">
      <c r="F709" s="277"/>
      <c r="G709" s="277"/>
    </row>
    <row r="710">
      <c r="F710" s="277"/>
      <c r="G710" s="277"/>
    </row>
    <row r="711">
      <c r="F711" s="277"/>
      <c r="G711" s="277"/>
    </row>
    <row r="712">
      <c r="F712" s="277"/>
      <c r="G712" s="277"/>
    </row>
    <row r="713">
      <c r="F713" s="277"/>
      <c r="G713" s="277"/>
    </row>
    <row r="714">
      <c r="F714" s="277"/>
      <c r="G714" s="277"/>
    </row>
    <row r="715">
      <c r="F715" s="277"/>
      <c r="G715" s="277"/>
    </row>
    <row r="716">
      <c r="F716" s="277"/>
      <c r="G716" s="277"/>
    </row>
    <row r="717">
      <c r="F717" s="277"/>
      <c r="G717" s="277"/>
    </row>
    <row r="718">
      <c r="F718" s="277"/>
      <c r="G718" s="277"/>
    </row>
    <row r="719">
      <c r="F719" s="277"/>
      <c r="G719" s="277"/>
    </row>
    <row r="720">
      <c r="F720" s="277"/>
      <c r="G720" s="277"/>
    </row>
    <row r="721">
      <c r="F721" s="277"/>
      <c r="G721" s="277"/>
    </row>
    <row r="722">
      <c r="F722" s="277"/>
      <c r="G722" s="277"/>
    </row>
    <row r="723">
      <c r="F723" s="277"/>
      <c r="G723" s="277"/>
    </row>
    <row r="724">
      <c r="F724" s="277"/>
      <c r="G724" s="277"/>
    </row>
    <row r="725">
      <c r="F725" s="277"/>
      <c r="G725" s="277"/>
    </row>
    <row r="726">
      <c r="F726" s="277"/>
      <c r="G726" s="277"/>
    </row>
    <row r="727">
      <c r="F727" s="277"/>
      <c r="G727" s="277"/>
    </row>
    <row r="728">
      <c r="F728" s="277"/>
      <c r="G728" s="277"/>
    </row>
    <row r="729">
      <c r="F729" s="277"/>
      <c r="G729" s="277"/>
    </row>
    <row r="730">
      <c r="F730" s="277"/>
      <c r="G730" s="277"/>
    </row>
    <row r="731">
      <c r="F731" s="277"/>
      <c r="G731" s="277"/>
    </row>
    <row r="732">
      <c r="F732" s="277"/>
      <c r="G732" s="277"/>
    </row>
    <row r="733">
      <c r="F733" s="277"/>
      <c r="G733" s="277"/>
    </row>
    <row r="734">
      <c r="F734" s="277"/>
      <c r="G734" s="277"/>
    </row>
    <row r="735">
      <c r="F735" s="277"/>
      <c r="G735" s="277"/>
    </row>
    <row r="736">
      <c r="F736" s="277"/>
      <c r="G736" s="277"/>
    </row>
    <row r="737">
      <c r="F737" s="277"/>
      <c r="G737" s="277"/>
    </row>
    <row r="738">
      <c r="F738" s="277"/>
      <c r="G738" s="277"/>
    </row>
    <row r="739">
      <c r="F739" s="277"/>
      <c r="G739" s="277"/>
    </row>
    <row r="740">
      <c r="F740" s="277"/>
      <c r="G740" s="277"/>
    </row>
    <row r="741">
      <c r="F741" s="277"/>
      <c r="G741" s="277"/>
    </row>
    <row r="742">
      <c r="F742" s="277"/>
      <c r="G742" s="277"/>
    </row>
    <row r="743">
      <c r="F743" s="277"/>
      <c r="G743" s="277"/>
    </row>
    <row r="744">
      <c r="F744" s="277"/>
      <c r="G744" s="277"/>
    </row>
    <row r="745">
      <c r="F745" s="277"/>
      <c r="G745" s="277"/>
    </row>
    <row r="746">
      <c r="F746" s="277"/>
      <c r="G746" s="277"/>
    </row>
    <row r="747">
      <c r="F747" s="277"/>
      <c r="G747" s="277"/>
    </row>
    <row r="748">
      <c r="F748" s="277"/>
      <c r="G748" s="277"/>
    </row>
    <row r="749">
      <c r="F749" s="277"/>
      <c r="G749" s="277"/>
    </row>
    <row r="750">
      <c r="F750" s="277"/>
      <c r="G750" s="277"/>
    </row>
    <row r="751">
      <c r="F751" s="277"/>
      <c r="G751" s="277"/>
    </row>
    <row r="752">
      <c r="F752" s="277"/>
      <c r="G752" s="277"/>
    </row>
    <row r="753">
      <c r="F753" s="277"/>
      <c r="G753" s="277"/>
    </row>
    <row r="754">
      <c r="F754" s="277"/>
      <c r="G754" s="277"/>
    </row>
    <row r="755">
      <c r="F755" s="277"/>
      <c r="G755" s="277"/>
    </row>
    <row r="756">
      <c r="F756" s="277"/>
      <c r="G756" s="277"/>
    </row>
    <row r="757">
      <c r="F757" s="277"/>
      <c r="G757" s="277"/>
    </row>
    <row r="758">
      <c r="F758" s="277"/>
      <c r="G758" s="277"/>
    </row>
    <row r="759">
      <c r="F759" s="277"/>
      <c r="G759" s="277"/>
    </row>
    <row r="760">
      <c r="F760" s="277"/>
      <c r="G760" s="277"/>
    </row>
    <row r="761">
      <c r="F761" s="277"/>
      <c r="G761" s="277"/>
    </row>
    <row r="762">
      <c r="F762" s="277"/>
      <c r="G762" s="277"/>
    </row>
    <row r="763">
      <c r="F763" s="277"/>
      <c r="G763" s="277"/>
    </row>
    <row r="764">
      <c r="F764" s="277"/>
      <c r="G764" s="277"/>
    </row>
    <row r="765">
      <c r="F765" s="277"/>
      <c r="G765" s="277"/>
    </row>
    <row r="766">
      <c r="F766" s="277"/>
      <c r="G766" s="277"/>
    </row>
    <row r="767">
      <c r="F767" s="277"/>
      <c r="G767" s="277"/>
    </row>
    <row r="768">
      <c r="F768" s="277"/>
      <c r="G768" s="277"/>
    </row>
    <row r="769">
      <c r="F769" s="277"/>
      <c r="G769" s="277"/>
    </row>
    <row r="770">
      <c r="F770" s="277"/>
      <c r="G770" s="277"/>
    </row>
    <row r="771">
      <c r="F771" s="277"/>
      <c r="G771" s="277"/>
    </row>
    <row r="772">
      <c r="F772" s="277"/>
      <c r="G772" s="277"/>
    </row>
    <row r="773">
      <c r="F773" s="277"/>
      <c r="G773" s="277"/>
    </row>
    <row r="774">
      <c r="F774" s="277"/>
      <c r="G774" s="277"/>
    </row>
    <row r="775">
      <c r="F775" s="277"/>
      <c r="G775" s="277"/>
    </row>
    <row r="776">
      <c r="F776" s="277"/>
      <c r="G776" s="277"/>
    </row>
    <row r="777">
      <c r="F777" s="277"/>
      <c r="G777" s="277"/>
    </row>
    <row r="778">
      <c r="F778" s="277"/>
      <c r="G778" s="277"/>
    </row>
    <row r="779">
      <c r="F779" s="277"/>
      <c r="G779" s="277"/>
    </row>
    <row r="780">
      <c r="F780" s="277"/>
      <c r="G780" s="277"/>
    </row>
    <row r="781">
      <c r="F781" s="277"/>
      <c r="G781" s="277"/>
    </row>
    <row r="782">
      <c r="F782" s="277"/>
      <c r="G782" s="277"/>
    </row>
    <row r="783">
      <c r="F783" s="277"/>
      <c r="G783" s="277"/>
    </row>
    <row r="784">
      <c r="F784" s="277"/>
      <c r="G784" s="277"/>
    </row>
    <row r="785">
      <c r="F785" s="277"/>
      <c r="G785" s="277"/>
    </row>
    <row r="786">
      <c r="F786" s="277"/>
      <c r="G786" s="277"/>
    </row>
    <row r="787">
      <c r="F787" s="277"/>
      <c r="G787" s="277"/>
    </row>
    <row r="788">
      <c r="F788" s="277"/>
      <c r="G788" s="277"/>
    </row>
    <row r="789">
      <c r="F789" s="277"/>
      <c r="G789" s="277"/>
    </row>
    <row r="790">
      <c r="F790" s="277"/>
      <c r="G790" s="277"/>
    </row>
    <row r="791">
      <c r="F791" s="277"/>
      <c r="G791" s="277"/>
    </row>
    <row r="792">
      <c r="F792" s="277"/>
      <c r="G792" s="277"/>
    </row>
    <row r="793">
      <c r="F793" s="277"/>
      <c r="G793" s="277"/>
    </row>
    <row r="794">
      <c r="F794" s="277"/>
      <c r="G794" s="277"/>
    </row>
    <row r="795">
      <c r="F795" s="277"/>
      <c r="G795" s="277"/>
    </row>
    <row r="796">
      <c r="F796" s="277"/>
      <c r="G796" s="277"/>
    </row>
    <row r="797">
      <c r="F797" s="277"/>
      <c r="G797" s="277"/>
    </row>
    <row r="798">
      <c r="F798" s="277"/>
      <c r="G798" s="277"/>
    </row>
    <row r="799">
      <c r="F799" s="277"/>
      <c r="G799" s="277"/>
    </row>
    <row r="800">
      <c r="F800" s="277"/>
      <c r="G800" s="277"/>
    </row>
    <row r="801">
      <c r="F801" s="277"/>
      <c r="G801" s="277"/>
    </row>
    <row r="802">
      <c r="F802" s="277"/>
      <c r="G802" s="277"/>
    </row>
    <row r="803">
      <c r="F803" s="277"/>
      <c r="G803" s="277"/>
    </row>
    <row r="804">
      <c r="F804" s="277"/>
      <c r="G804" s="277"/>
    </row>
    <row r="805">
      <c r="F805" s="277"/>
      <c r="G805" s="277"/>
    </row>
    <row r="806">
      <c r="F806" s="277"/>
      <c r="G806" s="277"/>
    </row>
    <row r="807">
      <c r="F807" s="277"/>
      <c r="G807" s="277"/>
    </row>
    <row r="808">
      <c r="F808" s="277"/>
      <c r="G808" s="277"/>
    </row>
    <row r="809">
      <c r="F809" s="277"/>
      <c r="G809" s="277"/>
    </row>
    <row r="810">
      <c r="F810" s="277"/>
      <c r="G810" s="277"/>
    </row>
    <row r="811">
      <c r="F811" s="277"/>
      <c r="G811" s="277"/>
    </row>
    <row r="812">
      <c r="F812" s="277"/>
      <c r="G812" s="277"/>
    </row>
    <row r="813">
      <c r="F813" s="277"/>
      <c r="G813" s="277"/>
    </row>
    <row r="814">
      <c r="F814" s="277"/>
      <c r="G814" s="277"/>
    </row>
    <row r="815">
      <c r="F815" s="277"/>
      <c r="G815" s="277"/>
    </row>
    <row r="816">
      <c r="F816" s="277"/>
      <c r="G816" s="277"/>
    </row>
    <row r="817">
      <c r="F817" s="277"/>
      <c r="G817" s="277"/>
    </row>
    <row r="818">
      <c r="F818" s="277"/>
      <c r="G818" s="277"/>
    </row>
    <row r="819">
      <c r="F819" s="277"/>
      <c r="G819" s="277"/>
    </row>
    <row r="820">
      <c r="F820" s="277"/>
      <c r="G820" s="277"/>
    </row>
    <row r="821">
      <c r="F821" s="277"/>
      <c r="G821" s="277"/>
    </row>
    <row r="822">
      <c r="F822" s="277"/>
      <c r="G822" s="277"/>
    </row>
    <row r="823">
      <c r="F823" s="277"/>
      <c r="G823" s="277"/>
    </row>
    <row r="824">
      <c r="F824" s="277"/>
      <c r="G824" s="277"/>
    </row>
    <row r="825">
      <c r="F825" s="277"/>
      <c r="G825" s="277"/>
    </row>
    <row r="826">
      <c r="F826" s="277"/>
      <c r="G826" s="277"/>
    </row>
    <row r="827">
      <c r="F827" s="277"/>
      <c r="G827" s="277"/>
    </row>
    <row r="828">
      <c r="F828" s="277"/>
      <c r="G828" s="277"/>
    </row>
    <row r="829">
      <c r="F829" s="277"/>
      <c r="G829" s="277"/>
    </row>
    <row r="830">
      <c r="F830" s="277"/>
      <c r="G830" s="277"/>
    </row>
    <row r="831">
      <c r="F831" s="277"/>
      <c r="G831" s="277"/>
    </row>
    <row r="832">
      <c r="F832" s="277"/>
      <c r="G832" s="277"/>
    </row>
    <row r="833">
      <c r="F833" s="277"/>
      <c r="G833" s="277"/>
    </row>
    <row r="834">
      <c r="F834" s="277"/>
      <c r="G834" s="277"/>
    </row>
    <row r="835">
      <c r="F835" s="277"/>
      <c r="G835" s="277"/>
    </row>
    <row r="836">
      <c r="F836" s="277"/>
      <c r="G836" s="277"/>
    </row>
    <row r="837">
      <c r="F837" s="277"/>
      <c r="G837" s="277"/>
    </row>
    <row r="838">
      <c r="F838" s="277"/>
      <c r="G838" s="277"/>
    </row>
    <row r="839">
      <c r="F839" s="277"/>
      <c r="G839" s="277"/>
    </row>
    <row r="840">
      <c r="F840" s="277"/>
      <c r="G840" s="277"/>
    </row>
    <row r="841">
      <c r="F841" s="277"/>
      <c r="G841" s="277"/>
    </row>
    <row r="842">
      <c r="F842" s="277"/>
      <c r="G842" s="277"/>
    </row>
    <row r="843">
      <c r="F843" s="277"/>
      <c r="G843" s="277"/>
    </row>
    <row r="844">
      <c r="F844" s="277"/>
      <c r="G844" s="277"/>
    </row>
    <row r="845">
      <c r="F845" s="277"/>
      <c r="G845" s="277"/>
    </row>
    <row r="846">
      <c r="F846" s="277"/>
      <c r="G846" s="277"/>
    </row>
    <row r="847">
      <c r="F847" s="277"/>
      <c r="G847" s="277"/>
    </row>
    <row r="848">
      <c r="F848" s="277"/>
      <c r="G848" s="277"/>
    </row>
    <row r="849">
      <c r="F849" s="277"/>
      <c r="G849" s="277"/>
    </row>
    <row r="850">
      <c r="F850" s="277"/>
      <c r="G850" s="277"/>
    </row>
    <row r="851">
      <c r="F851" s="277"/>
      <c r="G851" s="277"/>
    </row>
    <row r="852">
      <c r="F852" s="277"/>
      <c r="G852" s="277"/>
    </row>
    <row r="853">
      <c r="F853" s="277"/>
      <c r="G853" s="277"/>
    </row>
    <row r="854">
      <c r="F854" s="277"/>
      <c r="G854" s="277"/>
    </row>
    <row r="855">
      <c r="F855" s="277"/>
      <c r="G855" s="277"/>
    </row>
    <row r="856">
      <c r="F856" s="277"/>
      <c r="G856" s="277"/>
    </row>
    <row r="857">
      <c r="F857" s="277"/>
      <c r="G857" s="277"/>
    </row>
    <row r="858">
      <c r="F858" s="277"/>
      <c r="G858" s="277"/>
    </row>
    <row r="859">
      <c r="F859" s="277"/>
      <c r="G859" s="277"/>
    </row>
    <row r="860">
      <c r="F860" s="277"/>
      <c r="G860" s="277"/>
    </row>
    <row r="861">
      <c r="F861" s="277"/>
      <c r="G861" s="277"/>
    </row>
    <row r="862">
      <c r="F862" s="277"/>
      <c r="G862" s="277"/>
    </row>
    <row r="863">
      <c r="F863" s="277"/>
      <c r="G863" s="277"/>
    </row>
    <row r="864">
      <c r="F864" s="277"/>
      <c r="G864" s="277"/>
    </row>
    <row r="865">
      <c r="F865" s="277"/>
      <c r="G865" s="277"/>
    </row>
    <row r="866">
      <c r="F866" s="277"/>
      <c r="G866" s="277"/>
    </row>
    <row r="867">
      <c r="F867" s="277"/>
      <c r="G867" s="277"/>
    </row>
    <row r="868">
      <c r="F868" s="277"/>
      <c r="G868" s="277"/>
    </row>
    <row r="869">
      <c r="F869" s="277"/>
      <c r="G869" s="277"/>
    </row>
    <row r="870">
      <c r="F870" s="277"/>
      <c r="G870" s="277"/>
    </row>
    <row r="871">
      <c r="F871" s="277"/>
      <c r="G871" s="277"/>
    </row>
    <row r="872">
      <c r="F872" s="277"/>
      <c r="G872" s="277"/>
    </row>
    <row r="873">
      <c r="F873" s="277"/>
      <c r="G873" s="277"/>
    </row>
    <row r="874">
      <c r="F874" s="277"/>
      <c r="G874" s="277"/>
    </row>
    <row r="875">
      <c r="F875" s="277"/>
      <c r="G875" s="277"/>
    </row>
    <row r="876">
      <c r="F876" s="277"/>
      <c r="G876" s="277"/>
    </row>
    <row r="877">
      <c r="F877" s="277"/>
      <c r="G877" s="277"/>
    </row>
    <row r="878">
      <c r="F878" s="277"/>
      <c r="G878" s="277"/>
    </row>
    <row r="879">
      <c r="F879" s="277"/>
      <c r="G879" s="277"/>
    </row>
    <row r="880">
      <c r="F880" s="277"/>
      <c r="G880" s="277"/>
    </row>
    <row r="881">
      <c r="F881" s="277"/>
      <c r="G881" s="277"/>
    </row>
    <row r="882">
      <c r="F882" s="277"/>
      <c r="G882" s="277"/>
    </row>
    <row r="883">
      <c r="F883" s="277"/>
      <c r="G883" s="277"/>
    </row>
    <row r="884">
      <c r="F884" s="277"/>
      <c r="G884" s="277"/>
    </row>
    <row r="885">
      <c r="F885" s="277"/>
      <c r="G885" s="277"/>
    </row>
    <row r="886">
      <c r="F886" s="277"/>
      <c r="G886" s="277"/>
    </row>
    <row r="887">
      <c r="F887" s="277"/>
      <c r="G887" s="277"/>
    </row>
    <row r="888">
      <c r="F888" s="277"/>
      <c r="G888" s="277"/>
    </row>
    <row r="889">
      <c r="F889" s="277"/>
      <c r="G889" s="277"/>
    </row>
    <row r="890">
      <c r="F890" s="277"/>
      <c r="G890" s="277"/>
    </row>
    <row r="891">
      <c r="F891" s="277"/>
      <c r="G891" s="277"/>
    </row>
    <row r="892">
      <c r="F892" s="277"/>
      <c r="G892" s="277"/>
    </row>
    <row r="893">
      <c r="F893" s="277"/>
      <c r="G893" s="277"/>
    </row>
    <row r="894">
      <c r="F894" s="277"/>
      <c r="G894" s="277"/>
    </row>
    <row r="895">
      <c r="F895" s="277"/>
      <c r="G895" s="277"/>
    </row>
    <row r="896">
      <c r="F896" s="277"/>
      <c r="G896" s="277"/>
    </row>
    <row r="897">
      <c r="F897" s="277"/>
      <c r="G897" s="277"/>
    </row>
    <row r="898">
      <c r="F898" s="277"/>
      <c r="G898" s="277"/>
    </row>
    <row r="899">
      <c r="F899" s="277"/>
      <c r="G899" s="277"/>
    </row>
    <row r="900">
      <c r="F900" s="277"/>
      <c r="G900" s="277"/>
    </row>
    <row r="901">
      <c r="F901" s="277"/>
      <c r="G901" s="277"/>
    </row>
    <row r="902">
      <c r="F902" s="277"/>
      <c r="G902" s="277"/>
    </row>
    <row r="903">
      <c r="F903" s="277"/>
      <c r="G903" s="277"/>
    </row>
    <row r="904">
      <c r="F904" s="277"/>
      <c r="G904" s="277"/>
    </row>
    <row r="905">
      <c r="F905" s="277"/>
      <c r="G905" s="277"/>
    </row>
    <row r="906">
      <c r="F906" s="277"/>
      <c r="G906" s="277"/>
    </row>
    <row r="907">
      <c r="F907" s="277"/>
      <c r="G907" s="277"/>
    </row>
    <row r="908">
      <c r="F908" s="277"/>
      <c r="G908" s="277"/>
    </row>
    <row r="909">
      <c r="F909" s="277"/>
      <c r="G909" s="277"/>
    </row>
    <row r="910">
      <c r="F910" s="277"/>
      <c r="G910" s="277"/>
    </row>
    <row r="911">
      <c r="F911" s="277"/>
      <c r="G911" s="277"/>
    </row>
    <row r="912">
      <c r="F912" s="277"/>
      <c r="G912" s="277"/>
    </row>
    <row r="913">
      <c r="F913" s="277"/>
      <c r="G913" s="277"/>
    </row>
    <row r="914">
      <c r="F914" s="277"/>
      <c r="G914" s="277"/>
    </row>
    <row r="915">
      <c r="F915" s="277"/>
      <c r="G915" s="277"/>
    </row>
    <row r="916">
      <c r="F916" s="277"/>
      <c r="G916" s="277"/>
    </row>
    <row r="917">
      <c r="F917" s="277"/>
      <c r="G917" s="277"/>
    </row>
    <row r="918">
      <c r="F918" s="277"/>
      <c r="G918" s="277"/>
    </row>
    <row r="919">
      <c r="F919" s="277"/>
      <c r="G919" s="277"/>
    </row>
    <row r="920">
      <c r="F920" s="277"/>
      <c r="G920" s="277"/>
    </row>
    <row r="921">
      <c r="F921" s="277"/>
      <c r="G921" s="277"/>
    </row>
    <row r="922">
      <c r="F922" s="277"/>
      <c r="G922" s="277"/>
    </row>
    <row r="923">
      <c r="F923" s="277"/>
      <c r="G923" s="277"/>
    </row>
    <row r="924">
      <c r="F924" s="277"/>
      <c r="G924" s="277"/>
    </row>
    <row r="925">
      <c r="F925" s="277"/>
      <c r="G925" s="277"/>
    </row>
    <row r="926">
      <c r="F926" s="277"/>
      <c r="G926" s="277"/>
    </row>
    <row r="927">
      <c r="F927" s="277"/>
      <c r="G927" s="277"/>
    </row>
    <row r="928">
      <c r="F928" s="277"/>
      <c r="G928" s="277"/>
    </row>
    <row r="929">
      <c r="F929" s="277"/>
      <c r="G929" s="277"/>
    </row>
    <row r="930">
      <c r="F930" s="277"/>
      <c r="G930" s="277"/>
    </row>
    <row r="931">
      <c r="F931" s="277"/>
      <c r="G931" s="277"/>
    </row>
    <row r="932">
      <c r="F932" s="277"/>
      <c r="G932" s="277"/>
    </row>
    <row r="933">
      <c r="F933" s="277"/>
      <c r="G933" s="277"/>
    </row>
    <row r="934">
      <c r="F934" s="277"/>
      <c r="G934" s="277"/>
    </row>
    <row r="935">
      <c r="F935" s="277"/>
      <c r="G935" s="277"/>
    </row>
    <row r="936">
      <c r="F936" s="277"/>
      <c r="G936" s="277"/>
    </row>
    <row r="937">
      <c r="F937" s="277"/>
      <c r="G937" s="277"/>
    </row>
    <row r="938">
      <c r="F938" s="277"/>
      <c r="G938" s="277"/>
    </row>
    <row r="939">
      <c r="F939" s="277"/>
      <c r="G939" s="277"/>
    </row>
    <row r="940">
      <c r="F940" s="277"/>
      <c r="G940" s="277"/>
    </row>
    <row r="941">
      <c r="F941" s="277"/>
      <c r="G941" s="277"/>
    </row>
    <row r="942">
      <c r="F942" s="277"/>
      <c r="G942" s="277"/>
    </row>
    <row r="943">
      <c r="F943" s="277"/>
      <c r="G943" s="277"/>
    </row>
    <row r="944">
      <c r="F944" s="277"/>
      <c r="G944" s="277"/>
    </row>
    <row r="945">
      <c r="F945" s="277"/>
      <c r="G945" s="277"/>
    </row>
    <row r="946">
      <c r="F946" s="277"/>
      <c r="G946" s="277"/>
    </row>
    <row r="947">
      <c r="F947" s="277"/>
      <c r="G947" s="277"/>
    </row>
    <row r="948">
      <c r="F948" s="277"/>
      <c r="G948" s="277"/>
    </row>
    <row r="949">
      <c r="F949" s="277"/>
      <c r="G949" s="277"/>
    </row>
    <row r="950">
      <c r="F950" s="277"/>
      <c r="G950" s="277"/>
    </row>
    <row r="951">
      <c r="F951" s="277"/>
      <c r="G951" s="277"/>
    </row>
    <row r="952">
      <c r="F952" s="277"/>
      <c r="G952" s="277"/>
    </row>
    <row r="953">
      <c r="F953" s="277"/>
      <c r="G953" s="277"/>
    </row>
    <row r="954">
      <c r="F954" s="277"/>
      <c r="G954" s="277"/>
    </row>
    <row r="955">
      <c r="F955" s="277"/>
      <c r="G955" s="277"/>
    </row>
    <row r="956">
      <c r="F956" s="277"/>
      <c r="G956" s="277"/>
    </row>
    <row r="957">
      <c r="F957" s="277"/>
      <c r="G957" s="277"/>
    </row>
    <row r="958">
      <c r="F958" s="277"/>
      <c r="G958" s="277"/>
    </row>
    <row r="959">
      <c r="F959" s="277"/>
      <c r="G959" s="277"/>
    </row>
    <row r="960">
      <c r="F960" s="277"/>
      <c r="G960" s="277"/>
    </row>
    <row r="961">
      <c r="F961" s="277"/>
      <c r="G961" s="277"/>
    </row>
    <row r="962">
      <c r="F962" s="277"/>
      <c r="G962" s="277"/>
    </row>
    <row r="963">
      <c r="F963" s="277"/>
      <c r="G963" s="277"/>
    </row>
    <row r="964">
      <c r="F964" s="277"/>
      <c r="G964" s="277"/>
    </row>
    <row r="965">
      <c r="F965" s="277"/>
      <c r="G965" s="277"/>
    </row>
    <row r="966">
      <c r="F966" s="277"/>
      <c r="G966" s="277"/>
    </row>
    <row r="967">
      <c r="F967" s="277"/>
      <c r="G967" s="277"/>
    </row>
    <row r="968">
      <c r="F968" s="277"/>
      <c r="G968" s="277"/>
    </row>
    <row r="969">
      <c r="F969" s="277"/>
      <c r="G969" s="277"/>
    </row>
    <row r="970">
      <c r="F970" s="277"/>
      <c r="G970" s="277"/>
    </row>
    <row r="971">
      <c r="F971" s="277"/>
      <c r="G971" s="277"/>
    </row>
    <row r="972">
      <c r="F972" s="277"/>
      <c r="G972" s="277"/>
    </row>
    <row r="973">
      <c r="F973" s="277"/>
      <c r="G973" s="277"/>
    </row>
    <row r="974">
      <c r="F974" s="277"/>
      <c r="G974" s="277"/>
    </row>
    <row r="975">
      <c r="F975" s="277"/>
      <c r="G975" s="277"/>
    </row>
    <row r="976">
      <c r="F976" s="277"/>
      <c r="G976" s="277"/>
    </row>
    <row r="977">
      <c r="F977" s="277"/>
      <c r="G977" s="277"/>
    </row>
    <row r="978">
      <c r="F978" s="277"/>
      <c r="G978" s="277"/>
    </row>
    <row r="979">
      <c r="F979" s="277"/>
      <c r="G979" s="277"/>
    </row>
    <row r="980">
      <c r="F980" s="277"/>
      <c r="G980" s="277"/>
    </row>
    <row r="981">
      <c r="F981" s="277"/>
      <c r="G981" s="277"/>
    </row>
    <row r="982">
      <c r="F982" s="277"/>
      <c r="G982" s="277"/>
    </row>
    <row r="983">
      <c r="F983" s="277"/>
      <c r="G983" s="277"/>
    </row>
    <row r="984">
      <c r="F984" s="277"/>
      <c r="G984" s="277"/>
    </row>
    <row r="985">
      <c r="F985" s="277"/>
      <c r="G985" s="277"/>
    </row>
    <row r="986">
      <c r="F986" s="277"/>
      <c r="G986" s="277"/>
    </row>
    <row r="987">
      <c r="F987" s="277"/>
      <c r="G987" s="277"/>
    </row>
    <row r="988">
      <c r="F988" s="277"/>
      <c r="G988" s="277"/>
    </row>
    <row r="989">
      <c r="F989" s="277"/>
      <c r="G989" s="277"/>
    </row>
    <row r="990">
      <c r="F990" s="277"/>
      <c r="G990" s="277"/>
    </row>
    <row r="991">
      <c r="F991" s="277"/>
      <c r="G991" s="277"/>
    </row>
    <row r="992">
      <c r="F992" s="277"/>
      <c r="G992" s="277"/>
    </row>
    <row r="993">
      <c r="F993" s="277"/>
      <c r="G993" s="277"/>
    </row>
    <row r="994">
      <c r="F994" s="277"/>
      <c r="G994" s="277"/>
    </row>
    <row r="995">
      <c r="F995" s="277"/>
      <c r="G995" s="277"/>
    </row>
    <row r="996">
      <c r="F996" s="277"/>
      <c r="G996" s="277"/>
    </row>
    <row r="997">
      <c r="F997" s="277"/>
      <c r="G997" s="277"/>
    </row>
    <row r="998">
      <c r="F998" s="277"/>
      <c r="G998" s="277"/>
    </row>
    <row r="999">
      <c r="F999" s="277"/>
      <c r="G999" s="277"/>
    </row>
    <row r="1000">
      <c r="F1000" s="277"/>
      <c r="G1000" s="277"/>
    </row>
  </sheetData>
  <mergeCells count="2">
    <mergeCell ref="B2:D2"/>
    <mergeCell ref="B3:D3"/>
  </mergeCells>
  <hyperlinks>
    <hyperlink r:id="rId1" ref="H9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</cols>
  <sheetData>
    <row r="2">
      <c r="B2" s="8" t="s">
        <v>1568</v>
      </c>
      <c r="C2" s="8" t="s">
        <v>1569</v>
      </c>
      <c r="D2" s="8" t="s">
        <v>1570</v>
      </c>
    </row>
    <row r="3">
      <c r="B3" s="12" t="str">
        <f>HYPERLINK("https://www.mouser.co.uk/ProjectManager/ProjectDetail.aspx?AccessID=6F59DB9C57","Bart Wolff's link")</f>
        <v>Bart Wolff's link</v>
      </c>
      <c r="C3" s="12" t="str">
        <f>HYPERLINK("https://www.facebook.com/groups/1716364098644678/permalink/1744892429125178/?comment_id=1745108235770264&amp;comment_tracking=%7B%22tn%22%3A%22R3%22%7D","link")</f>
        <v>link</v>
      </c>
      <c r="D3" s="281">
        <v>42493.0</v>
      </c>
    </row>
    <row r="4">
      <c r="B4" s="12" t="str">
        <f>HYPERLINK("https://www.mouser.co.uk/ProjectManager/ProjectDetail.aspx?AccessID=C6BA76134C","Nicholas Thorne's link")</f>
        <v>Nicholas Thorne's link</v>
      </c>
      <c r="C4" s="12" t="str">
        <f>HYPERLINK("https://www.facebook.com/groups/1677419455833872/permalink/1716826871893130/?comment_id=1716845685224582&amp;comment_tracking=%7B%22tn%22%3A%22R%22%7D","link")</f>
        <v>link</v>
      </c>
      <c r="D4" s="281">
        <v>42491.0</v>
      </c>
    </row>
    <row r="5">
      <c r="B5" s="12" t="str">
        <f>HYPERLINK("https://www.mouser.co.uk/ProjectManager/ProjectDetail.aspx?AccessID=723e2bd852","Jani Rantala's link")</f>
        <v>Jani Rantala's link</v>
      </c>
      <c r="C5" s="12" t="str">
        <f>HYPERLINK("https://www.facebook.com/groups/1677419455833872/permalink/1714739375435213/?comment_id=1714745492101268&amp;reply_comment_id=1714779852097832&amp;comment_tracking=%7B%22tn%22%3A%22R9%22%7D","link")</f>
        <v>link</v>
      </c>
      <c r="D5" s="281">
        <v>42486.0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6.71"/>
    <col customWidth="1" min="4" max="6" width="7.29"/>
    <col customWidth="1" min="7" max="7" width="2.71"/>
    <col customWidth="1" min="8" max="8" width="16.86"/>
    <col customWidth="1" min="9" max="9" width="7.0"/>
    <col customWidth="1" min="10" max="10" width="55.86"/>
    <col customWidth="1" min="12" max="12" width="33.14"/>
    <col customWidth="1" min="13" max="13" width="19.86"/>
    <col customWidth="1" min="16" max="16" width="23.86"/>
    <col customWidth="1" min="17" max="17" width="39.57"/>
  </cols>
  <sheetData>
    <row r="1">
      <c r="D1" s="282"/>
      <c r="G1" s="52"/>
      <c r="Q1" s="51"/>
    </row>
    <row r="2">
      <c r="D2" s="282"/>
      <c r="G2" s="52"/>
      <c r="Q2" s="51"/>
    </row>
    <row r="3">
      <c r="D3" s="282"/>
      <c r="G3" s="52"/>
      <c r="I3" s="1"/>
      <c r="Q3" s="51"/>
    </row>
    <row r="4">
      <c r="D4" s="282"/>
      <c r="G4" s="52"/>
      <c r="Q4" s="51"/>
    </row>
    <row r="5">
      <c r="A5" s="7"/>
      <c r="B5" s="7"/>
      <c r="C5" s="7"/>
      <c r="D5" s="283"/>
      <c r="E5" s="7"/>
      <c r="F5" s="7"/>
      <c r="G5" s="56"/>
      <c r="H5" s="7"/>
      <c r="I5" s="7"/>
      <c r="J5" s="8" t="s">
        <v>94</v>
      </c>
      <c r="K5" s="8" t="s">
        <v>95</v>
      </c>
      <c r="L5" s="8" t="s">
        <v>96</v>
      </c>
      <c r="M5" s="8" t="s">
        <v>97</v>
      </c>
      <c r="N5" s="8" t="s">
        <v>98</v>
      </c>
      <c r="O5" s="8" t="s">
        <v>99</v>
      </c>
      <c r="P5" s="8" t="s">
        <v>100</v>
      </c>
      <c r="Q5" s="284" t="s">
        <v>101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D6" s="285"/>
      <c r="E6" s="1"/>
      <c r="F6" s="1">
        <v>1.0</v>
      </c>
      <c r="G6" s="60">
        <f t="shared" ref="G6:G722" si="2">row()-index($B$9:$D$27, $F6, 3)</f>
        <v>0</v>
      </c>
      <c r="H6" s="1" t="str">
        <f t="shared" ref="H6:H722" si="3">index($B$9:$B$27, $F6, 0)</f>
        <v>Braids v5.1</v>
      </c>
      <c r="I6" t="str">
        <f t="shared" ref="I6:I722" si="4">if(exact($J6, "SMT parts, bottom side"), "", if(lt($G6, index($B$30:$E$48, $F6, 2)), "S", if(eq($G6, index($B$30:$E$48, $F6, 2)), "", if(lt($G6, index($B$30:$E$48, $F6, 3)), "U", if(eq($G6, index($B$30:$E$48, $F6, 3)), "", if(lt($G6, index($B$30:$E$48, $F6, 4)), "D", if(eq($G6, index($B$30:$E$48, $F6, 4)), "", "P")))))))</f>
        <v>S</v>
      </c>
      <c r="J6" s="1" t="str">
        <f t="shared" ref="J6:Q6" si="1">indirect(address($G6+4, column()-9, 4, , $H6))</f>
        <v>R49</v>
      </c>
      <c r="K6" s="1">
        <f t="shared" si="1"/>
        <v>1</v>
      </c>
      <c r="L6" s="1" t="str">
        <f t="shared" si="1"/>
        <v>Resistor, 5%, 250mW</v>
      </c>
      <c r="M6" s="1" t="str">
        <f t="shared" si="1"/>
        <v/>
      </c>
      <c r="N6" s="1">
        <f t="shared" si="1"/>
        <v>4.7</v>
      </c>
      <c r="O6" s="1" t="str">
        <f t="shared" si="1"/>
        <v>1206</v>
      </c>
      <c r="P6" s="1" t="str">
        <f t="shared" si="1"/>
        <v>667-ERJ-8GEYJ4R7V</v>
      </c>
      <c r="Q6" s="1" t="str">
        <f t="shared" si="1"/>
        <v/>
      </c>
    </row>
    <row r="7">
      <c r="C7" s="1"/>
      <c r="D7" s="285"/>
      <c r="E7" s="1"/>
      <c r="F7" s="1">
        <v>1.0</v>
      </c>
      <c r="G7" s="60">
        <f t="shared" si="2"/>
        <v>1</v>
      </c>
      <c r="H7" s="1" t="str">
        <f t="shared" si="3"/>
        <v>Braids v5.1</v>
      </c>
      <c r="I7" t="str">
        <f t="shared" si="4"/>
        <v>S</v>
      </c>
      <c r="J7" s="1" t="str">
        <f t="shared" ref="J7:Q7" si="5">indirect(address($G7+4, column()-9, 4, , $H7))</f>
        <v>R4, R5, R6, R7, R8, R9, R10, R12, R13, R14, R15, R16, R17, R18</v>
      </c>
      <c r="K7" s="1">
        <f t="shared" si="5"/>
        <v>14</v>
      </c>
      <c r="L7" s="1" t="str">
        <f t="shared" si="5"/>
        <v>Resistor, 1%</v>
      </c>
      <c r="M7" s="1" t="str">
        <f t="shared" si="5"/>
        <v/>
      </c>
      <c r="N7" s="1">
        <f t="shared" si="5"/>
        <v>100</v>
      </c>
      <c r="O7" s="1" t="str">
        <f t="shared" si="5"/>
        <v>0603</v>
      </c>
      <c r="P7" s="1" t="str">
        <f t="shared" si="5"/>
        <v>667-ERJ3EKF1000V</v>
      </c>
      <c r="Q7" s="1" t="str">
        <f t="shared" si="5"/>
        <v/>
      </c>
    </row>
    <row r="8">
      <c r="C8" s="1" t="s">
        <v>1571</v>
      </c>
      <c r="D8" s="53" t="s">
        <v>1572</v>
      </c>
      <c r="E8" s="1"/>
      <c r="F8" s="1">
        <v>1.0</v>
      </c>
      <c r="G8" s="60">
        <f t="shared" si="2"/>
        <v>2</v>
      </c>
      <c r="H8" s="1" t="str">
        <f t="shared" si="3"/>
        <v>Braids v5.1</v>
      </c>
      <c r="I8" t="str">
        <f t="shared" si="4"/>
        <v>S</v>
      </c>
      <c r="J8" s="1" t="str">
        <f t="shared" ref="J8:Q8" si="6">indirect(address($G8+4, column()-9, 4, , $H8))</f>
        <v>R51</v>
      </c>
      <c r="K8" s="1">
        <f t="shared" si="6"/>
        <v>1</v>
      </c>
      <c r="L8" s="1" t="str">
        <f t="shared" si="6"/>
        <v>Resistor, 1%</v>
      </c>
      <c r="M8" s="1" t="str">
        <f t="shared" si="6"/>
        <v/>
      </c>
      <c r="N8" s="1">
        <f t="shared" si="6"/>
        <v>330</v>
      </c>
      <c r="O8" s="1" t="str">
        <f t="shared" si="6"/>
        <v>0603</v>
      </c>
      <c r="P8" s="1" t="str">
        <f t="shared" si="6"/>
        <v>667-ERJ3EKF3300V</v>
      </c>
      <c r="Q8" s="1" t="str">
        <f t="shared" si="6"/>
        <v/>
      </c>
    </row>
    <row r="9">
      <c r="A9" s="286" t="str">
        <f>address(D9, 8)</f>
        <v>$H$6</v>
      </c>
      <c r="B9" s="286" t="s">
        <v>1573</v>
      </c>
      <c r="C9" s="1">
        <f t="shared" ref="C9:C27" si="8">rows(indirect(address(4, 1, 4, , B9)&amp;":"&amp;address(999, 1, 4)))</f>
        <v>46</v>
      </c>
      <c r="D9" s="285">
        <v>6.0</v>
      </c>
      <c r="F9" s="1">
        <v>1.0</v>
      </c>
      <c r="G9" s="60">
        <f t="shared" si="2"/>
        <v>3</v>
      </c>
      <c r="H9" s="1" t="str">
        <f t="shared" si="3"/>
        <v>Braids v5.1</v>
      </c>
      <c r="I9" t="str">
        <f t="shared" si="4"/>
        <v>S</v>
      </c>
      <c r="J9" s="1" t="str">
        <f t="shared" ref="J9:Q9" si="7">indirect(address($G9+4, column()-9, 4, , $H9))</f>
        <v>R1, R2, R3, R11, R23, R55</v>
      </c>
      <c r="K9" s="1">
        <f t="shared" si="7"/>
        <v>6</v>
      </c>
      <c r="L9" s="1" t="str">
        <f t="shared" si="7"/>
        <v>Resistor, 1%</v>
      </c>
      <c r="M9" s="1" t="str">
        <f t="shared" si="7"/>
        <v/>
      </c>
      <c r="N9" s="1" t="str">
        <f t="shared" si="7"/>
        <v>1k</v>
      </c>
      <c r="O9" s="1" t="str">
        <f t="shared" si="7"/>
        <v>0603</v>
      </c>
      <c r="P9" s="1" t="str">
        <f t="shared" si="7"/>
        <v>667-ERJ3EKF1001V</v>
      </c>
      <c r="Q9" s="1" t="str">
        <f t="shared" si="7"/>
        <v/>
      </c>
    </row>
    <row r="10">
      <c r="A10" s="286"/>
      <c r="B10" s="286" t="s">
        <v>1574</v>
      </c>
      <c r="C10" s="1">
        <f t="shared" si="8"/>
        <v>26</v>
      </c>
      <c r="D10" s="285">
        <f t="shared" ref="D10:D27" si="10">D9+C9</f>
        <v>52</v>
      </c>
      <c r="F10" s="1">
        <v>1.0</v>
      </c>
      <c r="G10" s="60">
        <f t="shared" si="2"/>
        <v>4</v>
      </c>
      <c r="H10" s="1" t="str">
        <f t="shared" si="3"/>
        <v>Braids v5.1</v>
      </c>
      <c r="I10" t="str">
        <f t="shared" si="4"/>
        <v>S</v>
      </c>
      <c r="J10" s="1" t="str">
        <f t="shared" ref="J10:Q10" si="9">indirect(address($G10+4, column()-9, 4, , $H10))</f>
        <v>R22, R27, R33</v>
      </c>
      <c r="K10" s="1">
        <f t="shared" si="9"/>
        <v>3</v>
      </c>
      <c r="L10" s="1" t="str">
        <f t="shared" si="9"/>
        <v>Resistor, 1%</v>
      </c>
      <c r="M10" s="1" t="str">
        <f t="shared" si="9"/>
        <v/>
      </c>
      <c r="N10" s="1" t="str">
        <f t="shared" si="9"/>
        <v>10k</v>
      </c>
      <c r="O10" s="1" t="str">
        <f t="shared" si="9"/>
        <v>0603</v>
      </c>
      <c r="P10" s="1" t="str">
        <f t="shared" si="9"/>
        <v>667-ERJ3EKF1002V</v>
      </c>
      <c r="Q10" s="1" t="str">
        <f t="shared" si="9"/>
        <v/>
      </c>
    </row>
    <row r="11">
      <c r="A11" s="286"/>
      <c r="B11" s="286" t="s">
        <v>1575</v>
      </c>
      <c r="C11" s="1">
        <f t="shared" si="8"/>
        <v>53</v>
      </c>
      <c r="D11" s="285">
        <f t="shared" si="10"/>
        <v>78</v>
      </c>
      <c r="F11" s="1">
        <v>1.0</v>
      </c>
      <c r="G11" s="60">
        <f t="shared" si="2"/>
        <v>5</v>
      </c>
      <c r="H11" s="1" t="str">
        <f t="shared" si="3"/>
        <v>Braids v5.1</v>
      </c>
      <c r="I11" t="str">
        <f t="shared" si="4"/>
        <v>S</v>
      </c>
      <c r="J11" s="1" t="str">
        <f t="shared" ref="J11:Q11" si="11">indirect(address($G11+4, column()-9, 4, , $H11))</f>
        <v>R30, R31, R34, R35, R41, R42, R43, R44, R50, R52, R53</v>
      </c>
      <c r="K11" s="1">
        <f t="shared" si="11"/>
        <v>11</v>
      </c>
      <c r="L11" s="1" t="str">
        <f t="shared" si="11"/>
        <v>Resistor, 1%</v>
      </c>
      <c r="M11" s="1" t="str">
        <f t="shared" si="11"/>
        <v/>
      </c>
      <c r="N11" s="1" t="str">
        <f t="shared" si="11"/>
        <v>24.9k</v>
      </c>
      <c r="O11" s="1" t="str">
        <f t="shared" si="11"/>
        <v>0603</v>
      </c>
      <c r="P11" s="1" t="str">
        <f t="shared" si="11"/>
        <v>667-ERJ3EKF2492V</v>
      </c>
      <c r="Q11" s="1" t="str">
        <f t="shared" si="11"/>
        <v/>
      </c>
    </row>
    <row r="12">
      <c r="A12" s="286"/>
      <c r="B12" s="286" t="s">
        <v>1576</v>
      </c>
      <c r="C12" s="1">
        <f t="shared" si="8"/>
        <v>46</v>
      </c>
      <c r="D12" s="285">
        <f t="shared" si="10"/>
        <v>131</v>
      </c>
      <c r="F12" s="1">
        <v>1.0</v>
      </c>
      <c r="G12" s="60">
        <f t="shared" si="2"/>
        <v>6</v>
      </c>
      <c r="H12" s="1" t="str">
        <f t="shared" si="3"/>
        <v>Braids v5.1</v>
      </c>
      <c r="I12" t="str">
        <f t="shared" si="4"/>
        <v>S</v>
      </c>
      <c r="J12" s="1" t="str">
        <f t="shared" ref="J12:Q12" si="12">indirect(address($G12+4, column()-9, 4, , $H12))</f>
        <v>R45, R46</v>
      </c>
      <c r="K12" s="1">
        <f t="shared" si="12"/>
        <v>2</v>
      </c>
      <c r="L12" s="1" t="str">
        <f t="shared" si="12"/>
        <v>Resistor, 1%</v>
      </c>
      <c r="M12" s="1" t="str">
        <f t="shared" si="12"/>
        <v/>
      </c>
      <c r="N12" s="1" t="str">
        <f t="shared" si="12"/>
        <v>39k</v>
      </c>
      <c r="O12" s="1" t="str">
        <f t="shared" si="12"/>
        <v>0603</v>
      </c>
      <c r="P12" s="1" t="str">
        <f t="shared" si="12"/>
        <v>667-ERJ3EKF3902V</v>
      </c>
      <c r="Q12" s="1" t="str">
        <f t="shared" si="12"/>
        <v/>
      </c>
    </row>
    <row r="13">
      <c r="A13" s="286"/>
      <c r="B13" s="286" t="s">
        <v>765</v>
      </c>
      <c r="C13" s="1">
        <f t="shared" si="8"/>
        <v>47</v>
      </c>
      <c r="D13" s="285">
        <f t="shared" si="10"/>
        <v>177</v>
      </c>
      <c r="F13" s="1">
        <v>1.0</v>
      </c>
      <c r="G13" s="60">
        <f t="shared" si="2"/>
        <v>7</v>
      </c>
      <c r="H13" s="1" t="str">
        <f t="shared" si="3"/>
        <v>Braids v5.1</v>
      </c>
      <c r="I13" t="str">
        <f t="shared" si="4"/>
        <v>S</v>
      </c>
      <c r="J13" s="1" t="str">
        <f t="shared" ref="J13:Q13" si="13">indirect(address($G13+4, column()-9, 4, , $H13))</f>
        <v>R25, R26</v>
      </c>
      <c r="K13" s="1">
        <f t="shared" si="13"/>
        <v>2</v>
      </c>
      <c r="L13" s="1" t="str">
        <f t="shared" si="13"/>
        <v>Resistor, 1%</v>
      </c>
      <c r="M13" s="1" t="str">
        <f t="shared" si="13"/>
        <v/>
      </c>
      <c r="N13" s="1" t="str">
        <f t="shared" si="13"/>
        <v>49.9k</v>
      </c>
      <c r="O13" s="1" t="str">
        <f t="shared" si="13"/>
        <v>0603</v>
      </c>
      <c r="P13" s="1" t="str">
        <f t="shared" si="13"/>
        <v>667-ERJ3EKF4992V</v>
      </c>
      <c r="Q13" s="1" t="str">
        <f t="shared" si="13"/>
        <v/>
      </c>
    </row>
    <row r="14">
      <c r="A14" s="286"/>
      <c r="B14" s="286" t="s">
        <v>830</v>
      </c>
      <c r="C14" s="1">
        <f t="shared" si="8"/>
        <v>48</v>
      </c>
      <c r="D14" s="285">
        <f t="shared" si="10"/>
        <v>224</v>
      </c>
      <c r="F14" s="1">
        <v>1.0</v>
      </c>
      <c r="G14" s="60">
        <f t="shared" si="2"/>
        <v>8</v>
      </c>
      <c r="H14" s="1" t="str">
        <f t="shared" si="3"/>
        <v>Braids v5.1</v>
      </c>
      <c r="I14" t="str">
        <f t="shared" si="4"/>
        <v>S</v>
      </c>
      <c r="J14" s="1" t="str">
        <f t="shared" ref="J14:Q14" si="14">indirect(address($G14+4, column()-9, 4, , $H14))</f>
        <v>R24, R29, R47, R48, R54, R56</v>
      </c>
      <c r="K14" s="1">
        <f t="shared" si="14"/>
        <v>6</v>
      </c>
      <c r="L14" s="1" t="str">
        <f t="shared" si="14"/>
        <v>Resistor, 1%</v>
      </c>
      <c r="M14" s="1" t="str">
        <f t="shared" si="14"/>
        <v/>
      </c>
      <c r="N14" s="1" t="str">
        <f t="shared" si="14"/>
        <v>100k</v>
      </c>
      <c r="O14" s="1" t="str">
        <f t="shared" si="14"/>
        <v>0603</v>
      </c>
      <c r="P14" s="1" t="str">
        <f t="shared" si="14"/>
        <v>667-ERJ3EKF1003V</v>
      </c>
      <c r="Q14" s="1" t="str">
        <f t="shared" si="14"/>
        <v/>
      </c>
    </row>
    <row r="15">
      <c r="A15" s="1"/>
      <c r="B15" s="286" t="s">
        <v>900</v>
      </c>
      <c r="C15" s="1">
        <f t="shared" si="8"/>
        <v>30</v>
      </c>
      <c r="D15" s="285">
        <f t="shared" si="10"/>
        <v>272</v>
      </c>
      <c r="F15" s="1">
        <v>1.0</v>
      </c>
      <c r="G15" s="60">
        <f t="shared" si="2"/>
        <v>9</v>
      </c>
      <c r="H15" s="1" t="str">
        <f t="shared" si="3"/>
        <v>Braids v5.1</v>
      </c>
      <c r="I15" t="str">
        <f t="shared" si="4"/>
        <v>S</v>
      </c>
      <c r="J15" s="1" t="str">
        <f t="shared" ref="J15:Q15" si="15">indirect(address($G15+4, column()-9, 4, , $H15))</f>
        <v>R39</v>
      </c>
      <c r="K15" s="1">
        <f t="shared" si="15"/>
        <v>1</v>
      </c>
      <c r="L15" s="1" t="str">
        <f t="shared" si="15"/>
        <v>Resistor, 1%</v>
      </c>
      <c r="M15" s="1" t="str">
        <f t="shared" si="15"/>
        <v/>
      </c>
      <c r="N15" s="1" t="str">
        <f t="shared" si="15"/>
        <v>120k</v>
      </c>
      <c r="O15" s="1" t="str">
        <f t="shared" si="15"/>
        <v>0603</v>
      </c>
      <c r="P15" s="1" t="str">
        <f t="shared" si="15"/>
        <v>667-ERJ3EKF1203V</v>
      </c>
      <c r="Q15" s="1" t="str">
        <f t="shared" si="15"/>
        <v/>
      </c>
    </row>
    <row r="16">
      <c r="A16" s="286"/>
      <c r="B16" s="286" t="s">
        <v>1577</v>
      </c>
      <c r="C16" s="1">
        <f t="shared" si="8"/>
        <v>20</v>
      </c>
      <c r="D16" s="285">
        <f t="shared" si="10"/>
        <v>302</v>
      </c>
      <c r="F16" s="1">
        <v>1.0</v>
      </c>
      <c r="G16" s="60">
        <f t="shared" si="2"/>
        <v>10</v>
      </c>
      <c r="H16" s="1" t="str">
        <f t="shared" si="3"/>
        <v>Braids v5.1</v>
      </c>
      <c r="I16" t="str">
        <f t="shared" si="4"/>
        <v>S</v>
      </c>
      <c r="J16" s="1" t="str">
        <f t="shared" ref="J16:Q16" si="16">indirect(address($G16+4, column()-9, 4, , $H16))</f>
        <v>R28, R32, R40</v>
      </c>
      <c r="K16" s="1">
        <f t="shared" si="16"/>
        <v>3</v>
      </c>
      <c r="L16" s="1" t="str">
        <f t="shared" si="16"/>
        <v>Resistor, 1%</v>
      </c>
      <c r="M16" s="1" t="str">
        <f t="shared" si="16"/>
        <v/>
      </c>
      <c r="N16" s="1" t="str">
        <f t="shared" si="16"/>
        <v>200k</v>
      </c>
      <c r="O16" s="1" t="str">
        <f t="shared" si="16"/>
        <v>0603</v>
      </c>
      <c r="P16" s="1" t="str">
        <f t="shared" si="16"/>
        <v>667-ERJ3EKF2003V</v>
      </c>
      <c r="Q16" s="1" t="str">
        <f t="shared" si="16"/>
        <v/>
      </c>
    </row>
    <row r="17">
      <c r="A17" s="286"/>
      <c r="B17" s="286" t="s">
        <v>1023</v>
      </c>
      <c r="C17" s="1">
        <f t="shared" si="8"/>
        <v>40</v>
      </c>
      <c r="D17" s="285">
        <f t="shared" si="10"/>
        <v>322</v>
      </c>
      <c r="F17" s="1">
        <v>1.0</v>
      </c>
      <c r="G17" s="60">
        <f t="shared" si="2"/>
        <v>11</v>
      </c>
      <c r="H17" s="1" t="str">
        <f t="shared" si="3"/>
        <v>Braids v5.1</v>
      </c>
      <c r="I17" t="str">
        <f t="shared" si="4"/>
        <v>S</v>
      </c>
      <c r="J17" s="1" t="str">
        <f t="shared" ref="J17:Q17" si="17">indirect(address($G17+4, column()-9, 4, , $H17))</f>
        <v>C9, C10</v>
      </c>
      <c r="K17" s="1">
        <f t="shared" si="17"/>
        <v>2</v>
      </c>
      <c r="L17" s="1" t="str">
        <f t="shared" si="17"/>
        <v>Capacitor, ceramic</v>
      </c>
      <c r="M17" s="1" t="str">
        <f t="shared" si="17"/>
        <v/>
      </c>
      <c r="N17" s="1" t="str">
        <f t="shared" si="17"/>
        <v>18p</v>
      </c>
      <c r="O17" s="1" t="str">
        <f t="shared" si="17"/>
        <v>0603</v>
      </c>
      <c r="P17" s="1" t="str">
        <f t="shared" si="17"/>
        <v>81-GRM185C1H180JA01J</v>
      </c>
      <c r="Q17" s="1" t="str">
        <f t="shared" si="17"/>
        <v/>
      </c>
    </row>
    <row r="18">
      <c r="A18" s="286"/>
      <c r="B18" s="286" t="s">
        <v>1578</v>
      </c>
      <c r="C18" s="1">
        <f t="shared" si="8"/>
        <v>53</v>
      </c>
      <c r="D18" s="285">
        <f t="shared" si="10"/>
        <v>362</v>
      </c>
      <c r="F18" s="1">
        <v>1.0</v>
      </c>
      <c r="G18" s="60">
        <f t="shared" si="2"/>
        <v>12</v>
      </c>
      <c r="H18" s="1" t="str">
        <f t="shared" si="3"/>
        <v>Braids v5.1</v>
      </c>
      <c r="I18" t="str">
        <f t="shared" si="4"/>
        <v>S</v>
      </c>
      <c r="J18" s="1" t="str">
        <f t="shared" ref="J18:Q18" si="18">indirect(address($G18+4, column()-9, 4, , $H18))</f>
        <v>C29</v>
      </c>
      <c r="K18" s="1">
        <f t="shared" si="18"/>
        <v>1</v>
      </c>
      <c r="L18" s="1" t="str">
        <f t="shared" si="18"/>
        <v>Capacitor, ceramic</v>
      </c>
      <c r="M18" s="1" t="str">
        <f t="shared" si="18"/>
        <v>&gt;= 50V, &lt;= 2%, C0G</v>
      </c>
      <c r="N18" s="1" t="str">
        <f t="shared" si="18"/>
        <v>47p</v>
      </c>
      <c r="O18" s="1" t="str">
        <f t="shared" si="18"/>
        <v>0603</v>
      </c>
      <c r="P18" s="1" t="str">
        <f t="shared" si="18"/>
        <v>81-GRM185C1H470GA01J</v>
      </c>
      <c r="Q18" s="1" t="str">
        <f t="shared" si="18"/>
        <v/>
      </c>
    </row>
    <row r="19">
      <c r="A19" s="286"/>
      <c r="B19" s="286" t="s">
        <v>1579</v>
      </c>
      <c r="C19" s="1">
        <f t="shared" si="8"/>
        <v>37</v>
      </c>
      <c r="D19" s="285">
        <f t="shared" si="10"/>
        <v>415</v>
      </c>
      <c r="F19" s="1">
        <v>1.0</v>
      </c>
      <c r="G19" s="60">
        <f t="shared" si="2"/>
        <v>13</v>
      </c>
      <c r="H19" s="1" t="str">
        <f t="shared" si="3"/>
        <v>Braids v5.1</v>
      </c>
      <c r="I19" t="str">
        <f t="shared" si="4"/>
        <v>S</v>
      </c>
      <c r="J19" s="1" t="str">
        <f t="shared" ref="J19:Q19" si="19">indirect(address($G19+4, column()-9, 4, , $H19))</f>
        <v>C21, C22</v>
      </c>
      <c r="K19" s="1">
        <f t="shared" si="19"/>
        <v>2</v>
      </c>
      <c r="L19" s="1" t="str">
        <f t="shared" si="19"/>
        <v>Capacitor, ceramic</v>
      </c>
      <c r="M19" s="1" t="str">
        <f t="shared" si="19"/>
        <v>&gt;= 50V, &lt;= 2%, C0G</v>
      </c>
      <c r="N19" s="1" t="str">
        <f t="shared" si="19"/>
        <v>100p</v>
      </c>
      <c r="O19" s="1" t="str">
        <f t="shared" si="19"/>
        <v>0603</v>
      </c>
      <c r="P19" s="1" t="str">
        <f t="shared" si="19"/>
        <v>81-GRM1885C1H101GA1J</v>
      </c>
      <c r="Q19" s="1" t="str">
        <f t="shared" si="19"/>
        <v/>
      </c>
    </row>
    <row r="20">
      <c r="A20" s="286"/>
      <c r="B20" s="286" t="s">
        <v>1580</v>
      </c>
      <c r="C20" s="1">
        <f t="shared" si="8"/>
        <v>23</v>
      </c>
      <c r="D20" s="285">
        <f t="shared" si="10"/>
        <v>452</v>
      </c>
      <c r="F20" s="1">
        <v>1.0</v>
      </c>
      <c r="G20" s="60">
        <f t="shared" si="2"/>
        <v>14</v>
      </c>
      <c r="H20" s="1" t="str">
        <f t="shared" si="3"/>
        <v>Braids v5.1</v>
      </c>
      <c r="I20" t="str">
        <f t="shared" si="4"/>
        <v>S</v>
      </c>
      <c r="J20" s="1" t="str">
        <f t="shared" ref="J20:Q20" si="20">indirect(address($G20+4, column()-9, 4, , $H20))</f>
        <v>C13, C14, C16, C17</v>
      </c>
      <c r="K20" s="1">
        <f t="shared" si="20"/>
        <v>4</v>
      </c>
      <c r="L20" s="1" t="str">
        <f t="shared" si="20"/>
        <v>Capacitor, ceramic</v>
      </c>
      <c r="M20" s="1" t="str">
        <f t="shared" si="20"/>
        <v>&gt;= 50V, &lt;= 2%, C0G</v>
      </c>
      <c r="N20" s="1" t="str">
        <f t="shared" si="20"/>
        <v>1n</v>
      </c>
      <c r="O20" s="1" t="str">
        <f t="shared" si="20"/>
        <v>0603</v>
      </c>
      <c r="P20" s="1" t="str">
        <f t="shared" si="20"/>
        <v>81-GRM1885C1H102FA1J</v>
      </c>
      <c r="Q20" s="1" t="str">
        <f t="shared" si="20"/>
        <v/>
      </c>
    </row>
    <row r="21">
      <c r="A21" s="286"/>
      <c r="B21" s="286" t="s">
        <v>1183</v>
      </c>
      <c r="C21" s="1">
        <f t="shared" si="8"/>
        <v>36</v>
      </c>
      <c r="D21" s="285">
        <f t="shared" si="10"/>
        <v>475</v>
      </c>
      <c r="F21" s="1">
        <v>1.0</v>
      </c>
      <c r="G21" s="60">
        <f t="shared" si="2"/>
        <v>15</v>
      </c>
      <c r="H21" s="1" t="str">
        <f t="shared" si="3"/>
        <v>Braids v5.1</v>
      </c>
      <c r="I21" t="str">
        <f t="shared" si="4"/>
        <v>S</v>
      </c>
      <c r="J21" s="1" t="str">
        <f t="shared" ref="J21:Q21" si="21">indirect(address($G21+4, column()-9, 4, , $H21))</f>
        <v>C1, C2, C3, C4, C5, C7, C11, C18, C20, C23, C26, C27, C28, C31</v>
      </c>
      <c r="K21" s="1">
        <f t="shared" si="21"/>
        <v>14</v>
      </c>
      <c r="L21" s="1" t="str">
        <f t="shared" si="21"/>
        <v>Capacitor, ceramic</v>
      </c>
      <c r="M21" s="1" t="str">
        <f t="shared" si="21"/>
        <v>&gt;= 16V</v>
      </c>
      <c r="N21" s="1" t="str">
        <f t="shared" si="21"/>
        <v>100n</v>
      </c>
      <c r="O21" s="1" t="str">
        <f t="shared" si="21"/>
        <v>0603</v>
      </c>
      <c r="P21" s="1" t="str">
        <f t="shared" si="21"/>
        <v>81-GRM188R61C104KA1D</v>
      </c>
      <c r="Q21" s="1" t="str">
        <f t="shared" si="21"/>
        <v/>
      </c>
    </row>
    <row r="22">
      <c r="A22" s="286"/>
      <c r="B22" s="286" t="s">
        <v>1581</v>
      </c>
      <c r="C22" s="1">
        <f t="shared" si="8"/>
        <v>7</v>
      </c>
      <c r="D22" s="285">
        <f t="shared" si="10"/>
        <v>511</v>
      </c>
      <c r="F22" s="1">
        <v>1.0</v>
      </c>
      <c r="G22" s="60">
        <f t="shared" si="2"/>
        <v>16</v>
      </c>
      <c r="H22" s="1" t="str">
        <f t="shared" si="3"/>
        <v>Braids v5.1</v>
      </c>
      <c r="I22" t="str">
        <f t="shared" si="4"/>
        <v>S</v>
      </c>
      <c r="J22" s="1" t="str">
        <f t="shared" ref="J22:Q22" si="22">indirect(address($G22+4, column()-9, 4, , $H22))</f>
        <v>C8</v>
      </c>
      <c r="K22" s="1">
        <f t="shared" si="22"/>
        <v>1</v>
      </c>
      <c r="L22" s="1" t="str">
        <f t="shared" si="22"/>
        <v>Capacitor, ceramic</v>
      </c>
      <c r="M22" s="1" t="str">
        <f t="shared" si="22"/>
        <v>&gt;= 6.3V</v>
      </c>
      <c r="N22" s="1" t="str">
        <f t="shared" si="22"/>
        <v>470n</v>
      </c>
      <c r="O22" s="1" t="str">
        <f t="shared" si="22"/>
        <v>0603</v>
      </c>
      <c r="P22" s="1" t="str">
        <f t="shared" si="22"/>
        <v>81-GRM18F51C474ZA01J</v>
      </c>
      <c r="Q22" s="1" t="str">
        <f t="shared" si="22"/>
        <v/>
      </c>
    </row>
    <row r="23">
      <c r="A23" s="286"/>
      <c r="B23" s="286" t="s">
        <v>1226</v>
      </c>
      <c r="C23" s="1">
        <f t="shared" si="8"/>
        <v>52</v>
      </c>
      <c r="D23" s="285">
        <f t="shared" si="10"/>
        <v>518</v>
      </c>
      <c r="F23" s="1">
        <v>1.0</v>
      </c>
      <c r="G23" s="60">
        <f t="shared" si="2"/>
        <v>17</v>
      </c>
      <c r="H23" s="1" t="str">
        <f t="shared" si="3"/>
        <v>Braids v5.1</v>
      </c>
      <c r="I23" t="str">
        <f t="shared" si="4"/>
        <v>S</v>
      </c>
      <c r="J23" s="1" t="str">
        <f t="shared" ref="J23:Q23" si="23">indirect(address($G23+4, column()-9, 4, , $H23))</f>
        <v>C6, C12</v>
      </c>
      <c r="K23" s="1">
        <f t="shared" si="23"/>
        <v>2</v>
      </c>
      <c r="L23" s="1" t="str">
        <f t="shared" si="23"/>
        <v>Capacitor, ceramic</v>
      </c>
      <c r="M23" s="1" t="str">
        <f t="shared" si="23"/>
        <v>&gt;= 10V</v>
      </c>
      <c r="N23" s="1" t="str">
        <f t="shared" si="23"/>
        <v>1u</v>
      </c>
      <c r="O23" s="1" t="str">
        <f t="shared" si="23"/>
        <v>0603</v>
      </c>
      <c r="P23" s="1" t="str">
        <f t="shared" si="23"/>
        <v>81-GRM18R61A105KA61J</v>
      </c>
      <c r="Q23" s="1" t="str">
        <f t="shared" si="23"/>
        <v/>
      </c>
    </row>
    <row r="24">
      <c r="A24" s="286"/>
      <c r="B24" s="286" t="s">
        <v>1582</v>
      </c>
      <c r="C24" s="1">
        <f t="shared" si="8"/>
        <v>10</v>
      </c>
      <c r="D24" s="285">
        <f t="shared" si="10"/>
        <v>570</v>
      </c>
      <c r="F24" s="1">
        <v>1.0</v>
      </c>
      <c r="G24" s="60">
        <f t="shared" si="2"/>
        <v>18</v>
      </c>
      <c r="H24" s="1" t="str">
        <f t="shared" si="3"/>
        <v>Braids v5.1</v>
      </c>
      <c r="I24" t="str">
        <f t="shared" si="4"/>
        <v>S</v>
      </c>
      <c r="J24" s="1" t="str">
        <f t="shared" ref="J24:Q24" si="24">indirect(address($G24+4, column()-9, 4, , $H24))</f>
        <v>C24</v>
      </c>
      <c r="K24" s="1">
        <f t="shared" si="24"/>
        <v>1</v>
      </c>
      <c r="L24" s="1" t="str">
        <f t="shared" si="24"/>
        <v>Capacitor, electrolytic NP</v>
      </c>
      <c r="M24" s="1" t="str">
        <f t="shared" si="24"/>
        <v>&gt;= 6.3V</v>
      </c>
      <c r="N24" s="1" t="str">
        <f t="shared" si="24"/>
        <v>10u</v>
      </c>
      <c r="O24" s="1" t="str">
        <f t="shared" si="24"/>
        <v>Panasonic B</v>
      </c>
      <c r="P24" s="1" t="str">
        <f t="shared" si="24"/>
        <v>647-UWP1A100MCL</v>
      </c>
      <c r="Q24" s="1" t="str">
        <f t="shared" si="24"/>
        <v>Nichicon UWP1A100MCL1GB</v>
      </c>
    </row>
    <row r="25">
      <c r="A25" s="286"/>
      <c r="B25" s="286" t="s">
        <v>1583</v>
      </c>
      <c r="C25" s="1">
        <f t="shared" si="8"/>
        <v>50</v>
      </c>
      <c r="D25" s="285">
        <f t="shared" si="10"/>
        <v>580</v>
      </c>
      <c r="F25" s="1">
        <v>1.0</v>
      </c>
      <c r="G25" s="60">
        <f t="shared" si="2"/>
        <v>19</v>
      </c>
      <c r="H25" s="1" t="str">
        <f t="shared" si="3"/>
        <v>Braids v5.1</v>
      </c>
      <c r="I25" t="str">
        <f t="shared" si="4"/>
        <v>S</v>
      </c>
      <c r="J25" s="1" t="str">
        <f t="shared" ref="J25:Q25" si="25">indirect(address($G25+4, column()-9, 4, , $H25))</f>
        <v>C15, C19</v>
      </c>
      <c r="K25" s="1">
        <f t="shared" si="25"/>
        <v>2</v>
      </c>
      <c r="L25" s="1" t="str">
        <f t="shared" si="25"/>
        <v>Capacitor, electrolytic</v>
      </c>
      <c r="M25" s="1" t="str">
        <f t="shared" si="25"/>
        <v>&gt;= 16V</v>
      </c>
      <c r="N25" s="1" t="str">
        <f t="shared" si="25"/>
        <v>22u</v>
      </c>
      <c r="O25" s="1" t="str">
        <f t="shared" si="25"/>
        <v>Panasonic C</v>
      </c>
      <c r="P25" s="1" t="str">
        <f t="shared" si="25"/>
        <v>667-EEE-FP1E220AR</v>
      </c>
      <c r="Q25" s="1" t="str">
        <f t="shared" si="25"/>
        <v>EEEHC1C220R</v>
      </c>
    </row>
    <row r="26">
      <c r="A26" s="286"/>
      <c r="B26" s="286" t="s">
        <v>1584</v>
      </c>
      <c r="C26" s="1">
        <f t="shared" si="8"/>
        <v>49</v>
      </c>
      <c r="D26" s="285">
        <f t="shared" si="10"/>
        <v>630</v>
      </c>
      <c r="F26" s="1">
        <v>1.0</v>
      </c>
      <c r="G26" s="60">
        <f t="shared" si="2"/>
        <v>20</v>
      </c>
      <c r="H26" s="1" t="str">
        <f t="shared" si="3"/>
        <v>Braids v5.1</v>
      </c>
      <c r="I26" t="str">
        <f t="shared" si="4"/>
        <v>S</v>
      </c>
      <c r="J26" s="1" t="str">
        <f t="shared" ref="J26:Q26" si="26">indirect(address($G26+4, column()-9, 4, , $H26))</f>
        <v>C25, C30</v>
      </c>
      <c r="K26" s="1">
        <f t="shared" si="26"/>
        <v>2</v>
      </c>
      <c r="L26" s="1" t="str">
        <f t="shared" si="26"/>
        <v>Capacitor, electrolytic</v>
      </c>
      <c r="M26" s="1" t="str">
        <f t="shared" si="26"/>
        <v>&gt;= 25V</v>
      </c>
      <c r="N26" s="1" t="str">
        <f t="shared" si="26"/>
        <v>47u</v>
      </c>
      <c r="O26" s="1" t="str">
        <f t="shared" si="26"/>
        <v>Panasonic D</v>
      </c>
      <c r="P26" s="1" t="str">
        <f t="shared" si="26"/>
        <v>667-EEE-FK1V470P</v>
      </c>
      <c r="Q26" s="1" t="str">
        <f t="shared" si="26"/>
        <v>EEEFK1V470P</v>
      </c>
    </row>
    <row r="27">
      <c r="A27" s="286"/>
      <c r="B27" s="286" t="s">
        <v>1417</v>
      </c>
      <c r="C27" s="1">
        <f t="shared" si="8"/>
        <v>44</v>
      </c>
      <c r="D27" s="285">
        <f t="shared" si="10"/>
        <v>679</v>
      </c>
      <c r="F27" s="1">
        <v>1.0</v>
      </c>
      <c r="G27" s="60">
        <f t="shared" si="2"/>
        <v>21</v>
      </c>
      <c r="H27" s="1" t="str">
        <f t="shared" si="3"/>
        <v>Braids v5.1</v>
      </c>
      <c r="I27" t="str">
        <f t="shared" si="4"/>
        <v>S</v>
      </c>
      <c r="J27" s="1" t="str">
        <f t="shared" ref="J27:Q27" si="27">indirect(address($G27+4, column()-9, 4, , $H27))</f>
        <v>D1, D2</v>
      </c>
      <c r="K27" s="1">
        <f t="shared" si="27"/>
        <v>2</v>
      </c>
      <c r="L27" s="1" t="str">
        <f t="shared" si="27"/>
        <v>1N5819HW diode</v>
      </c>
      <c r="M27" s="1" t="str">
        <f t="shared" si="27"/>
        <v/>
      </c>
      <c r="N27" s="1" t="str">
        <f t="shared" si="27"/>
        <v/>
      </c>
      <c r="O27" s="1" t="str">
        <f t="shared" si="27"/>
        <v>SOD123</v>
      </c>
      <c r="P27" s="1" t="str">
        <f t="shared" si="27"/>
        <v>621-1N5819HW-F</v>
      </c>
      <c r="Q27" s="1" t="str">
        <f t="shared" si="27"/>
        <v>Diodes Inc 1N5819HW-7-F</v>
      </c>
    </row>
    <row r="28">
      <c r="C28" s="1"/>
      <c r="D28" s="285"/>
      <c r="E28" s="1"/>
      <c r="F28" s="1">
        <v>1.0</v>
      </c>
      <c r="G28" s="60">
        <f t="shared" si="2"/>
        <v>22</v>
      </c>
      <c r="H28" s="1" t="str">
        <f t="shared" si="3"/>
        <v>Braids v5.1</v>
      </c>
      <c r="I28" t="str">
        <f t="shared" si="4"/>
        <v>S</v>
      </c>
      <c r="J28" s="1" t="str">
        <f t="shared" ref="J28:Q28" si="28">indirect(address($G28+4, column()-9, 4, , $H28))</f>
        <v>IC1, IC2</v>
      </c>
      <c r="K28" s="1">
        <f t="shared" si="28"/>
        <v>2</v>
      </c>
      <c r="L28" s="1" t="str">
        <f t="shared" si="28"/>
        <v>74hc595 SIPO shift register</v>
      </c>
      <c r="M28" s="1" t="str">
        <f t="shared" si="28"/>
        <v/>
      </c>
      <c r="N28" s="1" t="str">
        <f t="shared" si="28"/>
        <v/>
      </c>
      <c r="O28" s="1" t="str">
        <f t="shared" si="28"/>
        <v>SOIC16</v>
      </c>
      <c r="P28" s="1" t="str">
        <f t="shared" si="28"/>
        <v>595-CD74HC595M</v>
      </c>
      <c r="Q28" s="1" t="str">
        <f t="shared" si="28"/>
        <v>Texas Instruments CD74HC595M, NXP 74HC595D,112</v>
      </c>
    </row>
    <row r="29">
      <c r="C29" s="1" t="s">
        <v>1585</v>
      </c>
      <c r="D29" s="53" t="s">
        <v>1586</v>
      </c>
      <c r="E29" s="1" t="s">
        <v>395</v>
      </c>
      <c r="F29" s="1">
        <v>1.0</v>
      </c>
      <c r="G29" s="60">
        <f t="shared" si="2"/>
        <v>23</v>
      </c>
      <c r="H29" s="1" t="str">
        <f t="shared" si="3"/>
        <v>Braids v5.1</v>
      </c>
      <c r="I29" t="str">
        <f t="shared" si="4"/>
        <v>S</v>
      </c>
      <c r="J29" s="1" t="str">
        <f t="shared" ref="J29:Q29" si="29">indirect(address($G29+4, column()-9, 4, , $H29))</f>
        <v>IC3</v>
      </c>
      <c r="K29" s="1">
        <f t="shared" si="29"/>
        <v>1</v>
      </c>
      <c r="L29" s="1" t="str">
        <f t="shared" si="29"/>
        <v>LM4040 Shunt Vref</v>
      </c>
      <c r="M29" s="1" t="str">
        <f t="shared" si="29"/>
        <v>A, B or C grade</v>
      </c>
      <c r="N29" s="1" t="str">
        <f t="shared" si="29"/>
        <v>2.5V</v>
      </c>
      <c r="O29" s="1" t="str">
        <f t="shared" si="29"/>
        <v>SOT23</v>
      </c>
      <c r="P29" s="1" t="str">
        <f t="shared" si="29"/>
        <v>595-LM4040C25IDBZR</v>
      </c>
      <c r="Q29" s="1" t="str">
        <f t="shared" si="29"/>
        <v>Texas Instruments LM4040C25IDBZ</v>
      </c>
    </row>
    <row r="30">
      <c r="A30" s="287" t="str">
        <f t="array" ref="A30">address(index($B$9:$D$27, row()-29, 3), 10, 3)&amp;":"&amp;address(index($B$9:$D$27, row()-29, 3)+index($B$9:$D$27, row()-29, 2)-1, 10, 3)</f>
        <v>$J6:$J51</v>
      </c>
      <c r="B30" t="str">
        <f t="shared" ref="B30:B48" si="31">B9</f>
        <v>Braids v5.1</v>
      </c>
      <c r="C30" s="1">
        <f t="shared" ref="C30:C48" si="32">match("PTH parts, top side", indirect(address(index($B$9:$D$27, row()-29, 3), 10, 3)&amp;":"&amp;address(index($B$9:$D$27, row()-29, 3)+index($B$9:$D$27, row()-29, 2)-1, 10, 3)), 0)-1</f>
        <v>35</v>
      </c>
      <c r="D30" s="1">
        <f t="shared" ref="D30:D48" si="33">match("PTH parts, bottom side", indirect(address(index($B$9:$D$27, row()-29, 3), 10, 3)&amp;":"&amp;address(index($B$9:$D$27, row()-29, 3)+index($B$9:$D$27, row()-29, 2)-1, 10, 3)), 0)-1</f>
        <v>40</v>
      </c>
      <c r="E30" s="1">
        <f t="shared" ref="E30:E48" si="34">match("PCB specifications", indirect(address(index($B$9:$D$27, row()-29, 3), 10, 3)&amp;":"&amp;address(index($B$9:$D$27, row()-29, 3)+index($B$9:$D$27, row()-29, 2)-1, 10, 3)), 0)-1</f>
        <v>44</v>
      </c>
      <c r="F30" s="1">
        <v>1.0</v>
      </c>
      <c r="G30" s="60">
        <f t="shared" si="2"/>
        <v>24</v>
      </c>
      <c r="H30" s="1" t="str">
        <f t="shared" si="3"/>
        <v>Braids v5.1</v>
      </c>
      <c r="I30" t="str">
        <f t="shared" si="4"/>
        <v>S</v>
      </c>
      <c r="J30" s="1" t="str">
        <f t="shared" ref="J30:Q30" si="30">indirect(address($G30+4, column()-9, 4, , $H30))</f>
        <v>IC4</v>
      </c>
      <c r="K30" s="1">
        <f t="shared" si="30"/>
        <v>1</v>
      </c>
      <c r="L30" s="1" t="str">
        <f t="shared" si="30"/>
        <v>MCP3204 quad 12-bit DAC</v>
      </c>
      <c r="M30" s="1" t="str">
        <f t="shared" si="30"/>
        <v/>
      </c>
      <c r="N30" s="1" t="str">
        <f t="shared" si="30"/>
        <v/>
      </c>
      <c r="O30" s="1" t="str">
        <f t="shared" si="30"/>
        <v>SOIC14</v>
      </c>
      <c r="P30" s="1" t="str">
        <f t="shared" si="30"/>
        <v>579-MCP3204-BI/SL</v>
      </c>
      <c r="Q30" s="1" t="str">
        <f t="shared" si="30"/>
        <v>Microchip MCP3204-BI/SL</v>
      </c>
    </row>
    <row r="31">
      <c r="B31" t="str">
        <f t="shared" si="31"/>
        <v>Branches v4.0</v>
      </c>
      <c r="C31" s="1">
        <f t="shared" si="32"/>
        <v>14</v>
      </c>
      <c r="D31" s="1">
        <f t="shared" si="33"/>
        <v>21</v>
      </c>
      <c r="E31" s="1">
        <f t="shared" si="34"/>
        <v>24</v>
      </c>
      <c r="F31" s="1">
        <v>1.0</v>
      </c>
      <c r="G31" s="60">
        <f t="shared" si="2"/>
        <v>25</v>
      </c>
      <c r="H31" s="1" t="str">
        <f t="shared" si="3"/>
        <v>Braids v5.1</v>
      </c>
      <c r="I31" t="str">
        <f t="shared" si="4"/>
        <v>S</v>
      </c>
      <c r="J31" s="1" t="str">
        <f t="shared" ref="J31:Q31" si="35">indirect(address($G31+4, column()-9, 4, , $H31))</f>
        <v>IC5</v>
      </c>
      <c r="K31" s="1">
        <f t="shared" si="35"/>
        <v>1</v>
      </c>
      <c r="L31" s="1" t="str">
        <f t="shared" si="35"/>
        <v>DAC8551 single 16-bit DAC</v>
      </c>
      <c r="M31" s="1" t="str">
        <f t="shared" si="35"/>
        <v/>
      </c>
      <c r="N31" s="1" t="str">
        <f t="shared" si="35"/>
        <v/>
      </c>
      <c r="O31" s="1" t="str">
        <f t="shared" si="35"/>
        <v>MSOP8</v>
      </c>
      <c r="P31" s="1" t="str">
        <f t="shared" si="35"/>
        <v>595-DAC8551IADGKT</v>
      </c>
      <c r="Q31" s="1" t="str">
        <f t="shared" si="35"/>
        <v>Texas Instruments DAC8551IADGK</v>
      </c>
    </row>
    <row r="32">
      <c r="B32" t="str">
        <f t="shared" si="31"/>
        <v>Clouds v3.0</v>
      </c>
      <c r="C32" s="1">
        <f t="shared" si="32"/>
        <v>39</v>
      </c>
      <c r="D32" s="1">
        <f t="shared" si="33"/>
        <v>47</v>
      </c>
      <c r="E32" s="1">
        <f t="shared" si="34"/>
        <v>51</v>
      </c>
      <c r="F32" s="1">
        <v>1.0</v>
      </c>
      <c r="G32" s="60">
        <f t="shared" si="2"/>
        <v>26</v>
      </c>
      <c r="H32" s="1" t="str">
        <f t="shared" si="3"/>
        <v>Braids v5.1</v>
      </c>
      <c r="I32" t="str">
        <f t="shared" si="4"/>
        <v>S</v>
      </c>
      <c r="J32" s="1" t="str">
        <f t="shared" ref="J32:Q32" si="36">indirect(address($G32+4, column()-9, 4, , $H32))</f>
        <v>IC6</v>
      </c>
      <c r="K32" s="1">
        <f t="shared" si="36"/>
        <v>1</v>
      </c>
      <c r="L32" s="1" t="str">
        <f t="shared" si="36"/>
        <v>LM1117-3.3V LDO Vreg</v>
      </c>
      <c r="M32" s="1" t="str">
        <f t="shared" si="36"/>
        <v/>
      </c>
      <c r="N32" s="1" t="str">
        <f t="shared" si="36"/>
        <v>3.3V</v>
      </c>
      <c r="O32" s="1" t="str">
        <f t="shared" si="36"/>
        <v>TO252</v>
      </c>
      <c r="P32" s="1" t="str">
        <f t="shared" si="36"/>
        <v>926-LM1117DT-3.3NOPB</v>
      </c>
      <c r="Q32" s="1" t="str">
        <f t="shared" si="36"/>
        <v>National LM1117DT-3.3/NOPB</v>
      </c>
    </row>
    <row r="33">
      <c r="B33" t="str">
        <f t="shared" si="31"/>
        <v>Edges v2.0</v>
      </c>
      <c r="C33" s="1">
        <f t="shared" si="32"/>
        <v>31</v>
      </c>
      <c r="D33" s="1">
        <f t="shared" si="33"/>
        <v>40</v>
      </c>
      <c r="E33" s="1">
        <f t="shared" si="34"/>
        <v>44</v>
      </c>
      <c r="F33" s="1">
        <v>1.0</v>
      </c>
      <c r="G33" s="60">
        <f t="shared" si="2"/>
        <v>27</v>
      </c>
      <c r="H33" s="1" t="str">
        <f t="shared" si="3"/>
        <v>Braids v5.1</v>
      </c>
      <c r="I33" t="str">
        <f t="shared" si="4"/>
        <v>S</v>
      </c>
      <c r="J33" s="1" t="str">
        <f t="shared" ref="J33:Q33" si="37">indirect(address($G33+4, column()-9, 4, , $H33))</f>
        <v>IC7</v>
      </c>
      <c r="K33" s="1">
        <f t="shared" si="37"/>
        <v>1</v>
      </c>
      <c r="L33" s="1" t="str">
        <f t="shared" si="37"/>
        <v>MCP6004 quad op-amp R2R IO</v>
      </c>
      <c r="M33" s="1" t="str">
        <f t="shared" si="37"/>
        <v/>
      </c>
      <c r="N33" s="1" t="str">
        <f t="shared" si="37"/>
        <v/>
      </c>
      <c r="O33" s="1" t="str">
        <f t="shared" si="37"/>
        <v>SOIC14</v>
      </c>
      <c r="P33" s="1" t="str">
        <f t="shared" si="37"/>
        <v>579-MCP6004-I/SL</v>
      </c>
      <c r="Q33" s="1" t="str">
        <f t="shared" si="37"/>
        <v>MCP6004-I/SL</v>
      </c>
    </row>
    <row r="34">
      <c r="B34" t="str">
        <f t="shared" si="31"/>
        <v>Elements v0.21</v>
      </c>
      <c r="C34" s="1">
        <f t="shared" si="32"/>
        <v>34</v>
      </c>
      <c r="D34" s="1">
        <f t="shared" si="33"/>
        <v>41</v>
      </c>
      <c r="E34" s="1">
        <f t="shared" si="34"/>
        <v>45</v>
      </c>
      <c r="F34" s="1">
        <v>1.0</v>
      </c>
      <c r="G34" s="60">
        <f t="shared" si="2"/>
        <v>28</v>
      </c>
      <c r="H34" s="1" t="str">
        <f t="shared" si="3"/>
        <v>Braids v5.1</v>
      </c>
      <c r="I34" t="str">
        <f t="shared" si="4"/>
        <v>S</v>
      </c>
      <c r="J34" s="1" t="str">
        <f t="shared" ref="J34:Q34" si="38">indirect(address($G34+4, column()-9, 4, , $H34))</f>
        <v>IC8</v>
      </c>
      <c r="K34" s="1">
        <f t="shared" si="38"/>
        <v>1</v>
      </c>
      <c r="L34" s="1" t="str">
        <f t="shared" si="38"/>
        <v>LM4040 Shunt Vref</v>
      </c>
      <c r="M34" s="1" t="str">
        <f t="shared" si="38"/>
        <v>A, B or C grade</v>
      </c>
      <c r="N34" s="1" t="str">
        <f t="shared" si="38"/>
        <v>10V</v>
      </c>
      <c r="O34" s="1" t="str">
        <f t="shared" si="38"/>
        <v>SOT23</v>
      </c>
      <c r="P34" s="1" t="str">
        <f t="shared" si="38"/>
        <v>595-LM4040C10IDBZR</v>
      </c>
      <c r="Q34" s="1" t="str">
        <f t="shared" si="38"/>
        <v>Texas Instruments LM4040C10IDBZ</v>
      </c>
    </row>
    <row r="35">
      <c r="B35" t="str">
        <f t="shared" si="31"/>
        <v>Frames v0.3</v>
      </c>
      <c r="C35" s="1">
        <f t="shared" si="32"/>
        <v>31</v>
      </c>
      <c r="D35" s="1">
        <f t="shared" si="33"/>
        <v>40</v>
      </c>
      <c r="E35" s="1">
        <f t="shared" si="34"/>
        <v>46</v>
      </c>
      <c r="F35" s="1">
        <v>1.0</v>
      </c>
      <c r="G35" s="60">
        <f t="shared" si="2"/>
        <v>29</v>
      </c>
      <c r="H35" s="1" t="str">
        <f t="shared" si="3"/>
        <v>Braids v5.1</v>
      </c>
      <c r="I35" t="str">
        <f t="shared" si="4"/>
        <v>S</v>
      </c>
      <c r="J35" s="1" t="str">
        <f t="shared" ref="J35:Q35" si="39">indirect(address($G35+4, column()-9, 4, , $H35))</f>
        <v>IC9</v>
      </c>
      <c r="K35" s="1">
        <f t="shared" si="39"/>
        <v>1</v>
      </c>
      <c r="L35" s="1" t="str">
        <f t="shared" si="39"/>
        <v>TL074 quad op-amp</v>
      </c>
      <c r="M35" s="1" t="str">
        <f t="shared" si="39"/>
        <v/>
      </c>
      <c r="N35" s="1" t="str">
        <f t="shared" si="39"/>
        <v/>
      </c>
      <c r="O35" s="1" t="str">
        <f t="shared" si="39"/>
        <v>SOIC14</v>
      </c>
      <c r="P35" s="1" t="str">
        <f t="shared" si="39"/>
        <v>595-TL074CD</v>
      </c>
      <c r="Q35" s="1" t="str">
        <f t="shared" si="39"/>
        <v>Texas Instruments TL074CD</v>
      </c>
    </row>
    <row r="36">
      <c r="B36" t="str">
        <f t="shared" si="31"/>
        <v>Grids v0.2</v>
      </c>
      <c r="C36" s="1">
        <f t="shared" si="32"/>
        <v>19</v>
      </c>
      <c r="D36" s="1">
        <f t="shared" si="33"/>
        <v>25</v>
      </c>
      <c r="E36" s="1">
        <f t="shared" si="34"/>
        <v>28</v>
      </c>
      <c r="F36" s="1">
        <v>1.0</v>
      </c>
      <c r="G36" s="60">
        <f t="shared" si="2"/>
        <v>30</v>
      </c>
      <c r="H36" s="1" t="str">
        <f t="shared" si="3"/>
        <v>Braids v5.1</v>
      </c>
      <c r="I36" t="str">
        <f t="shared" si="4"/>
        <v>S</v>
      </c>
      <c r="J36" s="1" t="str">
        <f t="shared" ref="J36:Q36" si="40">indirect(address($G36+4, column()-9, 4, , $H36))</f>
        <v>IC10</v>
      </c>
      <c r="K36" s="1">
        <f t="shared" si="40"/>
        <v>1</v>
      </c>
      <c r="L36" s="1" t="str">
        <f t="shared" si="40"/>
        <v>TL072 dual op-amp</v>
      </c>
      <c r="M36" s="1" t="str">
        <f t="shared" si="40"/>
        <v/>
      </c>
      <c r="N36" s="1" t="str">
        <f t="shared" si="40"/>
        <v/>
      </c>
      <c r="O36" s="1" t="str">
        <f t="shared" si="40"/>
        <v>SOIC8</v>
      </c>
      <c r="P36" s="1" t="str">
        <f t="shared" si="40"/>
        <v>595-TL072CD</v>
      </c>
      <c r="Q36" s="1" t="str">
        <f t="shared" si="40"/>
        <v>Texas Instruments TL072CD</v>
      </c>
    </row>
    <row r="37">
      <c r="B37" t="str">
        <f t="shared" si="31"/>
        <v>Links v4</v>
      </c>
      <c r="C37" s="1">
        <f t="shared" si="32"/>
        <v>12</v>
      </c>
      <c r="D37" s="1">
        <f t="shared" si="33"/>
        <v>16</v>
      </c>
      <c r="E37" s="1">
        <f t="shared" si="34"/>
        <v>18</v>
      </c>
      <c r="F37" s="1">
        <v>1.0</v>
      </c>
      <c r="G37" s="60">
        <f t="shared" si="2"/>
        <v>31</v>
      </c>
      <c r="H37" s="1" t="str">
        <f t="shared" si="3"/>
        <v>Braids v5.1</v>
      </c>
      <c r="I37" t="str">
        <f t="shared" si="4"/>
        <v>S</v>
      </c>
      <c r="J37" s="1" t="str">
        <f t="shared" ref="J37:Q37" si="41">indirect(address($G37+4, column()-9, 4, , $H37))</f>
        <v>Q5</v>
      </c>
      <c r="K37" s="1">
        <f t="shared" si="41"/>
        <v>1</v>
      </c>
      <c r="L37" s="1" t="str">
        <f t="shared" si="41"/>
        <v>8 MHz quartz</v>
      </c>
      <c r="M37" s="1" t="str">
        <f t="shared" si="41"/>
        <v/>
      </c>
      <c r="N37" s="1" t="str">
        <f t="shared" si="41"/>
        <v/>
      </c>
      <c r="O37" s="1" t="str">
        <f t="shared" si="41"/>
        <v>HC49</v>
      </c>
      <c r="P37" s="1" t="str">
        <f t="shared" si="41"/>
        <v>815-ABLS2-8-D4Y-T</v>
      </c>
      <c r="Q37" s="1" t="str">
        <f t="shared" si="41"/>
        <v>Abracon ABLS2-8.000MHZ-D4Y-T</v>
      </c>
    </row>
    <row r="38">
      <c r="B38" t="str">
        <f t="shared" si="31"/>
        <v>Peaks v3.1</v>
      </c>
      <c r="C38" s="1">
        <f t="shared" si="32"/>
        <v>26</v>
      </c>
      <c r="D38" s="1">
        <f t="shared" si="33"/>
        <v>34</v>
      </c>
      <c r="E38" s="1">
        <f t="shared" si="34"/>
        <v>38</v>
      </c>
      <c r="F38" s="1">
        <v>1.0</v>
      </c>
      <c r="G38" s="60">
        <f t="shared" si="2"/>
        <v>32</v>
      </c>
      <c r="H38" s="1" t="str">
        <f t="shared" si="3"/>
        <v>Braids v5.1</v>
      </c>
      <c r="I38" t="str">
        <f t="shared" si="4"/>
        <v>S</v>
      </c>
      <c r="J38" s="1" t="str">
        <f t="shared" ref="J38:Q38" si="42">indirect(address($G38+4, column()-9, 4, , $H38))</f>
        <v>SW2, SW3</v>
      </c>
      <c r="K38" s="1">
        <f t="shared" si="42"/>
        <v>2</v>
      </c>
      <c r="L38" s="1" t="str">
        <f t="shared" si="42"/>
        <v>Switch, 6mm, SMT</v>
      </c>
      <c r="M38" s="1" t="str">
        <f t="shared" si="42"/>
        <v/>
      </c>
      <c r="N38" s="1" t="str">
        <f t="shared" si="42"/>
        <v/>
      </c>
      <c r="O38" s="1" t="str">
        <f t="shared" si="42"/>
        <v>6mm x 6mm</v>
      </c>
      <c r="P38" s="1" t="str">
        <f t="shared" si="42"/>
        <v>667-EVQ-Q2K01W</v>
      </c>
      <c r="Q38" s="1" t="str">
        <f t="shared" si="42"/>
        <v>Panasonic EVQ-Q2K01W</v>
      </c>
    </row>
    <row r="39">
      <c r="B39" t="str">
        <f t="shared" si="31"/>
        <v>Rings v3.0</v>
      </c>
      <c r="C39" s="1">
        <f t="shared" si="32"/>
        <v>40</v>
      </c>
      <c r="D39" s="1">
        <f t="shared" si="33"/>
        <v>47</v>
      </c>
      <c r="E39" s="1">
        <f t="shared" si="34"/>
        <v>51</v>
      </c>
      <c r="F39" s="1">
        <v>1.0</v>
      </c>
      <c r="G39" s="60">
        <f t="shared" si="2"/>
        <v>33</v>
      </c>
      <c r="H39" s="1" t="str">
        <f t="shared" si="3"/>
        <v>Braids v5.1</v>
      </c>
      <c r="I39" t="str">
        <f t="shared" si="4"/>
        <v>S</v>
      </c>
      <c r="J39" s="1" t="str">
        <f t="shared" ref="J39:Q39" si="43">indirect(address($G39+4, column()-9, 4, , $H39))</f>
        <v>Q1, Q2, Q3, Q4, Q6</v>
      </c>
      <c r="K39" s="1">
        <f t="shared" si="43"/>
        <v>5</v>
      </c>
      <c r="L39" s="1" t="str">
        <f t="shared" si="43"/>
        <v>NPN transistor MMBT3904</v>
      </c>
      <c r="M39" s="1" t="str">
        <f t="shared" si="43"/>
        <v/>
      </c>
      <c r="N39" s="1" t="str">
        <f t="shared" si="43"/>
        <v/>
      </c>
      <c r="O39" s="1" t="str">
        <f t="shared" si="43"/>
        <v>SOT23</v>
      </c>
      <c r="P39" s="1" t="str">
        <f t="shared" si="43"/>
        <v>863-MMBT3904LT1G</v>
      </c>
      <c r="Q39" s="1" t="str">
        <f t="shared" si="43"/>
        <v>On Semi MMBT3904LT1G</v>
      </c>
    </row>
    <row r="40">
      <c r="B40" t="str">
        <f t="shared" si="31"/>
        <v>Ripples v4.0</v>
      </c>
      <c r="C40" s="1">
        <f t="shared" si="32"/>
        <v>29</v>
      </c>
      <c r="D40" s="1">
        <f t="shared" si="33"/>
        <v>33</v>
      </c>
      <c r="E40" s="1">
        <f t="shared" si="34"/>
        <v>35</v>
      </c>
      <c r="F40" s="1">
        <v>1.0</v>
      </c>
      <c r="G40" s="60">
        <f t="shared" si="2"/>
        <v>34</v>
      </c>
      <c r="H40" s="1" t="str">
        <f t="shared" si="3"/>
        <v>Braids v5.1</v>
      </c>
      <c r="I40" t="str">
        <f t="shared" si="4"/>
        <v>S</v>
      </c>
      <c r="J40" s="1" t="str">
        <f t="shared" ref="J40:Q40" si="44">indirect(address($G40+4, column()-9, 4, , $H40))</f>
        <v>UC1</v>
      </c>
      <c r="K40" s="1">
        <f t="shared" si="44"/>
        <v>1</v>
      </c>
      <c r="L40" s="1" t="str">
        <f t="shared" si="44"/>
        <v>STM32F103CBT6 MCU</v>
      </c>
      <c r="M40" s="1" t="str">
        <f t="shared" si="44"/>
        <v/>
      </c>
      <c r="N40" s="1" t="str">
        <f t="shared" si="44"/>
        <v/>
      </c>
      <c r="O40" s="1" t="str">
        <f t="shared" si="44"/>
        <v>LQFP48</v>
      </c>
      <c r="P40" s="1" t="str">
        <f t="shared" si="44"/>
        <v>511-STM32F103CBT6</v>
      </c>
      <c r="Q40" s="1" t="str">
        <f t="shared" si="44"/>
        <v>ST STM32F103CBT6</v>
      </c>
    </row>
    <row r="41">
      <c r="B41" t="str">
        <f t="shared" si="31"/>
        <v>Shades v3.1</v>
      </c>
      <c r="C41" s="1">
        <f t="shared" si="32"/>
        <v>11</v>
      </c>
      <c r="D41" s="1">
        <f t="shared" si="33"/>
        <v>17</v>
      </c>
      <c r="E41" s="1">
        <f t="shared" si="34"/>
        <v>21</v>
      </c>
      <c r="F41" s="1">
        <v>1.0</v>
      </c>
      <c r="G41" s="60">
        <f t="shared" si="2"/>
        <v>35</v>
      </c>
      <c r="H41" s="1" t="str">
        <f t="shared" si="3"/>
        <v>Braids v5.1</v>
      </c>
      <c r="I41" t="str">
        <f t="shared" si="4"/>
        <v/>
      </c>
      <c r="J41" s="1" t="str">
        <f t="shared" ref="J41:Q41" si="45">indirect(address($G41+4, column()-9, 4, , $H41))</f>
        <v>PTH parts, top side</v>
      </c>
      <c r="K41" s="1" t="str">
        <f t="shared" si="45"/>
        <v/>
      </c>
      <c r="L41" s="1" t="str">
        <f t="shared" si="45"/>
        <v/>
      </c>
      <c r="M41" s="1" t="str">
        <f t="shared" si="45"/>
        <v/>
      </c>
      <c r="N41" s="1" t="str">
        <f t="shared" si="45"/>
        <v/>
      </c>
      <c r="O41" s="1" t="str">
        <f t="shared" si="45"/>
        <v/>
      </c>
      <c r="P41" s="1" t="str">
        <f t="shared" si="45"/>
        <v/>
      </c>
      <c r="Q41" s="1" t="str">
        <f t="shared" si="45"/>
        <v/>
      </c>
    </row>
    <row r="42">
      <c r="B42" t="str">
        <f t="shared" si="31"/>
        <v>Shelves v0.5</v>
      </c>
      <c r="C42" s="1">
        <f t="shared" si="32"/>
        <v>24</v>
      </c>
      <c r="D42" s="1">
        <f t="shared" si="33"/>
        <v>29</v>
      </c>
      <c r="E42" s="1">
        <f t="shared" si="34"/>
        <v>34</v>
      </c>
      <c r="F42" s="1">
        <v>1.0</v>
      </c>
      <c r="G42" s="60">
        <f t="shared" si="2"/>
        <v>36</v>
      </c>
      <c r="H42" s="1" t="str">
        <f t="shared" si="3"/>
        <v>Braids v5.1</v>
      </c>
      <c r="I42" t="str">
        <f t="shared" si="4"/>
        <v>U</v>
      </c>
      <c r="J42" s="1" t="str">
        <f t="shared" ref="J42:Q42" si="46">indirect(address($G42+4, column()-9, 4, , $H42))</f>
        <v>DISP1, DISP2</v>
      </c>
      <c r="K42" s="1">
        <f t="shared" si="46"/>
        <v>2</v>
      </c>
      <c r="L42" s="1" t="str">
        <f t="shared" si="46"/>
        <v>14 segments 2 characters LED module</v>
      </c>
      <c r="M42" s="1" t="str">
        <f t="shared" si="46"/>
        <v>Green, comm. cathode</v>
      </c>
      <c r="N42" s="1" t="str">
        <f t="shared" si="46"/>
        <v/>
      </c>
      <c r="O42" s="1" t="str">
        <f t="shared" si="46"/>
        <v/>
      </c>
      <c r="P42" s="1" t="str">
        <f t="shared" si="46"/>
        <v>604-PDC54-11GWA</v>
      </c>
      <c r="Q42" s="1" t="str">
        <f t="shared" si="46"/>
        <v>KINGBRIGHT PDC54-11GWA</v>
      </c>
    </row>
    <row r="43">
      <c r="B43" t="str">
        <f t="shared" si="31"/>
        <v>shelves_expander_v10</v>
      </c>
      <c r="C43" s="1">
        <f t="shared" si="32"/>
        <v>1</v>
      </c>
      <c r="D43" s="1">
        <f t="shared" si="33"/>
        <v>3</v>
      </c>
      <c r="E43" s="1">
        <f t="shared" si="34"/>
        <v>5</v>
      </c>
      <c r="F43" s="1">
        <v>1.0</v>
      </c>
      <c r="G43" s="60">
        <f t="shared" si="2"/>
        <v>37</v>
      </c>
      <c r="H43" s="1" t="str">
        <f t="shared" si="3"/>
        <v>Braids v5.1</v>
      </c>
      <c r="I43" t="str">
        <f t="shared" si="4"/>
        <v>U</v>
      </c>
      <c r="J43" s="1" t="str">
        <f t="shared" ref="J43:Q43" si="47">indirect(address($G43+4, column()-9, 4, , $H43))</f>
        <v>J1, J2, J3, J4, J5, J6</v>
      </c>
      <c r="K43" s="1">
        <f t="shared" si="47"/>
        <v>6</v>
      </c>
      <c r="L43" s="1" t="str">
        <f t="shared" si="47"/>
        <v>Vertical jack connector</v>
      </c>
      <c r="M43" s="1" t="str">
        <f t="shared" si="47"/>
        <v/>
      </c>
      <c r="N43" s="1" t="str">
        <f t="shared" si="47"/>
        <v/>
      </c>
      <c r="O43" s="1" t="str">
        <f t="shared" si="47"/>
        <v/>
      </c>
      <c r="P43" s="1" t="str">
        <f t="shared" si="47"/>
        <v/>
      </c>
      <c r="Q43" s="1" t="str">
        <f t="shared" si="47"/>
        <v>PJ-301-M-12</v>
      </c>
    </row>
    <row r="44">
      <c r="B44" t="str">
        <f t="shared" si="31"/>
        <v>Streams v0.5</v>
      </c>
      <c r="C44" s="1">
        <f t="shared" si="32"/>
        <v>40</v>
      </c>
      <c r="D44" s="1">
        <f t="shared" si="33"/>
        <v>47</v>
      </c>
      <c r="E44" s="1">
        <f t="shared" si="34"/>
        <v>50</v>
      </c>
      <c r="F44" s="1">
        <v>1.0</v>
      </c>
      <c r="G44" s="60">
        <f t="shared" si="2"/>
        <v>38</v>
      </c>
      <c r="H44" s="1" t="str">
        <f t="shared" si="3"/>
        <v>Braids v5.1</v>
      </c>
      <c r="I44" t="str">
        <f t="shared" si="4"/>
        <v>U</v>
      </c>
      <c r="J44" s="1" t="str">
        <f t="shared" ref="J44:Q44" si="48">indirect(address($G44+4, column()-9, 4, , $H44))</f>
        <v>R19, R20, R21, R36, R37, R38</v>
      </c>
      <c r="K44" s="1">
        <f t="shared" si="48"/>
        <v>6</v>
      </c>
      <c r="L44" s="1" t="str">
        <f t="shared" si="48"/>
        <v>10k linear pot, 15mm shaft</v>
      </c>
      <c r="M44" s="1" t="str">
        <f t="shared" si="48"/>
        <v/>
      </c>
      <c r="N44" s="1" t="str">
        <f t="shared" si="48"/>
        <v/>
      </c>
      <c r="O44" s="1" t="str">
        <f t="shared" si="48"/>
        <v/>
      </c>
      <c r="P44" s="1" t="str">
        <f t="shared" si="48"/>
        <v/>
      </c>
      <c r="Q44" s="288" t="str">
        <f t="shared" si="48"/>
        <v>https://www.thonk.co.uk/shop/alpha-9mm-pots/</v>
      </c>
    </row>
    <row r="45">
      <c r="B45" t="str">
        <f t="shared" si="31"/>
        <v>Streams Bargraph v0.2</v>
      </c>
      <c r="C45" s="1">
        <f t="shared" si="32"/>
        <v>4</v>
      </c>
      <c r="D45" s="1">
        <f t="shared" si="33"/>
        <v>6</v>
      </c>
      <c r="E45" s="1">
        <f t="shared" si="34"/>
        <v>8</v>
      </c>
      <c r="F45" s="1">
        <v>1.0</v>
      </c>
      <c r="G45" s="60">
        <f t="shared" si="2"/>
        <v>39</v>
      </c>
      <c r="H45" s="1" t="str">
        <f t="shared" si="3"/>
        <v>Braids v5.1</v>
      </c>
      <c r="I45" t="str">
        <f t="shared" si="4"/>
        <v>U</v>
      </c>
      <c r="J45" s="1" t="str">
        <f t="shared" ref="J45:Q45" si="49">indirect(address($G45+4, column()-9, 4, , $H45))</f>
        <v>SW1</v>
      </c>
      <c r="K45" s="1">
        <f t="shared" si="49"/>
        <v>1</v>
      </c>
      <c r="L45" s="1" t="str">
        <f t="shared" si="49"/>
        <v>Encoder, 24 steps w/ clicks, w/ switch</v>
      </c>
      <c r="M45" s="1" t="str">
        <f t="shared" si="49"/>
        <v/>
      </c>
      <c r="N45" s="1" t="str">
        <f t="shared" si="49"/>
        <v/>
      </c>
      <c r="O45" s="1" t="str">
        <f t="shared" si="49"/>
        <v/>
      </c>
      <c r="P45" s="288" t="str">
        <f t="shared" si="49"/>
        <v>652-PEC11R-4225F-S24</v>
      </c>
      <c r="Q45" s="1" t="str">
        <f t="shared" si="49"/>
        <v>alternatively: 858-EN11-HSM1BF20</v>
      </c>
    </row>
    <row r="46">
      <c r="B46" t="str">
        <f t="shared" si="31"/>
        <v>Tides v4.0</v>
      </c>
      <c r="C46" s="1">
        <f t="shared" si="32"/>
        <v>37</v>
      </c>
      <c r="D46" s="1">
        <f t="shared" si="33"/>
        <v>44</v>
      </c>
      <c r="E46" s="1">
        <f t="shared" si="34"/>
        <v>48</v>
      </c>
      <c r="F46" s="1">
        <v>1.0</v>
      </c>
      <c r="G46" s="60">
        <f t="shared" si="2"/>
        <v>40</v>
      </c>
      <c r="H46" s="1" t="str">
        <f t="shared" si="3"/>
        <v>Braids v5.1</v>
      </c>
      <c r="I46" t="str">
        <f t="shared" si="4"/>
        <v/>
      </c>
      <c r="J46" s="1" t="str">
        <f t="shared" ref="J46:Q46" si="50">indirect(address($G46+4, column()-9, 4, , $H46))</f>
        <v>PTH parts, bottom side</v>
      </c>
      <c r="K46" s="1" t="str">
        <f t="shared" si="50"/>
        <v/>
      </c>
      <c r="L46" s="1" t="str">
        <f t="shared" si="50"/>
        <v/>
      </c>
      <c r="M46" s="1" t="str">
        <f t="shared" si="50"/>
        <v/>
      </c>
      <c r="N46" s="289" t="str">
        <f t="shared" si="50"/>
        <v/>
      </c>
      <c r="O46" s="289" t="str">
        <f t="shared" si="50"/>
        <v/>
      </c>
      <c r="P46" s="290" t="str">
        <f t="shared" si="50"/>
        <v/>
      </c>
      <c r="Q46" s="1" t="str">
        <f t="shared" si="50"/>
        <v/>
      </c>
    </row>
    <row r="47">
      <c r="B47" t="str">
        <f t="shared" si="31"/>
        <v>Warps v3.0</v>
      </c>
      <c r="C47" s="1">
        <f t="shared" si="32"/>
        <v>35</v>
      </c>
      <c r="D47" s="1">
        <f t="shared" si="33"/>
        <v>43</v>
      </c>
      <c r="E47" s="1">
        <f t="shared" si="34"/>
        <v>47</v>
      </c>
      <c r="F47" s="1">
        <v>1.0</v>
      </c>
      <c r="G47" s="60">
        <f t="shared" si="2"/>
        <v>41</v>
      </c>
      <c r="H47" s="1" t="str">
        <f t="shared" si="3"/>
        <v>Braids v5.1</v>
      </c>
      <c r="I47" t="str">
        <f t="shared" si="4"/>
        <v>D</v>
      </c>
      <c r="J47" s="1" t="str">
        <f t="shared" ref="J47:Q47" si="51">indirect(address($G47+4, column()-9, 4, , $H47))</f>
        <v>JP1</v>
      </c>
      <c r="K47" s="1">
        <f t="shared" si="51"/>
        <v>1</v>
      </c>
      <c r="L47" s="1" t="str">
        <f t="shared" si="51"/>
        <v>2x5, 2.54mm pitch male header</v>
      </c>
      <c r="M47" s="1" t="str">
        <f t="shared" si="51"/>
        <v/>
      </c>
      <c r="N47" s="289" t="str">
        <f t="shared" si="51"/>
        <v/>
      </c>
      <c r="O47" s="289" t="str">
        <f t="shared" si="51"/>
        <v/>
      </c>
      <c r="P47" s="290" t="str">
        <f t="shared" si="51"/>
        <v>649-67996-410HLF</v>
      </c>
      <c r="Q47" s="1" t="str">
        <f t="shared" si="51"/>
        <v/>
      </c>
    </row>
    <row r="48">
      <c r="B48" t="str">
        <f t="shared" si="31"/>
        <v>Yarns v0.3</v>
      </c>
      <c r="C48" s="1">
        <f t="shared" si="32"/>
        <v>31</v>
      </c>
      <c r="D48" s="1">
        <f t="shared" si="33"/>
        <v>34</v>
      </c>
      <c r="E48" s="1">
        <f t="shared" si="34"/>
        <v>42</v>
      </c>
      <c r="F48" s="1">
        <v>1.0</v>
      </c>
      <c r="G48" s="60">
        <f t="shared" si="2"/>
        <v>42</v>
      </c>
      <c r="H48" s="1" t="str">
        <f t="shared" si="3"/>
        <v>Braids v5.1</v>
      </c>
      <c r="I48" t="str">
        <f t="shared" si="4"/>
        <v>D</v>
      </c>
      <c r="J48" s="1" t="str">
        <f t="shared" ref="J48:Q48" si="52">indirect(address($G48+4, column()-9, 4, , $H48))</f>
        <v>JP2</v>
      </c>
      <c r="K48" s="1">
        <f t="shared" si="52"/>
        <v>1</v>
      </c>
      <c r="L48" s="1" t="str">
        <f t="shared" si="52"/>
        <v>2x5, 1.27mm pitch male header</v>
      </c>
      <c r="M48" s="1" t="str">
        <f t="shared" si="52"/>
        <v/>
      </c>
      <c r="N48" s="289" t="str">
        <f t="shared" si="52"/>
        <v/>
      </c>
      <c r="O48" s="289" t="str">
        <f t="shared" si="52"/>
        <v/>
      </c>
      <c r="P48" s="290" t="str">
        <f t="shared" si="52"/>
        <v>649-221111-00010T4LF</v>
      </c>
      <c r="Q48" s="1" t="str">
        <f t="shared" si="52"/>
        <v/>
      </c>
    </row>
    <row r="49">
      <c r="C49" s="1"/>
      <c r="D49" s="285"/>
      <c r="E49" s="1"/>
      <c r="F49" s="1">
        <v>1.0</v>
      </c>
      <c r="G49" s="60">
        <f t="shared" si="2"/>
        <v>43</v>
      </c>
      <c r="H49" s="1" t="str">
        <f t="shared" si="3"/>
        <v>Braids v5.1</v>
      </c>
      <c r="I49" t="str">
        <f t="shared" si="4"/>
        <v>D</v>
      </c>
      <c r="J49" s="1" t="str">
        <f t="shared" ref="J49:Q49" si="53">indirect(address($G49+4, column()-9, 4, , $H49))</f>
        <v>JP3</v>
      </c>
      <c r="K49" s="1">
        <f t="shared" si="53"/>
        <v>1</v>
      </c>
      <c r="L49" s="1" t="str">
        <f t="shared" si="53"/>
        <v>1x6, 2.54mm pitch male header</v>
      </c>
      <c r="M49" s="1" t="str">
        <f t="shared" si="53"/>
        <v/>
      </c>
      <c r="N49" s="289" t="str">
        <f t="shared" si="53"/>
        <v/>
      </c>
      <c r="O49" s="289" t="str">
        <f t="shared" si="53"/>
        <v/>
      </c>
      <c r="P49" s="290" t="str">
        <f t="shared" si="53"/>
        <v>649-68002-106HLF</v>
      </c>
      <c r="Q49" s="1" t="str">
        <f t="shared" si="53"/>
        <v/>
      </c>
    </row>
    <row r="50">
      <c r="C50" s="1"/>
      <c r="D50" s="285"/>
      <c r="E50" s="1"/>
      <c r="F50" s="1">
        <v>1.0</v>
      </c>
      <c r="G50" s="60">
        <f t="shared" si="2"/>
        <v>44</v>
      </c>
      <c r="H50" s="1" t="str">
        <f t="shared" si="3"/>
        <v>Braids v5.1</v>
      </c>
      <c r="I50" t="str">
        <f t="shared" si="4"/>
        <v/>
      </c>
      <c r="J50" s="1" t="str">
        <f t="shared" ref="J50:Q50" si="54">indirect(address($G50+4, column()-9, 4, , $H50))</f>
        <v>PCB specifications</v>
      </c>
      <c r="K50" s="1" t="str">
        <f t="shared" si="54"/>
        <v/>
      </c>
      <c r="L50" s="1" t="str">
        <f t="shared" si="54"/>
        <v/>
      </c>
      <c r="M50" s="1" t="str">
        <f t="shared" si="54"/>
        <v/>
      </c>
      <c r="N50" s="289" t="str">
        <f t="shared" si="54"/>
        <v/>
      </c>
      <c r="O50" s="289" t="str">
        <f t="shared" si="54"/>
        <v/>
      </c>
      <c r="P50" s="290" t="str">
        <f t="shared" si="54"/>
        <v/>
      </c>
      <c r="Q50" s="1" t="str">
        <f t="shared" si="54"/>
        <v/>
      </c>
    </row>
    <row r="51">
      <c r="D51" s="282"/>
      <c r="F51" s="1">
        <v>1.0</v>
      </c>
      <c r="G51" s="60">
        <f t="shared" si="2"/>
        <v>45</v>
      </c>
      <c r="H51" s="1" t="str">
        <f t="shared" si="3"/>
        <v>Braids v5.1</v>
      </c>
      <c r="I51" t="str">
        <f t="shared" si="4"/>
        <v>P</v>
      </c>
      <c r="J51" s="1" t="str">
        <f t="shared" ref="J51:Q51" si="55">indirect(address($G51+4, column()-9, 4, , $H51))</f>
        <v>PCB</v>
      </c>
      <c r="K51" s="1" t="str">
        <f t="shared" si="55"/>
        <v/>
      </c>
      <c r="L51" s="1" t="str">
        <f t="shared" si="55"/>
        <v>78.7 x 106.7 ; 2 layers</v>
      </c>
      <c r="M51" s="1" t="str">
        <f t="shared" si="55"/>
        <v/>
      </c>
      <c r="N51" s="289" t="str">
        <f t="shared" si="55"/>
        <v/>
      </c>
      <c r="O51" s="289" t="str">
        <f t="shared" si="55"/>
        <v/>
      </c>
      <c r="P51" s="290" t="str">
        <f t="shared" si="55"/>
        <v/>
      </c>
      <c r="Q51" s="1" t="str">
        <f t="shared" si="55"/>
        <v/>
      </c>
    </row>
    <row r="52">
      <c r="D52" s="282"/>
      <c r="F52" s="1">
        <v>2.0</v>
      </c>
      <c r="G52" s="60">
        <f t="shared" si="2"/>
        <v>0</v>
      </c>
      <c r="H52" s="1" t="str">
        <f t="shared" si="3"/>
        <v>Branches v4.0</v>
      </c>
      <c r="I52" t="str">
        <f t="shared" si="4"/>
        <v>S</v>
      </c>
      <c r="J52" s="1" t="str">
        <f t="shared" ref="J52:Q52" si="56">indirect(address($G52+4, column()-9, 4, , $H52))</f>
        <v>R11, R19</v>
      </c>
      <c r="K52" s="291">
        <f t="shared" si="56"/>
        <v>2</v>
      </c>
      <c r="L52" s="1" t="str">
        <f t="shared" si="56"/>
        <v>Resistor, 1%</v>
      </c>
      <c r="M52" s="1" t="str">
        <f t="shared" si="56"/>
        <v/>
      </c>
      <c r="N52" s="1">
        <f t="shared" si="56"/>
        <v>220</v>
      </c>
      <c r="O52" s="1" t="str">
        <f t="shared" si="56"/>
        <v>0603</v>
      </c>
      <c r="P52" s="292" t="str">
        <f t="shared" si="56"/>
        <v>667-ERJ-3EKF2200V</v>
      </c>
      <c r="Q52" s="292" t="str">
        <f t="shared" si="56"/>
        <v/>
      </c>
    </row>
    <row r="53">
      <c r="D53" s="282"/>
      <c r="F53" s="1">
        <v>2.0</v>
      </c>
      <c r="G53" s="60">
        <f t="shared" si="2"/>
        <v>1</v>
      </c>
      <c r="H53" s="1" t="str">
        <f t="shared" si="3"/>
        <v>Branches v4.0</v>
      </c>
      <c r="I53" t="str">
        <f t="shared" si="4"/>
        <v>S</v>
      </c>
      <c r="J53" s="1" t="str">
        <f t="shared" ref="J53:Q53" si="57">indirect(address($G53+4, column()-9, 4, , $H53))</f>
        <v>R12, R13, R16, R17</v>
      </c>
      <c r="K53" s="291">
        <f t="shared" si="57"/>
        <v>4</v>
      </c>
      <c r="L53" s="1" t="str">
        <f t="shared" si="57"/>
        <v>Resistor, 1%</v>
      </c>
      <c r="M53" s="1" t="str">
        <f t="shared" si="57"/>
        <v/>
      </c>
      <c r="N53" s="1" t="str">
        <f t="shared" si="57"/>
        <v>1k</v>
      </c>
      <c r="O53" s="1" t="str">
        <f t="shared" si="57"/>
        <v>0603</v>
      </c>
      <c r="P53" s="292" t="str">
        <f t="shared" si="57"/>
        <v>667-ERJ-3EKF1001V</v>
      </c>
      <c r="Q53" s="1" t="str">
        <f t="shared" si="57"/>
        <v/>
      </c>
    </row>
    <row r="54">
      <c r="D54" s="282"/>
      <c r="F54" s="1">
        <v>2.0</v>
      </c>
      <c r="G54" s="60">
        <f t="shared" si="2"/>
        <v>2</v>
      </c>
      <c r="H54" s="1" t="str">
        <f t="shared" si="3"/>
        <v>Branches v4.0</v>
      </c>
      <c r="I54" t="str">
        <f t="shared" si="4"/>
        <v>S</v>
      </c>
      <c r="J54" s="1" t="str">
        <f t="shared" ref="J54:Q54" si="58">indirect(address($G54+4, column()-9, 4, , $H54))</f>
        <v>R1, R2, R14</v>
      </c>
      <c r="K54" s="291">
        <f t="shared" si="58"/>
        <v>3</v>
      </c>
      <c r="L54" s="1" t="str">
        <f t="shared" si="58"/>
        <v>Resistor, 1%</v>
      </c>
      <c r="M54" s="1" t="str">
        <f t="shared" si="58"/>
        <v/>
      </c>
      <c r="N54" s="1" t="str">
        <f t="shared" si="58"/>
        <v>10k</v>
      </c>
      <c r="O54" s="1" t="str">
        <f t="shared" si="58"/>
        <v>0603</v>
      </c>
      <c r="P54" s="292" t="str">
        <f t="shared" si="58"/>
        <v>667-ERJ-3EKF1002V</v>
      </c>
      <c r="Q54" s="1" t="str">
        <f t="shared" si="58"/>
        <v/>
      </c>
    </row>
    <row r="55">
      <c r="D55" s="282"/>
      <c r="F55" s="1">
        <v>2.0</v>
      </c>
      <c r="G55" s="60">
        <f t="shared" si="2"/>
        <v>3</v>
      </c>
      <c r="H55" s="1" t="str">
        <f t="shared" si="3"/>
        <v>Branches v4.0</v>
      </c>
      <c r="I55" t="str">
        <f t="shared" si="4"/>
        <v>S</v>
      </c>
      <c r="J55" s="1" t="str">
        <f t="shared" ref="J55:Q55" si="59">indirect(address($G55+4, column()-9, 4, , $H55))</f>
        <v>R3, R4, R5, R7, R8, R9, R10, R18</v>
      </c>
      <c r="K55" s="291">
        <f t="shared" si="59"/>
        <v>8</v>
      </c>
      <c r="L55" s="1" t="str">
        <f t="shared" si="59"/>
        <v>Resistor, 1%</v>
      </c>
      <c r="M55" s="1" t="str">
        <f t="shared" si="59"/>
        <v/>
      </c>
      <c r="N55" s="289" t="str">
        <f t="shared" si="59"/>
        <v>100k</v>
      </c>
      <c r="O55" s="1" t="str">
        <f t="shared" si="59"/>
        <v>0603</v>
      </c>
      <c r="P55" s="292" t="str">
        <f t="shared" si="59"/>
        <v>667-ERJ-3EKF1003V</v>
      </c>
      <c r="Q55" s="1" t="str">
        <f t="shared" si="59"/>
        <v/>
      </c>
    </row>
    <row r="56">
      <c r="D56" s="282"/>
      <c r="F56" s="1">
        <v>2.0</v>
      </c>
      <c r="G56" s="60">
        <f t="shared" si="2"/>
        <v>4</v>
      </c>
      <c r="H56" s="1" t="str">
        <f t="shared" si="3"/>
        <v>Branches v4.0</v>
      </c>
      <c r="I56" t="str">
        <f t="shared" si="4"/>
        <v>S</v>
      </c>
      <c r="J56" s="1" t="str">
        <f t="shared" ref="J56:Q56" si="60">indirect(address($G56+4, column()-9, 4, , $H56))</f>
        <v>C2, C5</v>
      </c>
      <c r="K56" s="291">
        <f t="shared" si="60"/>
        <v>2</v>
      </c>
      <c r="L56" s="1" t="str">
        <f t="shared" si="60"/>
        <v>Capacitor, ceramic</v>
      </c>
      <c r="M56" s="1" t="str">
        <f t="shared" si="60"/>
        <v/>
      </c>
      <c r="N56" s="289" t="str">
        <f t="shared" si="60"/>
        <v>1n</v>
      </c>
      <c r="O56" s="1" t="str">
        <f t="shared" si="60"/>
        <v>0603</v>
      </c>
      <c r="P56" s="292" t="str">
        <f t="shared" si="60"/>
        <v>81-GRM1885C1H102FA1J</v>
      </c>
      <c r="Q56" s="1" t="str">
        <f t="shared" si="60"/>
        <v/>
      </c>
    </row>
    <row r="57">
      <c r="D57" s="282"/>
      <c r="F57" s="1">
        <v>2.0</v>
      </c>
      <c r="G57" s="60">
        <f t="shared" si="2"/>
        <v>5</v>
      </c>
      <c r="H57" s="1" t="str">
        <f t="shared" si="3"/>
        <v>Branches v4.0</v>
      </c>
      <c r="I57" t="str">
        <f t="shared" si="4"/>
        <v>S</v>
      </c>
      <c r="J57" s="1" t="str">
        <f t="shared" ref="J57:Q57" si="61">indirect(address($G57+4, column()-9, 4, , $H57))</f>
        <v>C1, C4, C6, C7, C8</v>
      </c>
      <c r="K57" s="291">
        <f t="shared" si="61"/>
        <v>5</v>
      </c>
      <c r="L57" s="1" t="str">
        <f t="shared" si="61"/>
        <v>Capacitor, ceramic</v>
      </c>
      <c r="M57" s="1" t="str">
        <f t="shared" si="61"/>
        <v>&gt;= 16V</v>
      </c>
      <c r="N57" s="1" t="str">
        <f t="shared" si="61"/>
        <v>100n</v>
      </c>
      <c r="O57" s="1" t="str">
        <f t="shared" si="61"/>
        <v>0603</v>
      </c>
      <c r="P57" s="1" t="str">
        <f t="shared" si="61"/>
        <v>81-GRM188R61C104KA1D</v>
      </c>
      <c r="Q57" s="1" t="str">
        <f t="shared" si="61"/>
        <v/>
      </c>
    </row>
    <row r="58">
      <c r="D58" s="282"/>
      <c r="F58" s="1">
        <v>2.0</v>
      </c>
      <c r="G58" s="60">
        <f t="shared" si="2"/>
        <v>6</v>
      </c>
      <c r="H58" s="1" t="str">
        <f t="shared" si="3"/>
        <v>Branches v4.0</v>
      </c>
      <c r="I58" t="str">
        <f t="shared" si="4"/>
        <v>S</v>
      </c>
      <c r="J58" s="1" t="str">
        <f t="shared" ref="J58:Q58" si="62">indirect(address($G58+4, column()-9, 4, , $H58))</f>
        <v>C3, C9</v>
      </c>
      <c r="K58" s="291">
        <f t="shared" si="62"/>
        <v>2</v>
      </c>
      <c r="L58" s="1" t="str">
        <f t="shared" si="62"/>
        <v>Capacitor, electrolytic</v>
      </c>
      <c r="M58" s="1" t="str">
        <f t="shared" si="62"/>
        <v>&gt;= 25V</v>
      </c>
      <c r="N58" s="289" t="str">
        <f t="shared" si="62"/>
        <v>22u</v>
      </c>
      <c r="O58" s="289" t="str">
        <f t="shared" si="62"/>
        <v>Panasonic C</v>
      </c>
      <c r="P58" s="292" t="str">
        <f t="shared" si="62"/>
        <v>667-EEE-FP1E220AR</v>
      </c>
      <c r="Q58" s="1" t="str">
        <f t="shared" si="62"/>
        <v>EEE-FP1E220AR</v>
      </c>
    </row>
    <row r="59">
      <c r="D59" s="282"/>
      <c r="F59" s="1">
        <v>2.0</v>
      </c>
      <c r="G59" s="60">
        <f t="shared" si="2"/>
        <v>7</v>
      </c>
      <c r="H59" s="1" t="str">
        <f t="shared" si="3"/>
        <v>Branches v4.0</v>
      </c>
      <c r="I59" t="str">
        <f t="shared" si="4"/>
        <v>S</v>
      </c>
      <c r="J59" s="1" t="str">
        <f t="shared" ref="J59:Q59" si="63">indirect(address($G59+4, column()-9, 4, , $H59))</f>
        <v>L1</v>
      </c>
      <c r="K59" s="291">
        <f t="shared" si="63"/>
        <v>1</v>
      </c>
      <c r="L59" s="1" t="str">
        <f t="shared" si="63"/>
        <v>Ferrite bead</v>
      </c>
      <c r="M59" s="1" t="str">
        <f t="shared" si="63"/>
        <v>Z@100M &gt; 200</v>
      </c>
      <c r="N59" s="1" t="str">
        <f t="shared" si="63"/>
        <v/>
      </c>
      <c r="O59" s="1" t="str">
        <f t="shared" si="63"/>
        <v>0603</v>
      </c>
      <c r="P59" s="1" t="str">
        <f t="shared" si="63"/>
        <v>710-742792642</v>
      </c>
      <c r="Q59" s="1" t="str">
        <f t="shared" si="63"/>
        <v>WE 742792642</v>
      </c>
    </row>
    <row r="60">
      <c r="D60" s="282"/>
      <c r="F60" s="1">
        <v>2.0</v>
      </c>
      <c r="G60" s="60">
        <f t="shared" si="2"/>
        <v>8</v>
      </c>
      <c r="H60" s="1" t="str">
        <f t="shared" si="3"/>
        <v>Branches v4.0</v>
      </c>
      <c r="I60" t="str">
        <f t="shared" si="4"/>
        <v>S</v>
      </c>
      <c r="J60" s="1" t="str">
        <f t="shared" ref="J60:Q60" si="64">indirect(address($G60+4, column()-9, 4, , $H60))</f>
        <v>IC4</v>
      </c>
      <c r="K60" s="291">
        <f t="shared" si="64"/>
        <v>1</v>
      </c>
      <c r="L60" s="1" t="str">
        <f t="shared" si="64"/>
        <v>ATMega88p</v>
      </c>
      <c r="M60" s="1" t="str">
        <f t="shared" si="64"/>
        <v/>
      </c>
      <c r="N60" s="1" t="str">
        <f t="shared" si="64"/>
        <v/>
      </c>
      <c r="O60" s="1" t="str">
        <f t="shared" si="64"/>
        <v>TQFP32</v>
      </c>
      <c r="P60" s="1" t="str">
        <f t="shared" si="64"/>
        <v>556-ATMEGA88PA-AU</v>
      </c>
      <c r="Q60" s="1" t="str">
        <f t="shared" si="64"/>
        <v>ATMEGA88PA-AU</v>
      </c>
    </row>
    <row r="61">
      <c r="D61" s="282"/>
      <c r="F61" s="1">
        <v>2.0</v>
      </c>
      <c r="G61" s="60">
        <f t="shared" si="2"/>
        <v>9</v>
      </c>
      <c r="H61" s="1" t="str">
        <f t="shared" si="3"/>
        <v>Branches v4.0</v>
      </c>
      <c r="I61" t="str">
        <f t="shared" si="4"/>
        <v>S</v>
      </c>
      <c r="J61" s="1" t="str">
        <f t="shared" ref="J61:Q61" si="65">indirect(address($G61+4, column()-9, 4, , $H61))</f>
        <v>IC1</v>
      </c>
      <c r="K61" s="291">
        <f t="shared" si="65"/>
        <v>1</v>
      </c>
      <c r="L61" s="1" t="str">
        <f t="shared" si="65"/>
        <v>LM4040 Shunt Vref</v>
      </c>
      <c r="M61" s="1" t="str">
        <f t="shared" si="65"/>
        <v>A, B or C grade</v>
      </c>
      <c r="N61" s="1" t="str">
        <f t="shared" si="65"/>
        <v>5.0V</v>
      </c>
      <c r="O61" s="1" t="str">
        <f t="shared" si="65"/>
        <v>SOT23</v>
      </c>
      <c r="P61" s="1" t="str">
        <f t="shared" si="65"/>
        <v>595-LM4040C50IDBZR</v>
      </c>
      <c r="Q61" s="1" t="str">
        <f t="shared" si="65"/>
        <v>Texas Instruments LM4040C50IDBZ</v>
      </c>
    </row>
    <row r="62">
      <c r="D62" s="282"/>
      <c r="F62" s="1">
        <v>2.0</v>
      </c>
      <c r="G62" s="60">
        <f t="shared" si="2"/>
        <v>10</v>
      </c>
      <c r="H62" s="1" t="str">
        <f t="shared" si="3"/>
        <v>Branches v4.0</v>
      </c>
      <c r="I62" t="str">
        <f t="shared" si="4"/>
        <v>S</v>
      </c>
      <c r="J62" s="1" t="str">
        <f t="shared" ref="J62:Q62" si="66">indirect(address($G62+4, column()-9, 4, , $H62))</f>
        <v>IC3</v>
      </c>
      <c r="K62" s="291">
        <f t="shared" si="66"/>
        <v>1</v>
      </c>
      <c r="L62" s="1" t="str">
        <f t="shared" si="66"/>
        <v>MCP6002 dual op-amp R2R IO</v>
      </c>
      <c r="M62" s="1" t="str">
        <f t="shared" si="66"/>
        <v/>
      </c>
      <c r="N62" s="1" t="str">
        <f t="shared" si="66"/>
        <v/>
      </c>
      <c r="O62" s="1" t="str">
        <f t="shared" si="66"/>
        <v>SOIC8</v>
      </c>
      <c r="P62" s="1" t="str">
        <f t="shared" si="66"/>
        <v>579-MCP6002-I/SN</v>
      </c>
      <c r="Q62" s="1" t="str">
        <f t="shared" si="66"/>
        <v>MCP6002-I/SN</v>
      </c>
    </row>
    <row r="63">
      <c r="D63" s="282"/>
      <c r="F63" s="1">
        <v>2.0</v>
      </c>
      <c r="G63" s="60">
        <f t="shared" si="2"/>
        <v>11</v>
      </c>
      <c r="H63" s="1" t="str">
        <f t="shared" si="3"/>
        <v>Branches v4.0</v>
      </c>
      <c r="I63" t="str">
        <f t="shared" si="4"/>
        <v>S</v>
      </c>
      <c r="J63" s="1" t="str">
        <f t="shared" ref="J63:Q63" si="67">indirect(address($G63+4, column()-9, 4, , $H63))</f>
        <v>IC2</v>
      </c>
      <c r="K63" s="291">
        <f t="shared" si="67"/>
        <v>1</v>
      </c>
      <c r="L63" s="1" t="str">
        <f t="shared" si="67"/>
        <v>LM1117-5.0V LDO Vreg</v>
      </c>
      <c r="M63" s="1" t="str">
        <f t="shared" si="67"/>
        <v/>
      </c>
      <c r="N63" s="289" t="str">
        <f t="shared" si="67"/>
        <v>5.0V</v>
      </c>
      <c r="O63" s="289" t="str">
        <f t="shared" si="67"/>
        <v>SO223</v>
      </c>
      <c r="P63" s="292" t="str">
        <f t="shared" si="67"/>
        <v>926-LM1117MPX5.0NOPB</v>
      </c>
      <c r="Q63" s="1" t="str">
        <f t="shared" si="67"/>
        <v>National LM1117MPX-5.0/NOPB</v>
      </c>
    </row>
    <row r="64">
      <c r="D64" s="282"/>
      <c r="F64" s="1">
        <v>2.0</v>
      </c>
      <c r="G64" s="60">
        <f t="shared" si="2"/>
        <v>12</v>
      </c>
      <c r="H64" s="1" t="str">
        <f t="shared" si="3"/>
        <v>Branches v4.0</v>
      </c>
      <c r="I64" t="str">
        <f t="shared" si="4"/>
        <v>S</v>
      </c>
      <c r="J64" s="1" t="str">
        <f t="shared" ref="J64:Q64" si="68">indirect(address($G64+4, column()-9, 4, , $H64))</f>
        <v>D1</v>
      </c>
      <c r="K64" s="291">
        <f t="shared" si="68"/>
        <v>1</v>
      </c>
      <c r="L64" s="1" t="str">
        <f t="shared" si="68"/>
        <v>1N5819HW diode</v>
      </c>
      <c r="M64" s="1" t="str">
        <f t="shared" si="68"/>
        <v/>
      </c>
      <c r="N64" s="1" t="str">
        <f t="shared" si="68"/>
        <v/>
      </c>
      <c r="O64" s="1" t="str">
        <f t="shared" si="68"/>
        <v>SOD123</v>
      </c>
      <c r="P64" s="1" t="str">
        <f t="shared" si="68"/>
        <v>621-1N5819HW-F</v>
      </c>
      <c r="Q64" s="1" t="str">
        <f t="shared" si="68"/>
        <v>Diodes Inc 1N5819HW-7-F</v>
      </c>
    </row>
    <row r="65">
      <c r="D65" s="282"/>
      <c r="F65" s="1">
        <v>2.0</v>
      </c>
      <c r="G65" s="60">
        <f t="shared" si="2"/>
        <v>13</v>
      </c>
      <c r="H65" s="1" t="str">
        <f t="shared" si="3"/>
        <v>Branches v4.0</v>
      </c>
      <c r="I65" t="str">
        <f t="shared" si="4"/>
        <v>S</v>
      </c>
      <c r="J65" s="1" t="str">
        <f t="shared" ref="J65:Q65" si="69">indirect(address($G65+4, column()-9, 4, , $H65))</f>
        <v>Q1, Q2</v>
      </c>
      <c r="K65" s="291">
        <f t="shared" si="69"/>
        <v>2</v>
      </c>
      <c r="L65" s="1" t="str">
        <f t="shared" si="69"/>
        <v>NPN transistor MMBT3904</v>
      </c>
      <c r="M65" s="1" t="str">
        <f t="shared" si="69"/>
        <v/>
      </c>
      <c r="N65" s="1" t="str">
        <f t="shared" si="69"/>
        <v/>
      </c>
      <c r="O65" s="1" t="str">
        <f t="shared" si="69"/>
        <v>SOT23</v>
      </c>
      <c r="P65" s="1" t="str">
        <f t="shared" si="69"/>
        <v>863-MMBT3904LT1G</v>
      </c>
      <c r="Q65" s="1" t="str">
        <f t="shared" si="69"/>
        <v>On Semi MMBT3904LT1G</v>
      </c>
    </row>
    <row r="66">
      <c r="D66" s="282"/>
      <c r="F66" s="1">
        <v>2.0</v>
      </c>
      <c r="G66" s="60">
        <f t="shared" si="2"/>
        <v>14</v>
      </c>
      <c r="H66" s="1" t="str">
        <f t="shared" si="3"/>
        <v>Branches v4.0</v>
      </c>
      <c r="I66" t="str">
        <f t="shared" si="4"/>
        <v/>
      </c>
      <c r="J66" s="1" t="str">
        <f t="shared" ref="J66:Q66" si="70">indirect(address($G66+4, column()-9, 4, , $H66))</f>
        <v>PTH parts, top side</v>
      </c>
      <c r="K66" s="1" t="str">
        <f t="shared" si="70"/>
        <v/>
      </c>
      <c r="L66" s="1" t="str">
        <f t="shared" si="70"/>
        <v/>
      </c>
      <c r="M66" s="1" t="str">
        <f t="shared" si="70"/>
        <v/>
      </c>
      <c r="N66" s="1" t="str">
        <f t="shared" si="70"/>
        <v/>
      </c>
      <c r="O66" s="1" t="str">
        <f t="shared" si="70"/>
        <v/>
      </c>
      <c r="P66" s="1" t="str">
        <f t="shared" si="70"/>
        <v/>
      </c>
      <c r="Q66" s="1" t="str">
        <f t="shared" si="70"/>
        <v/>
      </c>
    </row>
    <row r="67">
      <c r="D67" s="282"/>
      <c r="F67" s="1">
        <v>2.0</v>
      </c>
      <c r="G67" s="60">
        <f t="shared" si="2"/>
        <v>15</v>
      </c>
      <c r="H67" s="1" t="str">
        <f t="shared" si="3"/>
        <v>Branches v4.0</v>
      </c>
      <c r="I67" t="str">
        <f t="shared" si="4"/>
        <v>U</v>
      </c>
      <c r="J67" s="1" t="str">
        <f t="shared" ref="J67:Q67" si="71">indirect(address($G67+4, column()-9, 4, , $H67))</f>
        <v>LED1, LED2</v>
      </c>
      <c r="K67" s="291">
        <f t="shared" si="71"/>
        <v>2</v>
      </c>
      <c r="L67" s="1" t="str">
        <f t="shared" si="71"/>
        <v>LED, Red/Green, 2 terminals</v>
      </c>
      <c r="M67" s="1" t="str">
        <f t="shared" si="71"/>
        <v/>
      </c>
      <c r="N67" s="1" t="str">
        <f t="shared" si="71"/>
        <v/>
      </c>
      <c r="O67" s="1" t="str">
        <f t="shared" si="71"/>
        <v>2 terminals</v>
      </c>
      <c r="P67" s="1" t="str">
        <f t="shared" si="71"/>
        <v>604-WP937EGW</v>
      </c>
      <c r="Q67" s="1" t="str">
        <f t="shared" si="71"/>
        <v>Kingbright WP937EGW</v>
      </c>
    </row>
    <row r="68">
      <c r="D68" s="282"/>
      <c r="F68" s="1">
        <v>2.0</v>
      </c>
      <c r="G68" s="60">
        <f t="shared" si="2"/>
        <v>16</v>
      </c>
      <c r="H68" s="1" t="str">
        <f t="shared" si="3"/>
        <v>Branches v4.0</v>
      </c>
      <c r="I68" t="str">
        <f t="shared" si="4"/>
        <v>U</v>
      </c>
      <c r="J68" s="1" t="str">
        <f t="shared" ref="J68:Q68" si="72">indirect(address($G68+4, column()-9, 4, , $H68))</f>
        <v>- LED1, LED2</v>
      </c>
      <c r="K68" s="291">
        <f t="shared" si="72"/>
        <v>2</v>
      </c>
      <c r="L68" s="1" t="str">
        <f t="shared" si="72"/>
        <v>LED holder</v>
      </c>
      <c r="M68" s="1" t="str">
        <f t="shared" si="72"/>
        <v>Ø 3mm, 10mm high</v>
      </c>
      <c r="N68" s="289" t="str">
        <f t="shared" si="72"/>
        <v/>
      </c>
      <c r="O68" s="289" t="str">
        <f t="shared" si="72"/>
        <v/>
      </c>
      <c r="P68" s="1" t="str">
        <f t="shared" si="72"/>
        <v/>
      </c>
      <c r="Q68" s="1" t="str">
        <f t="shared" si="72"/>
        <v>LED3-10 Multicomp; Farnell P/N 9555277</v>
      </c>
    </row>
    <row r="69">
      <c r="D69" s="282"/>
      <c r="F69" s="1">
        <v>2.0</v>
      </c>
      <c r="G69" s="60">
        <f t="shared" si="2"/>
        <v>17</v>
      </c>
      <c r="H69" s="1" t="str">
        <f t="shared" si="3"/>
        <v>Branches v4.0</v>
      </c>
      <c r="I69" t="str">
        <f t="shared" si="4"/>
        <v>U</v>
      </c>
      <c r="J69" s="1" t="str">
        <f t="shared" ref="J69:Q69" si="73">indirect(address($G69+4, column()-9, 4, , $H69))</f>
        <v>SW1, SW2</v>
      </c>
      <c r="K69" s="291">
        <f t="shared" si="73"/>
        <v>2</v>
      </c>
      <c r="L69" s="1" t="str">
        <f t="shared" si="73"/>
        <v>Switch, 6mm</v>
      </c>
      <c r="M69" s="1" t="str">
        <f t="shared" si="73"/>
        <v/>
      </c>
      <c r="N69" s="1" t="str">
        <f t="shared" si="73"/>
        <v/>
      </c>
      <c r="O69" s="1" t="str">
        <f t="shared" si="73"/>
        <v/>
      </c>
      <c r="P69" s="1" t="str">
        <f t="shared" si="73"/>
        <v>612-TL1105SP-250</v>
      </c>
      <c r="Q69" s="1" t="str">
        <f t="shared" si="73"/>
        <v>E-switch TL1105SPF250Q</v>
      </c>
    </row>
    <row r="70">
      <c r="D70" s="282"/>
      <c r="F70" s="1">
        <v>2.0</v>
      </c>
      <c r="G70" s="60">
        <f t="shared" si="2"/>
        <v>18</v>
      </c>
      <c r="H70" s="1" t="str">
        <f t="shared" si="3"/>
        <v>Branches v4.0</v>
      </c>
      <c r="I70" t="str">
        <f t="shared" si="4"/>
        <v>U</v>
      </c>
      <c r="J70" s="1" t="str">
        <f t="shared" ref="J70:Q70" si="74">indirect(address($G70+4, column()-9, 4, , $H70))</f>
        <v>- SW1, SW2</v>
      </c>
      <c r="K70" s="291">
        <f t="shared" si="74"/>
        <v>2</v>
      </c>
      <c r="L70" s="1" t="str">
        <f t="shared" si="74"/>
        <v>Cap for switch, black</v>
      </c>
      <c r="M70" s="1" t="str">
        <f t="shared" si="74"/>
        <v/>
      </c>
      <c r="N70" s="1" t="str">
        <f t="shared" si="74"/>
        <v/>
      </c>
      <c r="O70" s="1" t="str">
        <f t="shared" si="74"/>
        <v/>
      </c>
      <c r="P70" s="1" t="str">
        <f t="shared" si="74"/>
        <v>612-1R-BK</v>
      </c>
      <c r="Q70" s="1" t="str">
        <f t="shared" si="74"/>
        <v>E-switch 1RBLK</v>
      </c>
    </row>
    <row r="71">
      <c r="D71" s="282"/>
      <c r="F71" s="1">
        <v>2.0</v>
      </c>
      <c r="G71" s="60">
        <f t="shared" si="2"/>
        <v>19</v>
      </c>
      <c r="H71" s="1" t="str">
        <f t="shared" si="3"/>
        <v>Branches v4.0</v>
      </c>
      <c r="I71" t="str">
        <f t="shared" si="4"/>
        <v>U</v>
      </c>
      <c r="J71" s="1" t="str">
        <f t="shared" ref="J71:Q71" si="75">indirect(address($G71+4, column()-9, 4, , $H71))</f>
        <v>R6, R15</v>
      </c>
      <c r="K71" s="291">
        <f t="shared" si="75"/>
        <v>2</v>
      </c>
      <c r="L71" s="1" t="str">
        <f t="shared" si="75"/>
        <v>10k linear pot, 15mm shaft</v>
      </c>
      <c r="M71" s="1" t="str">
        <f t="shared" si="75"/>
        <v/>
      </c>
      <c r="N71" s="289" t="str">
        <f t="shared" si="75"/>
        <v/>
      </c>
      <c r="O71" s="289" t="str">
        <f t="shared" si="75"/>
        <v/>
      </c>
      <c r="P71" s="292" t="str">
        <f t="shared" si="75"/>
        <v/>
      </c>
      <c r="Q71" s="288" t="str">
        <f t="shared" si="75"/>
        <v>https://www.thonk.co.uk/shop/alpha-9mm-pots/</v>
      </c>
    </row>
    <row r="72">
      <c r="D72" s="282"/>
      <c r="F72" s="1">
        <v>2.0</v>
      </c>
      <c r="G72" s="60">
        <f t="shared" si="2"/>
        <v>20</v>
      </c>
      <c r="H72" s="1" t="str">
        <f t="shared" si="3"/>
        <v>Branches v4.0</v>
      </c>
      <c r="I72" t="str">
        <f t="shared" si="4"/>
        <v>U</v>
      </c>
      <c r="J72" s="1" t="str">
        <f t="shared" ref="J72:Q72" si="76">indirect(address($G72+4, column()-9, 4, , $H72))</f>
        <v>J1, J2, J3, J4, J5, J6, J7, J8</v>
      </c>
      <c r="K72" s="291">
        <f t="shared" si="76"/>
        <v>8</v>
      </c>
      <c r="L72" s="1" t="str">
        <f t="shared" si="76"/>
        <v>Vertical jack connector</v>
      </c>
      <c r="M72" s="1" t="str">
        <f t="shared" si="76"/>
        <v/>
      </c>
      <c r="N72" s="1" t="str">
        <f t="shared" si="76"/>
        <v/>
      </c>
      <c r="O72" s="1" t="str">
        <f t="shared" si="76"/>
        <v/>
      </c>
      <c r="P72" s="1" t="str">
        <f t="shared" si="76"/>
        <v/>
      </c>
      <c r="Q72" s="1" t="str">
        <f t="shared" si="76"/>
        <v>PJ-301-M-12</v>
      </c>
    </row>
    <row r="73">
      <c r="D73" s="282"/>
      <c r="F73" s="1">
        <v>2.0</v>
      </c>
      <c r="G73" s="60">
        <f t="shared" si="2"/>
        <v>21</v>
      </c>
      <c r="H73" s="1" t="str">
        <f t="shared" si="3"/>
        <v>Branches v4.0</v>
      </c>
      <c r="I73" t="str">
        <f t="shared" si="4"/>
        <v/>
      </c>
      <c r="J73" s="1" t="str">
        <f t="shared" ref="J73:Q73" si="77">indirect(address($G73+4, column()-9, 4, , $H73))</f>
        <v>PTH parts, bottom side</v>
      </c>
      <c r="K73" s="291" t="str">
        <f t="shared" si="77"/>
        <v/>
      </c>
      <c r="L73" s="1" t="str">
        <f t="shared" si="77"/>
        <v/>
      </c>
      <c r="M73" s="1" t="str">
        <f t="shared" si="77"/>
        <v/>
      </c>
      <c r="N73" s="289" t="str">
        <f t="shared" si="77"/>
        <v/>
      </c>
      <c r="O73" s="289" t="str">
        <f t="shared" si="77"/>
        <v/>
      </c>
      <c r="P73" s="292" t="str">
        <f t="shared" si="77"/>
        <v/>
      </c>
      <c r="Q73" s="1" t="str">
        <f t="shared" si="77"/>
        <v/>
      </c>
    </row>
    <row r="74">
      <c r="D74" s="282"/>
      <c r="F74" s="1">
        <v>2.0</v>
      </c>
      <c r="G74" s="60">
        <f t="shared" si="2"/>
        <v>22</v>
      </c>
      <c r="H74" s="1" t="str">
        <f t="shared" si="3"/>
        <v>Branches v4.0</v>
      </c>
      <c r="I74" t="str">
        <f t="shared" si="4"/>
        <v>D</v>
      </c>
      <c r="J74" s="1" t="str">
        <f t="shared" ref="J74:Q74" si="78">indirect(address($G74+4, column()-9, 4, , $H74))</f>
        <v>J10</v>
      </c>
      <c r="K74" s="291">
        <f t="shared" si="78"/>
        <v>1</v>
      </c>
      <c r="L74" s="1" t="str">
        <f t="shared" si="78"/>
        <v>2x5, 2.54mm pitch male header</v>
      </c>
      <c r="M74" s="1" t="str">
        <f t="shared" si="78"/>
        <v/>
      </c>
      <c r="N74" s="289" t="str">
        <f t="shared" si="78"/>
        <v/>
      </c>
      <c r="O74" s="289" t="str">
        <f t="shared" si="78"/>
        <v/>
      </c>
      <c r="P74" s="1" t="str">
        <f t="shared" si="78"/>
        <v>649-67996-410HLF</v>
      </c>
      <c r="Q74" s="1" t="str">
        <f t="shared" si="78"/>
        <v/>
      </c>
    </row>
    <row r="75">
      <c r="D75" s="282"/>
      <c r="F75" s="1">
        <v>2.0</v>
      </c>
      <c r="G75" s="60">
        <f t="shared" si="2"/>
        <v>23</v>
      </c>
      <c r="H75" s="1" t="str">
        <f t="shared" si="3"/>
        <v>Branches v4.0</v>
      </c>
      <c r="I75" t="str">
        <f t="shared" si="4"/>
        <v>D</v>
      </c>
      <c r="J75" s="1" t="str">
        <f t="shared" ref="J75:Q75" si="79">indirect(address($G75+4, column()-9, 4, , $H75))</f>
        <v>J9</v>
      </c>
      <c r="K75" s="291">
        <f t="shared" si="79"/>
        <v>1</v>
      </c>
      <c r="L75" s="1" t="str">
        <f t="shared" si="79"/>
        <v>2x3, 2.54mm pitch male header</v>
      </c>
      <c r="M75" s="1" t="str">
        <f t="shared" si="79"/>
        <v/>
      </c>
      <c r="N75" s="289" t="str">
        <f t="shared" si="79"/>
        <v/>
      </c>
      <c r="O75" s="289" t="str">
        <f t="shared" si="79"/>
        <v/>
      </c>
      <c r="P75" s="1" t="str">
        <f t="shared" si="79"/>
        <v>649-67996-406HLF</v>
      </c>
      <c r="Q75" s="1" t="str">
        <f t="shared" si="79"/>
        <v/>
      </c>
    </row>
    <row r="76">
      <c r="D76" s="282"/>
      <c r="F76" s="1">
        <v>2.0</v>
      </c>
      <c r="G76" s="60">
        <f t="shared" si="2"/>
        <v>24</v>
      </c>
      <c r="H76" s="1" t="str">
        <f t="shared" si="3"/>
        <v>Branches v4.0</v>
      </c>
      <c r="I76" t="str">
        <f t="shared" si="4"/>
        <v/>
      </c>
      <c r="J76" s="1" t="str">
        <f t="shared" ref="J76:Q76" si="80">indirect(address($G76+4, column()-9, 4, , $H76))</f>
        <v>PCB specifications</v>
      </c>
      <c r="K76" s="291" t="str">
        <f t="shared" si="80"/>
        <v/>
      </c>
      <c r="L76" s="1" t="str">
        <f t="shared" si="80"/>
        <v/>
      </c>
      <c r="M76" s="1" t="str">
        <f t="shared" si="80"/>
        <v/>
      </c>
      <c r="N76" s="289" t="str">
        <f t="shared" si="80"/>
        <v/>
      </c>
      <c r="O76" s="289" t="str">
        <f t="shared" si="80"/>
        <v/>
      </c>
      <c r="P76" s="1" t="str">
        <f t="shared" si="80"/>
        <v/>
      </c>
      <c r="Q76" s="1" t="str">
        <f t="shared" si="80"/>
        <v/>
      </c>
    </row>
    <row r="77">
      <c r="D77" s="282"/>
      <c r="F77" s="1">
        <v>2.0</v>
      </c>
      <c r="G77" s="60">
        <f t="shared" si="2"/>
        <v>25</v>
      </c>
      <c r="H77" s="1" t="str">
        <f t="shared" si="3"/>
        <v>Branches v4.0</v>
      </c>
      <c r="I77" t="str">
        <f t="shared" si="4"/>
        <v>P</v>
      </c>
      <c r="J77" s="1" t="str">
        <f t="shared" ref="J77:Q77" si="81">indirect(address($G77+4, column()-9, 4, , $H77))</f>
        <v>PCB</v>
      </c>
      <c r="K77" s="291" t="str">
        <f t="shared" si="81"/>
        <v/>
      </c>
      <c r="L77" s="1" t="str">
        <f t="shared" si="81"/>
        <v>106.3 x 29.2 ; 2 layers</v>
      </c>
      <c r="M77" s="1" t="str">
        <f t="shared" si="81"/>
        <v/>
      </c>
      <c r="N77" s="289" t="str">
        <f t="shared" si="81"/>
        <v/>
      </c>
      <c r="O77" s="289" t="str">
        <f t="shared" si="81"/>
        <v/>
      </c>
      <c r="P77" s="292" t="str">
        <f t="shared" si="81"/>
        <v/>
      </c>
      <c r="Q77" s="1" t="str">
        <f t="shared" si="81"/>
        <v/>
      </c>
    </row>
    <row r="78">
      <c r="D78" s="282"/>
      <c r="F78" s="1">
        <v>3.0</v>
      </c>
      <c r="G78" s="60">
        <f t="shared" si="2"/>
        <v>0</v>
      </c>
      <c r="H78" s="1" t="str">
        <f t="shared" si="3"/>
        <v>Clouds v3.0</v>
      </c>
      <c r="I78" t="str">
        <f t="shared" si="4"/>
        <v>S</v>
      </c>
      <c r="J78" s="1" t="str">
        <f t="shared" ref="J78:Q78" si="82">indirect(address($G78+4, column()-9, 4, , $H78))</f>
        <v>R11</v>
      </c>
      <c r="K78" s="1">
        <f t="shared" si="82"/>
        <v>1</v>
      </c>
      <c r="L78" s="1" t="str">
        <f t="shared" si="82"/>
        <v>Resistor, 5%, 250mW</v>
      </c>
      <c r="M78" s="1" t="str">
        <f t="shared" si="82"/>
        <v/>
      </c>
      <c r="N78" s="1">
        <f t="shared" si="82"/>
        <v>4.7</v>
      </c>
      <c r="O78" s="289" t="str">
        <f t="shared" si="82"/>
        <v>1206</v>
      </c>
      <c r="P78" s="1" t="str">
        <f t="shared" si="82"/>
        <v>667-ERJ-8GEYJ4R7V</v>
      </c>
      <c r="Q78" s="1" t="str">
        <f t="shared" si="82"/>
        <v/>
      </c>
    </row>
    <row r="79">
      <c r="D79" s="282"/>
      <c r="F79" s="1">
        <v>3.0</v>
      </c>
      <c r="G79" s="60">
        <f t="shared" si="2"/>
        <v>1</v>
      </c>
      <c r="H79" s="1" t="str">
        <f t="shared" si="3"/>
        <v>Clouds v3.0</v>
      </c>
      <c r="I79" t="str">
        <f t="shared" si="4"/>
        <v>S</v>
      </c>
      <c r="J79" s="1" t="str">
        <f t="shared" ref="J79:Q79" si="83">indirect(address($G79+4, column()-9, 4, , $H79))</f>
        <v>R1, R2, R3, R4, R5, R6, R7, R8, R9, R10</v>
      </c>
      <c r="K79" s="1">
        <f t="shared" si="83"/>
        <v>10</v>
      </c>
      <c r="L79" s="1" t="str">
        <f t="shared" si="83"/>
        <v>Resistor, 1%</v>
      </c>
      <c r="M79" s="1" t="str">
        <f t="shared" si="83"/>
        <v/>
      </c>
      <c r="N79" s="1">
        <f t="shared" si="83"/>
        <v>68.1</v>
      </c>
      <c r="O79" s="289" t="str">
        <f t="shared" si="83"/>
        <v>0603</v>
      </c>
      <c r="P79" s="1" t="str">
        <f t="shared" si="83"/>
        <v>667-ERJ-3EKF68R1V</v>
      </c>
      <c r="Q79" s="1" t="str">
        <f t="shared" si="83"/>
        <v/>
      </c>
    </row>
    <row r="80">
      <c r="D80" s="282"/>
      <c r="F80" s="1">
        <v>3.0</v>
      </c>
      <c r="G80" s="60">
        <f t="shared" si="2"/>
        <v>2</v>
      </c>
      <c r="H80" s="1" t="str">
        <f t="shared" si="3"/>
        <v>Clouds v3.0</v>
      </c>
      <c r="I80" t="str">
        <f t="shared" si="4"/>
        <v>S</v>
      </c>
      <c r="J80" s="1" t="str">
        <f t="shared" ref="J80:Q80" si="84">indirect(address($G80+4, column()-9, 4, , $H80))</f>
        <v>R30</v>
      </c>
      <c r="K80" s="1">
        <f t="shared" si="84"/>
        <v>1</v>
      </c>
      <c r="L80" s="1" t="str">
        <f t="shared" si="84"/>
        <v>Resistor, 1%</v>
      </c>
      <c r="M80" s="1" t="str">
        <f t="shared" si="84"/>
        <v/>
      </c>
      <c r="N80" s="1">
        <f t="shared" si="84"/>
        <v>470</v>
      </c>
      <c r="O80" s="289" t="str">
        <f t="shared" si="84"/>
        <v>0603</v>
      </c>
      <c r="P80" s="1" t="str">
        <f t="shared" si="84"/>
        <v>667-ERJ-3EKF4700V</v>
      </c>
      <c r="Q80" s="1" t="str">
        <f t="shared" si="84"/>
        <v/>
      </c>
    </row>
    <row r="81">
      <c r="D81" s="282"/>
      <c r="F81" s="1">
        <v>3.0</v>
      </c>
      <c r="G81" s="60">
        <f t="shared" si="2"/>
        <v>3</v>
      </c>
      <c r="H81" s="1" t="str">
        <f t="shared" si="3"/>
        <v>Clouds v3.0</v>
      </c>
      <c r="I81" t="str">
        <f t="shared" si="4"/>
        <v>S</v>
      </c>
      <c r="J81" s="1" t="str">
        <f t="shared" ref="J81:Q81" si="85">indirect(address($G81+4, column()-9, 4, , $H81))</f>
        <v>R61, R62</v>
      </c>
      <c r="K81" s="1">
        <f t="shared" si="85"/>
        <v>2</v>
      </c>
      <c r="L81" s="1" t="str">
        <f t="shared" si="85"/>
        <v>Resistor, 1%</v>
      </c>
      <c r="M81" s="1" t="str">
        <f t="shared" si="85"/>
        <v/>
      </c>
      <c r="N81" s="1" t="str">
        <f t="shared" si="85"/>
        <v>1.0k</v>
      </c>
      <c r="O81" s="289" t="str">
        <f t="shared" si="85"/>
        <v>0603</v>
      </c>
      <c r="P81" s="1" t="str">
        <f t="shared" si="85"/>
        <v>667-ERJ-3EKF1001V</v>
      </c>
      <c r="Q81" s="1" t="str">
        <f t="shared" si="85"/>
        <v/>
      </c>
    </row>
    <row r="82">
      <c r="D82" s="282"/>
      <c r="F82" s="1">
        <v>3.0</v>
      </c>
      <c r="G82" s="60">
        <f t="shared" si="2"/>
        <v>4</v>
      </c>
      <c r="H82" s="1" t="str">
        <f t="shared" si="3"/>
        <v>Clouds v3.0</v>
      </c>
      <c r="I82" t="str">
        <f t="shared" si="4"/>
        <v>S</v>
      </c>
      <c r="J82" s="1" t="str">
        <f t="shared" ref="J82:Q82" si="86">indirect(address($G82+4, column()-9, 4, , $H82))</f>
        <v>R40, R41</v>
      </c>
      <c r="K82" s="1">
        <f t="shared" si="86"/>
        <v>2</v>
      </c>
      <c r="L82" s="1" t="str">
        <f t="shared" si="86"/>
        <v>Resistor, 1%</v>
      </c>
      <c r="M82" s="1" t="str">
        <f t="shared" si="86"/>
        <v/>
      </c>
      <c r="N82" s="1" t="str">
        <f t="shared" si="86"/>
        <v>2.2k</v>
      </c>
      <c r="O82" s="289" t="str">
        <f t="shared" si="86"/>
        <v>0603</v>
      </c>
      <c r="P82" s="1" t="str">
        <f t="shared" si="86"/>
        <v>667-ERJ-3EKF2201V</v>
      </c>
      <c r="Q82" s="1" t="str">
        <f t="shared" si="86"/>
        <v/>
      </c>
    </row>
    <row r="83">
      <c r="D83" s="282"/>
      <c r="F83" s="1">
        <v>3.0</v>
      </c>
      <c r="G83" s="60">
        <f t="shared" si="2"/>
        <v>5</v>
      </c>
      <c r="H83" s="1" t="str">
        <f t="shared" si="3"/>
        <v>Clouds v3.0</v>
      </c>
      <c r="I83" t="str">
        <f t="shared" si="4"/>
        <v>S</v>
      </c>
      <c r="J83" s="1" t="str">
        <f t="shared" ref="J83:Q83" si="87">indirect(address($G83+4, column()-9, 4, , $H83))</f>
        <v>R46, R47</v>
      </c>
      <c r="K83" s="1">
        <f t="shared" si="87"/>
        <v>2</v>
      </c>
      <c r="L83" s="1" t="str">
        <f t="shared" si="87"/>
        <v>Resistor, 1%</v>
      </c>
      <c r="M83" s="1" t="str">
        <f t="shared" si="87"/>
        <v/>
      </c>
      <c r="N83" s="1" t="str">
        <f t="shared" si="87"/>
        <v>3.3k</v>
      </c>
      <c r="O83" s="289" t="str">
        <f t="shared" si="87"/>
        <v>0603</v>
      </c>
      <c r="P83" s="1" t="str">
        <f t="shared" si="87"/>
        <v>667-ERJ-3EKF3301V</v>
      </c>
      <c r="Q83" s="1" t="str">
        <f t="shared" si="87"/>
        <v/>
      </c>
    </row>
    <row r="84">
      <c r="D84" s="282"/>
      <c r="F84" s="1">
        <v>3.0</v>
      </c>
      <c r="G84" s="60">
        <f t="shared" si="2"/>
        <v>6</v>
      </c>
      <c r="H84" s="1" t="str">
        <f t="shared" si="3"/>
        <v>Clouds v3.0</v>
      </c>
      <c r="I84" t="str">
        <f t="shared" si="4"/>
        <v>S</v>
      </c>
      <c r="J84" s="1" t="str">
        <f t="shared" ref="J84:Q84" si="88">indirect(address($G84+4, column()-9, 4, , $H84))</f>
        <v>R51, R52, R53, R54, R55, R56</v>
      </c>
      <c r="K84" s="1">
        <f t="shared" si="88"/>
        <v>6</v>
      </c>
      <c r="L84" s="1" t="str">
        <f t="shared" si="88"/>
        <v>Resistor, 1%</v>
      </c>
      <c r="M84" s="1" t="str">
        <f t="shared" si="88"/>
        <v/>
      </c>
      <c r="N84" s="1" t="str">
        <f t="shared" si="88"/>
        <v>5.6k</v>
      </c>
      <c r="O84" s="289" t="str">
        <f t="shared" si="88"/>
        <v>0603</v>
      </c>
      <c r="P84" s="1" t="str">
        <f t="shared" si="88"/>
        <v>667-ERJ-3EKF5601V</v>
      </c>
      <c r="Q84" s="1" t="str">
        <f t="shared" si="88"/>
        <v/>
      </c>
    </row>
    <row r="85">
      <c r="D85" s="282"/>
      <c r="F85" s="1">
        <v>3.0</v>
      </c>
      <c r="G85" s="60">
        <f t="shared" si="2"/>
        <v>7</v>
      </c>
      <c r="H85" s="1" t="str">
        <f t="shared" si="3"/>
        <v>Clouds v3.0</v>
      </c>
      <c r="I85" t="str">
        <f t="shared" si="4"/>
        <v>S</v>
      </c>
      <c r="J85" s="1" t="str">
        <f t="shared" ref="J85:Q85" si="89">indirect(address($G85+4, column()-9, 4, , $H85))</f>
        <v>R13, R14, R16, R17</v>
      </c>
      <c r="K85" s="1">
        <f t="shared" si="89"/>
        <v>4</v>
      </c>
      <c r="L85" s="1" t="str">
        <f t="shared" si="89"/>
        <v>Resistor, 1%</v>
      </c>
      <c r="M85" s="1" t="str">
        <f t="shared" si="89"/>
        <v/>
      </c>
      <c r="N85" s="1" t="str">
        <f t="shared" si="89"/>
        <v>10k</v>
      </c>
      <c r="O85" s="289" t="str">
        <f t="shared" si="89"/>
        <v>0603</v>
      </c>
      <c r="P85" s="1" t="str">
        <f t="shared" si="89"/>
        <v>667-ERJ-3EKF1002V</v>
      </c>
      <c r="Q85" s="1" t="str">
        <f t="shared" si="89"/>
        <v/>
      </c>
    </row>
    <row r="86">
      <c r="D86" s="282"/>
      <c r="F86" s="1">
        <v>3.0</v>
      </c>
      <c r="G86" s="60">
        <f t="shared" si="2"/>
        <v>8</v>
      </c>
      <c r="H86" s="1" t="str">
        <f t="shared" si="3"/>
        <v>Clouds v3.0</v>
      </c>
      <c r="I86" t="str">
        <f t="shared" si="4"/>
        <v>S</v>
      </c>
      <c r="J86" s="1" t="str">
        <f t="shared" ref="J86:Q86" si="90">indirect(address($G86+4, column()-9, 4, , $H86))</f>
        <v>R57, R58</v>
      </c>
      <c r="K86" s="1">
        <f t="shared" si="90"/>
        <v>2</v>
      </c>
      <c r="L86" s="1" t="str">
        <f t="shared" si="90"/>
        <v>Resistor, 1%</v>
      </c>
      <c r="M86" s="1" t="str">
        <f t="shared" si="90"/>
        <v/>
      </c>
      <c r="N86" s="1" t="str">
        <f t="shared" si="90"/>
        <v>22k</v>
      </c>
      <c r="O86" s="289" t="str">
        <f t="shared" si="90"/>
        <v>0603</v>
      </c>
      <c r="P86" s="1" t="str">
        <f t="shared" si="90"/>
        <v>667-ERJ-3EKF2202V</v>
      </c>
      <c r="Q86" s="1" t="str">
        <f t="shared" si="90"/>
        <v/>
      </c>
    </row>
    <row r="87">
      <c r="D87" s="282"/>
      <c r="F87" s="1">
        <v>3.0</v>
      </c>
      <c r="G87" s="60">
        <f t="shared" si="2"/>
        <v>9</v>
      </c>
      <c r="H87" s="1" t="str">
        <f t="shared" si="3"/>
        <v>Clouds v3.0</v>
      </c>
      <c r="I87" t="str">
        <f t="shared" si="4"/>
        <v>S</v>
      </c>
      <c r="J87" s="1" t="str">
        <f t="shared" ref="J87:Q87" si="91">indirect(address($G87+4, column()-9, 4, , $H87))</f>
        <v>R25, R26, R35</v>
      </c>
      <c r="K87" s="1">
        <f t="shared" si="91"/>
        <v>3</v>
      </c>
      <c r="L87" s="1" t="str">
        <f t="shared" si="91"/>
        <v>Resistor, 1%</v>
      </c>
      <c r="M87" s="1" t="str">
        <f t="shared" si="91"/>
        <v/>
      </c>
      <c r="N87" s="1" t="str">
        <f t="shared" si="91"/>
        <v>33k</v>
      </c>
      <c r="O87" s="289" t="str">
        <f t="shared" si="91"/>
        <v>0603</v>
      </c>
      <c r="P87" s="1" t="str">
        <f t="shared" si="91"/>
        <v>667-ERJ-3EKF3302V</v>
      </c>
      <c r="Q87" s="1" t="str">
        <f t="shared" si="91"/>
        <v/>
      </c>
    </row>
    <row r="88">
      <c r="D88" s="282"/>
      <c r="F88" s="1">
        <v>3.0</v>
      </c>
      <c r="G88" s="60">
        <f t="shared" si="2"/>
        <v>10</v>
      </c>
      <c r="H88" s="1" t="str">
        <f t="shared" si="3"/>
        <v>Clouds v3.0</v>
      </c>
      <c r="I88" t="str">
        <f t="shared" si="4"/>
        <v>S</v>
      </c>
      <c r="J88" s="1" t="str">
        <f t="shared" ref="J88:Q88" si="92">indirect(address($G88+4, column()-9, 4, , $H88))</f>
        <v>R48, R49, R50, R59</v>
      </c>
      <c r="K88" s="1">
        <f t="shared" si="92"/>
        <v>4</v>
      </c>
      <c r="L88" s="1" t="str">
        <f t="shared" si="92"/>
        <v>Resistor, 1%</v>
      </c>
      <c r="M88" s="1" t="str">
        <f t="shared" si="92"/>
        <v/>
      </c>
      <c r="N88" s="1" t="str">
        <f t="shared" si="92"/>
        <v>39k</v>
      </c>
      <c r="O88" s="289" t="str">
        <f t="shared" si="92"/>
        <v>0603</v>
      </c>
      <c r="P88" s="1" t="str">
        <f t="shared" si="92"/>
        <v>667-ERJ-3EKF3902V</v>
      </c>
      <c r="Q88" s="1" t="str">
        <f t="shared" si="92"/>
        <v/>
      </c>
    </row>
    <row r="89">
      <c r="D89" s="282"/>
      <c r="F89" s="1">
        <v>3.0</v>
      </c>
      <c r="G89" s="60">
        <f t="shared" si="2"/>
        <v>11</v>
      </c>
      <c r="H89" s="1" t="str">
        <f t="shared" si="3"/>
        <v>Clouds v3.0</v>
      </c>
      <c r="I89" t="str">
        <f t="shared" si="4"/>
        <v>S</v>
      </c>
      <c r="J89" s="1" t="str">
        <f t="shared" ref="J89:Q89" si="93">indirect(address($G89+4, column()-9, 4, , $H89))</f>
        <v>R34</v>
      </c>
      <c r="K89" s="1">
        <f t="shared" si="93"/>
        <v>1</v>
      </c>
      <c r="L89" s="1" t="str">
        <f t="shared" si="93"/>
        <v>Resistor, 1%</v>
      </c>
      <c r="M89" s="1" t="str">
        <f t="shared" si="93"/>
        <v/>
      </c>
      <c r="N89" s="1" t="str">
        <f t="shared" si="93"/>
        <v>47k</v>
      </c>
      <c r="O89" s="289" t="str">
        <f t="shared" si="93"/>
        <v>0603</v>
      </c>
      <c r="P89" s="1" t="str">
        <f t="shared" si="93"/>
        <v>667-ERJ-3EKF4702V</v>
      </c>
      <c r="Q89" s="1" t="str">
        <f t="shared" si="93"/>
        <v/>
      </c>
    </row>
    <row r="90">
      <c r="D90" s="282"/>
      <c r="F90" s="1">
        <v>3.0</v>
      </c>
      <c r="G90" s="60">
        <f t="shared" si="2"/>
        <v>12</v>
      </c>
      <c r="H90" s="1" t="str">
        <f t="shared" si="3"/>
        <v>Clouds v3.0</v>
      </c>
      <c r="I90" t="str">
        <f t="shared" si="4"/>
        <v>S</v>
      </c>
      <c r="J90" s="1" t="str">
        <f t="shared" ref="J90:Q90" si="94">indirect(address($G90+4, column()-9, 4, , $H90))</f>
        <v>R27, R31</v>
      </c>
      <c r="K90" s="1">
        <f t="shared" si="94"/>
        <v>2</v>
      </c>
      <c r="L90" s="1" t="str">
        <f t="shared" si="94"/>
        <v>Resistor, 1%</v>
      </c>
      <c r="M90" s="1" t="str">
        <f t="shared" si="94"/>
        <v/>
      </c>
      <c r="N90" s="1" t="str">
        <f t="shared" si="94"/>
        <v>66.5k</v>
      </c>
      <c r="O90" s="289" t="str">
        <f t="shared" si="94"/>
        <v>0603</v>
      </c>
      <c r="P90" s="1" t="str">
        <f t="shared" si="94"/>
        <v>667-ERJ-3EKF6652V</v>
      </c>
      <c r="Q90" s="1" t="str">
        <f t="shared" si="94"/>
        <v/>
      </c>
    </row>
    <row r="91">
      <c r="D91" s="282"/>
      <c r="F91" s="1">
        <v>3.0</v>
      </c>
      <c r="G91" s="60">
        <f t="shared" si="2"/>
        <v>13</v>
      </c>
      <c r="H91" s="1" t="str">
        <f t="shared" si="3"/>
        <v>Clouds v3.0</v>
      </c>
      <c r="I91" t="str">
        <f t="shared" si="4"/>
        <v>S</v>
      </c>
      <c r="J91" s="1" t="str">
        <f t="shared" ref="J91:Q91" si="95">indirect(address($G91+4, column()-9, 4, , $H91))</f>
        <v>R12, R15, R21, R24, R29, R32, R38, R39</v>
      </c>
      <c r="K91" s="1">
        <f t="shared" si="95"/>
        <v>8</v>
      </c>
      <c r="L91" s="1" t="str">
        <f t="shared" si="95"/>
        <v>Resistor, 1%</v>
      </c>
      <c r="M91" s="1" t="str">
        <f t="shared" si="95"/>
        <v/>
      </c>
      <c r="N91" s="1" t="str">
        <f t="shared" si="95"/>
        <v>100k</v>
      </c>
      <c r="O91" s="289" t="str">
        <f t="shared" si="95"/>
        <v>0603</v>
      </c>
      <c r="P91" s="1" t="str">
        <f t="shared" si="95"/>
        <v>667-ERJ-3EKF1003V</v>
      </c>
      <c r="Q91" s="1" t="str">
        <f t="shared" si="95"/>
        <v/>
      </c>
    </row>
    <row r="92">
      <c r="D92" s="282"/>
      <c r="F92" s="1">
        <v>3.0</v>
      </c>
      <c r="G92" s="60">
        <f t="shared" si="2"/>
        <v>14</v>
      </c>
      <c r="H92" s="1" t="str">
        <f t="shared" si="3"/>
        <v>Clouds v3.0</v>
      </c>
      <c r="I92" t="str">
        <f t="shared" si="4"/>
        <v>S</v>
      </c>
      <c r="J92" s="1" t="str">
        <f t="shared" ref="J92:Q92" si="96">indirect(address($G92+4, column()-9, 4, , $H92))</f>
        <v>R36</v>
      </c>
      <c r="K92" s="1">
        <f t="shared" si="96"/>
        <v>1</v>
      </c>
      <c r="L92" s="1" t="str">
        <f t="shared" si="96"/>
        <v>Resistor, 1%</v>
      </c>
      <c r="M92" s="1" t="str">
        <f t="shared" si="96"/>
        <v/>
      </c>
      <c r="N92" s="1" t="str">
        <f t="shared" si="96"/>
        <v>180k</v>
      </c>
      <c r="O92" s="289" t="str">
        <f t="shared" si="96"/>
        <v>0603</v>
      </c>
      <c r="P92" s="1" t="str">
        <f t="shared" si="96"/>
        <v>667-ERJ-3EKF1803V</v>
      </c>
      <c r="Q92" s="1" t="str">
        <f t="shared" si="96"/>
        <v/>
      </c>
    </row>
    <row r="93">
      <c r="D93" s="282"/>
      <c r="F93" s="1">
        <v>3.0</v>
      </c>
      <c r="G93" s="60">
        <f t="shared" si="2"/>
        <v>15</v>
      </c>
      <c r="H93" s="1" t="str">
        <f t="shared" si="3"/>
        <v>Clouds v3.0</v>
      </c>
      <c r="I93" t="str">
        <f t="shared" si="4"/>
        <v>S</v>
      </c>
      <c r="J93" s="1" t="str">
        <f t="shared" ref="J93:Q93" si="97">indirect(address($G93+4, column()-9, 4, , $H93))</f>
        <v>R22, R23, R28, R33, R37</v>
      </c>
      <c r="K93" s="1">
        <f t="shared" si="97"/>
        <v>5</v>
      </c>
      <c r="L93" s="1" t="str">
        <f t="shared" si="97"/>
        <v>Resistor, 1%</v>
      </c>
      <c r="M93" s="1" t="str">
        <f t="shared" si="97"/>
        <v/>
      </c>
      <c r="N93" s="1" t="str">
        <f t="shared" si="97"/>
        <v>200k</v>
      </c>
      <c r="O93" s="289" t="str">
        <f t="shared" si="97"/>
        <v>0603</v>
      </c>
      <c r="P93" s="1" t="str">
        <f t="shared" si="97"/>
        <v>667-ERJ-3EKF2003V</v>
      </c>
      <c r="Q93" s="1" t="str">
        <f t="shared" si="97"/>
        <v/>
      </c>
    </row>
    <row r="94">
      <c r="D94" s="282"/>
      <c r="F94" s="1">
        <v>3.0</v>
      </c>
      <c r="G94" s="60">
        <f t="shared" si="2"/>
        <v>16</v>
      </c>
      <c r="H94" s="1" t="str">
        <f t="shared" si="3"/>
        <v>Clouds v3.0</v>
      </c>
      <c r="I94" t="str">
        <f t="shared" si="4"/>
        <v>S</v>
      </c>
      <c r="J94" s="1" t="str">
        <f t="shared" ref="J94:Q94" si="98">indirect(address($G94+4, column()-9, 4, , $H94))</f>
        <v>C6, C7, C40, C42, C47, C48</v>
      </c>
      <c r="K94" s="1">
        <f t="shared" si="98"/>
        <v>6</v>
      </c>
      <c r="L94" s="1" t="str">
        <f t="shared" si="98"/>
        <v>Capacitor, ceramic</v>
      </c>
      <c r="M94" s="1" t="str">
        <f t="shared" si="98"/>
        <v/>
      </c>
      <c r="N94" s="1" t="str">
        <f t="shared" si="98"/>
        <v>18p</v>
      </c>
      <c r="O94" s="289" t="str">
        <f t="shared" si="98"/>
        <v>0603</v>
      </c>
      <c r="P94" s="1" t="str">
        <f t="shared" si="98"/>
        <v>81-GRM185C1H180JA01J</v>
      </c>
      <c r="Q94" s="1" t="str">
        <f t="shared" si="98"/>
        <v>Murata GRM1885C1H180JA01J</v>
      </c>
    </row>
    <row r="95">
      <c r="D95" s="282"/>
      <c r="F95" s="1">
        <v>3.0</v>
      </c>
      <c r="G95" s="60">
        <f t="shared" si="2"/>
        <v>17</v>
      </c>
      <c r="H95" s="1" t="str">
        <f t="shared" si="3"/>
        <v>Clouds v3.0</v>
      </c>
      <c r="I95" t="str">
        <f t="shared" si="4"/>
        <v>S</v>
      </c>
      <c r="J95" s="1" t="str">
        <f t="shared" ref="J95:Q95" si="99">indirect(address($G95+4, column()-9, 4, , $H95))</f>
        <v>C43, C44</v>
      </c>
      <c r="K95" s="1">
        <f t="shared" si="99"/>
        <v>2</v>
      </c>
      <c r="L95" s="1" t="str">
        <f t="shared" si="99"/>
        <v>Capacitor, ceramic</v>
      </c>
      <c r="M95" s="1" t="str">
        <f t="shared" si="99"/>
        <v>&gt;= 16V, &lt;= 2%</v>
      </c>
      <c r="N95" s="1" t="str">
        <f t="shared" si="99"/>
        <v>220p</v>
      </c>
      <c r="O95" s="289" t="str">
        <f t="shared" si="99"/>
        <v>0603</v>
      </c>
      <c r="P95" s="1" t="str">
        <f t="shared" si="99"/>
        <v>81-GRM185C1H221GA01D</v>
      </c>
      <c r="Q95" s="1" t="str">
        <f t="shared" si="99"/>
        <v>Murata GRM1885C1H221GA01D</v>
      </c>
    </row>
    <row r="96">
      <c r="D96" s="282"/>
      <c r="F96" s="1">
        <v>3.0</v>
      </c>
      <c r="G96" s="60">
        <f t="shared" si="2"/>
        <v>18</v>
      </c>
      <c r="H96" s="1" t="str">
        <f t="shared" si="3"/>
        <v>Clouds v3.0</v>
      </c>
      <c r="I96" t="str">
        <f t="shared" si="4"/>
        <v>S</v>
      </c>
      <c r="J96" s="1" t="str">
        <f t="shared" ref="J96:Q96" si="100">indirect(address($G96+4, column()-9, 4, , $H96))</f>
        <v>C9, C10, C11, C20, C21, C22</v>
      </c>
      <c r="K96" s="1">
        <f t="shared" si="100"/>
        <v>6</v>
      </c>
      <c r="L96" s="1" t="str">
        <f t="shared" si="100"/>
        <v>Capacitor, ceramic</v>
      </c>
      <c r="M96" s="1" t="str">
        <f t="shared" si="100"/>
        <v>&gt;= 50V, &lt;= 2%</v>
      </c>
      <c r="N96" s="1" t="str">
        <f t="shared" si="100"/>
        <v>1n</v>
      </c>
      <c r="O96" s="289" t="str">
        <f t="shared" si="100"/>
        <v>0603</v>
      </c>
      <c r="P96" s="1" t="str">
        <f t="shared" si="100"/>
        <v>81-GRM1885C1H102FA1J</v>
      </c>
      <c r="Q96" s="1" t="str">
        <f t="shared" si="100"/>
        <v>Murata GRM1885C1H102FA1J</v>
      </c>
    </row>
    <row r="97">
      <c r="D97" s="282"/>
      <c r="F97" s="1">
        <v>3.0</v>
      </c>
      <c r="G97" s="60">
        <f t="shared" si="2"/>
        <v>19</v>
      </c>
      <c r="H97" s="1" t="str">
        <f t="shared" si="3"/>
        <v>Clouds v3.0</v>
      </c>
      <c r="I97" t="str">
        <f t="shared" si="4"/>
        <v>S</v>
      </c>
      <c r="J97" s="1" t="str">
        <f t="shared" ref="J97:Q97" si="101">indirect(address($G97+4, column()-9, 4, , $H97))</f>
        <v>C3, C5, C8, C14, C15, C16, C17, C18, C23, C25, C26, C29, C30, C32, C34, C38, C39, C45, C46</v>
      </c>
      <c r="K97" s="1">
        <f t="shared" si="101"/>
        <v>19</v>
      </c>
      <c r="L97" s="1" t="str">
        <f t="shared" si="101"/>
        <v>Capacitor, ceramic</v>
      </c>
      <c r="M97" s="1" t="str">
        <f t="shared" si="101"/>
        <v>&gt;= 16V</v>
      </c>
      <c r="N97" s="1" t="str">
        <f t="shared" si="101"/>
        <v>100n</v>
      </c>
      <c r="O97" s="289" t="str">
        <f t="shared" si="101"/>
        <v>0603</v>
      </c>
      <c r="P97" s="1" t="str">
        <f t="shared" si="101"/>
        <v>81-GRM188R71E104JA1J</v>
      </c>
      <c r="Q97" s="1" t="str">
        <f t="shared" si="101"/>
        <v>Murata GRM188R71E104JA01J</v>
      </c>
    </row>
    <row r="98">
      <c r="D98" s="282"/>
      <c r="F98" s="1">
        <v>3.0</v>
      </c>
      <c r="G98" s="60">
        <f t="shared" si="2"/>
        <v>20</v>
      </c>
      <c r="H98" s="1" t="str">
        <f t="shared" si="3"/>
        <v>Clouds v3.0</v>
      </c>
      <c r="I98" t="str">
        <f t="shared" si="4"/>
        <v>S</v>
      </c>
      <c r="J98" s="1" t="str">
        <f t="shared" ref="J98:Q98" si="102">indirect(address($G98+4, column()-9, 4, , $H98))</f>
        <v>C12, C50</v>
      </c>
      <c r="K98" s="1">
        <f t="shared" si="102"/>
        <v>2</v>
      </c>
      <c r="L98" s="1" t="str">
        <f t="shared" si="102"/>
        <v>Capacitor, ceramic</v>
      </c>
      <c r="M98" s="1" t="str">
        <f t="shared" si="102"/>
        <v>&gt;= 10V</v>
      </c>
      <c r="N98" s="1" t="str">
        <f t="shared" si="102"/>
        <v>1u</v>
      </c>
      <c r="O98" s="289" t="str">
        <f t="shared" si="102"/>
        <v>0603</v>
      </c>
      <c r="P98" s="1" t="str">
        <f t="shared" si="102"/>
        <v>81-GRM18R61A105KA61J</v>
      </c>
      <c r="Q98" s="1" t="str">
        <f t="shared" si="102"/>
        <v>Murata GRM18R61A105KA61J</v>
      </c>
    </row>
    <row r="99">
      <c r="D99" s="282"/>
      <c r="F99" s="1">
        <v>3.0</v>
      </c>
      <c r="G99" s="60">
        <f t="shared" si="2"/>
        <v>21</v>
      </c>
      <c r="H99" s="1" t="str">
        <f t="shared" si="3"/>
        <v>Clouds v3.0</v>
      </c>
      <c r="I99" t="str">
        <f t="shared" si="4"/>
        <v>S</v>
      </c>
      <c r="J99" s="1" t="str">
        <f t="shared" ref="J99:Q99" si="103">indirect(address($G99+4, column()-9, 4, , $H99))</f>
        <v>C19, C24</v>
      </c>
      <c r="K99" s="1">
        <f t="shared" si="103"/>
        <v>2</v>
      </c>
      <c r="L99" s="1" t="str">
        <f t="shared" si="103"/>
        <v>Capacitor, ceramic</v>
      </c>
      <c r="M99" s="1" t="str">
        <f t="shared" si="103"/>
        <v>&gt;= 10V</v>
      </c>
      <c r="N99" s="1" t="str">
        <f t="shared" si="103"/>
        <v>2.2u</v>
      </c>
      <c r="O99" s="289" t="str">
        <f t="shared" si="103"/>
        <v>0805</v>
      </c>
      <c r="P99" s="1" t="str">
        <f t="shared" si="103"/>
        <v>810-C2012X5R1A225K-2</v>
      </c>
      <c r="Q99" s="1" t="str">
        <f t="shared" si="103"/>
        <v>TDK C2012X5R1A225K085AA</v>
      </c>
    </row>
    <row r="100">
      <c r="D100" s="282"/>
      <c r="F100" s="1">
        <v>3.0</v>
      </c>
      <c r="G100" s="60">
        <f t="shared" si="2"/>
        <v>22</v>
      </c>
      <c r="H100" s="1" t="str">
        <f t="shared" si="3"/>
        <v>Clouds v3.0</v>
      </c>
      <c r="I100" t="str">
        <f t="shared" si="4"/>
        <v>S</v>
      </c>
      <c r="J100" s="1" t="str">
        <f t="shared" ref="J100:Q100" si="104">indirect(address($G100+4, column()-9, 4, , $H100))</f>
        <v>C31, C33, C35, C36, C37, C41</v>
      </c>
      <c r="K100" s="1">
        <f t="shared" si="104"/>
        <v>6</v>
      </c>
      <c r="L100" s="1" t="str">
        <f t="shared" si="104"/>
        <v>Capacitor, electrolytic</v>
      </c>
      <c r="M100" s="1" t="str">
        <f t="shared" si="104"/>
        <v>&gt;= 16V</v>
      </c>
      <c r="N100" s="1" t="str">
        <f t="shared" si="104"/>
        <v>10u</v>
      </c>
      <c r="O100" s="289" t="str">
        <f t="shared" si="104"/>
        <v>Panasonic B</v>
      </c>
      <c r="P100" s="1" t="str">
        <f t="shared" si="104"/>
        <v>598-AVE106M16B12T-F</v>
      </c>
      <c r="Q100" s="1" t="str">
        <f t="shared" si="104"/>
        <v>Cornell Dubilier AVE106M16B12T-F</v>
      </c>
    </row>
    <row r="101">
      <c r="D101" s="282"/>
      <c r="F101" s="1">
        <v>3.0</v>
      </c>
      <c r="G101" s="60">
        <f t="shared" si="2"/>
        <v>23</v>
      </c>
      <c r="H101" s="1" t="str">
        <f t="shared" si="3"/>
        <v>Clouds v3.0</v>
      </c>
      <c r="I101" t="str">
        <f t="shared" si="4"/>
        <v>S</v>
      </c>
      <c r="J101" s="1" t="str">
        <f t="shared" ref="J101:Q101" si="105">indirect(address($G101+4, column()-9, 4, , $H101))</f>
        <v>C28, C49</v>
      </c>
      <c r="K101" s="1">
        <f t="shared" si="105"/>
        <v>2</v>
      </c>
      <c r="L101" s="1" t="str">
        <f t="shared" si="105"/>
        <v>Capacitor, electrolytic</v>
      </c>
      <c r="M101" s="1" t="str">
        <f t="shared" si="105"/>
        <v>&gt;= 16V</v>
      </c>
      <c r="N101" s="1" t="str">
        <f t="shared" si="105"/>
        <v>10u</v>
      </c>
      <c r="O101" s="289" t="str">
        <f t="shared" si="105"/>
        <v>Panasonic A</v>
      </c>
      <c r="P101" s="1" t="str">
        <f t="shared" si="105"/>
        <v>647-UWX1C100MCL2</v>
      </c>
      <c r="Q101" s="1" t="str">
        <f t="shared" si="105"/>
        <v>Nichicon UWX1C100MCL2GB</v>
      </c>
    </row>
    <row r="102">
      <c r="D102" s="282"/>
      <c r="F102" s="1">
        <v>3.0</v>
      </c>
      <c r="G102" s="60">
        <f t="shared" si="2"/>
        <v>24</v>
      </c>
      <c r="H102" s="1" t="str">
        <f t="shared" si="3"/>
        <v>Clouds v3.0</v>
      </c>
      <c r="I102" t="str">
        <f t="shared" si="4"/>
        <v>S</v>
      </c>
      <c r="J102" s="1" t="str">
        <f t="shared" ref="J102:Q102" si="106">indirect(address($G102+4, column()-9, 4, , $H102))</f>
        <v>C1, C2, C4, C13, C27</v>
      </c>
      <c r="K102" s="1">
        <f t="shared" si="106"/>
        <v>5</v>
      </c>
      <c r="L102" s="1" t="str">
        <f t="shared" si="106"/>
        <v>Capacitor, electrolytic</v>
      </c>
      <c r="M102" s="1" t="str">
        <f t="shared" si="106"/>
        <v>&gt;= 25V</v>
      </c>
      <c r="N102" s="1" t="str">
        <f t="shared" si="106"/>
        <v>47u</v>
      </c>
      <c r="O102" s="289" t="str">
        <f t="shared" si="106"/>
        <v>Panasonic D</v>
      </c>
      <c r="P102" s="1" t="str">
        <f t="shared" si="106"/>
        <v>667-EEE-FK1V470P</v>
      </c>
      <c r="Q102" s="1" t="str">
        <f t="shared" si="106"/>
        <v>EEEFK1V470P</v>
      </c>
    </row>
    <row r="103">
      <c r="D103" s="282"/>
      <c r="F103" s="1">
        <v>3.0</v>
      </c>
      <c r="G103" s="60">
        <f t="shared" si="2"/>
        <v>25</v>
      </c>
      <c r="H103" s="1" t="str">
        <f t="shared" si="3"/>
        <v>Clouds v3.0</v>
      </c>
      <c r="I103" t="str">
        <f t="shared" si="4"/>
        <v>S</v>
      </c>
      <c r="J103" s="1" t="str">
        <f t="shared" ref="J103:Q103" si="107">indirect(address($G103+4, column()-9, 4, , $H103))</f>
        <v>D1, D2</v>
      </c>
      <c r="K103" s="1">
        <f t="shared" si="107"/>
        <v>2</v>
      </c>
      <c r="L103" s="1" t="str">
        <f t="shared" si="107"/>
        <v>1N5819HW diode</v>
      </c>
      <c r="M103" s="1" t="str">
        <f t="shared" si="107"/>
        <v/>
      </c>
      <c r="N103" s="1" t="str">
        <f t="shared" si="107"/>
        <v/>
      </c>
      <c r="O103" s="289" t="str">
        <f t="shared" si="107"/>
        <v>SOD123</v>
      </c>
      <c r="P103" s="1" t="str">
        <f t="shared" si="107"/>
        <v>621-1N5819HW-F</v>
      </c>
      <c r="Q103" s="1" t="str">
        <f t="shared" si="107"/>
        <v>Diodes Inc 1N5819HW-7-F</v>
      </c>
    </row>
    <row r="104">
      <c r="D104" s="282"/>
      <c r="F104" s="1">
        <v>3.0</v>
      </c>
      <c r="G104" s="60">
        <f t="shared" si="2"/>
        <v>26</v>
      </c>
      <c r="H104" s="1" t="str">
        <f t="shared" si="3"/>
        <v>Clouds v3.0</v>
      </c>
      <c r="I104" t="str">
        <f t="shared" si="4"/>
        <v>S</v>
      </c>
      <c r="J104" s="1" t="str">
        <f t="shared" ref="J104:Q104" si="108">indirect(address($G104+4, column()-9, 4, , $H104))</f>
        <v>IC1</v>
      </c>
      <c r="K104" s="1">
        <f t="shared" si="108"/>
        <v>1</v>
      </c>
      <c r="L104" s="1" t="str">
        <f t="shared" si="108"/>
        <v>74hc595 SIPO shift register</v>
      </c>
      <c r="M104" s="1" t="str">
        <f t="shared" si="108"/>
        <v/>
      </c>
      <c r="N104" s="1" t="str">
        <f t="shared" si="108"/>
        <v/>
      </c>
      <c r="O104" s="289" t="str">
        <f t="shared" si="108"/>
        <v>SOIC16</v>
      </c>
      <c r="P104" s="1" t="str">
        <f t="shared" si="108"/>
        <v>595-CD74HC595M</v>
      </c>
      <c r="Q104" s="1" t="str">
        <f t="shared" si="108"/>
        <v>Texas Instruments CD74HC595M, NXP 74HC595D,112</v>
      </c>
    </row>
    <row r="105">
      <c r="D105" s="282"/>
      <c r="F105" s="1">
        <v>3.0</v>
      </c>
      <c r="G105" s="60">
        <f t="shared" si="2"/>
        <v>27</v>
      </c>
      <c r="H105" s="1" t="str">
        <f t="shared" si="3"/>
        <v>Clouds v3.0</v>
      </c>
      <c r="I105" t="str">
        <f t="shared" si="4"/>
        <v>S</v>
      </c>
      <c r="J105" s="1" t="str">
        <f t="shared" ref="J105:Q105" si="109">indirect(address($G105+4, column()-9, 4, , $H105))</f>
        <v>IC2</v>
      </c>
      <c r="K105" s="1">
        <f t="shared" si="109"/>
        <v>1</v>
      </c>
      <c r="L105" s="1" t="str">
        <f t="shared" si="109"/>
        <v>LM1117-3.3V LDO Vreg</v>
      </c>
      <c r="M105" s="1" t="str">
        <f t="shared" si="109"/>
        <v/>
      </c>
      <c r="N105" s="1" t="str">
        <f t="shared" si="109"/>
        <v>3.3V</v>
      </c>
      <c r="O105" s="289" t="str">
        <f t="shared" si="109"/>
        <v>TO252</v>
      </c>
      <c r="P105" s="1" t="str">
        <f t="shared" si="109"/>
        <v>926-LM1117DT-3.3NOPB</v>
      </c>
      <c r="Q105" s="1" t="str">
        <f t="shared" si="109"/>
        <v>National LM1117DT-3.3/NOPB</v>
      </c>
    </row>
    <row r="106">
      <c r="D106" s="282"/>
      <c r="F106" s="1">
        <v>3.0</v>
      </c>
      <c r="G106" s="60">
        <f t="shared" si="2"/>
        <v>28</v>
      </c>
      <c r="H106" s="1" t="str">
        <f t="shared" si="3"/>
        <v>Clouds v3.0</v>
      </c>
      <c r="I106" t="str">
        <f t="shared" si="4"/>
        <v>S</v>
      </c>
      <c r="J106" s="1" t="str">
        <f t="shared" ref="J106:Q106" si="110">indirect(address($G106+4, column()-9, 4, , $H106))</f>
        <v>IC3</v>
      </c>
      <c r="K106" s="1">
        <f t="shared" si="110"/>
        <v>1</v>
      </c>
      <c r="L106" s="1" t="str">
        <f t="shared" si="110"/>
        <v>MCP6002 dual op-amp R2R IO</v>
      </c>
      <c r="M106" s="1" t="str">
        <f t="shared" si="110"/>
        <v/>
      </c>
      <c r="N106" s="1" t="str">
        <f t="shared" si="110"/>
        <v/>
      </c>
      <c r="O106" s="289" t="str">
        <f t="shared" si="110"/>
        <v>SOIC8</v>
      </c>
      <c r="P106" s="1" t="str">
        <f t="shared" si="110"/>
        <v>579-MCP6002-I/SN</v>
      </c>
      <c r="Q106" s="1" t="str">
        <f t="shared" si="110"/>
        <v>MCP6002-I/SN</v>
      </c>
    </row>
    <row r="107">
      <c r="D107" s="282"/>
      <c r="F107" s="1">
        <v>3.0</v>
      </c>
      <c r="G107" s="60">
        <f t="shared" si="2"/>
        <v>29</v>
      </c>
      <c r="H107" s="1" t="str">
        <f t="shared" si="3"/>
        <v>Clouds v3.0</v>
      </c>
      <c r="I107" t="str">
        <f t="shared" si="4"/>
        <v>S</v>
      </c>
      <c r="J107" s="1" t="str">
        <f t="shared" ref="J107:Q107" si="111">indirect(address($G107+4, column()-9, 4, , $H107))</f>
        <v>IC4</v>
      </c>
      <c r="K107" s="1">
        <f t="shared" si="111"/>
        <v>1</v>
      </c>
      <c r="L107" s="1" t="str">
        <f t="shared" si="111"/>
        <v>MCP6004 quad op-amp R2R IO</v>
      </c>
      <c r="M107" s="1" t="str">
        <f t="shared" si="111"/>
        <v/>
      </c>
      <c r="N107" s="1" t="str">
        <f t="shared" si="111"/>
        <v/>
      </c>
      <c r="O107" s="289" t="str">
        <f t="shared" si="111"/>
        <v>SOIC14</v>
      </c>
      <c r="P107" s="1" t="str">
        <f t="shared" si="111"/>
        <v>579-MCP6004-I/SL</v>
      </c>
      <c r="Q107" s="1" t="str">
        <f t="shared" si="111"/>
        <v>MCP6004-I/SL</v>
      </c>
    </row>
    <row r="108">
      <c r="D108" s="282"/>
      <c r="F108" s="1">
        <v>3.0</v>
      </c>
      <c r="G108" s="60">
        <f t="shared" si="2"/>
        <v>30</v>
      </c>
      <c r="H108" s="1" t="str">
        <f t="shared" si="3"/>
        <v>Clouds v3.0</v>
      </c>
      <c r="I108" t="str">
        <f t="shared" si="4"/>
        <v>S</v>
      </c>
      <c r="J108" s="1" t="str">
        <f t="shared" ref="J108:Q108" si="112">indirect(address($G108+4, column()-9, 4, , $H108))</f>
        <v>IC5</v>
      </c>
      <c r="K108" s="1">
        <f t="shared" si="112"/>
        <v>1</v>
      </c>
      <c r="L108" s="1" t="str">
        <f t="shared" si="112"/>
        <v>STM32F405RGT6</v>
      </c>
      <c r="M108" s="1" t="str">
        <f t="shared" si="112"/>
        <v/>
      </c>
      <c r="N108" s="1" t="str">
        <f t="shared" si="112"/>
        <v/>
      </c>
      <c r="O108" s="289" t="str">
        <f t="shared" si="112"/>
        <v>TQFP64</v>
      </c>
      <c r="P108" s="1" t="str">
        <f t="shared" si="112"/>
        <v>511-STM32F405RGT6</v>
      </c>
      <c r="Q108" s="1" t="str">
        <f t="shared" si="112"/>
        <v>ST STM32F405RGT6</v>
      </c>
    </row>
    <row r="109">
      <c r="D109" s="282"/>
      <c r="F109" s="1">
        <v>3.0</v>
      </c>
      <c r="G109" s="60">
        <f t="shared" si="2"/>
        <v>31</v>
      </c>
      <c r="H109" s="1" t="str">
        <f t="shared" si="3"/>
        <v>Clouds v3.0</v>
      </c>
      <c r="I109" t="str">
        <f t="shared" si="4"/>
        <v>S</v>
      </c>
      <c r="J109" s="1" t="str">
        <f t="shared" ref="J109:Q109" si="113">indirect(address($G109+4, column()-9, 4, , $H109))</f>
        <v>IC6</v>
      </c>
      <c r="K109" s="1">
        <f t="shared" si="113"/>
        <v>1</v>
      </c>
      <c r="L109" s="1" t="str">
        <f t="shared" si="113"/>
        <v>LM4040 Shunt Vref</v>
      </c>
      <c r="M109" s="1" t="str">
        <f t="shared" si="113"/>
        <v>A, B or C grade</v>
      </c>
      <c r="N109" s="1" t="str">
        <f t="shared" si="113"/>
        <v>10V</v>
      </c>
      <c r="O109" s="289" t="str">
        <f t="shared" si="113"/>
        <v>SOT23</v>
      </c>
      <c r="P109" s="1" t="str">
        <f t="shared" si="113"/>
        <v>595-LM4040C10IDBZR</v>
      </c>
      <c r="Q109" s="1" t="str">
        <f t="shared" si="113"/>
        <v>Texas Instruments LM4040C10IDBZ</v>
      </c>
    </row>
    <row r="110">
      <c r="D110" s="282"/>
      <c r="F110" s="1">
        <v>3.0</v>
      </c>
      <c r="G110" s="60">
        <f t="shared" si="2"/>
        <v>32</v>
      </c>
      <c r="H110" s="1" t="str">
        <f t="shared" si="3"/>
        <v>Clouds v3.0</v>
      </c>
      <c r="I110" t="str">
        <f t="shared" si="4"/>
        <v>S</v>
      </c>
      <c r="J110" s="1" t="str">
        <f t="shared" ref="J110:Q110" si="114">indirect(address($G110+4, column()-9, 4, , $H110))</f>
        <v>IC7</v>
      </c>
      <c r="K110" s="1">
        <f t="shared" si="114"/>
        <v>1</v>
      </c>
      <c r="L110" s="1" t="str">
        <f t="shared" si="114"/>
        <v>LM1117-3.3V LDO Vreg</v>
      </c>
      <c r="M110" s="1" t="str">
        <f t="shared" si="114"/>
        <v/>
      </c>
      <c r="N110" s="1" t="str">
        <f t="shared" si="114"/>
        <v>3.3V</v>
      </c>
      <c r="O110" s="289" t="str">
        <f t="shared" si="114"/>
        <v>SOT223</v>
      </c>
      <c r="P110" s="1" t="str">
        <f t="shared" si="114"/>
        <v>926-LM1117MPX3.3NOPB</v>
      </c>
      <c r="Q110" s="1" t="str">
        <f t="shared" si="114"/>
        <v>National LM1117MPX3.3/NOPB</v>
      </c>
    </row>
    <row r="111">
      <c r="D111" s="282"/>
      <c r="F111" s="1">
        <v>3.0</v>
      </c>
      <c r="G111" s="60">
        <f t="shared" si="2"/>
        <v>33</v>
      </c>
      <c r="H111" s="1" t="str">
        <f t="shared" si="3"/>
        <v>Clouds v3.0</v>
      </c>
      <c r="I111" t="str">
        <f t="shared" si="4"/>
        <v>S</v>
      </c>
      <c r="J111" s="1" t="str">
        <f t="shared" ref="J111:Q111" si="115">indirect(address($G111+4, column()-9, 4, , $H111))</f>
        <v>IC8</v>
      </c>
      <c r="K111" s="1">
        <f t="shared" si="115"/>
        <v>1</v>
      </c>
      <c r="L111" s="1" t="str">
        <f t="shared" si="115"/>
        <v>WM8731 audio codec</v>
      </c>
      <c r="M111" s="1" t="str">
        <f t="shared" si="115"/>
        <v/>
      </c>
      <c r="N111" s="1" t="str">
        <f t="shared" si="115"/>
        <v/>
      </c>
      <c r="O111" s="289" t="str">
        <f t="shared" si="115"/>
        <v>SSOP28</v>
      </c>
      <c r="P111" s="1" t="str">
        <f t="shared" si="115"/>
        <v>238-WM8731SEDS/V</v>
      </c>
      <c r="Q111" s="1" t="str">
        <f t="shared" si="115"/>
        <v>Wolfson micro WM8731SEDS/V</v>
      </c>
    </row>
    <row r="112">
      <c r="D112" s="282"/>
      <c r="F112" s="1">
        <v>3.0</v>
      </c>
      <c r="G112" s="60">
        <f t="shared" si="2"/>
        <v>34</v>
      </c>
      <c r="H112" s="1" t="str">
        <f t="shared" si="3"/>
        <v>Clouds v3.0</v>
      </c>
      <c r="I112" t="str">
        <f t="shared" si="4"/>
        <v>S</v>
      </c>
      <c r="J112" s="1" t="str">
        <f t="shared" ref="J112:Q112" si="116">indirect(address($G112+4, column()-9, 4, , $H112))</f>
        <v>IC9, IC10</v>
      </c>
      <c r="K112" s="1">
        <f t="shared" si="116"/>
        <v>2</v>
      </c>
      <c r="L112" s="1" t="str">
        <f t="shared" si="116"/>
        <v>TL072 dual op-amp</v>
      </c>
      <c r="M112" s="1" t="str">
        <f t="shared" si="116"/>
        <v/>
      </c>
      <c r="N112" s="1" t="str">
        <f t="shared" si="116"/>
        <v/>
      </c>
      <c r="O112" s="1" t="str">
        <f t="shared" si="116"/>
        <v>SOIC8</v>
      </c>
      <c r="P112" s="1" t="str">
        <f t="shared" si="116"/>
        <v>595-TL072CD</v>
      </c>
      <c r="Q112" s="1" t="str">
        <f t="shared" si="116"/>
        <v>Texas Instruments or ST parts OK</v>
      </c>
    </row>
    <row r="113">
      <c r="D113" s="282"/>
      <c r="F113" s="1">
        <v>3.0</v>
      </c>
      <c r="G113" s="60">
        <f t="shared" si="2"/>
        <v>35</v>
      </c>
      <c r="H113" s="1" t="str">
        <f t="shared" si="3"/>
        <v>Clouds v3.0</v>
      </c>
      <c r="I113" t="str">
        <f t="shared" si="4"/>
        <v>S</v>
      </c>
      <c r="J113" s="1" t="str">
        <f t="shared" ref="J113:Q113" si="117">indirect(address($G113+4, column()-9, 4, , $H113))</f>
        <v>Q1, Q2</v>
      </c>
      <c r="K113" s="1">
        <f t="shared" si="117"/>
        <v>2</v>
      </c>
      <c r="L113" s="1" t="str">
        <f t="shared" si="117"/>
        <v>NPN transistor MMBT3904</v>
      </c>
      <c r="M113" s="1" t="str">
        <f t="shared" si="117"/>
        <v/>
      </c>
      <c r="N113" s="1" t="str">
        <f t="shared" si="117"/>
        <v/>
      </c>
      <c r="O113" s="289" t="str">
        <f t="shared" si="117"/>
        <v>SOT23</v>
      </c>
      <c r="P113" s="1" t="str">
        <f t="shared" si="117"/>
        <v>863-MMBT3904LT1G</v>
      </c>
      <c r="Q113" s="1" t="str">
        <f t="shared" si="117"/>
        <v>On Semi MMBT3904LT1G</v>
      </c>
    </row>
    <row r="114">
      <c r="D114" s="282"/>
      <c r="F114" s="1">
        <v>3.0</v>
      </c>
      <c r="G114" s="60">
        <f t="shared" si="2"/>
        <v>36</v>
      </c>
      <c r="H114" s="1" t="str">
        <f t="shared" si="3"/>
        <v>Clouds v3.0</v>
      </c>
      <c r="I114" t="str">
        <f t="shared" si="4"/>
        <v>S</v>
      </c>
      <c r="J114" s="1" t="str">
        <f t="shared" ref="J114:Q114" si="118">indirect(address($G114+4, column()-9, 4, , $H114))</f>
        <v>Q3</v>
      </c>
      <c r="K114" s="1">
        <f t="shared" si="118"/>
        <v>1</v>
      </c>
      <c r="L114" s="1" t="str">
        <f t="shared" si="118"/>
        <v>8 MHz quartz</v>
      </c>
      <c r="M114" s="1" t="str">
        <f t="shared" si="118"/>
        <v/>
      </c>
      <c r="N114" s="1" t="str">
        <f t="shared" si="118"/>
        <v/>
      </c>
      <c r="O114" s="289" t="str">
        <f t="shared" si="118"/>
        <v>HC49</v>
      </c>
      <c r="P114" s="1" t="str">
        <f t="shared" si="118"/>
        <v>815-ABLS2-8-D4Y-T</v>
      </c>
      <c r="Q114" s="1" t="str">
        <f t="shared" si="118"/>
        <v>Abracon ABLS2-8.000MHZ-D4Y-T</v>
      </c>
    </row>
    <row r="115">
      <c r="D115" s="282"/>
      <c r="F115" s="1">
        <v>3.0</v>
      </c>
      <c r="G115" s="60">
        <f t="shared" si="2"/>
        <v>37</v>
      </c>
      <c r="H115" s="1" t="str">
        <f t="shared" si="3"/>
        <v>Clouds v3.0</v>
      </c>
      <c r="I115" t="str">
        <f t="shared" si="4"/>
        <v>S</v>
      </c>
      <c r="J115" s="1" t="str">
        <f t="shared" ref="J115:Q115" si="119">indirect(address($G115+4, column()-9, 4, , $H115))</f>
        <v>Q4</v>
      </c>
      <c r="K115" s="1">
        <f t="shared" si="119"/>
        <v>1</v>
      </c>
      <c r="L115" s="1" t="str">
        <f t="shared" si="119"/>
        <v>12.288 MHz quartz</v>
      </c>
      <c r="M115" s="1" t="str">
        <f t="shared" si="119"/>
        <v/>
      </c>
      <c r="N115" s="1" t="str">
        <f t="shared" si="119"/>
        <v/>
      </c>
      <c r="O115" s="289" t="str">
        <f t="shared" si="119"/>
        <v>HC49</v>
      </c>
      <c r="P115" s="1" t="str">
        <f t="shared" si="119"/>
        <v>815-ABLS2-12.2-D4Y-T</v>
      </c>
      <c r="Q115" s="1" t="str">
        <f t="shared" si="119"/>
        <v>Abracon ABLS2-12.288MHZ-D4Y-T</v>
      </c>
    </row>
    <row r="116">
      <c r="D116" s="282"/>
      <c r="F116" s="1">
        <v>3.0</v>
      </c>
      <c r="G116" s="60">
        <f t="shared" si="2"/>
        <v>38</v>
      </c>
      <c r="H116" s="1" t="str">
        <f t="shared" si="3"/>
        <v>Clouds v3.0</v>
      </c>
      <c r="I116" t="str">
        <f t="shared" si="4"/>
        <v>S</v>
      </c>
      <c r="J116" s="1" t="str">
        <f t="shared" ref="J116:Q116" si="120">indirect(address($G116+4, column()-9, 4, , $H116))</f>
        <v>SW4, SW5</v>
      </c>
      <c r="K116" s="1">
        <f t="shared" si="120"/>
        <v>2</v>
      </c>
      <c r="L116" s="1" t="str">
        <f t="shared" si="120"/>
        <v>Switch, 6mm, SMT</v>
      </c>
      <c r="M116" s="1" t="str">
        <f t="shared" si="120"/>
        <v/>
      </c>
      <c r="N116" s="1" t="str">
        <f t="shared" si="120"/>
        <v/>
      </c>
      <c r="O116" s="289" t="str">
        <f t="shared" si="120"/>
        <v>6mm x 6mm</v>
      </c>
      <c r="P116" s="1" t="str">
        <f t="shared" si="120"/>
        <v>667-EVQ-Q2K01W</v>
      </c>
      <c r="Q116" s="1" t="str">
        <f t="shared" si="120"/>
        <v>Panasonic EVQ-Q2@03W (@: B, F, K, P, U, Y)</v>
      </c>
    </row>
    <row r="117">
      <c r="D117" s="282"/>
      <c r="F117" s="1">
        <v>3.0</v>
      </c>
      <c r="G117" s="60">
        <f t="shared" si="2"/>
        <v>39</v>
      </c>
      <c r="H117" s="1" t="str">
        <f t="shared" si="3"/>
        <v>Clouds v3.0</v>
      </c>
      <c r="I117" t="str">
        <f t="shared" si="4"/>
        <v/>
      </c>
      <c r="J117" s="1" t="str">
        <f t="shared" ref="J117:Q117" si="121">indirect(address($G117+4, column()-9, 4, , $H117))</f>
        <v>PTH parts, top side</v>
      </c>
      <c r="K117" s="1" t="str">
        <f t="shared" si="121"/>
        <v/>
      </c>
      <c r="L117" s="1" t="str">
        <f t="shared" si="121"/>
        <v/>
      </c>
      <c r="M117" s="1" t="str">
        <f t="shared" si="121"/>
        <v/>
      </c>
      <c r="N117" s="1" t="str">
        <f t="shared" si="121"/>
        <v/>
      </c>
      <c r="O117" s="1" t="str">
        <f t="shared" si="121"/>
        <v/>
      </c>
      <c r="P117" s="1" t="str">
        <f t="shared" si="121"/>
        <v/>
      </c>
      <c r="Q117" s="1" t="str">
        <f t="shared" si="121"/>
        <v/>
      </c>
    </row>
    <row r="118">
      <c r="D118" s="282"/>
      <c r="F118" s="1">
        <v>3.0</v>
      </c>
      <c r="G118" s="60">
        <f t="shared" si="2"/>
        <v>40</v>
      </c>
      <c r="H118" s="1" t="str">
        <f t="shared" si="3"/>
        <v>Clouds v3.0</v>
      </c>
      <c r="I118" t="str">
        <f t="shared" si="4"/>
        <v>U</v>
      </c>
      <c r="J118" s="1" t="str">
        <f t="shared" ref="J118:Q118" si="122">indirect(address($G118+4, column()-9, 4, , $H118))</f>
        <v>J1, J2, J3, J4, J5, J6, J7, J8, J9, J10, J11, J12</v>
      </c>
      <c r="K118" s="1">
        <f t="shared" si="122"/>
        <v>12</v>
      </c>
      <c r="L118" s="1" t="str">
        <f t="shared" si="122"/>
        <v>Vertical jack connector</v>
      </c>
      <c r="M118" s="1" t="str">
        <f t="shared" si="122"/>
        <v/>
      </c>
      <c r="N118" s="1" t="str">
        <f t="shared" si="122"/>
        <v/>
      </c>
      <c r="O118" s="1" t="str">
        <f t="shared" si="122"/>
        <v/>
      </c>
      <c r="P118" s="1" t="str">
        <f t="shared" si="122"/>
        <v/>
      </c>
      <c r="Q118" s="1" t="str">
        <f t="shared" si="122"/>
        <v>PJ-301-M-12</v>
      </c>
    </row>
    <row r="119">
      <c r="D119" s="282"/>
      <c r="F119" s="1">
        <v>3.0</v>
      </c>
      <c r="G119" s="60">
        <f t="shared" si="2"/>
        <v>41</v>
      </c>
      <c r="H119" s="1" t="str">
        <f t="shared" si="3"/>
        <v>Clouds v3.0</v>
      </c>
      <c r="I119" t="str">
        <f t="shared" si="4"/>
        <v>U</v>
      </c>
      <c r="J119" s="1" t="str">
        <f t="shared" ref="J119:Q119" si="123">indirect(address($G119+4, column()-9, 4, , $H119))</f>
        <v>R18, R19, R20, R43, R44, R45</v>
      </c>
      <c r="K119" s="1">
        <f t="shared" si="123"/>
        <v>6</v>
      </c>
      <c r="L119" s="1" t="str">
        <f t="shared" si="123"/>
        <v>10k linear pot, 15mm shaft</v>
      </c>
      <c r="M119" s="1" t="str">
        <f t="shared" si="123"/>
        <v/>
      </c>
      <c r="N119" s="1" t="str">
        <f t="shared" si="123"/>
        <v/>
      </c>
      <c r="O119" s="1" t="str">
        <f t="shared" si="123"/>
        <v/>
      </c>
      <c r="P119" s="1" t="str">
        <f t="shared" si="123"/>
        <v/>
      </c>
      <c r="Q119" s="288" t="str">
        <f t="shared" si="123"/>
        <v>https://www.thonk.co.uk/shop/alpha-9mm-pots/</v>
      </c>
    </row>
    <row r="120">
      <c r="D120" s="282"/>
      <c r="F120" s="1">
        <v>3.0</v>
      </c>
      <c r="G120" s="60">
        <f t="shared" si="2"/>
        <v>42</v>
      </c>
      <c r="H120" s="1" t="str">
        <f t="shared" si="3"/>
        <v>Clouds v3.0</v>
      </c>
      <c r="I120" t="str">
        <f t="shared" si="4"/>
        <v>U</v>
      </c>
      <c r="J120" s="1" t="str">
        <f t="shared" ref="J120:Q120" si="124">indirect(address($G120+4, column()-9, 4, , $H120))</f>
        <v>R42</v>
      </c>
      <c r="K120" s="1">
        <f t="shared" si="124"/>
        <v>1</v>
      </c>
      <c r="L120" s="1" t="str">
        <f t="shared" si="124"/>
        <v>50k audio pot, dual gang</v>
      </c>
      <c r="M120" s="1" t="str">
        <f t="shared" si="124"/>
        <v/>
      </c>
      <c r="N120" s="1" t="str">
        <f t="shared" si="124"/>
        <v/>
      </c>
      <c r="O120" s="1" t="str">
        <f t="shared" si="124"/>
        <v/>
      </c>
      <c r="P120" s="1" t="str">
        <f t="shared" si="124"/>
        <v>652-PTV112-4420AA503</v>
      </c>
      <c r="Q120" s="1" t="str">
        <f t="shared" si="124"/>
        <v>Bourns PTV112-4420A-A503</v>
      </c>
    </row>
    <row r="121">
      <c r="D121" s="282"/>
      <c r="F121" s="1">
        <v>3.0</v>
      </c>
      <c r="G121" s="60">
        <f t="shared" si="2"/>
        <v>43</v>
      </c>
      <c r="H121" s="1" t="str">
        <f t="shared" si="3"/>
        <v>Clouds v3.0</v>
      </c>
      <c r="I121" t="str">
        <f t="shared" si="4"/>
        <v>U</v>
      </c>
      <c r="J121" s="1" t="str">
        <f t="shared" ref="J121:Q121" si="125">indirect(address($G121+4, column()-9, 4, , $H121))</f>
        <v>LED1, LED2, LED3, LED4</v>
      </c>
      <c r="K121" s="1">
        <f t="shared" si="125"/>
        <v>4</v>
      </c>
      <c r="L121" s="1" t="str">
        <f t="shared" si="125"/>
        <v>LED 5mm, red &amp; green, diffused, common anode</v>
      </c>
      <c r="M121" s="1" t="str">
        <f t="shared" si="125"/>
        <v/>
      </c>
      <c r="N121" s="1" t="str">
        <f t="shared" si="125"/>
        <v/>
      </c>
      <c r="O121" s="1" t="str">
        <f t="shared" si="125"/>
        <v/>
      </c>
      <c r="P121" s="1" t="str">
        <f t="shared" si="125"/>
        <v>604-WP59EGW</v>
      </c>
      <c r="Q121" s="1" t="str">
        <f t="shared" si="125"/>
        <v>Kingbright WP59EGW</v>
      </c>
    </row>
    <row r="122">
      <c r="D122" s="282"/>
      <c r="F122" s="1">
        <v>3.0</v>
      </c>
      <c r="G122" s="60">
        <f t="shared" si="2"/>
        <v>44</v>
      </c>
      <c r="H122" s="1" t="str">
        <f t="shared" si="3"/>
        <v>Clouds v3.0</v>
      </c>
      <c r="I122" t="str">
        <f t="shared" si="4"/>
        <v>U</v>
      </c>
      <c r="J122" s="1" t="str">
        <f t="shared" ref="J122:Q122" si="126">indirect(address($G122+4, column()-9, 4, , $H122))</f>
        <v>SW1</v>
      </c>
      <c r="K122" s="1">
        <f t="shared" si="126"/>
        <v>1</v>
      </c>
      <c r="L122" s="1" t="str">
        <f t="shared" si="126"/>
        <v>Switch, On-mom, Green LED</v>
      </c>
      <c r="M122" s="1" t="str">
        <f t="shared" si="126"/>
        <v/>
      </c>
      <c r="N122" s="1" t="str">
        <f t="shared" si="126"/>
        <v/>
      </c>
      <c r="O122" s="1" t="str">
        <f t="shared" si="126"/>
        <v/>
      </c>
      <c r="P122" s="288" t="str">
        <f t="shared" si="126"/>
        <v>612-LP4OA1PBCTG</v>
      </c>
      <c r="Q122" s="1" t="str">
        <f t="shared" si="126"/>
        <v>E-switch LP4OA1PBCTG</v>
      </c>
    </row>
    <row r="123">
      <c r="D123" s="282"/>
      <c r="F123" s="1">
        <v>3.0</v>
      </c>
      <c r="G123" s="60">
        <f t="shared" si="2"/>
        <v>45</v>
      </c>
      <c r="H123" s="1" t="str">
        <f t="shared" si="3"/>
        <v>Clouds v3.0</v>
      </c>
      <c r="I123" t="str">
        <f t="shared" si="4"/>
        <v>U</v>
      </c>
      <c r="J123" s="1" t="str">
        <f t="shared" ref="J123:Q123" si="127">indirect(address($G123+4, column()-9, 4, , $H123))</f>
        <v>SW2, SW3</v>
      </c>
      <c r="K123" s="1">
        <f t="shared" si="127"/>
        <v>2</v>
      </c>
      <c r="L123" s="1" t="str">
        <f t="shared" si="127"/>
        <v>Switch, 6mm</v>
      </c>
      <c r="M123" s="1" t="str">
        <f t="shared" si="127"/>
        <v/>
      </c>
      <c r="N123" s="1" t="str">
        <f t="shared" si="127"/>
        <v/>
      </c>
      <c r="O123" s="1" t="str">
        <f t="shared" si="127"/>
        <v/>
      </c>
      <c r="P123" s="1" t="str">
        <f t="shared" si="127"/>
        <v>612-TL1105SP-250</v>
      </c>
      <c r="Q123" s="1" t="str">
        <f t="shared" si="127"/>
        <v>E-switch TL1105SPF250Q</v>
      </c>
    </row>
    <row r="124">
      <c r="D124" s="282"/>
      <c r="F124" s="1">
        <v>3.0</v>
      </c>
      <c r="G124" s="60">
        <f t="shared" si="2"/>
        <v>46</v>
      </c>
      <c r="H124" s="1" t="str">
        <f t="shared" si="3"/>
        <v>Clouds v3.0</v>
      </c>
      <c r="I124" t="str">
        <f t="shared" si="4"/>
        <v>U</v>
      </c>
      <c r="J124" s="1" t="str">
        <f t="shared" ref="J124:Q124" si="128">indirect(address($G124+4, column()-9, 4, , $H124))</f>
        <v>- SW2, SW3</v>
      </c>
      <c r="K124" s="1">
        <f t="shared" si="128"/>
        <v>2</v>
      </c>
      <c r="L124" s="1" t="str">
        <f t="shared" si="128"/>
        <v>Cap for switch, black</v>
      </c>
      <c r="M124" s="1" t="str">
        <f t="shared" si="128"/>
        <v/>
      </c>
      <c r="N124" s="1" t="str">
        <f t="shared" si="128"/>
        <v/>
      </c>
      <c r="O124" s="1" t="str">
        <f t="shared" si="128"/>
        <v/>
      </c>
      <c r="P124" s="1" t="str">
        <f t="shared" si="128"/>
        <v>612-1R-BK</v>
      </c>
      <c r="Q124" s="1" t="str">
        <f t="shared" si="128"/>
        <v>E-switch 1RBLK</v>
      </c>
    </row>
    <row r="125">
      <c r="D125" s="282"/>
      <c r="F125" s="1">
        <v>3.0</v>
      </c>
      <c r="G125" s="60">
        <f t="shared" si="2"/>
        <v>47</v>
      </c>
      <c r="H125" s="1" t="str">
        <f t="shared" si="3"/>
        <v>Clouds v3.0</v>
      </c>
      <c r="I125" t="str">
        <f t="shared" si="4"/>
        <v/>
      </c>
      <c r="J125" s="1" t="str">
        <f t="shared" ref="J125:Q125" si="129">indirect(address($G125+4, column()-9, 4, , $H125))</f>
        <v>PTH parts, bottom side</v>
      </c>
      <c r="K125" s="290" t="str">
        <f t="shared" si="129"/>
        <v/>
      </c>
      <c r="L125" s="1" t="str">
        <f t="shared" si="129"/>
        <v/>
      </c>
      <c r="M125" s="1" t="str">
        <f t="shared" si="129"/>
        <v/>
      </c>
      <c r="N125" s="289" t="str">
        <f t="shared" si="129"/>
        <v/>
      </c>
      <c r="O125" s="289" t="str">
        <f t="shared" si="129"/>
        <v/>
      </c>
      <c r="P125" s="290" t="str">
        <f t="shared" si="129"/>
        <v/>
      </c>
      <c r="Q125" s="1" t="str">
        <f t="shared" si="129"/>
        <v/>
      </c>
    </row>
    <row r="126">
      <c r="D126" s="282"/>
      <c r="F126" s="1">
        <v>3.0</v>
      </c>
      <c r="G126" s="60">
        <f t="shared" si="2"/>
        <v>48</v>
      </c>
      <c r="H126" s="1" t="str">
        <f t="shared" si="3"/>
        <v>Clouds v3.0</v>
      </c>
      <c r="I126" t="str">
        <f t="shared" si="4"/>
        <v>D</v>
      </c>
      <c r="J126" s="1" t="str">
        <f t="shared" ref="J126:Q126" si="130">indirect(address($G126+4, column()-9, 4, , $H126))</f>
        <v>JP1 ("FTDI Dongle")</v>
      </c>
      <c r="K126" s="1">
        <f t="shared" si="130"/>
        <v>1</v>
      </c>
      <c r="L126" s="1" t="str">
        <f t="shared" si="130"/>
        <v>1x6 male header, 2.54mm pitch</v>
      </c>
      <c r="M126" s="1" t="str">
        <f t="shared" si="130"/>
        <v/>
      </c>
      <c r="N126" s="1" t="str">
        <f t="shared" si="130"/>
        <v/>
      </c>
      <c r="O126" s="1" t="str">
        <f t="shared" si="130"/>
        <v/>
      </c>
      <c r="P126" s="1" t="str">
        <f t="shared" si="130"/>
        <v>649-68002-106HLF</v>
      </c>
      <c r="Q126" s="1" t="str">
        <f t="shared" si="130"/>
        <v/>
      </c>
    </row>
    <row r="127">
      <c r="D127" s="282"/>
      <c r="F127" s="1">
        <v>3.0</v>
      </c>
      <c r="G127" s="60">
        <f t="shared" si="2"/>
        <v>49</v>
      </c>
      <c r="H127" s="1" t="str">
        <f t="shared" si="3"/>
        <v>Clouds v3.0</v>
      </c>
      <c r="I127" t="str">
        <f t="shared" si="4"/>
        <v>D</v>
      </c>
      <c r="J127" s="1" t="str">
        <f t="shared" ref="J127:Q127" si="131">indirect(address($G127+4, column()-9, 4, , $H127))</f>
        <v>JP2 ("JTAG")</v>
      </c>
      <c r="K127" s="1">
        <f t="shared" si="131"/>
        <v>1</v>
      </c>
      <c r="L127" s="1" t="str">
        <f t="shared" si="131"/>
        <v>2x5 male header, 2.54mm pitch</v>
      </c>
      <c r="M127" s="1" t="str">
        <f t="shared" si="131"/>
        <v/>
      </c>
      <c r="N127" s="1" t="str">
        <f t="shared" si="131"/>
        <v/>
      </c>
      <c r="O127" s="1" t="str">
        <f t="shared" si="131"/>
        <v/>
      </c>
      <c r="P127" s="1" t="str">
        <f t="shared" si="131"/>
        <v>649-67996-410HLF</v>
      </c>
      <c r="Q127" s="1" t="str">
        <f t="shared" si="131"/>
        <v/>
      </c>
    </row>
    <row r="128">
      <c r="D128" s="282"/>
      <c r="F128" s="1">
        <v>3.0</v>
      </c>
      <c r="G128" s="60">
        <f t="shared" si="2"/>
        <v>50</v>
      </c>
      <c r="H128" s="1" t="str">
        <f t="shared" si="3"/>
        <v>Clouds v3.0</v>
      </c>
      <c r="I128" t="str">
        <f t="shared" si="4"/>
        <v>D</v>
      </c>
      <c r="J128" s="1" t="str">
        <f t="shared" ref="J128:Q128" si="132">indirect(address($G128+4, column()-9, 4, , $H128))</f>
        <v>JP3 (Power, "Red stripe")</v>
      </c>
      <c r="K128" s="1">
        <f t="shared" si="132"/>
        <v>1</v>
      </c>
      <c r="L128" s="1" t="str">
        <f t="shared" si="132"/>
        <v>2x5 male header, 1.27mm pitch</v>
      </c>
      <c r="M128" s="1" t="str">
        <f t="shared" si="132"/>
        <v/>
      </c>
      <c r="N128" s="1" t="str">
        <f t="shared" si="132"/>
        <v/>
      </c>
      <c r="O128" s="1" t="str">
        <f t="shared" si="132"/>
        <v/>
      </c>
      <c r="P128" s="1" t="str">
        <f t="shared" si="132"/>
        <v>649-221111-00010T4LF</v>
      </c>
      <c r="Q128" s="1" t="str">
        <f t="shared" si="132"/>
        <v/>
      </c>
    </row>
    <row r="129">
      <c r="D129" s="282"/>
      <c r="F129" s="1">
        <v>3.0</v>
      </c>
      <c r="G129" s="60">
        <f t="shared" si="2"/>
        <v>51</v>
      </c>
      <c r="H129" s="1" t="str">
        <f t="shared" si="3"/>
        <v>Clouds v3.0</v>
      </c>
      <c r="I129" t="str">
        <f t="shared" si="4"/>
        <v/>
      </c>
      <c r="J129" s="1" t="str">
        <f t="shared" ref="J129:Q129" si="133">indirect(address($G129+4, column()-9, 4, , $H129))</f>
        <v>PCB specifications</v>
      </c>
      <c r="K129" s="290" t="str">
        <f t="shared" si="133"/>
        <v/>
      </c>
      <c r="L129" s="1" t="str">
        <f t="shared" si="133"/>
        <v/>
      </c>
      <c r="M129" s="1" t="str">
        <f t="shared" si="133"/>
        <v/>
      </c>
      <c r="N129" s="289" t="str">
        <f t="shared" si="133"/>
        <v/>
      </c>
      <c r="O129" s="289" t="str">
        <f t="shared" si="133"/>
        <v/>
      </c>
      <c r="P129" s="290" t="str">
        <f t="shared" si="133"/>
        <v/>
      </c>
      <c r="Q129" s="1" t="str">
        <f t="shared" si="133"/>
        <v/>
      </c>
    </row>
    <row r="130">
      <c r="D130" s="282"/>
      <c r="F130" s="1">
        <v>3.0</v>
      </c>
      <c r="G130" s="60">
        <f t="shared" si="2"/>
        <v>52</v>
      </c>
      <c r="H130" s="1" t="str">
        <f t="shared" si="3"/>
        <v>Clouds v3.0</v>
      </c>
      <c r="I130" t="str">
        <f t="shared" si="4"/>
        <v>P</v>
      </c>
      <c r="J130" s="1" t="str">
        <f t="shared" ref="J130:Q130" si="134">indirect(address($G130+4, column()-9, 4, , $H130))</f>
        <v>PCB</v>
      </c>
      <c r="K130" s="290" t="str">
        <f t="shared" si="134"/>
        <v/>
      </c>
      <c r="L130" s="1" t="str">
        <f t="shared" si="134"/>
        <v>106.1 x 88.9 ; 2 layers</v>
      </c>
      <c r="M130" s="1" t="str">
        <f t="shared" si="134"/>
        <v/>
      </c>
      <c r="N130" s="289" t="str">
        <f t="shared" si="134"/>
        <v/>
      </c>
      <c r="O130" s="289" t="str">
        <f t="shared" si="134"/>
        <v/>
      </c>
      <c r="P130" s="290" t="str">
        <f t="shared" si="134"/>
        <v/>
      </c>
      <c r="Q130" s="1" t="str">
        <f t="shared" si="134"/>
        <v/>
      </c>
    </row>
    <row r="131">
      <c r="D131" s="282"/>
      <c r="F131" s="1">
        <v>4.0</v>
      </c>
      <c r="G131" s="60">
        <f t="shared" si="2"/>
        <v>0</v>
      </c>
      <c r="H131" s="1" t="str">
        <f t="shared" si="3"/>
        <v>Edges v2.0</v>
      </c>
      <c r="I131" t="str">
        <f t="shared" si="4"/>
        <v>S</v>
      </c>
      <c r="J131" s="1" t="str">
        <f t="shared" ref="J131:Q131" si="135">indirect(address($G131+4, column()-9, 4, , $H131))</f>
        <v>R71, R72, R73, R74</v>
      </c>
      <c r="K131" s="1">
        <f t="shared" si="135"/>
        <v>4</v>
      </c>
      <c r="L131" s="1" t="str">
        <f t="shared" si="135"/>
        <v>Resistor, 1%</v>
      </c>
      <c r="M131" s="1" t="str">
        <f t="shared" si="135"/>
        <v/>
      </c>
      <c r="N131" s="1">
        <f t="shared" si="135"/>
        <v>100</v>
      </c>
      <c r="O131" s="1" t="str">
        <f t="shared" si="135"/>
        <v>0603</v>
      </c>
      <c r="P131" s="1" t="str">
        <f t="shared" si="135"/>
        <v>667-ERJ3EKF1000V</v>
      </c>
      <c r="Q131" s="1" t="str">
        <f t="shared" si="135"/>
        <v/>
      </c>
    </row>
    <row r="132">
      <c r="D132" s="282"/>
      <c r="F132" s="1">
        <v>4.0</v>
      </c>
      <c r="G132" s="60">
        <f t="shared" si="2"/>
        <v>1</v>
      </c>
      <c r="H132" s="1" t="str">
        <f t="shared" si="3"/>
        <v>Edges v2.0</v>
      </c>
      <c r="I132" t="str">
        <f t="shared" si="4"/>
        <v>S</v>
      </c>
      <c r="J132" s="1" t="str">
        <f t="shared" ref="J132:Q132" si="136">indirect(address($G132+4, column()-9, 4, , $H132))</f>
        <v>R3</v>
      </c>
      <c r="K132" s="1">
        <f t="shared" si="136"/>
        <v>1</v>
      </c>
      <c r="L132" s="1" t="str">
        <f t="shared" si="136"/>
        <v>Resistor, 1%</v>
      </c>
      <c r="M132" s="1" t="str">
        <f t="shared" si="136"/>
        <v/>
      </c>
      <c r="N132" s="1">
        <f t="shared" si="136"/>
        <v>300</v>
      </c>
      <c r="O132" s="1" t="str">
        <f t="shared" si="136"/>
        <v>0603</v>
      </c>
      <c r="P132" s="1" t="str">
        <f t="shared" si="136"/>
        <v>667-ERJ-3EKF3000V</v>
      </c>
      <c r="Q132" s="1" t="str">
        <f t="shared" si="136"/>
        <v/>
      </c>
    </row>
    <row r="133">
      <c r="D133" s="282"/>
      <c r="F133" s="1">
        <v>4.0</v>
      </c>
      <c r="G133" s="60">
        <f t="shared" si="2"/>
        <v>2</v>
      </c>
      <c r="H133" s="1" t="str">
        <f t="shared" si="3"/>
        <v>Edges v2.0</v>
      </c>
      <c r="I133" t="str">
        <f t="shared" si="4"/>
        <v>S</v>
      </c>
      <c r="J133" s="1" t="str">
        <f t="shared" ref="J133:Q133" si="137">indirect(address($G133+4, column()-9, 4, , $H133))</f>
        <v>R6, R7, R20, R33, R43, R49, R62</v>
      </c>
      <c r="K133" s="1">
        <f t="shared" si="137"/>
        <v>7</v>
      </c>
      <c r="L133" s="1" t="str">
        <f t="shared" si="137"/>
        <v>Resistor, 1%</v>
      </c>
      <c r="M133" s="1" t="str">
        <f t="shared" si="137"/>
        <v/>
      </c>
      <c r="N133" s="1" t="str">
        <f t="shared" si="137"/>
        <v>1k</v>
      </c>
      <c r="O133" s="1" t="str">
        <f t="shared" si="137"/>
        <v>0603</v>
      </c>
      <c r="P133" s="1" t="str">
        <f t="shared" si="137"/>
        <v>667-ERJ3EKF1001V</v>
      </c>
      <c r="Q133" s="1" t="str">
        <f t="shared" si="137"/>
        <v/>
      </c>
    </row>
    <row r="134">
      <c r="D134" s="282"/>
      <c r="F134" s="1">
        <v>4.0</v>
      </c>
      <c r="G134" s="60">
        <f t="shared" si="2"/>
        <v>3</v>
      </c>
      <c r="H134" s="1" t="str">
        <f t="shared" si="3"/>
        <v>Edges v2.0</v>
      </c>
      <c r="I134" t="str">
        <f t="shared" si="4"/>
        <v>S</v>
      </c>
      <c r="J134" s="1" t="str">
        <f t="shared" ref="J134:Q134" si="138">indirect(address($G134+4, column()-9, 4, , $H134))</f>
        <v>R1</v>
      </c>
      <c r="K134" s="1">
        <f t="shared" si="138"/>
        <v>1</v>
      </c>
      <c r="L134" s="1" t="str">
        <f t="shared" si="138"/>
        <v>Resistor, 1%</v>
      </c>
      <c r="M134" s="1" t="str">
        <f t="shared" si="138"/>
        <v/>
      </c>
      <c r="N134" s="1" t="str">
        <f t="shared" si="138"/>
        <v>2k</v>
      </c>
      <c r="O134" s="1" t="str">
        <f t="shared" si="138"/>
        <v>0603</v>
      </c>
      <c r="P134" s="1" t="str">
        <f t="shared" si="138"/>
        <v>667-ERJ3EKF2001V</v>
      </c>
      <c r="Q134" s="1" t="str">
        <f t="shared" si="138"/>
        <v/>
      </c>
    </row>
    <row r="135">
      <c r="D135" s="282"/>
      <c r="F135" s="1">
        <v>4.0</v>
      </c>
      <c r="G135" s="60">
        <f t="shared" si="2"/>
        <v>4</v>
      </c>
      <c r="H135" s="1" t="str">
        <f t="shared" si="3"/>
        <v>Edges v2.0</v>
      </c>
      <c r="I135" t="str">
        <f t="shared" si="4"/>
        <v>S</v>
      </c>
      <c r="J135" s="1" t="str">
        <f t="shared" ref="J135:Q135" si="139">indirect(address($G135+4, column()-9, 4, , $H135))</f>
        <v>R2, R9, R10, R15, R18, R45, R46, R53, R60</v>
      </c>
      <c r="K135" s="1">
        <f t="shared" si="139"/>
        <v>9</v>
      </c>
      <c r="L135" s="1" t="str">
        <f t="shared" si="139"/>
        <v>Resistor, 1%</v>
      </c>
      <c r="M135" s="1" t="str">
        <f t="shared" si="139"/>
        <v/>
      </c>
      <c r="N135" s="1" t="str">
        <f t="shared" si="139"/>
        <v>10k</v>
      </c>
      <c r="O135" s="1" t="str">
        <f t="shared" si="139"/>
        <v>0603</v>
      </c>
      <c r="P135" s="1" t="str">
        <f t="shared" si="139"/>
        <v>667-ERJ3EKF1002V</v>
      </c>
      <c r="Q135" s="1" t="str">
        <f t="shared" si="139"/>
        <v/>
      </c>
    </row>
    <row r="136">
      <c r="D136" s="282"/>
      <c r="F136" s="1">
        <v>4.0</v>
      </c>
      <c r="G136" s="60">
        <f t="shared" si="2"/>
        <v>5</v>
      </c>
      <c r="H136" s="1" t="str">
        <f t="shared" si="3"/>
        <v>Edges v2.0</v>
      </c>
      <c r="I136" t="str">
        <f t="shared" si="4"/>
        <v>S</v>
      </c>
      <c r="J136" s="1" t="str">
        <f t="shared" ref="J136:Q136" si="140">indirect(address($G136+4, column()-9, 4, , $H136))</f>
        <v>R8, R12, R17, R23, R44, R47, R52, R58</v>
      </c>
      <c r="K136" s="1">
        <f t="shared" si="140"/>
        <v>8</v>
      </c>
      <c r="L136" s="1" t="str">
        <f t="shared" si="140"/>
        <v>Resistor, 1%</v>
      </c>
      <c r="M136" s="1" t="str">
        <f t="shared" si="140"/>
        <v/>
      </c>
      <c r="N136" s="1" t="str">
        <f t="shared" si="140"/>
        <v>24.9k</v>
      </c>
      <c r="O136" s="1" t="str">
        <f t="shared" si="140"/>
        <v>0603</v>
      </c>
      <c r="P136" s="1" t="str">
        <f t="shared" si="140"/>
        <v>667-ERJ3EKF2492V</v>
      </c>
      <c r="Q136" s="1" t="str">
        <f t="shared" si="140"/>
        <v/>
      </c>
    </row>
    <row r="137">
      <c r="D137" s="282"/>
      <c r="F137" s="1">
        <v>4.0</v>
      </c>
      <c r="G137" s="60">
        <f t="shared" si="2"/>
        <v>6</v>
      </c>
      <c r="H137" s="1" t="str">
        <f t="shared" si="3"/>
        <v>Edges v2.0</v>
      </c>
      <c r="I137" t="str">
        <f t="shared" si="4"/>
        <v>S</v>
      </c>
      <c r="J137" s="1" t="str">
        <f t="shared" ref="J137:Q137" si="141">indirect(address($G137+4, column()-9, 4, , $H137))</f>
        <v>R11, R13, R35, R48</v>
      </c>
      <c r="K137" s="1">
        <f t="shared" si="141"/>
        <v>4</v>
      </c>
      <c r="L137" s="1" t="str">
        <f t="shared" si="141"/>
        <v>Resistor, 1%</v>
      </c>
      <c r="M137" s="1" t="str">
        <f t="shared" si="141"/>
        <v/>
      </c>
      <c r="N137" s="1" t="str">
        <f t="shared" si="141"/>
        <v>33k</v>
      </c>
      <c r="O137" s="1" t="str">
        <f t="shared" si="141"/>
        <v>0603</v>
      </c>
      <c r="P137" s="1" t="str">
        <f t="shared" si="141"/>
        <v>667-ERJ3EKF3302V</v>
      </c>
      <c r="Q137" s="1" t="str">
        <f t="shared" si="141"/>
        <v/>
      </c>
    </row>
    <row r="138">
      <c r="D138" s="282"/>
      <c r="F138" s="1">
        <v>4.0</v>
      </c>
      <c r="G138" s="60">
        <f t="shared" si="2"/>
        <v>7</v>
      </c>
      <c r="H138" s="1" t="str">
        <f t="shared" si="3"/>
        <v>Edges v2.0</v>
      </c>
      <c r="I138" t="str">
        <f t="shared" si="4"/>
        <v>S</v>
      </c>
      <c r="J138" s="1" t="str">
        <f t="shared" ref="J138:Q138" si="142">indirect(address($G138+4, column()-9, 4, , $H138))</f>
        <v>R39, R70</v>
      </c>
      <c r="K138" s="1">
        <f t="shared" si="142"/>
        <v>2</v>
      </c>
      <c r="L138" s="1" t="str">
        <f t="shared" si="142"/>
        <v>Resistor, 1%</v>
      </c>
      <c r="M138" s="1" t="str">
        <f t="shared" si="142"/>
        <v/>
      </c>
      <c r="N138" s="1" t="str">
        <f t="shared" si="142"/>
        <v>39k</v>
      </c>
      <c r="O138" s="1" t="str">
        <f t="shared" si="142"/>
        <v>0603</v>
      </c>
      <c r="P138" s="1" t="str">
        <f t="shared" si="142"/>
        <v>667-ERJ3EKF3902V</v>
      </c>
      <c r="Q138" s="1" t="str">
        <f t="shared" si="142"/>
        <v/>
      </c>
    </row>
    <row r="139">
      <c r="D139" s="282"/>
      <c r="F139" s="1">
        <v>4.0</v>
      </c>
      <c r="G139" s="60">
        <f t="shared" si="2"/>
        <v>8</v>
      </c>
      <c r="H139" s="1" t="str">
        <f t="shared" si="3"/>
        <v>Edges v2.0</v>
      </c>
      <c r="I139" t="str">
        <f t="shared" si="4"/>
        <v>S</v>
      </c>
      <c r="J139" s="1" t="str">
        <f t="shared" ref="J139:Q139" si="143">indirect(address($G139+4, column()-9, 4, , $H139))</f>
        <v>R54</v>
      </c>
      <c r="K139" s="1">
        <f t="shared" si="143"/>
        <v>1</v>
      </c>
      <c r="L139" s="1" t="str">
        <f t="shared" si="143"/>
        <v>Resistor, 1%</v>
      </c>
      <c r="M139" s="1" t="str">
        <f t="shared" si="143"/>
        <v/>
      </c>
      <c r="N139" s="1" t="str">
        <f t="shared" si="143"/>
        <v>82k</v>
      </c>
      <c r="O139" s="1" t="str">
        <f t="shared" si="143"/>
        <v>0603</v>
      </c>
      <c r="P139" s="1" t="str">
        <f t="shared" si="143"/>
        <v>652-CR0603FX-8202ELF</v>
      </c>
      <c r="Q139" s="1" t="str">
        <f t="shared" si="143"/>
        <v/>
      </c>
    </row>
    <row r="140">
      <c r="D140" s="282"/>
      <c r="F140" s="1">
        <v>4.0</v>
      </c>
      <c r="G140" s="60">
        <f t="shared" si="2"/>
        <v>9</v>
      </c>
      <c r="H140" s="1" t="str">
        <f t="shared" si="3"/>
        <v>Edges v2.0</v>
      </c>
      <c r="I140" t="str">
        <f t="shared" si="4"/>
        <v>S</v>
      </c>
      <c r="J140" s="1" t="str">
        <f t="shared" ref="J140:Q140" si="144">indirect(address($G140+4, column()-9, 4, , $H140))</f>
        <v>R14, R21, R22, R24, R29, R30, R34, R36, R37, R38, R40, R50, R56, R57, R59, R66, R67</v>
      </c>
      <c r="K140" s="1">
        <f t="shared" si="144"/>
        <v>17</v>
      </c>
      <c r="L140" s="1" t="str">
        <f t="shared" si="144"/>
        <v>Resistor, 1%</v>
      </c>
      <c r="M140" s="1" t="str">
        <f t="shared" si="144"/>
        <v/>
      </c>
      <c r="N140" s="1" t="str">
        <f t="shared" si="144"/>
        <v>100k</v>
      </c>
      <c r="O140" s="1" t="str">
        <f t="shared" si="144"/>
        <v>0603</v>
      </c>
      <c r="P140" s="1" t="str">
        <f t="shared" si="144"/>
        <v>667-ERJ3EKF1003V</v>
      </c>
      <c r="Q140" s="1" t="str">
        <f t="shared" si="144"/>
        <v/>
      </c>
    </row>
    <row r="141">
      <c r="D141" s="282"/>
      <c r="F141" s="1">
        <v>4.0</v>
      </c>
      <c r="G141" s="60">
        <f t="shared" si="2"/>
        <v>10</v>
      </c>
      <c r="H141" s="1" t="str">
        <f t="shared" si="3"/>
        <v>Edges v2.0</v>
      </c>
      <c r="I141" t="str">
        <f t="shared" si="4"/>
        <v>S</v>
      </c>
      <c r="J141" s="1" t="str">
        <f t="shared" ref="J141:Q141" si="145">indirect(address($G141+4, column()-9, 4, , $H141))</f>
        <v>R16, R19, R25, R26, R27, R28, R51, R55, R61, R63, R64, R65</v>
      </c>
      <c r="K141" s="1">
        <f t="shared" si="145"/>
        <v>12</v>
      </c>
      <c r="L141" s="1" t="str">
        <f t="shared" si="145"/>
        <v>Resistor, 1%</v>
      </c>
      <c r="M141" s="1" t="str">
        <f t="shared" si="145"/>
        <v/>
      </c>
      <c r="N141" s="1" t="str">
        <f t="shared" si="145"/>
        <v>200k</v>
      </c>
      <c r="O141" s="1" t="str">
        <f t="shared" si="145"/>
        <v>0603</v>
      </c>
      <c r="P141" s="1" t="str">
        <f t="shared" si="145"/>
        <v>667-ERJ3EKF2003V</v>
      </c>
      <c r="Q141" s="1" t="str">
        <f t="shared" si="145"/>
        <v/>
      </c>
    </row>
    <row r="142">
      <c r="D142" s="282"/>
      <c r="F142" s="1">
        <v>4.0</v>
      </c>
      <c r="G142" s="60">
        <f t="shared" si="2"/>
        <v>11</v>
      </c>
      <c r="H142" s="1" t="str">
        <f t="shared" si="3"/>
        <v>Edges v2.0</v>
      </c>
      <c r="I142" t="str">
        <f t="shared" si="4"/>
        <v>S</v>
      </c>
      <c r="J142" s="1" t="str">
        <f t="shared" ref="J142:Q142" si="146">indirect(address($G142+4, column()-9, 4, , $H142))</f>
        <v>C16, C17, C42, C44</v>
      </c>
      <c r="K142" s="1">
        <f t="shared" si="146"/>
        <v>4</v>
      </c>
      <c r="L142" s="1" t="str">
        <f t="shared" si="146"/>
        <v>Capacitor, ceramic</v>
      </c>
      <c r="M142" s="1" t="str">
        <f t="shared" si="146"/>
        <v/>
      </c>
      <c r="N142" s="1" t="str">
        <f t="shared" si="146"/>
        <v>18p</v>
      </c>
      <c r="O142" s="1" t="str">
        <f t="shared" si="146"/>
        <v>0603</v>
      </c>
      <c r="P142" s="1" t="str">
        <f t="shared" si="146"/>
        <v>81-GRM185C1H180JA01J</v>
      </c>
      <c r="Q142" s="1" t="str">
        <f t="shared" si="146"/>
        <v/>
      </c>
    </row>
    <row r="143">
      <c r="D143" s="282"/>
      <c r="F143" s="1">
        <v>4.0</v>
      </c>
      <c r="G143" s="60">
        <f t="shared" si="2"/>
        <v>12</v>
      </c>
      <c r="H143" s="1" t="str">
        <f t="shared" si="3"/>
        <v>Edges v2.0</v>
      </c>
      <c r="I143" t="str">
        <f t="shared" si="4"/>
        <v>S</v>
      </c>
      <c r="J143" s="1" t="str">
        <f t="shared" ref="J143:Q143" si="147">indirect(address($G143+4, column()-9, 4, , $H143))</f>
        <v>C4, C6, C10, C12, C23, C26, C29, C31</v>
      </c>
      <c r="K143" s="1">
        <f t="shared" si="147"/>
        <v>8</v>
      </c>
      <c r="L143" s="1" t="str">
        <f t="shared" si="147"/>
        <v>Capacitor, ceramic</v>
      </c>
      <c r="M143" s="1" t="str">
        <f t="shared" si="147"/>
        <v>&gt;= 50V, &lt;= 2%, C0G</v>
      </c>
      <c r="N143" s="1" t="str">
        <f t="shared" si="147"/>
        <v>100p</v>
      </c>
      <c r="O143" s="1" t="str">
        <f t="shared" si="147"/>
        <v>0603</v>
      </c>
      <c r="P143" s="1" t="str">
        <f t="shared" si="147"/>
        <v>81-GRM1885C1H101GA1J</v>
      </c>
      <c r="Q143" s="1" t="str">
        <f t="shared" si="147"/>
        <v>Was 81-GRM1885C1H101GA01J.</v>
      </c>
    </row>
    <row r="144">
      <c r="D144" s="282"/>
      <c r="F144" s="1">
        <v>4.0</v>
      </c>
      <c r="G144" s="60">
        <f t="shared" si="2"/>
        <v>13</v>
      </c>
      <c r="H144" s="1" t="str">
        <f t="shared" si="3"/>
        <v>Edges v2.0</v>
      </c>
      <c r="I144" t="str">
        <f t="shared" si="4"/>
        <v>S</v>
      </c>
      <c r="J144" s="1" t="str">
        <f t="shared" ref="J144:Q144" si="148">indirect(address($G144+4, column()-9, 4, , $H144))</f>
        <v>C3, C5, C7, C11, C13, C14, C15, C20, C21, C22, C24, C27, C30, C34, C36, C37, C40, C41, C43, C45</v>
      </c>
      <c r="K144" s="1">
        <f t="shared" si="148"/>
        <v>20</v>
      </c>
      <c r="L144" s="1" t="str">
        <f t="shared" si="148"/>
        <v>Capacitor, ceramic</v>
      </c>
      <c r="M144" s="1" t="str">
        <f t="shared" si="148"/>
        <v>&gt;= 16V</v>
      </c>
      <c r="N144" s="1" t="str">
        <f t="shared" si="148"/>
        <v>100n</v>
      </c>
      <c r="O144" s="1" t="str">
        <f t="shared" si="148"/>
        <v>0603</v>
      </c>
      <c r="P144" s="1" t="str">
        <f t="shared" si="148"/>
        <v>81-GRM188R61C104KA1D</v>
      </c>
      <c r="Q144" s="1" t="str">
        <f t="shared" si="148"/>
        <v>Was 81-GRM188R61C104KA01D.</v>
      </c>
    </row>
    <row r="145">
      <c r="D145" s="282"/>
      <c r="F145" s="1">
        <v>4.0</v>
      </c>
      <c r="G145" s="60">
        <f t="shared" si="2"/>
        <v>14</v>
      </c>
      <c r="H145" s="1" t="str">
        <f t="shared" si="3"/>
        <v>Edges v2.0</v>
      </c>
      <c r="I145" t="str">
        <f t="shared" si="4"/>
        <v>S</v>
      </c>
      <c r="J145" s="1" t="str">
        <f t="shared" ref="J145:Q145" si="149">indirect(address($G145+4, column()-9, 4, , $H145))</f>
        <v>C1, C2, C32</v>
      </c>
      <c r="K145" s="1">
        <f t="shared" si="149"/>
        <v>3</v>
      </c>
      <c r="L145" s="1" t="str">
        <f t="shared" si="149"/>
        <v>Capacitor, ceramic</v>
      </c>
      <c r="M145" s="1" t="str">
        <f t="shared" si="149"/>
        <v>&gt;= 16V</v>
      </c>
      <c r="N145" s="1" t="str">
        <f t="shared" si="149"/>
        <v>470n</v>
      </c>
      <c r="O145" s="1" t="str">
        <f t="shared" si="149"/>
        <v>0603</v>
      </c>
      <c r="P145" s="1" t="str">
        <f t="shared" si="149"/>
        <v>81-GRM18F51C474ZA01J</v>
      </c>
      <c r="Q145" s="1" t="str">
        <f t="shared" si="149"/>
        <v>Was 81-GRM188F51C474ZA01J.</v>
      </c>
    </row>
    <row r="146">
      <c r="D146" s="282"/>
      <c r="F146" s="1">
        <v>4.0</v>
      </c>
      <c r="G146" s="60">
        <f t="shared" si="2"/>
        <v>15</v>
      </c>
      <c r="H146" s="1" t="str">
        <f t="shared" si="3"/>
        <v>Edges v2.0</v>
      </c>
      <c r="I146" t="str">
        <f t="shared" si="4"/>
        <v>S</v>
      </c>
      <c r="J146" s="1" t="str">
        <f t="shared" ref="J146:Q146" si="150">indirect(address($G146+4, column()-9, 4, , $H146))</f>
        <v>C33, C35</v>
      </c>
      <c r="K146" s="1">
        <f t="shared" si="150"/>
        <v>2</v>
      </c>
      <c r="L146" s="1" t="str">
        <f t="shared" si="150"/>
        <v>Capacitor, ceramic</v>
      </c>
      <c r="M146" s="1" t="str">
        <f t="shared" si="150"/>
        <v>&gt;= 10V</v>
      </c>
      <c r="N146" s="1" t="str">
        <f t="shared" si="150"/>
        <v>1u</v>
      </c>
      <c r="O146" s="1" t="str">
        <f t="shared" si="150"/>
        <v>0603</v>
      </c>
      <c r="P146" s="1" t="str">
        <f t="shared" si="150"/>
        <v>81-GRM18R61A105KA61J</v>
      </c>
      <c r="Q146" s="1" t="str">
        <f t="shared" si="150"/>
        <v>Was 81-GRM188R61A105KA61J.</v>
      </c>
    </row>
    <row r="147">
      <c r="D147" s="282"/>
      <c r="F147" s="1">
        <v>4.0</v>
      </c>
      <c r="G147" s="60">
        <f t="shared" si="2"/>
        <v>16</v>
      </c>
      <c r="H147" s="1" t="str">
        <f t="shared" si="3"/>
        <v>Edges v2.0</v>
      </c>
      <c r="I147" t="str">
        <f t="shared" si="4"/>
        <v>S</v>
      </c>
      <c r="J147" s="1" t="str">
        <f t="shared" ref="J147:Q147" si="151">indirect(address($G147+4, column()-9, 4, , $H147))</f>
        <v>C8, C9, C25, C28</v>
      </c>
      <c r="K147" s="1">
        <f t="shared" si="151"/>
        <v>4</v>
      </c>
      <c r="L147" s="1" t="str">
        <f t="shared" si="151"/>
        <v>Capacitor, electrolytic NP</v>
      </c>
      <c r="M147" s="1" t="str">
        <f t="shared" si="151"/>
        <v>&gt;= 6.3V</v>
      </c>
      <c r="N147" s="1" t="str">
        <f t="shared" si="151"/>
        <v>10u</v>
      </c>
      <c r="O147" s="1" t="str">
        <f t="shared" si="151"/>
        <v>Panasonic B</v>
      </c>
      <c r="P147" s="1" t="str">
        <f t="shared" si="151"/>
        <v>647-UWP1A100MCL</v>
      </c>
      <c r="Q147" s="1" t="str">
        <f t="shared" si="151"/>
        <v>Nichicon UWP1A100MCL1GB</v>
      </c>
    </row>
    <row r="148">
      <c r="D148" s="282"/>
      <c r="F148" s="1">
        <v>4.0</v>
      </c>
      <c r="G148" s="60">
        <f t="shared" si="2"/>
        <v>17</v>
      </c>
      <c r="H148" s="1" t="str">
        <f t="shared" si="3"/>
        <v>Edges v2.0</v>
      </c>
      <c r="I148" t="str">
        <f t="shared" si="4"/>
        <v>S</v>
      </c>
      <c r="J148" s="1" t="str">
        <f t="shared" ref="J148:Q148" si="152">indirect(address($G148+4, column()-9, 4, , $H148))</f>
        <v>C18, C19, C38, C39</v>
      </c>
      <c r="K148" s="1">
        <f t="shared" si="152"/>
        <v>4</v>
      </c>
      <c r="L148" s="1" t="str">
        <f t="shared" si="152"/>
        <v>Capacitor, electrolytic</v>
      </c>
      <c r="M148" s="1" t="str">
        <f t="shared" si="152"/>
        <v>&gt;= 25V</v>
      </c>
      <c r="N148" s="1" t="str">
        <f t="shared" si="152"/>
        <v>47u</v>
      </c>
      <c r="O148" s="1" t="str">
        <f t="shared" si="152"/>
        <v>Panasonic D</v>
      </c>
      <c r="P148" s="1" t="str">
        <f t="shared" si="152"/>
        <v>667-EEE-HC1E470XP</v>
      </c>
      <c r="Q148" s="1" t="str">
        <f t="shared" si="152"/>
        <v>EEEHC1E470XP</v>
      </c>
    </row>
    <row r="149">
      <c r="D149" s="282"/>
      <c r="F149" s="1">
        <v>4.0</v>
      </c>
      <c r="G149" s="60">
        <f t="shared" si="2"/>
        <v>18</v>
      </c>
      <c r="H149" s="1" t="str">
        <f t="shared" si="3"/>
        <v>Edges v2.0</v>
      </c>
      <c r="I149" t="str">
        <f t="shared" si="4"/>
        <v>S</v>
      </c>
      <c r="J149" s="1" t="str">
        <f t="shared" ref="J149:Q149" si="153">indirect(address($G149+4, column()-9, 4, , $H149))</f>
        <v>D1, D2, D3</v>
      </c>
      <c r="K149" s="1">
        <f t="shared" si="153"/>
        <v>3</v>
      </c>
      <c r="L149" s="1" t="str">
        <f t="shared" si="153"/>
        <v>1N5819HW diode</v>
      </c>
      <c r="M149" s="1" t="str">
        <f t="shared" si="153"/>
        <v/>
      </c>
      <c r="N149" s="1" t="str">
        <f t="shared" si="153"/>
        <v/>
      </c>
      <c r="O149" s="1" t="str">
        <f t="shared" si="153"/>
        <v>SOD123</v>
      </c>
      <c r="P149" s="1" t="str">
        <f t="shared" si="153"/>
        <v>621-1N5819HW-F</v>
      </c>
      <c r="Q149" s="1" t="str">
        <f t="shared" si="153"/>
        <v>Diodes Inc 1N5819HW-7-F</v>
      </c>
    </row>
    <row r="150">
      <c r="D150" s="282"/>
      <c r="F150" s="1">
        <v>4.0</v>
      </c>
      <c r="G150" s="60">
        <f t="shared" si="2"/>
        <v>19</v>
      </c>
      <c r="H150" s="1" t="str">
        <f t="shared" si="3"/>
        <v>Edges v2.0</v>
      </c>
      <c r="I150" t="str">
        <f t="shared" si="4"/>
        <v>S</v>
      </c>
      <c r="J150" s="1" t="str">
        <f t="shared" ref="J150:Q150" si="154">indirect(address($G150+4, column()-9, 4, , $H150))</f>
        <v>L1</v>
      </c>
      <c r="K150" s="1">
        <f t="shared" si="154"/>
        <v>1</v>
      </c>
      <c r="L150" s="1" t="str">
        <f t="shared" si="154"/>
        <v>Ferrite bead</v>
      </c>
      <c r="M150" s="1" t="str">
        <f t="shared" si="154"/>
        <v>Z@100M &gt; 200</v>
      </c>
      <c r="N150" s="1" t="str">
        <f t="shared" si="154"/>
        <v/>
      </c>
      <c r="O150" s="1" t="str">
        <f t="shared" si="154"/>
        <v>0603</v>
      </c>
      <c r="P150" s="1" t="str">
        <f t="shared" si="154"/>
        <v>710-742792642</v>
      </c>
      <c r="Q150" s="1" t="str">
        <f t="shared" si="154"/>
        <v>WE 742792642</v>
      </c>
    </row>
    <row r="151">
      <c r="D151" s="282"/>
      <c r="F151" s="1">
        <v>4.0</v>
      </c>
      <c r="G151" s="60">
        <f t="shared" si="2"/>
        <v>20</v>
      </c>
      <c r="H151" s="1" t="str">
        <f t="shared" si="3"/>
        <v>Edges v2.0</v>
      </c>
      <c r="I151" t="str">
        <f t="shared" si="4"/>
        <v>S</v>
      </c>
      <c r="J151" s="1" t="str">
        <f t="shared" ref="J151:Q151" si="155">indirect(address($G151+4, column()-9, 4, , $H151))</f>
        <v>IC11</v>
      </c>
      <c r="K151" s="1">
        <f t="shared" si="155"/>
        <v>1</v>
      </c>
      <c r="L151" s="1" t="str">
        <f t="shared" si="155"/>
        <v>LM4040 Shunt Vref</v>
      </c>
      <c r="M151" s="1" t="str">
        <f t="shared" si="155"/>
        <v>A, B or C grade</v>
      </c>
      <c r="N151" s="1" t="str">
        <f t="shared" si="155"/>
        <v>2.5V</v>
      </c>
      <c r="O151" s="1" t="str">
        <f t="shared" si="155"/>
        <v>SOT23</v>
      </c>
      <c r="P151" s="1" t="str">
        <f t="shared" si="155"/>
        <v>595-LM4040C25IDBZR</v>
      </c>
      <c r="Q151" s="1" t="str">
        <f t="shared" si="155"/>
        <v>Texas Instruments LM4040C25IDBZ</v>
      </c>
    </row>
    <row r="152">
      <c r="D152" s="282"/>
      <c r="F152" s="1">
        <v>4.0</v>
      </c>
      <c r="G152" s="60">
        <f t="shared" si="2"/>
        <v>21</v>
      </c>
      <c r="H152" s="1" t="str">
        <f t="shared" si="3"/>
        <v>Edges v2.0</v>
      </c>
      <c r="I152" t="str">
        <f t="shared" si="4"/>
        <v>S</v>
      </c>
      <c r="J152" s="1" t="str">
        <f t="shared" ref="J152:Q152" si="156">indirect(address($G152+4, column()-9, 4, , $H152))</f>
        <v>IC1</v>
      </c>
      <c r="K152" s="1">
        <f t="shared" si="156"/>
        <v>1</v>
      </c>
      <c r="L152" s="1" t="str">
        <f t="shared" si="156"/>
        <v>LM4040 Shunt Vref</v>
      </c>
      <c r="M152" s="1" t="str">
        <f t="shared" si="156"/>
        <v>A, B or C grade</v>
      </c>
      <c r="N152" s="1" t="str">
        <f t="shared" si="156"/>
        <v>10V</v>
      </c>
      <c r="O152" s="1" t="str">
        <f t="shared" si="156"/>
        <v>SOT23</v>
      </c>
      <c r="P152" s="1" t="str">
        <f t="shared" si="156"/>
        <v>595-LM4040C10IDBZR</v>
      </c>
      <c r="Q152" s="1" t="str">
        <f t="shared" si="156"/>
        <v>Texas Instruments LM4040C10IDBZ</v>
      </c>
    </row>
    <row r="153">
      <c r="D153" s="282"/>
      <c r="F153" s="1">
        <v>4.0</v>
      </c>
      <c r="G153" s="60">
        <f t="shared" si="2"/>
        <v>22</v>
      </c>
      <c r="H153" s="1" t="str">
        <f t="shared" si="3"/>
        <v>Edges v2.0</v>
      </c>
      <c r="I153" t="str">
        <f t="shared" si="4"/>
        <v>S</v>
      </c>
      <c r="J153" s="1" t="str">
        <f t="shared" ref="J153:Q153" si="157">indirect(address($G153+4, column()-9, 4, , $H153))</f>
        <v>IC13</v>
      </c>
      <c r="K153" s="1">
        <f t="shared" si="157"/>
        <v>1</v>
      </c>
      <c r="L153" s="1" t="str">
        <f t="shared" si="157"/>
        <v>MCP3208 octal 12-bit ADC</v>
      </c>
      <c r="M153" s="1" t="str">
        <f t="shared" si="157"/>
        <v/>
      </c>
      <c r="N153" s="1" t="str">
        <f t="shared" si="157"/>
        <v/>
      </c>
      <c r="O153" s="1" t="str">
        <f t="shared" si="157"/>
        <v>SOIC16</v>
      </c>
      <c r="P153" s="1" t="str">
        <f t="shared" si="157"/>
        <v>579-MCP3208-BI/SL</v>
      </c>
      <c r="Q153" s="1" t="str">
        <f t="shared" si="157"/>
        <v>Microchip MCP3208-BI/SL</v>
      </c>
    </row>
    <row r="154">
      <c r="D154" s="282"/>
      <c r="F154" s="1">
        <v>4.0</v>
      </c>
      <c r="G154" s="60">
        <f t="shared" si="2"/>
        <v>23</v>
      </c>
      <c r="H154" s="1" t="str">
        <f t="shared" si="3"/>
        <v>Edges v2.0</v>
      </c>
      <c r="I154" t="str">
        <f t="shared" si="4"/>
        <v>S</v>
      </c>
      <c r="J154" s="1" t="str">
        <f t="shared" ref="J154:Q154" si="158">indirect(address($G154+4, column()-9, 4, , $H154))</f>
        <v>IC15</v>
      </c>
      <c r="K154" s="1">
        <f t="shared" si="158"/>
        <v>1</v>
      </c>
      <c r="L154" s="1" t="str">
        <f t="shared" si="158"/>
        <v>MCP4822 dual 12-bit DAC</v>
      </c>
      <c r="M154" s="1" t="str">
        <f t="shared" si="158"/>
        <v/>
      </c>
      <c r="N154" s="1" t="str">
        <f t="shared" si="158"/>
        <v/>
      </c>
      <c r="O154" s="1" t="str">
        <f t="shared" si="158"/>
        <v>SOIC8</v>
      </c>
      <c r="P154" s="1" t="str">
        <f t="shared" si="158"/>
        <v>579-MCP4822-E/SN</v>
      </c>
      <c r="Q154" s="1" t="str">
        <f t="shared" si="158"/>
        <v>Microchip MCP4822-E/SN</v>
      </c>
    </row>
    <row r="155">
      <c r="D155" s="282"/>
      <c r="F155" s="1">
        <v>4.0</v>
      </c>
      <c r="G155" s="60">
        <f t="shared" si="2"/>
        <v>24</v>
      </c>
      <c r="H155" s="1" t="str">
        <f t="shared" si="3"/>
        <v>Edges v2.0</v>
      </c>
      <c r="I155" t="str">
        <f t="shared" si="4"/>
        <v>S</v>
      </c>
      <c r="J155" s="1" t="str">
        <f t="shared" ref="J155:Q155" si="159">indirect(address($G155+4, column()-9, 4, , $H155))</f>
        <v>IC14</v>
      </c>
      <c r="K155" s="1">
        <f t="shared" si="159"/>
        <v>1</v>
      </c>
      <c r="L155" s="1" t="str">
        <f t="shared" si="159"/>
        <v>LM1117-3.3V LDO Vreg</v>
      </c>
      <c r="M155" s="1" t="str">
        <f t="shared" si="159"/>
        <v/>
      </c>
      <c r="N155" s="1" t="str">
        <f t="shared" si="159"/>
        <v>3.3V</v>
      </c>
      <c r="O155" s="1" t="str">
        <f t="shared" si="159"/>
        <v>SO223</v>
      </c>
      <c r="P155" s="1" t="str">
        <f t="shared" si="159"/>
        <v>926-LM1117MPX3.3NOPB</v>
      </c>
      <c r="Q155" s="1" t="str">
        <f t="shared" si="159"/>
        <v>National LM1117MPX3.3NOPB</v>
      </c>
    </row>
    <row r="156">
      <c r="D156" s="282"/>
      <c r="F156" s="1">
        <v>4.0</v>
      </c>
      <c r="G156" s="60">
        <f t="shared" si="2"/>
        <v>25</v>
      </c>
      <c r="H156" s="1" t="str">
        <f t="shared" si="3"/>
        <v>Edges v2.0</v>
      </c>
      <c r="I156" t="str">
        <f t="shared" si="4"/>
        <v>S</v>
      </c>
      <c r="J156" s="1" t="str">
        <f t="shared" ref="J156:Q156" si="160">indirect(address($G156+4, column()-9, 4, , $H156))</f>
        <v>IC5</v>
      </c>
      <c r="K156" s="1">
        <f t="shared" si="160"/>
        <v>1</v>
      </c>
      <c r="L156" s="1" t="str">
        <f t="shared" si="160"/>
        <v>74AHC1G125 buffer, single gate</v>
      </c>
      <c r="M156" s="1" t="str">
        <f t="shared" si="160"/>
        <v/>
      </c>
      <c r="N156" s="1" t="str">
        <f t="shared" si="160"/>
        <v/>
      </c>
      <c r="O156" s="1" t="str">
        <f t="shared" si="160"/>
        <v>SOT23-5</v>
      </c>
      <c r="P156" s="1" t="str">
        <f t="shared" si="160"/>
        <v>595-SN74AHC1G125DBVR</v>
      </c>
      <c r="Q156" s="1" t="str">
        <f t="shared" si="160"/>
        <v>TI SN74AHC1G125DBV</v>
      </c>
    </row>
    <row r="157">
      <c r="D157" s="282"/>
      <c r="F157" s="1">
        <v>4.0</v>
      </c>
      <c r="G157" s="60">
        <f t="shared" si="2"/>
        <v>26</v>
      </c>
      <c r="H157" s="1" t="str">
        <f t="shared" si="3"/>
        <v>Edges v2.0</v>
      </c>
      <c r="I157" t="str">
        <f t="shared" si="4"/>
        <v>S</v>
      </c>
      <c r="J157" s="1" t="str">
        <f t="shared" ref="J157:Q157" si="161">indirect(address($G157+4, column()-9, 4, , $H157))</f>
        <v>IC6, IC8</v>
      </c>
      <c r="K157" s="1">
        <f t="shared" si="161"/>
        <v>2</v>
      </c>
      <c r="L157" s="1" t="str">
        <f t="shared" si="161"/>
        <v>74AHC1G86 XOR, single gate</v>
      </c>
      <c r="M157" s="1" t="str">
        <f t="shared" si="161"/>
        <v/>
      </c>
      <c r="N157" s="1" t="str">
        <f t="shared" si="161"/>
        <v/>
      </c>
      <c r="O157" s="1" t="str">
        <f t="shared" si="161"/>
        <v>SOT23-5</v>
      </c>
      <c r="P157" s="1" t="str">
        <f t="shared" si="161"/>
        <v>595-SN74AHC1G86DBVR</v>
      </c>
      <c r="Q157" s="1" t="str">
        <f t="shared" si="161"/>
        <v>TI SN74AHC1G86DBV</v>
      </c>
    </row>
    <row r="158">
      <c r="D158" s="282"/>
      <c r="F158" s="1">
        <v>4.0</v>
      </c>
      <c r="G158" s="60">
        <f t="shared" si="2"/>
        <v>27</v>
      </c>
      <c r="H158" s="1" t="str">
        <f t="shared" si="3"/>
        <v>Edges v2.0</v>
      </c>
      <c r="I158" t="str">
        <f t="shared" si="4"/>
        <v>S</v>
      </c>
      <c r="J158" s="1" t="str">
        <f t="shared" ref="J158:Q158" si="162">indirect(address($G158+4, column()-9, 4, , $H158))</f>
        <v>IC3, IC4, IC10, IC12</v>
      </c>
      <c r="K158" s="1">
        <f t="shared" si="162"/>
        <v>4</v>
      </c>
      <c r="L158" s="1" t="str">
        <f t="shared" si="162"/>
        <v>MCP6002 dual op-amp R2R IO</v>
      </c>
      <c r="M158" s="1" t="str">
        <f t="shared" si="162"/>
        <v/>
      </c>
      <c r="N158" s="1" t="str">
        <f t="shared" si="162"/>
        <v/>
      </c>
      <c r="O158" s="1" t="str">
        <f t="shared" si="162"/>
        <v>SOIC8</v>
      </c>
      <c r="P158" s="1" t="str">
        <f t="shared" si="162"/>
        <v>579-MCP6002-I/SN</v>
      </c>
      <c r="Q158" s="1" t="str">
        <f t="shared" si="162"/>
        <v>MCP6002-I/SN</v>
      </c>
    </row>
    <row r="159">
      <c r="D159" s="282"/>
      <c r="F159" s="1">
        <v>4.0</v>
      </c>
      <c r="G159" s="60">
        <f t="shared" si="2"/>
        <v>28</v>
      </c>
      <c r="H159" s="1" t="str">
        <f t="shared" si="3"/>
        <v>Edges v2.0</v>
      </c>
      <c r="I159" t="str">
        <f t="shared" si="4"/>
        <v>S</v>
      </c>
      <c r="J159" s="1" t="str">
        <f t="shared" ref="J159:Q159" si="163">indirect(address($G159+4, column()-9, 4, , $H159))</f>
        <v>IC2, IC7, IC9</v>
      </c>
      <c r="K159" s="1">
        <f t="shared" si="163"/>
        <v>3</v>
      </c>
      <c r="L159" s="1" t="str">
        <f t="shared" si="163"/>
        <v>TL072 dual op-amp</v>
      </c>
      <c r="M159" s="1" t="str">
        <f t="shared" si="163"/>
        <v/>
      </c>
      <c r="N159" s="1" t="str">
        <f t="shared" si="163"/>
        <v/>
      </c>
      <c r="O159" s="1" t="str">
        <f t="shared" si="163"/>
        <v>SOIC8</v>
      </c>
      <c r="P159" s="1" t="str">
        <f t="shared" si="163"/>
        <v>595-TL072CD</v>
      </c>
      <c r="Q159" s="1" t="str">
        <f t="shared" si="163"/>
        <v>Texas Instruments TL072CD</v>
      </c>
    </row>
    <row r="160">
      <c r="D160" s="282"/>
      <c r="F160" s="1">
        <v>4.0</v>
      </c>
      <c r="G160" s="60">
        <f t="shared" si="2"/>
        <v>29</v>
      </c>
      <c r="H160" s="1" t="str">
        <f t="shared" si="3"/>
        <v>Edges v2.0</v>
      </c>
      <c r="I160" t="str">
        <f t="shared" si="4"/>
        <v>S</v>
      </c>
      <c r="J160" s="1" t="str">
        <f t="shared" ref="J160:Q160" si="164">indirect(address($G160+4, column()-9, 4, , $H160))</f>
        <v>IC16</v>
      </c>
      <c r="K160" s="1">
        <f t="shared" si="164"/>
        <v>1</v>
      </c>
      <c r="L160" s="1" t="str">
        <f t="shared" si="164"/>
        <v>ATXMega32A4U-AU</v>
      </c>
      <c r="M160" s="1" t="str">
        <f t="shared" si="164"/>
        <v/>
      </c>
      <c r="N160" s="1" t="str">
        <f t="shared" si="164"/>
        <v/>
      </c>
      <c r="O160" s="1" t="str">
        <f t="shared" si="164"/>
        <v>TQFP44</v>
      </c>
      <c r="P160" s="1" t="str">
        <f t="shared" si="164"/>
        <v>556-ATXMEGA32A4U-AU</v>
      </c>
      <c r="Q160" s="1" t="str">
        <f t="shared" si="164"/>
        <v>ATXMega32A4U-AU</v>
      </c>
    </row>
    <row r="161">
      <c r="D161" s="282"/>
      <c r="F161" s="1">
        <v>4.0</v>
      </c>
      <c r="G161" s="60">
        <f t="shared" si="2"/>
        <v>30</v>
      </c>
      <c r="H161" s="1" t="str">
        <f t="shared" si="3"/>
        <v>Edges v2.0</v>
      </c>
      <c r="I161" t="str">
        <f t="shared" si="4"/>
        <v>S</v>
      </c>
      <c r="J161" s="1" t="str">
        <f t="shared" ref="J161:Q161" si="165">indirect(address($G161+4, column()-9, 4, , $H161))</f>
        <v>Q1, Q2, Q3, Q4</v>
      </c>
      <c r="K161" s="1">
        <f t="shared" si="165"/>
        <v>4</v>
      </c>
      <c r="L161" s="1" t="str">
        <f t="shared" si="165"/>
        <v>NPN transistor MMBT3904</v>
      </c>
      <c r="M161" s="1" t="str">
        <f t="shared" si="165"/>
        <v/>
      </c>
      <c r="N161" s="1" t="str">
        <f t="shared" si="165"/>
        <v/>
      </c>
      <c r="O161" s="1" t="str">
        <f t="shared" si="165"/>
        <v>SOT23</v>
      </c>
      <c r="P161" s="1" t="str">
        <f t="shared" si="165"/>
        <v>863-MMBT3904LT1G</v>
      </c>
      <c r="Q161" s="1" t="str">
        <f t="shared" si="165"/>
        <v>On Semi MMBT3904LT1G</v>
      </c>
    </row>
    <row r="162">
      <c r="D162" s="282"/>
      <c r="F162" s="1">
        <v>4.0</v>
      </c>
      <c r="G162" s="60">
        <f t="shared" si="2"/>
        <v>31</v>
      </c>
      <c r="H162" s="1" t="str">
        <f t="shared" si="3"/>
        <v>Edges v2.0</v>
      </c>
      <c r="I162" t="str">
        <f t="shared" si="4"/>
        <v/>
      </c>
      <c r="J162" s="1" t="str">
        <f t="shared" ref="J162:Q162" si="166">indirect(address($G162+4, column()-9, 4, , $H162))</f>
        <v>PTH parts, top side</v>
      </c>
      <c r="K162" s="1" t="str">
        <f t="shared" si="166"/>
        <v/>
      </c>
      <c r="L162" s="1" t="str">
        <f t="shared" si="166"/>
        <v/>
      </c>
      <c r="M162" s="1" t="str">
        <f t="shared" si="166"/>
        <v/>
      </c>
      <c r="N162" s="1" t="str">
        <f t="shared" si="166"/>
        <v/>
      </c>
      <c r="O162" s="1" t="str">
        <f t="shared" si="166"/>
        <v/>
      </c>
      <c r="P162" s="1" t="str">
        <f t="shared" si="166"/>
        <v/>
      </c>
      <c r="Q162" s="1" t="str">
        <f t="shared" si="166"/>
        <v/>
      </c>
    </row>
    <row r="163">
      <c r="D163" s="282"/>
      <c r="F163" s="1">
        <v>4.0</v>
      </c>
      <c r="G163" s="60">
        <f t="shared" si="2"/>
        <v>32</v>
      </c>
      <c r="H163" s="1" t="str">
        <f t="shared" si="3"/>
        <v>Edges v2.0</v>
      </c>
      <c r="I163" t="str">
        <f t="shared" si="4"/>
        <v>U</v>
      </c>
      <c r="J163" s="1" t="str">
        <f t="shared" ref="J163:Q163" si="167">indirect(address($G163+4, column()-9, 4, , $H163))</f>
        <v>LED1, LED2, LED3, LED4</v>
      </c>
      <c r="K163" s="1">
        <f t="shared" si="167"/>
        <v>4</v>
      </c>
      <c r="L163" s="1" t="str">
        <f t="shared" si="167"/>
        <v>LED 3mm, green, round</v>
      </c>
      <c r="M163" s="1" t="str">
        <f t="shared" si="167"/>
        <v/>
      </c>
      <c r="N163" s="1" t="str">
        <f t="shared" si="167"/>
        <v/>
      </c>
      <c r="O163" s="1" t="str">
        <f t="shared" si="167"/>
        <v/>
      </c>
      <c r="P163" s="1" t="str">
        <f t="shared" si="167"/>
        <v>604-WP710A10GD</v>
      </c>
      <c r="Q163" s="1" t="str">
        <f t="shared" si="167"/>
        <v>Kingbright WP710A10GD ou L-710A10GD</v>
      </c>
    </row>
    <row r="164">
      <c r="D164" s="282"/>
      <c r="F164" s="1">
        <v>4.0</v>
      </c>
      <c r="G164" s="60">
        <f t="shared" si="2"/>
        <v>33</v>
      </c>
      <c r="H164" s="1" t="str">
        <f t="shared" si="3"/>
        <v>Edges v2.0</v>
      </c>
      <c r="I164" t="str">
        <f t="shared" si="4"/>
        <v>U</v>
      </c>
      <c r="J164" s="1" t="str">
        <f t="shared" ref="J164:Q164" si="168">indirect(address($G164+4, column()-9, 4, , $H164))</f>
        <v/>
      </c>
      <c r="K164" s="1">
        <f t="shared" si="168"/>
        <v>4</v>
      </c>
      <c r="L164" s="1" t="str">
        <f t="shared" si="168"/>
        <v>Support LED 10mm</v>
      </c>
      <c r="M164" s="1" t="str">
        <f t="shared" si="168"/>
        <v>Ø 3mm, 10mm haut.</v>
      </c>
      <c r="N164" s="1" t="str">
        <f t="shared" si="168"/>
        <v/>
      </c>
      <c r="O164" s="1" t="str">
        <f t="shared" si="168"/>
        <v/>
      </c>
      <c r="P164" s="1" t="str">
        <f t="shared" si="168"/>
        <v/>
      </c>
      <c r="Q164" s="1" t="str">
        <f t="shared" si="168"/>
        <v>MULTICOMP LED3-10</v>
      </c>
    </row>
    <row r="165">
      <c r="D165" s="282"/>
      <c r="F165" s="1">
        <v>4.0</v>
      </c>
      <c r="G165" s="60">
        <f t="shared" si="2"/>
        <v>34</v>
      </c>
      <c r="H165" s="1" t="str">
        <f t="shared" si="3"/>
        <v>Edges v2.0</v>
      </c>
      <c r="I165" t="str">
        <f t="shared" si="4"/>
        <v>U</v>
      </c>
      <c r="J165" s="1" t="str">
        <f t="shared" ref="J165:Q165" si="169">indirect(address($G165+4, column()-9, 4, , $H165))</f>
        <v>J1, J2, J3, J4, J5, J6, J7, J8, J9, J10, J11, J12, J13, J14, J15, J16, J17</v>
      </c>
      <c r="K165" s="1">
        <f t="shared" si="169"/>
        <v>17</v>
      </c>
      <c r="L165" s="1" t="str">
        <f t="shared" si="169"/>
        <v>Vertical jack connector</v>
      </c>
      <c r="M165" s="1" t="str">
        <f t="shared" si="169"/>
        <v/>
      </c>
      <c r="N165" s="1" t="str">
        <f t="shared" si="169"/>
        <v/>
      </c>
      <c r="O165" s="1" t="str">
        <f t="shared" si="169"/>
        <v/>
      </c>
      <c r="P165" s="1" t="str">
        <f t="shared" si="169"/>
        <v/>
      </c>
      <c r="Q165" s="1" t="str">
        <f t="shared" si="169"/>
        <v>PJ-301-M-12</v>
      </c>
    </row>
    <row r="166">
      <c r="D166" s="282"/>
      <c r="F166" s="1">
        <v>4.0</v>
      </c>
      <c r="G166" s="60">
        <f t="shared" si="2"/>
        <v>35</v>
      </c>
      <c r="H166" s="1" t="str">
        <f t="shared" si="3"/>
        <v>Edges v2.0</v>
      </c>
      <c r="I166" t="str">
        <f t="shared" si="4"/>
        <v>U</v>
      </c>
      <c r="J166" s="1" t="str">
        <f t="shared" ref="J166:Q166" si="170">indirect(address($G166+4, column()-9, 4, , $H166))</f>
        <v>Q5</v>
      </c>
      <c r="K166" s="1">
        <f t="shared" si="170"/>
        <v>1</v>
      </c>
      <c r="L166" s="1" t="str">
        <f t="shared" si="170"/>
        <v>8 MHz quartz</v>
      </c>
      <c r="M166" s="1" t="str">
        <f t="shared" si="170"/>
        <v/>
      </c>
      <c r="N166" s="1" t="str">
        <f t="shared" si="170"/>
        <v/>
      </c>
      <c r="O166" s="1" t="str">
        <f t="shared" si="170"/>
        <v>HC49</v>
      </c>
      <c r="P166" s="1" t="str">
        <f t="shared" si="170"/>
        <v>815-ABL-8-B2</v>
      </c>
      <c r="Q166" s="1" t="str">
        <f t="shared" si="170"/>
        <v/>
      </c>
    </row>
    <row r="167">
      <c r="D167" s="282"/>
      <c r="F167" s="1">
        <v>4.0</v>
      </c>
      <c r="G167" s="60">
        <f t="shared" si="2"/>
        <v>36</v>
      </c>
      <c r="H167" s="1" t="str">
        <f t="shared" si="3"/>
        <v>Edges v2.0</v>
      </c>
      <c r="I167" t="str">
        <f t="shared" si="4"/>
        <v>U</v>
      </c>
      <c r="J167" s="1" t="str">
        <f t="shared" ref="J167:Q167" si="171">indirect(address($G167+4, column()-9, 4, , $H167))</f>
        <v>R4, R5, R31, R32, R41, R42, R68, R69</v>
      </c>
      <c r="K167" s="1">
        <f t="shared" si="171"/>
        <v>8</v>
      </c>
      <c r="L167" s="1" t="str">
        <f t="shared" si="171"/>
        <v>10k linear pot, 15mm shaft</v>
      </c>
      <c r="M167" s="1" t="str">
        <f t="shared" si="171"/>
        <v/>
      </c>
      <c r="N167" s="1" t="str">
        <f t="shared" si="171"/>
        <v/>
      </c>
      <c r="O167" s="1" t="str">
        <f t="shared" si="171"/>
        <v/>
      </c>
      <c r="P167" s="1" t="str">
        <f t="shared" si="171"/>
        <v/>
      </c>
      <c r="Q167" s="288" t="str">
        <f t="shared" si="171"/>
        <v>https://www.thonk.co.uk/shop/alpha-9mm-pots/</v>
      </c>
    </row>
    <row r="168">
      <c r="D168" s="282"/>
      <c r="F168" s="1">
        <v>4.0</v>
      </c>
      <c r="G168" s="60">
        <f t="shared" si="2"/>
        <v>37</v>
      </c>
      <c r="H168" s="1" t="str">
        <f t="shared" si="3"/>
        <v>Edges v2.0</v>
      </c>
      <c r="I168" t="str">
        <f t="shared" si="4"/>
        <v>U</v>
      </c>
      <c r="J168" s="1" t="str">
        <f t="shared" ref="J168:Q168" si="172">indirect(address($G168+4, column()-9, 4, , $H168))</f>
        <v>SW1, SW2, SW3</v>
      </c>
      <c r="K168" s="1">
        <f t="shared" si="172"/>
        <v>3</v>
      </c>
      <c r="L168" s="1" t="str">
        <f t="shared" si="172"/>
        <v>Toggle switch, SPDT</v>
      </c>
      <c r="M168" s="1" t="str">
        <f t="shared" si="172"/>
        <v/>
      </c>
      <c r="N168" s="1" t="str">
        <f t="shared" si="172"/>
        <v/>
      </c>
      <c r="O168" s="1" t="str">
        <f t="shared" si="172"/>
        <v/>
      </c>
      <c r="P168" s="1" t="str">
        <f t="shared" si="172"/>
        <v>633-CS12ANW03</v>
      </c>
      <c r="Q168" s="1" t="str">
        <f t="shared" si="172"/>
        <v/>
      </c>
    </row>
    <row r="169">
      <c r="D169" s="282"/>
      <c r="F169" s="1">
        <v>4.0</v>
      </c>
      <c r="G169" s="60">
        <f t="shared" si="2"/>
        <v>38</v>
      </c>
      <c r="H169" s="1" t="str">
        <f t="shared" si="3"/>
        <v>Edges v2.0</v>
      </c>
      <c r="I169" t="str">
        <f t="shared" si="4"/>
        <v>U</v>
      </c>
      <c r="J169" s="1" t="str">
        <f t="shared" ref="J169:Q169" si="173">indirect(address($G169+4, column()-9, 4, , $H169))</f>
        <v>SW4, SW5, SW6, SW7</v>
      </c>
      <c r="K169" s="1">
        <f t="shared" si="173"/>
        <v>4</v>
      </c>
      <c r="L169" s="1" t="str">
        <f t="shared" si="173"/>
        <v>Switch, 6mm</v>
      </c>
      <c r="M169" s="1" t="str">
        <f t="shared" si="173"/>
        <v/>
      </c>
      <c r="N169" s="1" t="str">
        <f t="shared" si="173"/>
        <v/>
      </c>
      <c r="O169" s="1" t="str">
        <f t="shared" si="173"/>
        <v/>
      </c>
      <c r="P169" s="1" t="str">
        <f t="shared" si="173"/>
        <v>612-TL1105SP-250</v>
      </c>
      <c r="Q169" s="1" t="str">
        <f t="shared" si="173"/>
        <v>E-switch TL1105SPF250Q</v>
      </c>
    </row>
    <row r="170">
      <c r="D170" s="282"/>
      <c r="F170" s="1">
        <v>4.0</v>
      </c>
      <c r="G170" s="60">
        <f t="shared" si="2"/>
        <v>39</v>
      </c>
      <c r="H170" s="1" t="str">
        <f t="shared" si="3"/>
        <v>Edges v2.0</v>
      </c>
      <c r="I170" t="str">
        <f t="shared" si="4"/>
        <v>U</v>
      </c>
      <c r="J170" s="1" t="str">
        <f t="shared" ref="J170:Q170" si="174">indirect(address($G170+4, column()-9, 4, , $H170))</f>
        <v>- SW4, SW5, SW6, SW7</v>
      </c>
      <c r="K170" s="1">
        <f t="shared" si="174"/>
        <v>4</v>
      </c>
      <c r="L170" s="1" t="str">
        <f t="shared" si="174"/>
        <v>Cap for switch, black</v>
      </c>
      <c r="M170" s="1" t="str">
        <f t="shared" si="174"/>
        <v/>
      </c>
      <c r="N170" s="1" t="str">
        <f t="shared" si="174"/>
        <v/>
      </c>
      <c r="O170" s="1" t="str">
        <f t="shared" si="174"/>
        <v/>
      </c>
      <c r="P170" s="1" t="str">
        <f t="shared" si="174"/>
        <v>612-1R-BK</v>
      </c>
      <c r="Q170" s="1" t="str">
        <f t="shared" si="174"/>
        <v>E-switch 1RBLK</v>
      </c>
    </row>
    <row r="171">
      <c r="D171" s="282"/>
      <c r="F171" s="1">
        <v>4.0</v>
      </c>
      <c r="G171" s="60">
        <f t="shared" si="2"/>
        <v>40</v>
      </c>
      <c r="H171" s="1" t="str">
        <f t="shared" si="3"/>
        <v>Edges v2.0</v>
      </c>
      <c r="I171" t="str">
        <f t="shared" si="4"/>
        <v/>
      </c>
      <c r="J171" s="1" t="str">
        <f t="shared" ref="J171:Q171" si="175">indirect(address($G171+4, column()-9, 4, , $H171))</f>
        <v>PTH parts, bottom side</v>
      </c>
      <c r="K171" s="290" t="str">
        <f t="shared" si="175"/>
        <v/>
      </c>
      <c r="L171" s="1" t="str">
        <f t="shared" si="175"/>
        <v/>
      </c>
      <c r="M171" s="1" t="str">
        <f t="shared" si="175"/>
        <v/>
      </c>
      <c r="N171" s="289" t="str">
        <f t="shared" si="175"/>
        <v/>
      </c>
      <c r="O171" s="289" t="str">
        <f t="shared" si="175"/>
        <v/>
      </c>
      <c r="P171" s="290" t="str">
        <f t="shared" si="175"/>
        <v/>
      </c>
      <c r="Q171" s="1" t="str">
        <f t="shared" si="175"/>
        <v/>
      </c>
    </row>
    <row r="172">
      <c r="D172" s="282"/>
      <c r="F172" s="1">
        <v>4.0</v>
      </c>
      <c r="G172" s="60">
        <f t="shared" si="2"/>
        <v>41</v>
      </c>
      <c r="H172" s="1" t="str">
        <f t="shared" si="3"/>
        <v>Edges v2.0</v>
      </c>
      <c r="I172" t="str">
        <f t="shared" si="4"/>
        <v>D</v>
      </c>
      <c r="J172" s="1" t="str">
        <f t="shared" ref="J172:Q172" si="176">indirect(address($G172+4, column()-9, 4, , $H172))</f>
        <v>J19</v>
      </c>
      <c r="K172" s="1">
        <f t="shared" si="176"/>
        <v>1</v>
      </c>
      <c r="L172" s="1" t="str">
        <f t="shared" si="176"/>
        <v>2x5, 2.54mm pitch male header</v>
      </c>
      <c r="M172" s="1" t="str">
        <f t="shared" si="176"/>
        <v/>
      </c>
      <c r="N172" s="1" t="str">
        <f t="shared" si="176"/>
        <v/>
      </c>
      <c r="O172" s="1" t="str">
        <f t="shared" si="176"/>
        <v/>
      </c>
      <c r="P172" s="1" t="str">
        <f t="shared" si="176"/>
        <v>649-67996-410HLF</v>
      </c>
      <c r="Q172" s="1" t="str">
        <f t="shared" si="176"/>
        <v/>
      </c>
    </row>
    <row r="173">
      <c r="D173" s="282"/>
      <c r="F173" s="1">
        <v>4.0</v>
      </c>
      <c r="G173" s="60">
        <f t="shared" si="2"/>
        <v>42</v>
      </c>
      <c r="H173" s="1" t="str">
        <f t="shared" si="3"/>
        <v>Edges v2.0</v>
      </c>
      <c r="I173" t="str">
        <f t="shared" si="4"/>
        <v>D</v>
      </c>
      <c r="J173" s="1" t="str">
        <f t="shared" ref="J173:Q173" si="177">indirect(address($G173+4, column()-9, 4, , $H173))</f>
        <v>J20 (ISP)</v>
      </c>
      <c r="K173" s="1">
        <f t="shared" si="177"/>
        <v>1</v>
      </c>
      <c r="L173" s="1" t="str">
        <f t="shared" si="177"/>
        <v>2x3, 2.54mm pitch male header</v>
      </c>
      <c r="M173" s="1" t="str">
        <f t="shared" si="177"/>
        <v/>
      </c>
      <c r="N173" s="1" t="str">
        <f t="shared" si="177"/>
        <v/>
      </c>
      <c r="O173" s="1" t="str">
        <f t="shared" si="177"/>
        <v/>
      </c>
      <c r="P173" s="1" t="str">
        <f t="shared" si="177"/>
        <v>649-67996-406HLF</v>
      </c>
      <c r="Q173" s="1" t="str">
        <f t="shared" si="177"/>
        <v/>
      </c>
    </row>
    <row r="174">
      <c r="D174" s="282"/>
      <c r="F174" s="1">
        <v>4.0</v>
      </c>
      <c r="G174" s="60">
        <f t="shared" si="2"/>
        <v>43</v>
      </c>
      <c r="H174" s="1" t="str">
        <f t="shared" si="3"/>
        <v>Edges v2.0</v>
      </c>
      <c r="I174" t="str">
        <f t="shared" si="4"/>
        <v>D</v>
      </c>
      <c r="J174" s="1" t="str">
        <f t="shared" ref="J174:Q174" si="178">indirect(address($G174+4, column()-9, 4, , $H174))</f>
        <v>J18 (no label)</v>
      </c>
      <c r="K174" s="1">
        <f t="shared" si="178"/>
        <v>0</v>
      </c>
      <c r="L174" s="1" t="str">
        <f t="shared" si="178"/>
        <v>2x3, 2.54mm pitch male header</v>
      </c>
      <c r="M174" s="1" t="str">
        <f t="shared" si="178"/>
        <v/>
      </c>
      <c r="N174" s="1" t="str">
        <f t="shared" si="178"/>
        <v/>
      </c>
      <c r="O174" s="1" t="str">
        <f t="shared" si="178"/>
        <v/>
      </c>
      <c r="P174" s="1" t="str">
        <f t="shared" si="178"/>
        <v>649-67996-406HLF</v>
      </c>
      <c r="Q174" s="1" t="str">
        <f t="shared" si="178"/>
        <v/>
      </c>
    </row>
    <row r="175">
      <c r="D175" s="282"/>
      <c r="F175" s="1">
        <v>4.0</v>
      </c>
      <c r="G175" s="60">
        <f t="shared" si="2"/>
        <v>44</v>
      </c>
      <c r="H175" s="1" t="str">
        <f t="shared" si="3"/>
        <v>Edges v2.0</v>
      </c>
      <c r="I175" t="str">
        <f t="shared" si="4"/>
        <v/>
      </c>
      <c r="J175" s="1" t="str">
        <f t="shared" ref="J175:Q175" si="179">indirect(address($G175+4, column()-9, 4, , $H175))</f>
        <v>PCB specifications</v>
      </c>
      <c r="K175" s="290" t="str">
        <f t="shared" si="179"/>
        <v/>
      </c>
      <c r="L175" s="1" t="str">
        <f t="shared" si="179"/>
        <v/>
      </c>
      <c r="M175" s="1" t="str">
        <f t="shared" si="179"/>
        <v/>
      </c>
      <c r="N175" s="289" t="str">
        <f t="shared" si="179"/>
        <v/>
      </c>
      <c r="O175" s="289" t="str">
        <f t="shared" si="179"/>
        <v/>
      </c>
      <c r="P175" s="290" t="str">
        <f t="shared" si="179"/>
        <v/>
      </c>
      <c r="Q175" s="1" t="str">
        <f t="shared" si="179"/>
        <v/>
      </c>
    </row>
    <row r="176">
      <c r="D176" s="282"/>
      <c r="F176" s="1">
        <v>4.0</v>
      </c>
      <c r="G176" s="60">
        <f t="shared" si="2"/>
        <v>45</v>
      </c>
      <c r="H176" s="1" t="str">
        <f t="shared" si="3"/>
        <v>Edges v2.0</v>
      </c>
      <c r="I176" t="str">
        <f t="shared" si="4"/>
        <v>P</v>
      </c>
      <c r="J176" s="1" t="str">
        <f t="shared" ref="J176:Q176" si="180">indirect(address($G176+4, column()-9, 4, , $H176))</f>
        <v>PCB</v>
      </c>
      <c r="K176" s="290" t="str">
        <f t="shared" si="180"/>
        <v/>
      </c>
      <c r="L176" s="1" t="str">
        <f t="shared" si="180"/>
        <v>97.8 x 102.8  ; 2 layers</v>
      </c>
      <c r="M176" s="1" t="str">
        <f t="shared" si="180"/>
        <v/>
      </c>
      <c r="N176" s="289" t="str">
        <f t="shared" si="180"/>
        <v/>
      </c>
      <c r="O176" s="289" t="str">
        <f t="shared" si="180"/>
        <v/>
      </c>
      <c r="P176" s="290" t="str">
        <f t="shared" si="180"/>
        <v/>
      </c>
      <c r="Q176" s="1" t="str">
        <f t="shared" si="180"/>
        <v/>
      </c>
    </row>
    <row r="177">
      <c r="D177" s="282"/>
      <c r="F177" s="1">
        <v>5.0</v>
      </c>
      <c r="G177" s="60">
        <f t="shared" si="2"/>
        <v>0</v>
      </c>
      <c r="H177" s="1" t="str">
        <f t="shared" si="3"/>
        <v>Elements v0.21</v>
      </c>
      <c r="I177" t="str">
        <f t="shared" si="4"/>
        <v>S</v>
      </c>
      <c r="J177" s="1" t="str">
        <f t="shared" ref="J177:Q177" si="181">indirect(address($G177+4, column()-9, 4, , $H177))</f>
        <v>R10</v>
      </c>
      <c r="K177" s="1">
        <f t="shared" si="181"/>
        <v>1</v>
      </c>
      <c r="L177" s="1" t="str">
        <f t="shared" si="181"/>
        <v>Resistor, 1%</v>
      </c>
      <c r="M177" s="1" t="str">
        <f t="shared" si="181"/>
        <v/>
      </c>
      <c r="N177" s="1">
        <f t="shared" si="181"/>
        <v>33</v>
      </c>
      <c r="O177" s="1" t="str">
        <f t="shared" si="181"/>
        <v>0603</v>
      </c>
      <c r="P177" s="1" t="str">
        <f t="shared" si="181"/>
        <v>667-ERJ-3EKF33R0V</v>
      </c>
      <c r="Q177" s="1" t="str">
        <f t="shared" si="181"/>
        <v/>
      </c>
    </row>
    <row r="178">
      <c r="D178" s="282"/>
      <c r="F178" s="1">
        <v>5.0</v>
      </c>
      <c r="G178" s="60">
        <f t="shared" si="2"/>
        <v>1</v>
      </c>
      <c r="H178" s="1" t="str">
        <f t="shared" si="3"/>
        <v>Elements v0.21</v>
      </c>
      <c r="I178" t="str">
        <f t="shared" si="4"/>
        <v>S</v>
      </c>
      <c r="J178" s="1" t="str">
        <f t="shared" ref="J178:Q178" si="182">indirect(address($G178+4, column()-9, 4, , $H178))</f>
        <v>R1, R2, R88, R89</v>
      </c>
      <c r="K178" s="1">
        <f t="shared" si="182"/>
        <v>4</v>
      </c>
      <c r="L178" s="1" t="str">
        <f t="shared" si="182"/>
        <v>Resistor, 1%</v>
      </c>
      <c r="M178" s="1" t="str">
        <f t="shared" si="182"/>
        <v/>
      </c>
      <c r="N178" s="1" t="str">
        <f t="shared" si="182"/>
        <v>1.0k</v>
      </c>
      <c r="O178" s="1" t="str">
        <f t="shared" si="182"/>
        <v>0603</v>
      </c>
      <c r="P178" s="1" t="str">
        <f t="shared" si="182"/>
        <v>667-ERJ-3EKF1001V</v>
      </c>
      <c r="Q178" s="1" t="str">
        <f t="shared" si="182"/>
        <v/>
      </c>
    </row>
    <row r="179">
      <c r="D179" s="282"/>
      <c r="F179" s="1">
        <v>5.0</v>
      </c>
      <c r="G179" s="60">
        <f t="shared" si="2"/>
        <v>2</v>
      </c>
      <c r="H179" s="1" t="str">
        <f t="shared" si="3"/>
        <v>Elements v0.21</v>
      </c>
      <c r="I179" t="str">
        <f t="shared" si="4"/>
        <v>S</v>
      </c>
      <c r="J179" s="1" t="str">
        <f t="shared" ref="J179:Q179" si="183">indirect(address($G179+4, column()-9, 4, , $H179))</f>
        <v>R44, R47, R52, R53</v>
      </c>
      <c r="K179" s="1">
        <f t="shared" si="183"/>
        <v>4</v>
      </c>
      <c r="L179" s="1" t="str">
        <f t="shared" si="183"/>
        <v>Resistor, 1%</v>
      </c>
      <c r="M179" s="1" t="str">
        <f t="shared" si="183"/>
        <v/>
      </c>
      <c r="N179" s="1" t="str">
        <f t="shared" si="183"/>
        <v>2.2k</v>
      </c>
      <c r="O179" s="1" t="str">
        <f t="shared" si="183"/>
        <v>0603</v>
      </c>
      <c r="P179" s="1" t="str">
        <f t="shared" si="183"/>
        <v>667-ERJ-3EKF2201V</v>
      </c>
      <c r="Q179" s="1" t="str">
        <f t="shared" si="183"/>
        <v/>
      </c>
    </row>
    <row r="180">
      <c r="D180" s="282"/>
      <c r="F180" s="1">
        <v>5.0</v>
      </c>
      <c r="G180" s="60">
        <f t="shared" si="2"/>
        <v>3</v>
      </c>
      <c r="H180" s="1" t="str">
        <f t="shared" si="3"/>
        <v>Elements v0.21</v>
      </c>
      <c r="I180" t="str">
        <f t="shared" si="4"/>
        <v>S</v>
      </c>
      <c r="J180" s="1" t="str">
        <f t="shared" ref="J180:Q180" si="184">indirect(address($G180+4, column()-9, 4, , $H180))</f>
        <v>R58, R68, R74, R87</v>
      </c>
      <c r="K180" s="1">
        <f t="shared" si="184"/>
        <v>4</v>
      </c>
      <c r="L180" s="1" t="str">
        <f t="shared" si="184"/>
        <v>Resistor, 1%</v>
      </c>
      <c r="M180" s="1" t="str">
        <f t="shared" si="184"/>
        <v/>
      </c>
      <c r="N180" s="1" t="str">
        <f t="shared" si="184"/>
        <v>6.8k</v>
      </c>
      <c r="O180" s="1" t="str">
        <f t="shared" si="184"/>
        <v>0603</v>
      </c>
      <c r="P180" s="1" t="str">
        <f t="shared" si="184"/>
        <v>667-ERJ-3EKF6801V</v>
      </c>
      <c r="Q180" s="1" t="str">
        <f t="shared" si="184"/>
        <v/>
      </c>
    </row>
    <row r="181">
      <c r="D181" s="282"/>
      <c r="F181" s="1">
        <v>5.0</v>
      </c>
      <c r="G181" s="60">
        <f t="shared" si="2"/>
        <v>4</v>
      </c>
      <c r="H181" s="1" t="str">
        <f t="shared" si="3"/>
        <v>Elements v0.21</v>
      </c>
      <c r="I181" t="str">
        <f t="shared" si="4"/>
        <v>S</v>
      </c>
      <c r="J181" s="1" t="str">
        <f t="shared" ref="J181:Q181" si="185">indirect(address($G181+4, column()-9, 4, , $H181))</f>
        <v>R45, R50, R60</v>
      </c>
      <c r="K181" s="1">
        <f t="shared" si="185"/>
        <v>3</v>
      </c>
      <c r="L181" s="1" t="str">
        <f t="shared" si="185"/>
        <v>Resistor, 1%</v>
      </c>
      <c r="M181" s="1" t="str">
        <f t="shared" si="185"/>
        <v/>
      </c>
      <c r="N181" s="1" t="str">
        <f t="shared" si="185"/>
        <v>10k</v>
      </c>
      <c r="O181" s="1" t="str">
        <f t="shared" si="185"/>
        <v>0603</v>
      </c>
      <c r="P181" s="1" t="str">
        <f t="shared" si="185"/>
        <v>667-ERJ-3EKF1002V</v>
      </c>
      <c r="Q181" s="1" t="str">
        <f t="shared" si="185"/>
        <v/>
      </c>
    </row>
    <row r="182">
      <c r="D182" s="282"/>
      <c r="F182" s="1">
        <v>5.0</v>
      </c>
      <c r="G182" s="60">
        <f t="shared" si="2"/>
        <v>5</v>
      </c>
      <c r="H182" s="1" t="str">
        <f t="shared" si="3"/>
        <v>Elements v0.21</v>
      </c>
      <c r="I182" t="str">
        <f t="shared" si="4"/>
        <v>S</v>
      </c>
      <c r="J182" s="1" t="str">
        <f t="shared" ref="J182:Q182" si="186">indirect(address($G182+4, column()-9, 4, , $H182))</f>
        <v>R11, R12, R17, R18, R28, R29, R35, R46, R48, R49, R73</v>
      </c>
      <c r="K182" s="1">
        <f t="shared" si="186"/>
        <v>11</v>
      </c>
      <c r="L182" s="1" t="str">
        <f t="shared" si="186"/>
        <v>Resistor, 1%</v>
      </c>
      <c r="M182" s="1" t="str">
        <f t="shared" si="186"/>
        <v/>
      </c>
      <c r="N182" s="1" t="str">
        <f t="shared" si="186"/>
        <v>20k</v>
      </c>
      <c r="O182" s="1" t="str">
        <f t="shared" si="186"/>
        <v>0603</v>
      </c>
      <c r="P182" s="1" t="str">
        <f t="shared" si="186"/>
        <v>667-ERJ-3EKF2002V</v>
      </c>
      <c r="Q182" s="1" t="str">
        <f t="shared" si="186"/>
        <v/>
      </c>
    </row>
    <row r="183">
      <c r="D183" s="282"/>
      <c r="F183" s="1">
        <v>5.0</v>
      </c>
      <c r="G183" s="60">
        <f t="shared" si="2"/>
        <v>6</v>
      </c>
      <c r="H183" s="1" t="str">
        <f t="shared" si="3"/>
        <v>Elements v0.21</v>
      </c>
      <c r="I183" t="str">
        <f t="shared" si="4"/>
        <v>S</v>
      </c>
      <c r="J183" s="1" t="str">
        <f t="shared" ref="J183:Q183" si="187">indirect(address($G183+4, column()-9, 4, , $H183))</f>
        <v>R34</v>
      </c>
      <c r="K183" s="1">
        <f t="shared" si="187"/>
        <v>1</v>
      </c>
      <c r="L183" s="1" t="str">
        <f t="shared" si="187"/>
        <v>Resistor, 1%</v>
      </c>
      <c r="M183" s="1" t="str">
        <f t="shared" si="187"/>
        <v/>
      </c>
      <c r="N183" s="1" t="str">
        <f t="shared" si="187"/>
        <v>33k</v>
      </c>
      <c r="O183" s="1" t="str">
        <f t="shared" si="187"/>
        <v>0603</v>
      </c>
      <c r="P183" s="1" t="str">
        <f t="shared" si="187"/>
        <v>667-ERJ-3EKF3302V</v>
      </c>
      <c r="Q183" s="1" t="str">
        <f t="shared" si="187"/>
        <v/>
      </c>
    </row>
    <row r="184">
      <c r="D184" s="282"/>
      <c r="F184" s="1">
        <v>5.0</v>
      </c>
      <c r="G184" s="60">
        <f t="shared" si="2"/>
        <v>7</v>
      </c>
      <c r="H184" s="1" t="str">
        <f t="shared" si="3"/>
        <v>Elements v0.21</v>
      </c>
      <c r="I184" t="str">
        <f t="shared" si="4"/>
        <v>S</v>
      </c>
      <c r="J184" s="1" t="str">
        <f t="shared" ref="J184:Q184" si="188">indirect(address($G184+4, column()-9, 4, , $H184))</f>
        <v>R75, R86</v>
      </c>
      <c r="K184" s="1">
        <f t="shared" si="188"/>
        <v>2</v>
      </c>
      <c r="L184" s="1" t="str">
        <f t="shared" si="188"/>
        <v>Resistor, 1%</v>
      </c>
      <c r="M184" s="1" t="str">
        <f t="shared" si="188"/>
        <v/>
      </c>
      <c r="N184" s="1" t="str">
        <f t="shared" si="188"/>
        <v>36k</v>
      </c>
      <c r="O184" s="1" t="str">
        <f t="shared" si="188"/>
        <v>0603</v>
      </c>
      <c r="P184" s="1" t="str">
        <f t="shared" si="188"/>
        <v>667-ERJ-3EKF3602V</v>
      </c>
      <c r="Q184" s="1" t="str">
        <f t="shared" si="188"/>
        <v/>
      </c>
    </row>
    <row r="185">
      <c r="D185" s="282"/>
      <c r="F185" s="1">
        <v>5.0</v>
      </c>
      <c r="G185" s="60">
        <f t="shared" si="2"/>
        <v>8</v>
      </c>
      <c r="H185" s="1" t="str">
        <f t="shared" si="3"/>
        <v>Elements v0.21</v>
      </c>
      <c r="I185" t="str">
        <f t="shared" si="4"/>
        <v>S</v>
      </c>
      <c r="J185" s="1" t="str">
        <f t="shared" ref="J185:Q185" si="189">indirect(address($G185+4, column()-9, 4, , $H185))</f>
        <v>R27, R51, R59, R69, R72</v>
      </c>
      <c r="K185" s="1">
        <f t="shared" si="189"/>
        <v>5</v>
      </c>
      <c r="L185" s="1" t="str">
        <f t="shared" si="189"/>
        <v>Resistor, 1%</v>
      </c>
      <c r="M185" s="1" t="str">
        <f t="shared" si="189"/>
        <v/>
      </c>
      <c r="N185" s="1" t="str">
        <f t="shared" si="189"/>
        <v>47k</v>
      </c>
      <c r="O185" s="1" t="str">
        <f t="shared" si="189"/>
        <v>0603</v>
      </c>
      <c r="P185" s="1" t="str">
        <f t="shared" si="189"/>
        <v>667-ERJ-3EKF4702V</v>
      </c>
      <c r="Q185" s="1" t="str">
        <f t="shared" si="189"/>
        <v/>
      </c>
    </row>
    <row r="186">
      <c r="D186" s="282"/>
      <c r="F186" s="1">
        <v>5.0</v>
      </c>
      <c r="G186" s="60">
        <f t="shared" si="2"/>
        <v>9</v>
      </c>
      <c r="H186" s="1" t="str">
        <f t="shared" si="3"/>
        <v>Elements v0.21</v>
      </c>
      <c r="I186" t="str">
        <f t="shared" si="4"/>
        <v>S</v>
      </c>
      <c r="J186" s="1" t="str">
        <f t="shared" ref="J186:Q186" si="190">indirect(address($G186+4, column()-9, 4, , $H186))</f>
        <v>R13, R16, R19, R22, R30, R33, R36, R39, R40, R43, R54, R57, R67, R71</v>
      </c>
      <c r="K186" s="1">
        <f t="shared" si="190"/>
        <v>14</v>
      </c>
      <c r="L186" s="1" t="str">
        <f t="shared" si="190"/>
        <v>Resistor, 1%</v>
      </c>
      <c r="M186" s="1" t="str">
        <f t="shared" si="190"/>
        <v/>
      </c>
      <c r="N186" s="1" t="str">
        <f t="shared" si="190"/>
        <v>100k</v>
      </c>
      <c r="O186" s="1" t="str">
        <f t="shared" si="190"/>
        <v>0603</v>
      </c>
      <c r="P186" s="1" t="str">
        <f t="shared" si="190"/>
        <v>667-ERJ-3EKF1003V</v>
      </c>
      <c r="Q186" s="1" t="str">
        <f t="shared" si="190"/>
        <v/>
      </c>
    </row>
    <row r="187">
      <c r="D187" s="282"/>
      <c r="F187" s="1">
        <v>5.0</v>
      </c>
      <c r="G187" s="60">
        <f t="shared" si="2"/>
        <v>10</v>
      </c>
      <c r="H187" s="1" t="str">
        <f t="shared" si="3"/>
        <v>Elements v0.21</v>
      </c>
      <c r="I187" t="str">
        <f t="shared" si="4"/>
        <v>S</v>
      </c>
      <c r="J187" s="1" t="str">
        <f t="shared" ref="J187:Q187" si="191">indirect(address($G187+4, column()-9, 4, , $H187))</f>
        <v>R14, R15, R20, R21, R32, R38, R41, R42, R55, R56, R70</v>
      </c>
      <c r="K187" s="1">
        <f t="shared" si="191"/>
        <v>11</v>
      </c>
      <c r="L187" s="1" t="str">
        <f t="shared" si="191"/>
        <v>Resistor, 1%</v>
      </c>
      <c r="M187" s="1" t="str">
        <f t="shared" si="191"/>
        <v/>
      </c>
      <c r="N187" s="1" t="str">
        <f t="shared" si="191"/>
        <v>120k</v>
      </c>
      <c r="O187" s="1" t="str">
        <f t="shared" si="191"/>
        <v>0603</v>
      </c>
      <c r="P187" s="1" t="str">
        <f t="shared" si="191"/>
        <v>667-ERJ-3EKF1203V</v>
      </c>
      <c r="Q187" s="1" t="str">
        <f t="shared" si="191"/>
        <v/>
      </c>
    </row>
    <row r="188">
      <c r="D188" s="282"/>
      <c r="F188" s="1">
        <v>5.0</v>
      </c>
      <c r="G188" s="60">
        <f t="shared" si="2"/>
        <v>11</v>
      </c>
      <c r="H188" s="1" t="str">
        <f t="shared" si="3"/>
        <v>Elements v0.21</v>
      </c>
      <c r="I188" t="str">
        <f t="shared" si="4"/>
        <v>S</v>
      </c>
      <c r="J188" s="1" t="str">
        <f t="shared" ref="J188:Q188" si="192">indirect(address($G188+4, column()-9, 4, , $H188))</f>
        <v>R37</v>
      </c>
      <c r="K188" s="1">
        <f t="shared" si="192"/>
        <v>1</v>
      </c>
      <c r="L188" s="1" t="str">
        <f t="shared" si="192"/>
        <v>Resistor, 1%</v>
      </c>
      <c r="M188" s="1" t="str">
        <f t="shared" si="192"/>
        <v/>
      </c>
      <c r="N188" s="1" t="str">
        <f t="shared" si="192"/>
        <v>180k</v>
      </c>
      <c r="O188" s="1" t="str">
        <f t="shared" si="192"/>
        <v>0603</v>
      </c>
      <c r="P188" s="1" t="str">
        <f t="shared" si="192"/>
        <v>667-ERJ-3EKF1803V</v>
      </c>
      <c r="Q188" s="1" t="str">
        <f t="shared" si="192"/>
        <v/>
      </c>
    </row>
    <row r="189">
      <c r="D189" s="282"/>
      <c r="F189" s="1">
        <v>5.0</v>
      </c>
      <c r="G189" s="60">
        <f t="shared" si="2"/>
        <v>12</v>
      </c>
      <c r="H189" s="1" t="str">
        <f t="shared" si="3"/>
        <v>Elements v0.21</v>
      </c>
      <c r="I189" t="str">
        <f t="shared" si="4"/>
        <v>S</v>
      </c>
      <c r="J189" s="1" t="str">
        <f t="shared" ref="J189:Q189" si="193">indirect(address($G189+4, column()-9, 4, , $H189))</f>
        <v>R31</v>
      </c>
      <c r="K189" s="1">
        <f t="shared" si="193"/>
        <v>1</v>
      </c>
      <c r="L189" s="1" t="str">
        <f t="shared" si="193"/>
        <v>Resistor, 1%</v>
      </c>
      <c r="M189" s="1" t="str">
        <f t="shared" si="193"/>
        <v/>
      </c>
      <c r="N189" s="1" t="str">
        <f t="shared" si="193"/>
        <v>200k</v>
      </c>
      <c r="O189" s="1" t="str">
        <f t="shared" si="193"/>
        <v>0603</v>
      </c>
      <c r="P189" s="1" t="str">
        <f t="shared" si="193"/>
        <v>667-ERJ-3EKF2003V</v>
      </c>
      <c r="Q189" s="1" t="str">
        <f t="shared" si="193"/>
        <v/>
      </c>
    </row>
    <row r="190">
      <c r="D190" s="282"/>
      <c r="F190" s="1">
        <v>5.0</v>
      </c>
      <c r="G190" s="60">
        <f t="shared" si="2"/>
        <v>13</v>
      </c>
      <c r="H190" s="1" t="str">
        <f t="shared" si="3"/>
        <v>Elements v0.21</v>
      </c>
      <c r="I190" t="str">
        <f t="shared" si="4"/>
        <v>S</v>
      </c>
      <c r="J190" s="1" t="str">
        <f t="shared" ref="J190:Q190" si="194">indirect(address($G190+4, column()-9, 4, , $H190))</f>
        <v>C11, C12, C43, C49</v>
      </c>
      <c r="K190" s="1">
        <f t="shared" si="194"/>
        <v>4</v>
      </c>
      <c r="L190" s="1" t="str">
        <f t="shared" si="194"/>
        <v>Capacitor, ceramic</v>
      </c>
      <c r="M190" s="1" t="str">
        <f t="shared" si="194"/>
        <v/>
      </c>
      <c r="N190" s="1" t="str">
        <f t="shared" si="194"/>
        <v>18p</v>
      </c>
      <c r="O190" s="1" t="str">
        <f t="shared" si="194"/>
        <v>0603</v>
      </c>
      <c r="P190" s="1" t="str">
        <f t="shared" si="194"/>
        <v>81-GRM185C1H180JA01J</v>
      </c>
      <c r="Q190" s="1" t="str">
        <f t="shared" si="194"/>
        <v>Murata GRM1885C1H180JA01J</v>
      </c>
    </row>
    <row r="191">
      <c r="D191" s="282"/>
      <c r="F191" s="1">
        <v>5.0</v>
      </c>
      <c r="G191" s="60">
        <f t="shared" si="2"/>
        <v>14</v>
      </c>
      <c r="H191" s="1" t="str">
        <f t="shared" si="3"/>
        <v>Elements v0.21</v>
      </c>
      <c r="I191" t="str">
        <f t="shared" si="4"/>
        <v>S</v>
      </c>
      <c r="J191" s="1" t="str">
        <f t="shared" ref="J191:Q191" si="195">indirect(address($G191+4, column()-9, 4, , $H191))</f>
        <v>C54, C57</v>
      </c>
      <c r="K191" s="1">
        <f t="shared" si="195"/>
        <v>2</v>
      </c>
      <c r="L191" s="1" t="str">
        <f t="shared" si="195"/>
        <v>Capacitor, ceramic</v>
      </c>
      <c r="M191" s="1" t="str">
        <f t="shared" si="195"/>
        <v>&gt;= 16V, &lt;= 2%</v>
      </c>
      <c r="N191" s="1" t="str">
        <f t="shared" si="195"/>
        <v>220p</v>
      </c>
      <c r="O191" s="1" t="str">
        <f t="shared" si="195"/>
        <v>0603</v>
      </c>
      <c r="P191" s="1" t="str">
        <f t="shared" si="195"/>
        <v>81-GRM185C1H221GA01D</v>
      </c>
      <c r="Q191" s="1" t="str">
        <f t="shared" si="195"/>
        <v>Murata GRM185C1H221GA01D</v>
      </c>
    </row>
    <row r="192">
      <c r="D192" s="282"/>
      <c r="F192" s="1">
        <v>5.0</v>
      </c>
      <c r="G192" s="60">
        <f t="shared" si="2"/>
        <v>15</v>
      </c>
      <c r="H192" s="1" t="str">
        <f t="shared" si="3"/>
        <v>Elements v0.21</v>
      </c>
      <c r="I192" t="str">
        <f t="shared" si="4"/>
        <v>S</v>
      </c>
      <c r="J192" s="1" t="str">
        <f t="shared" ref="J192:Q192" si="196">indirect(address($G192+4, column()-9, 4, , $H192))</f>
        <v>C14, C15, C19, C20, C24, C25, C26, C27, C28, C30, C41, C42, C50</v>
      </c>
      <c r="K192" s="1">
        <f t="shared" si="196"/>
        <v>13</v>
      </c>
      <c r="L192" s="1" t="str">
        <f t="shared" si="196"/>
        <v>Capacitor, ceramic</v>
      </c>
      <c r="M192" s="1" t="str">
        <f t="shared" si="196"/>
        <v>&gt;= 50V, &lt;= 5%</v>
      </c>
      <c r="N192" s="1" t="str">
        <f t="shared" si="196"/>
        <v>3.3n</v>
      </c>
      <c r="O192" s="1" t="str">
        <f t="shared" si="196"/>
        <v>0603</v>
      </c>
      <c r="P192" s="1" t="str">
        <f t="shared" si="196"/>
        <v>81-GRM1885C1H332JA1D</v>
      </c>
      <c r="Q192" s="1" t="str">
        <f t="shared" si="196"/>
        <v/>
      </c>
    </row>
    <row r="193">
      <c r="D193" s="282"/>
      <c r="F193" s="1">
        <v>5.0</v>
      </c>
      <c r="G193" s="60">
        <f t="shared" si="2"/>
        <v>16</v>
      </c>
      <c r="H193" s="1" t="str">
        <f t="shared" si="3"/>
        <v>Elements v0.21</v>
      </c>
      <c r="I193" t="str">
        <f t="shared" si="4"/>
        <v>S</v>
      </c>
      <c r="J193" s="1" t="str">
        <f t="shared" ref="J193:Q193" si="197">indirect(address($G193+4, column()-9, 4, , $H193))</f>
        <v>C2, C4, C5, C6, C7, C8, C13, C16, C18, C21, C22, C23, C29, C32, C33, C34, C37, C38, C39, C44, C45, C46, C47, C51</v>
      </c>
      <c r="K193" s="1">
        <f t="shared" si="197"/>
        <v>24</v>
      </c>
      <c r="L193" s="1" t="str">
        <f t="shared" si="197"/>
        <v>Capacitor, ceramic</v>
      </c>
      <c r="M193" s="1" t="str">
        <f t="shared" si="197"/>
        <v>&gt;= 16V</v>
      </c>
      <c r="N193" s="1" t="str">
        <f t="shared" si="197"/>
        <v>100n</v>
      </c>
      <c r="O193" s="1" t="str">
        <f t="shared" si="197"/>
        <v>0603</v>
      </c>
      <c r="P193" s="1" t="str">
        <f t="shared" si="197"/>
        <v>81-GRM188R71E104JA1J</v>
      </c>
      <c r="Q193" s="1" t="str">
        <f t="shared" si="197"/>
        <v>Murata GRM188R71E104JA01J</v>
      </c>
    </row>
    <row r="194">
      <c r="D194" s="282"/>
      <c r="F194" s="1">
        <v>5.0</v>
      </c>
      <c r="G194" s="60">
        <f t="shared" si="2"/>
        <v>17</v>
      </c>
      <c r="H194" s="1" t="str">
        <f t="shared" si="3"/>
        <v>Elements v0.21</v>
      </c>
      <c r="I194" t="str">
        <f t="shared" si="4"/>
        <v>S</v>
      </c>
      <c r="J194" s="1" t="str">
        <f t="shared" ref="J194:Q194" si="198">indirect(address($G194+4, column()-9, 4, , $H194))</f>
        <v>C17, C36, C48</v>
      </c>
      <c r="K194" s="1">
        <f t="shared" si="198"/>
        <v>3</v>
      </c>
      <c r="L194" s="1" t="str">
        <f t="shared" si="198"/>
        <v>Capacitor, ceramic</v>
      </c>
      <c r="M194" s="1" t="str">
        <f t="shared" si="198"/>
        <v>&gt;= 10V</v>
      </c>
      <c r="N194" s="1" t="str">
        <f t="shared" si="198"/>
        <v>1u</v>
      </c>
      <c r="O194" s="1" t="str">
        <f t="shared" si="198"/>
        <v>0603</v>
      </c>
      <c r="P194" s="1" t="str">
        <f t="shared" si="198"/>
        <v>81-GRM18R61A105KA61J</v>
      </c>
      <c r="Q194" s="1" t="str">
        <f t="shared" si="198"/>
        <v>Murata GRM18R61A105KA61J</v>
      </c>
    </row>
    <row r="195">
      <c r="D195" s="282"/>
      <c r="F195" s="1">
        <v>5.0</v>
      </c>
      <c r="G195" s="60">
        <f t="shared" si="2"/>
        <v>18</v>
      </c>
      <c r="H195" s="1" t="str">
        <f t="shared" si="3"/>
        <v>Elements v0.21</v>
      </c>
      <c r="I195" t="str">
        <f t="shared" si="4"/>
        <v>S</v>
      </c>
      <c r="J195" s="1" t="str">
        <f t="shared" ref="J195:Q195" si="199">indirect(address($G195+4, column()-9, 4, , $H195))</f>
        <v>C31, C35</v>
      </c>
      <c r="K195" s="1">
        <f t="shared" si="199"/>
        <v>2</v>
      </c>
      <c r="L195" s="1" t="str">
        <f t="shared" si="199"/>
        <v>Capacitor, ceramic</v>
      </c>
      <c r="M195" s="1" t="str">
        <f t="shared" si="199"/>
        <v>&gt;= 10V</v>
      </c>
      <c r="N195" s="1" t="str">
        <f t="shared" si="199"/>
        <v>2.2u</v>
      </c>
      <c r="O195" s="1" t="str">
        <f t="shared" si="199"/>
        <v>0805</v>
      </c>
      <c r="P195" s="1" t="str">
        <f t="shared" si="199"/>
        <v>810-C2012X5R1A225K-2</v>
      </c>
      <c r="Q195" s="1" t="str">
        <f t="shared" si="199"/>
        <v>TDK C2012X5R1A225K085AA</v>
      </c>
    </row>
    <row r="196">
      <c r="D196" s="282"/>
      <c r="F196" s="1">
        <v>5.0</v>
      </c>
      <c r="G196" s="60">
        <f t="shared" si="2"/>
        <v>19</v>
      </c>
      <c r="H196" s="1" t="str">
        <f t="shared" si="3"/>
        <v>Elements v0.21</v>
      </c>
      <c r="I196" t="str">
        <f t="shared" si="4"/>
        <v>S</v>
      </c>
      <c r="J196" s="1" t="str">
        <f t="shared" ref="J196:Q196" si="200">indirect(address($G196+4, column()-9, 4, , $H196))</f>
        <v>C40, C52, C53, C55, C56</v>
      </c>
      <c r="K196" s="1">
        <f t="shared" si="200"/>
        <v>5</v>
      </c>
      <c r="L196" s="1" t="str">
        <f t="shared" si="200"/>
        <v>Capacitor, electrolytic</v>
      </c>
      <c r="M196" s="1" t="str">
        <f t="shared" si="200"/>
        <v>&gt;= 16V</v>
      </c>
      <c r="N196" s="1" t="str">
        <f t="shared" si="200"/>
        <v>10u</v>
      </c>
      <c r="O196" s="1" t="str">
        <f t="shared" si="200"/>
        <v>Panasonic B</v>
      </c>
      <c r="P196" s="1" t="str">
        <f t="shared" si="200"/>
        <v>598-AVE106M16B12T-F</v>
      </c>
      <c r="Q196" s="1" t="str">
        <f t="shared" si="200"/>
        <v>Cornell Dubilier AVE106M16B12T-F</v>
      </c>
    </row>
    <row r="197">
      <c r="D197" s="282"/>
      <c r="F197" s="1">
        <v>5.0</v>
      </c>
      <c r="G197" s="60">
        <f t="shared" si="2"/>
        <v>20</v>
      </c>
      <c r="H197" s="1" t="str">
        <f t="shared" si="3"/>
        <v>Elements v0.21</v>
      </c>
      <c r="I197" t="str">
        <f t="shared" si="4"/>
        <v>S</v>
      </c>
      <c r="J197" s="1" t="str">
        <f t="shared" ref="J197:Q197" si="201">indirect(address($G197+4, column()-9, 4, , $H197))</f>
        <v>C1, C3, C9, C10</v>
      </c>
      <c r="K197" s="1">
        <f t="shared" si="201"/>
        <v>4</v>
      </c>
      <c r="L197" s="1" t="str">
        <f t="shared" si="201"/>
        <v>Capacitor, electrolytic</v>
      </c>
      <c r="M197" s="1" t="str">
        <f t="shared" si="201"/>
        <v>&gt;= 25V</v>
      </c>
      <c r="N197" s="1" t="str">
        <f t="shared" si="201"/>
        <v>22u</v>
      </c>
      <c r="O197" s="1" t="str">
        <f t="shared" si="201"/>
        <v>Panasonic D</v>
      </c>
      <c r="P197" s="1" t="str">
        <f t="shared" si="201"/>
        <v>667-EEE-FP1E220AR</v>
      </c>
      <c r="Q197" s="1" t="str">
        <f t="shared" si="201"/>
        <v>EEE-FP1E220AR</v>
      </c>
    </row>
    <row r="198">
      <c r="D198" s="282"/>
      <c r="F198" s="1">
        <v>5.0</v>
      </c>
      <c r="G198" s="60">
        <f t="shared" si="2"/>
        <v>21</v>
      </c>
      <c r="H198" s="1" t="str">
        <f t="shared" si="3"/>
        <v>Elements v0.21</v>
      </c>
      <c r="I198" t="str">
        <f t="shared" si="4"/>
        <v>S</v>
      </c>
      <c r="J198" s="1" t="str">
        <f t="shared" ref="J198:Q198" si="202">indirect(address($G198+4, column()-9, 4, , $H198))</f>
        <v>D1, D2</v>
      </c>
      <c r="K198" s="1">
        <f t="shared" si="202"/>
        <v>2</v>
      </c>
      <c r="L198" s="1" t="str">
        <f t="shared" si="202"/>
        <v>1N5819HW diode</v>
      </c>
      <c r="M198" s="1" t="str">
        <f t="shared" si="202"/>
        <v/>
      </c>
      <c r="N198" s="1" t="str">
        <f t="shared" si="202"/>
        <v/>
      </c>
      <c r="O198" s="1" t="str">
        <f t="shared" si="202"/>
        <v>SOD123</v>
      </c>
      <c r="P198" s="1" t="str">
        <f t="shared" si="202"/>
        <v>621-1N5819HW-F</v>
      </c>
      <c r="Q198" s="1" t="str">
        <f t="shared" si="202"/>
        <v>Diodes Inc 1N5819HW-7-F</v>
      </c>
    </row>
    <row r="199">
      <c r="D199" s="282"/>
      <c r="F199" s="1">
        <v>5.0</v>
      </c>
      <c r="G199" s="60">
        <f t="shared" si="2"/>
        <v>22</v>
      </c>
      <c r="H199" s="1" t="str">
        <f t="shared" si="3"/>
        <v>Elements v0.21</v>
      </c>
      <c r="I199" t="str">
        <f t="shared" si="4"/>
        <v>S</v>
      </c>
      <c r="J199" s="1" t="str">
        <f t="shared" ref="J199:Q199" si="203">indirect(address($G199+4, column()-9, 4, , $H199))</f>
        <v>IC2, IC4</v>
      </c>
      <c r="K199" s="1">
        <f t="shared" si="203"/>
        <v>2</v>
      </c>
      <c r="L199" s="1" t="str">
        <f t="shared" si="203"/>
        <v>LM1117-3.3V LDO Vreg</v>
      </c>
      <c r="M199" s="1" t="str">
        <f t="shared" si="203"/>
        <v/>
      </c>
      <c r="N199" s="1" t="str">
        <f t="shared" si="203"/>
        <v>3.3V</v>
      </c>
      <c r="O199" s="1" t="str">
        <f t="shared" si="203"/>
        <v>SOT223</v>
      </c>
      <c r="P199" s="1" t="str">
        <f t="shared" si="203"/>
        <v>926-LM1117MPX3.3NOPB</v>
      </c>
      <c r="Q199" s="1" t="str">
        <f t="shared" si="203"/>
        <v>National LM1117MPX3.3/NOPB</v>
      </c>
    </row>
    <row r="200">
      <c r="D200" s="282"/>
      <c r="F200" s="1">
        <v>5.0</v>
      </c>
      <c r="G200" s="60">
        <f t="shared" si="2"/>
        <v>23</v>
      </c>
      <c r="H200" s="1" t="str">
        <f t="shared" si="3"/>
        <v>Elements v0.21</v>
      </c>
      <c r="I200" t="str">
        <f t="shared" si="4"/>
        <v>S</v>
      </c>
      <c r="J200" s="1" t="str">
        <f t="shared" ref="J200:Q200" si="204">indirect(address($G200+4, column()-9, 4, , $H200))</f>
        <v>IC3, IC5, IC8, IC11</v>
      </c>
      <c r="K200" s="1">
        <f t="shared" si="204"/>
        <v>4</v>
      </c>
      <c r="L200" s="1" t="str">
        <f t="shared" si="204"/>
        <v>CD4051 8-1 multiplexer</v>
      </c>
      <c r="M200" s="1" t="str">
        <f t="shared" si="204"/>
        <v/>
      </c>
      <c r="N200" s="1" t="str">
        <f t="shared" si="204"/>
        <v/>
      </c>
      <c r="O200" s="1" t="str">
        <f t="shared" si="204"/>
        <v>TSSOP16</v>
      </c>
      <c r="P200" s="1" t="str">
        <f t="shared" si="204"/>
        <v>595-CD4051BPWR</v>
      </c>
      <c r="Q200" s="1" t="str">
        <f t="shared" si="204"/>
        <v>CD4051BPWR</v>
      </c>
    </row>
    <row r="201">
      <c r="D201" s="282"/>
      <c r="F201" s="1">
        <v>5.0</v>
      </c>
      <c r="G201" s="60">
        <f t="shared" si="2"/>
        <v>24</v>
      </c>
      <c r="H201" s="1" t="str">
        <f t="shared" si="3"/>
        <v>Elements v0.21</v>
      </c>
      <c r="I201" t="str">
        <f t="shared" si="4"/>
        <v>S</v>
      </c>
      <c r="J201" s="1" t="str">
        <f t="shared" ref="J201:Q201" si="205">indirect(address($G201+4, column()-9, 4, , $H201))</f>
        <v>IC9</v>
      </c>
      <c r="K201" s="1">
        <f t="shared" si="205"/>
        <v>1</v>
      </c>
      <c r="L201" s="1" t="str">
        <f t="shared" si="205"/>
        <v>MCP6002 dual op-amp R2R IO</v>
      </c>
      <c r="M201" s="1" t="str">
        <f t="shared" si="205"/>
        <v/>
      </c>
      <c r="N201" s="1" t="str">
        <f t="shared" si="205"/>
        <v/>
      </c>
      <c r="O201" s="1" t="str">
        <f t="shared" si="205"/>
        <v>SOIC8</v>
      </c>
      <c r="P201" s="1" t="str">
        <f t="shared" si="205"/>
        <v>579-MCP6002-I/SN</v>
      </c>
      <c r="Q201" s="1" t="str">
        <f t="shared" si="205"/>
        <v>MCP6002-I/SN</v>
      </c>
    </row>
    <row r="202">
      <c r="D202" s="282"/>
      <c r="F202" s="1">
        <v>5.0</v>
      </c>
      <c r="G202" s="60">
        <f t="shared" si="2"/>
        <v>25</v>
      </c>
      <c r="H202" s="1" t="str">
        <f t="shared" si="3"/>
        <v>Elements v0.21</v>
      </c>
      <c r="I202" t="str">
        <f t="shared" si="4"/>
        <v>S</v>
      </c>
      <c r="J202" s="1" t="str">
        <f t="shared" ref="J202:Q202" si="206">indirect(address($G202+4, column()-9, 4, , $H202))</f>
        <v>IC6, IC7, IC13</v>
      </c>
      <c r="K202" s="1">
        <f t="shared" si="206"/>
        <v>3</v>
      </c>
      <c r="L202" s="1" t="str">
        <f t="shared" si="206"/>
        <v>MCP6004 quad op-amp R2R IO</v>
      </c>
      <c r="M202" s="1" t="str">
        <f t="shared" si="206"/>
        <v/>
      </c>
      <c r="N202" s="1" t="str">
        <f t="shared" si="206"/>
        <v/>
      </c>
      <c r="O202" s="1" t="str">
        <f t="shared" si="206"/>
        <v>SOIC14</v>
      </c>
      <c r="P202" s="1" t="str">
        <f t="shared" si="206"/>
        <v>579-MCP6004-I/SL</v>
      </c>
      <c r="Q202" s="1" t="str">
        <f t="shared" si="206"/>
        <v>MCP6004-I/SL</v>
      </c>
    </row>
    <row r="203">
      <c r="D203" s="282"/>
      <c r="F203" s="1">
        <v>5.0</v>
      </c>
      <c r="G203" s="60">
        <f t="shared" si="2"/>
        <v>26</v>
      </c>
      <c r="H203" s="1" t="str">
        <f t="shared" si="3"/>
        <v>Elements v0.21</v>
      </c>
      <c r="I203" t="str">
        <f t="shared" si="4"/>
        <v>S</v>
      </c>
      <c r="J203" s="1" t="str">
        <f t="shared" ref="J203:Q203" si="207">indirect(address($G203+4, column()-9, 4, , $H203))</f>
        <v>IC10</v>
      </c>
      <c r="K203" s="1">
        <f t="shared" si="207"/>
        <v>1</v>
      </c>
      <c r="L203" s="1" t="str">
        <f t="shared" si="207"/>
        <v>STM32F405RGT6</v>
      </c>
      <c r="M203" s="1" t="str">
        <f t="shared" si="207"/>
        <v/>
      </c>
      <c r="N203" s="1" t="str">
        <f t="shared" si="207"/>
        <v/>
      </c>
      <c r="O203" s="1" t="str">
        <f t="shared" si="207"/>
        <v>TQFP64</v>
      </c>
      <c r="P203" s="1" t="str">
        <f t="shared" si="207"/>
        <v>511-STM32F405RGT6</v>
      </c>
      <c r="Q203" s="1" t="str">
        <f t="shared" si="207"/>
        <v>ST STM32F405RGT6</v>
      </c>
    </row>
    <row r="204">
      <c r="D204" s="282"/>
      <c r="F204" s="1">
        <v>5.0</v>
      </c>
      <c r="G204" s="60">
        <f t="shared" si="2"/>
        <v>27</v>
      </c>
      <c r="H204" s="1" t="str">
        <f t="shared" si="3"/>
        <v>Elements v0.21</v>
      </c>
      <c r="I204" t="str">
        <f t="shared" si="4"/>
        <v>S</v>
      </c>
      <c r="J204" s="1" t="str">
        <f t="shared" ref="J204:Q204" si="208">indirect(address($G204+4, column()-9, 4, , $H204))</f>
        <v>IC12</v>
      </c>
      <c r="K204" s="1">
        <f t="shared" si="208"/>
        <v>1</v>
      </c>
      <c r="L204" s="1" t="str">
        <f t="shared" si="208"/>
        <v>WM8731 audio codec</v>
      </c>
      <c r="M204" s="1" t="str">
        <f t="shared" si="208"/>
        <v/>
      </c>
      <c r="N204" s="1" t="str">
        <f t="shared" si="208"/>
        <v/>
      </c>
      <c r="O204" s="1" t="str">
        <f t="shared" si="208"/>
        <v>SSOP28</v>
      </c>
      <c r="P204" s="1" t="str">
        <f t="shared" si="208"/>
        <v>238-WM8731SEDS/V</v>
      </c>
      <c r="Q204" s="1" t="str">
        <f t="shared" si="208"/>
        <v>Wolfson micro WM8731SEDS/V</v>
      </c>
    </row>
    <row r="205">
      <c r="D205" s="282"/>
      <c r="F205" s="1">
        <v>5.0</v>
      </c>
      <c r="G205" s="60">
        <f t="shared" si="2"/>
        <v>28</v>
      </c>
      <c r="H205" s="1" t="str">
        <f t="shared" si="3"/>
        <v>Elements v0.21</v>
      </c>
      <c r="I205" t="str">
        <f t="shared" si="4"/>
        <v>S</v>
      </c>
      <c r="J205" s="1" t="str">
        <f t="shared" ref="J205:Q205" si="209">indirect(address($G205+4, column()-9, 4, , $H205))</f>
        <v>IC1</v>
      </c>
      <c r="K205" s="1">
        <f t="shared" si="209"/>
        <v>1</v>
      </c>
      <c r="L205" s="1" t="str">
        <f t="shared" si="209"/>
        <v>LM4040 Shunt Vref</v>
      </c>
      <c r="M205" s="1" t="str">
        <f t="shared" si="209"/>
        <v>A, B or C grade</v>
      </c>
      <c r="N205" s="1" t="str">
        <f t="shared" si="209"/>
        <v>10V</v>
      </c>
      <c r="O205" s="1" t="str">
        <f t="shared" si="209"/>
        <v>SOT23</v>
      </c>
      <c r="P205" s="1" t="str">
        <f t="shared" si="209"/>
        <v>595-LM4040C10IDBZR</v>
      </c>
      <c r="Q205" s="1" t="str">
        <f t="shared" si="209"/>
        <v>Texas Instruments LM4040C10IDBZ</v>
      </c>
    </row>
    <row r="206">
      <c r="D206" s="282"/>
      <c r="F206" s="1">
        <v>5.0</v>
      </c>
      <c r="G206" s="60">
        <f t="shared" si="2"/>
        <v>29</v>
      </c>
      <c r="H206" s="1" t="str">
        <f t="shared" si="3"/>
        <v>Elements v0.21</v>
      </c>
      <c r="I206" t="str">
        <f t="shared" si="4"/>
        <v>S</v>
      </c>
      <c r="J206" s="1" t="str">
        <f t="shared" ref="J206:Q206" si="210">indirect(address($G206+4, column()-9, 4, , $H206))</f>
        <v>IC14</v>
      </c>
      <c r="K206" s="1">
        <f t="shared" si="210"/>
        <v>1</v>
      </c>
      <c r="L206" s="1" t="str">
        <f t="shared" si="210"/>
        <v>LME49720 dual op-amp</v>
      </c>
      <c r="M206" s="1" t="str">
        <f t="shared" si="210"/>
        <v/>
      </c>
      <c r="N206" s="1" t="str">
        <f t="shared" si="210"/>
        <v/>
      </c>
      <c r="O206" s="1" t="str">
        <f t="shared" si="210"/>
        <v>SOIC8</v>
      </c>
      <c r="P206" s="288" t="str">
        <f t="shared" si="210"/>
        <v>926-LME49720MAX/NOPB</v>
      </c>
      <c r="Q206" s="1" t="str">
        <f t="shared" si="210"/>
        <v>TI LME49720MA or LME49720MAX</v>
      </c>
    </row>
    <row r="207">
      <c r="D207" s="282"/>
      <c r="F207" s="1">
        <v>5.0</v>
      </c>
      <c r="G207" s="60">
        <f t="shared" si="2"/>
        <v>30</v>
      </c>
      <c r="H207" s="1" t="str">
        <f t="shared" si="3"/>
        <v>Elements v0.21</v>
      </c>
      <c r="I207" t="str">
        <f t="shared" si="4"/>
        <v>S</v>
      </c>
      <c r="J207" s="1" t="str">
        <f t="shared" ref="J207:Q207" si="211">indirect(address($G207+4, column()-9, 4, , $H207))</f>
        <v>Q1</v>
      </c>
      <c r="K207" s="1">
        <f t="shared" si="211"/>
        <v>1</v>
      </c>
      <c r="L207" s="1" t="str">
        <f t="shared" si="211"/>
        <v>8 MHz quartz</v>
      </c>
      <c r="M207" s="1" t="str">
        <f t="shared" si="211"/>
        <v/>
      </c>
      <c r="N207" s="1" t="str">
        <f t="shared" si="211"/>
        <v/>
      </c>
      <c r="O207" s="1" t="str">
        <f t="shared" si="211"/>
        <v>HC49</v>
      </c>
      <c r="P207" s="1" t="str">
        <f t="shared" si="211"/>
        <v>815-ABLS2-8-D4Y-T</v>
      </c>
      <c r="Q207" s="1" t="str">
        <f t="shared" si="211"/>
        <v>Abracon ABLS2-8.000MHZ-D4Y-T</v>
      </c>
    </row>
    <row r="208">
      <c r="D208" s="282"/>
      <c r="F208" s="1">
        <v>5.0</v>
      </c>
      <c r="G208" s="60">
        <f t="shared" si="2"/>
        <v>31</v>
      </c>
      <c r="H208" s="1" t="str">
        <f t="shared" si="3"/>
        <v>Elements v0.21</v>
      </c>
      <c r="I208" t="str">
        <f t="shared" si="4"/>
        <v>S</v>
      </c>
      <c r="J208" s="1" t="str">
        <f t="shared" ref="J208:Q208" si="212">indirect(address($G208+4, column()-9, 4, , $H208))</f>
        <v>L1, L2</v>
      </c>
      <c r="K208" s="1">
        <f t="shared" si="212"/>
        <v>2</v>
      </c>
      <c r="L208" s="1" t="str">
        <f t="shared" si="212"/>
        <v>EMI Filter Bead</v>
      </c>
      <c r="M208" s="1" t="str">
        <f t="shared" si="212"/>
        <v>&gt;= 2200 ohm</v>
      </c>
      <c r="N208" s="1" t="str">
        <f t="shared" si="212"/>
        <v/>
      </c>
      <c r="O208" s="1" t="str">
        <f t="shared" si="212"/>
        <v>0603</v>
      </c>
      <c r="P208" s="1" t="str">
        <f t="shared" si="212"/>
        <v>710-742792693</v>
      </c>
      <c r="Q208" s="1" t="str">
        <f t="shared" si="212"/>
        <v>Wurth Electronics 742792693</v>
      </c>
    </row>
    <row r="209">
      <c r="D209" s="282"/>
      <c r="F209" s="1">
        <v>5.0</v>
      </c>
      <c r="G209" s="60">
        <f t="shared" si="2"/>
        <v>32</v>
      </c>
      <c r="H209" s="1" t="str">
        <f t="shared" si="3"/>
        <v>Elements v0.21</v>
      </c>
      <c r="I209" t="str">
        <f t="shared" si="4"/>
        <v>S</v>
      </c>
      <c r="J209" s="1" t="str">
        <f t="shared" ref="J209:Q209" si="213">indirect(address($G209+4, column()-9, 4, , $H209))</f>
        <v>Q2</v>
      </c>
      <c r="K209" s="1">
        <f t="shared" si="213"/>
        <v>1</v>
      </c>
      <c r="L209" s="1" t="str">
        <f t="shared" si="213"/>
        <v>NPN transistor MMBT3904</v>
      </c>
      <c r="M209" s="1" t="str">
        <f t="shared" si="213"/>
        <v/>
      </c>
      <c r="N209" s="1" t="str">
        <f t="shared" si="213"/>
        <v/>
      </c>
      <c r="O209" s="1" t="str">
        <f t="shared" si="213"/>
        <v>SOT23</v>
      </c>
      <c r="P209" s="1" t="str">
        <f t="shared" si="213"/>
        <v>863-MMBT3904LT1G</v>
      </c>
      <c r="Q209" s="1" t="str">
        <f t="shared" si="213"/>
        <v>On Semi MMBT3904LT1G</v>
      </c>
    </row>
    <row r="210">
      <c r="D210" s="282"/>
      <c r="F210" s="1">
        <v>5.0</v>
      </c>
      <c r="G210" s="60">
        <f t="shared" si="2"/>
        <v>33</v>
      </c>
      <c r="H210" s="1" t="str">
        <f t="shared" si="3"/>
        <v>Elements v0.21</v>
      </c>
      <c r="I210" t="str">
        <f t="shared" si="4"/>
        <v>S</v>
      </c>
      <c r="J210" s="1" t="str">
        <f t="shared" ref="J210:Q210" si="214">indirect(address($G210+4, column()-9, 4, , $H210))</f>
        <v>SW2, SW3</v>
      </c>
      <c r="K210" s="1">
        <f t="shared" si="214"/>
        <v>2</v>
      </c>
      <c r="L210" s="1" t="str">
        <f t="shared" si="214"/>
        <v>Switch, 6mm, SMT</v>
      </c>
      <c r="M210" s="1" t="str">
        <f t="shared" si="214"/>
        <v/>
      </c>
      <c r="N210" s="1" t="str">
        <f t="shared" si="214"/>
        <v/>
      </c>
      <c r="O210" s="1" t="str">
        <f t="shared" si="214"/>
        <v>6mm x 6mm</v>
      </c>
      <c r="P210" s="1" t="str">
        <f t="shared" si="214"/>
        <v>667-EVQ-Q2K01W</v>
      </c>
      <c r="Q210" s="1" t="str">
        <f t="shared" si="214"/>
        <v>Panasonic EVQ-Q2K01W</v>
      </c>
    </row>
    <row r="211">
      <c r="D211" s="282"/>
      <c r="F211" s="1">
        <v>5.0</v>
      </c>
      <c r="G211" s="60">
        <f t="shared" si="2"/>
        <v>34</v>
      </c>
      <c r="H211" s="1" t="str">
        <f t="shared" si="3"/>
        <v>Elements v0.21</v>
      </c>
      <c r="I211" t="str">
        <f t="shared" si="4"/>
        <v/>
      </c>
      <c r="J211" s="1" t="str">
        <f t="shared" ref="J211:Q211" si="215">indirect(address($G211+4, column()-9, 4, , $H211))</f>
        <v>PTH parts, top side</v>
      </c>
      <c r="K211" s="1" t="str">
        <f t="shared" si="215"/>
        <v/>
      </c>
      <c r="L211" s="1" t="str">
        <f t="shared" si="215"/>
        <v/>
      </c>
      <c r="M211" s="1" t="str">
        <f t="shared" si="215"/>
        <v/>
      </c>
      <c r="N211" s="1" t="str">
        <f t="shared" si="215"/>
        <v/>
      </c>
      <c r="O211" s="1" t="str">
        <f t="shared" si="215"/>
        <v/>
      </c>
      <c r="P211" s="1" t="str">
        <f t="shared" si="215"/>
        <v/>
      </c>
      <c r="Q211" s="1" t="str">
        <f t="shared" si="215"/>
        <v/>
      </c>
    </row>
    <row r="212">
      <c r="D212" s="282"/>
      <c r="F212" s="1">
        <v>5.0</v>
      </c>
      <c r="G212" s="60">
        <f t="shared" si="2"/>
        <v>35</v>
      </c>
      <c r="H212" s="1" t="str">
        <f t="shared" si="3"/>
        <v>Elements v0.21</v>
      </c>
      <c r="I212" t="str">
        <f t="shared" si="4"/>
        <v>U</v>
      </c>
      <c r="J212" s="1" t="str">
        <f t="shared" ref="J212:Q212" si="216">indirect(address($G212+4, column()-9, 4, , $H212))</f>
        <v>J1, J2, J3, J4, J5, J6, J7, J8, J9, J10, J11, J12, J13, J14, J15, J16, J17, J18</v>
      </c>
      <c r="K212" s="1">
        <f t="shared" si="216"/>
        <v>18</v>
      </c>
      <c r="L212" s="1" t="str">
        <f t="shared" si="216"/>
        <v>Vertical jack connector</v>
      </c>
      <c r="M212" s="1" t="str">
        <f t="shared" si="216"/>
        <v/>
      </c>
      <c r="N212" s="1" t="str">
        <f t="shared" si="216"/>
        <v/>
      </c>
      <c r="O212" s="1" t="str">
        <f t="shared" si="216"/>
        <v/>
      </c>
      <c r="P212" s="1" t="str">
        <f t="shared" si="216"/>
        <v/>
      </c>
      <c r="Q212" s="1" t="str">
        <f t="shared" si="216"/>
        <v>PJ-301-M-12</v>
      </c>
    </row>
    <row r="213">
      <c r="D213" s="282"/>
      <c r="F213" s="1">
        <v>5.0</v>
      </c>
      <c r="G213" s="60">
        <f t="shared" si="2"/>
        <v>36</v>
      </c>
      <c r="H213" s="1" t="str">
        <f t="shared" si="3"/>
        <v>Elements v0.21</v>
      </c>
      <c r="I213" t="str">
        <f t="shared" si="4"/>
        <v>U</v>
      </c>
      <c r="J213" s="1" t="str">
        <f t="shared" ref="J213:Q213" si="217">indirect(address($G213+4, column()-9, 4, , $H213))</f>
        <v>R76, R77, R78, R79, R80, R81, R82, R83, R84, R85</v>
      </c>
      <c r="K213" s="1">
        <f t="shared" si="217"/>
        <v>10</v>
      </c>
      <c r="L213" s="1" t="str">
        <f t="shared" si="217"/>
        <v>10k linear pot, 25mm shaft with marker</v>
      </c>
      <c r="M213" s="1" t="str">
        <f t="shared" si="217"/>
        <v/>
      </c>
      <c r="N213" s="1" t="str">
        <f t="shared" si="217"/>
        <v/>
      </c>
      <c r="O213" s="1" t="str">
        <f t="shared" si="217"/>
        <v/>
      </c>
      <c r="P213" s="1" t="str">
        <f t="shared" si="217"/>
        <v/>
      </c>
      <c r="Q213" s="288" t="str">
        <f t="shared" si="217"/>
        <v>https://www.thonk.co.uk/shop/ttpots/</v>
      </c>
    </row>
    <row r="214">
      <c r="D214" s="282"/>
      <c r="F214" s="1">
        <v>5.0</v>
      </c>
      <c r="G214" s="60">
        <f t="shared" si="2"/>
        <v>37</v>
      </c>
      <c r="H214" s="1" t="str">
        <f t="shared" si="3"/>
        <v>Elements v0.21</v>
      </c>
      <c r="I214" t="str">
        <f t="shared" si="4"/>
        <v>U</v>
      </c>
      <c r="J214" s="1" t="str">
        <f t="shared" ref="J214:Q214" si="218">indirect(address($G214+4, column()-9, 4, , $H214))</f>
        <v>R3, R4, R5, R6, R7, R8, R9, R23, R24, R25, R26, R61, R62, R63, R64, R65, R66</v>
      </c>
      <c r="K214" s="1">
        <f t="shared" si="218"/>
        <v>17</v>
      </c>
      <c r="L214" s="1" t="str">
        <f t="shared" si="218"/>
        <v>10k linear pot, 15mm shaft</v>
      </c>
      <c r="M214" s="1" t="str">
        <f t="shared" si="218"/>
        <v/>
      </c>
      <c r="N214" s="1" t="str">
        <f t="shared" si="218"/>
        <v/>
      </c>
      <c r="O214" s="1" t="str">
        <f t="shared" si="218"/>
        <v/>
      </c>
      <c r="P214" s="1" t="str">
        <f t="shared" si="218"/>
        <v/>
      </c>
      <c r="Q214" s="288" t="str">
        <f t="shared" si="218"/>
        <v>https://www.thonk.co.uk/shop/alpha-9mm-pots/</v>
      </c>
    </row>
    <row r="215">
      <c r="D215" s="282"/>
      <c r="F215" s="1">
        <v>5.0</v>
      </c>
      <c r="G215" s="60">
        <f t="shared" si="2"/>
        <v>38</v>
      </c>
      <c r="H215" s="1" t="str">
        <f t="shared" si="3"/>
        <v>Elements v0.21</v>
      </c>
      <c r="I215" t="str">
        <f t="shared" si="4"/>
        <v>U</v>
      </c>
      <c r="J215" s="1" t="str">
        <f t="shared" ref="J215:Q215" si="219">indirect(address($G215+4, column()-9, 4, , $H215))</f>
        <v>LED1</v>
      </c>
      <c r="K215" s="1">
        <f t="shared" si="219"/>
        <v>1</v>
      </c>
      <c r="L215" s="1" t="str">
        <f t="shared" si="219"/>
        <v>LED, turquoise</v>
      </c>
      <c r="M215" s="1" t="str">
        <f t="shared" si="219"/>
        <v/>
      </c>
      <c r="N215" s="1" t="str">
        <f t="shared" si="219"/>
        <v/>
      </c>
      <c r="O215" s="1" t="str">
        <f t="shared" si="219"/>
        <v/>
      </c>
      <c r="P215" s="1" t="str">
        <f t="shared" si="219"/>
        <v>696-SSL-LX5093TC</v>
      </c>
      <c r="Q215" s="1" t="str">
        <f t="shared" si="219"/>
        <v>Lumex SSL-LX5093TC</v>
      </c>
    </row>
    <row r="216">
      <c r="D216" s="282"/>
      <c r="F216" s="1">
        <v>5.0</v>
      </c>
      <c r="G216" s="60">
        <f t="shared" si="2"/>
        <v>39</v>
      </c>
      <c r="H216" s="1" t="str">
        <f t="shared" si="3"/>
        <v>Elements v0.21</v>
      </c>
      <c r="I216" t="str">
        <f t="shared" si="4"/>
        <v>U</v>
      </c>
      <c r="J216" s="1" t="str">
        <f t="shared" ref="J216:Q216" si="220">indirect(address($G216+4, column()-9, 4, , $H216))</f>
        <v>LED2</v>
      </c>
      <c r="K216" s="1">
        <f t="shared" si="220"/>
        <v>1</v>
      </c>
      <c r="L216" s="1" t="str">
        <f t="shared" si="220"/>
        <v>LED, rose fuschia</v>
      </c>
      <c r="M216" s="1" t="str">
        <f t="shared" si="220"/>
        <v/>
      </c>
      <c r="N216" s="1" t="str">
        <f t="shared" si="220"/>
        <v/>
      </c>
      <c r="O216" s="1" t="str">
        <f t="shared" si="220"/>
        <v/>
      </c>
      <c r="P216" s="1" t="str">
        <f t="shared" si="220"/>
        <v>696-SSL-LX5093PC</v>
      </c>
      <c r="Q216" s="1" t="str">
        <f t="shared" si="220"/>
        <v>Lumex SSL-LX5093PC</v>
      </c>
    </row>
    <row r="217">
      <c r="D217" s="282"/>
      <c r="F217" s="1">
        <v>5.0</v>
      </c>
      <c r="G217" s="60">
        <f t="shared" si="2"/>
        <v>40</v>
      </c>
      <c r="H217" s="1" t="str">
        <f t="shared" si="3"/>
        <v>Elements v0.21</v>
      </c>
      <c r="I217" t="str">
        <f t="shared" si="4"/>
        <v>U</v>
      </c>
      <c r="J217" s="1" t="str">
        <f t="shared" ref="J217:Q217" si="221">indirect(address($G217+4, column()-9, 4, , $H217))</f>
        <v>SW1</v>
      </c>
      <c r="K217" s="1">
        <f t="shared" si="221"/>
        <v>1</v>
      </c>
      <c r="L217" s="1" t="str">
        <f t="shared" si="221"/>
        <v>Switch, On-mom, Green LED</v>
      </c>
      <c r="M217" s="1" t="str">
        <f t="shared" si="221"/>
        <v/>
      </c>
      <c r="N217" s="1" t="str">
        <f t="shared" si="221"/>
        <v/>
      </c>
      <c r="O217" s="1" t="str">
        <f t="shared" si="221"/>
        <v/>
      </c>
      <c r="P217" s="288" t="str">
        <f t="shared" si="221"/>
        <v>612-LP4OA1PBCTG</v>
      </c>
      <c r="Q217" s="1" t="str">
        <f t="shared" si="221"/>
        <v>E-switch LP4OA1PBCTG (équivalent)</v>
      </c>
    </row>
    <row r="218">
      <c r="D218" s="282"/>
      <c r="F218" s="1">
        <v>5.0</v>
      </c>
      <c r="G218" s="60">
        <f t="shared" si="2"/>
        <v>41</v>
      </c>
      <c r="H218" s="1" t="str">
        <f t="shared" si="3"/>
        <v>Elements v0.21</v>
      </c>
      <c r="I218" t="str">
        <f t="shared" si="4"/>
        <v/>
      </c>
      <c r="J218" s="1" t="str">
        <f t="shared" ref="J218:Q218" si="222">indirect(address($G218+4, column()-9, 4, , $H218))</f>
        <v>PTH parts, bottom side</v>
      </c>
      <c r="K218" s="290" t="str">
        <f t="shared" si="222"/>
        <v/>
      </c>
      <c r="L218" s="1" t="str">
        <f t="shared" si="222"/>
        <v/>
      </c>
      <c r="M218" s="1" t="str">
        <f t="shared" si="222"/>
        <v/>
      </c>
      <c r="N218" s="289" t="str">
        <f t="shared" si="222"/>
        <v/>
      </c>
      <c r="O218" s="289" t="str">
        <f t="shared" si="222"/>
        <v/>
      </c>
      <c r="P218" s="290" t="str">
        <f t="shared" si="222"/>
        <v/>
      </c>
      <c r="Q218" s="1" t="str">
        <f t="shared" si="222"/>
        <v/>
      </c>
    </row>
    <row r="219">
      <c r="D219" s="282"/>
      <c r="F219" s="1">
        <v>5.0</v>
      </c>
      <c r="G219" s="60">
        <f t="shared" si="2"/>
        <v>42</v>
      </c>
      <c r="H219" s="1" t="str">
        <f t="shared" si="3"/>
        <v>Elements v0.21</v>
      </c>
      <c r="I219" t="str">
        <f t="shared" si="4"/>
        <v>D</v>
      </c>
      <c r="J219" s="1" t="str">
        <f t="shared" ref="J219:Q219" si="223">indirect(address($G219+4, column()-9, 4, , $H219))</f>
        <v>JP1 (“JTAG”)</v>
      </c>
      <c r="K219" s="1">
        <f t="shared" si="223"/>
        <v>1</v>
      </c>
      <c r="L219" s="1" t="str">
        <f t="shared" si="223"/>
        <v>2x5 male header, 1.27mm pitch</v>
      </c>
      <c r="M219" s="1" t="str">
        <f t="shared" si="223"/>
        <v/>
      </c>
      <c r="N219" s="1" t="str">
        <f t="shared" si="223"/>
        <v/>
      </c>
      <c r="O219" s="1" t="str">
        <f t="shared" si="223"/>
        <v/>
      </c>
      <c r="P219" s="1" t="str">
        <f t="shared" si="223"/>
        <v>649-221111-00010T4LF</v>
      </c>
      <c r="Q219" s="1" t="str">
        <f t="shared" si="223"/>
        <v/>
      </c>
    </row>
    <row r="220">
      <c r="D220" s="282"/>
      <c r="F220" s="1">
        <v>5.0</v>
      </c>
      <c r="G220" s="60">
        <f t="shared" si="2"/>
        <v>43</v>
      </c>
      <c r="H220" s="1" t="str">
        <f t="shared" si="3"/>
        <v>Elements v0.21</v>
      </c>
      <c r="I220" t="str">
        <f t="shared" si="4"/>
        <v>D</v>
      </c>
      <c r="J220" s="1" t="str">
        <f t="shared" ref="J220:Q220" si="224">indirect(address($G220+4, column()-9, 4, , $H220))</f>
        <v>JP3 (“Power / Red stripe”)</v>
      </c>
      <c r="K220" s="1">
        <f t="shared" si="224"/>
        <v>1</v>
      </c>
      <c r="L220" s="1" t="str">
        <f t="shared" si="224"/>
        <v>2x5 male header, 2.54mm pitch</v>
      </c>
      <c r="M220" s="1" t="str">
        <f t="shared" si="224"/>
        <v/>
      </c>
      <c r="N220" s="1" t="str">
        <f t="shared" si="224"/>
        <v/>
      </c>
      <c r="O220" s="1" t="str">
        <f t="shared" si="224"/>
        <v/>
      </c>
      <c r="P220" s="1" t="str">
        <f t="shared" si="224"/>
        <v>649-67996-410HLF</v>
      </c>
      <c r="Q220" s="1" t="str">
        <f t="shared" si="224"/>
        <v/>
      </c>
    </row>
    <row r="221">
      <c r="D221" s="282"/>
      <c r="F221" s="1">
        <v>5.0</v>
      </c>
      <c r="G221" s="60">
        <f t="shared" si="2"/>
        <v>44</v>
      </c>
      <c r="H221" s="1" t="str">
        <f t="shared" si="3"/>
        <v>Elements v0.21</v>
      </c>
      <c r="I221" t="str">
        <f t="shared" si="4"/>
        <v>D</v>
      </c>
      <c r="J221" s="1" t="str">
        <f t="shared" ref="J221:Q221" si="225">indirect(address($G221+4, column()-9, 4, , $H221))</f>
        <v>JP2 (“Serial”)</v>
      </c>
      <c r="K221" s="1">
        <f t="shared" si="225"/>
        <v>1</v>
      </c>
      <c r="L221" s="1" t="str">
        <f t="shared" si="225"/>
        <v>1x6 male header, 2.54mm pitch</v>
      </c>
      <c r="M221" s="1" t="str">
        <f t="shared" si="225"/>
        <v/>
      </c>
      <c r="N221" s="1" t="str">
        <f t="shared" si="225"/>
        <v/>
      </c>
      <c r="O221" s="1" t="str">
        <f t="shared" si="225"/>
        <v/>
      </c>
      <c r="P221" s="1" t="str">
        <f t="shared" si="225"/>
        <v>649-68002-106HLF</v>
      </c>
      <c r="Q221" s="1" t="str">
        <f t="shared" si="225"/>
        <v/>
      </c>
    </row>
    <row r="222">
      <c r="D222" s="282"/>
      <c r="F222" s="1">
        <v>5.0</v>
      </c>
      <c r="G222" s="60">
        <f t="shared" si="2"/>
        <v>45</v>
      </c>
      <c r="H222" s="1" t="str">
        <f t="shared" si="3"/>
        <v>Elements v0.21</v>
      </c>
      <c r="I222" t="str">
        <f t="shared" si="4"/>
        <v/>
      </c>
      <c r="J222" s="1" t="str">
        <f t="shared" ref="J222:Q222" si="226">indirect(address($G222+4, column()-9, 4, , $H222))</f>
        <v>PCB Specifications</v>
      </c>
      <c r="K222" s="290" t="str">
        <f t="shared" si="226"/>
        <v/>
      </c>
      <c r="L222" s="1" t="str">
        <f t="shared" si="226"/>
        <v/>
      </c>
      <c r="M222" s="1" t="str">
        <f t="shared" si="226"/>
        <v/>
      </c>
      <c r="N222" s="289" t="str">
        <f t="shared" si="226"/>
        <v/>
      </c>
      <c r="O222" s="289" t="str">
        <f t="shared" si="226"/>
        <v/>
      </c>
      <c r="P222" s="290" t="str">
        <f t="shared" si="226"/>
        <v/>
      </c>
      <c r="Q222" s="1" t="str">
        <f t="shared" si="226"/>
        <v/>
      </c>
    </row>
    <row r="223">
      <c r="D223" s="282"/>
      <c r="F223" s="1">
        <v>5.0</v>
      </c>
      <c r="G223" s="60">
        <f t="shared" si="2"/>
        <v>46</v>
      </c>
      <c r="H223" s="1" t="str">
        <f t="shared" si="3"/>
        <v>Elements v0.21</v>
      </c>
      <c r="I223" t="str">
        <f t="shared" si="4"/>
        <v>P</v>
      </c>
      <c r="J223" s="1" t="str">
        <f t="shared" ref="J223:Q223" si="227">indirect(address($G223+4, column()-9, 4, , $H223))</f>
        <v>PCB</v>
      </c>
      <c r="K223" s="1" t="str">
        <f t="shared" si="227"/>
        <v/>
      </c>
      <c r="L223" s="1" t="str">
        <f t="shared" si="227"/>
        <v>106.4 x 164.5 ; 2 layers</v>
      </c>
      <c r="M223" s="1" t="str">
        <f t="shared" si="227"/>
        <v/>
      </c>
      <c r="N223" s="1" t="str">
        <f t="shared" si="227"/>
        <v/>
      </c>
      <c r="O223" s="1" t="str">
        <f t="shared" si="227"/>
        <v/>
      </c>
      <c r="P223" s="1" t="str">
        <f t="shared" si="227"/>
        <v/>
      </c>
      <c r="Q223" s="1" t="str">
        <f t="shared" si="227"/>
        <v/>
      </c>
    </row>
    <row r="224">
      <c r="D224" s="282"/>
      <c r="F224" s="1">
        <v>6.0</v>
      </c>
      <c r="G224" s="60">
        <f t="shared" si="2"/>
        <v>0</v>
      </c>
      <c r="H224" s="1" t="str">
        <f t="shared" si="3"/>
        <v>Frames v0.3</v>
      </c>
      <c r="I224" t="str">
        <f t="shared" si="4"/>
        <v>S</v>
      </c>
      <c r="J224" s="1" t="str">
        <f t="shared" ref="J224:Q224" si="228">indirect(address($G224+4, column()-9, 4, , $H224))</f>
        <v>R6, R7, R8, R9, R11, R12, R13, R16, R19, R20, R21, R22</v>
      </c>
      <c r="K224" s="1">
        <f t="shared" si="228"/>
        <v>12</v>
      </c>
      <c r="L224" s="1" t="str">
        <f t="shared" si="228"/>
        <v>Resistor, 1%</v>
      </c>
      <c r="M224" s="1" t="str">
        <f t="shared" si="228"/>
        <v/>
      </c>
      <c r="N224" s="1">
        <f t="shared" si="228"/>
        <v>100</v>
      </c>
      <c r="O224" s="289" t="str">
        <f t="shared" si="228"/>
        <v>0603</v>
      </c>
      <c r="P224" s="290" t="str">
        <f t="shared" si="228"/>
        <v>652-CR0603FX-1000ELF</v>
      </c>
      <c r="Q224" s="1" t="str">
        <f t="shared" si="228"/>
        <v/>
      </c>
    </row>
    <row r="225">
      <c r="D225" s="282"/>
      <c r="F225" s="1">
        <v>6.0</v>
      </c>
      <c r="G225" s="60">
        <f t="shared" si="2"/>
        <v>1</v>
      </c>
      <c r="H225" s="1" t="str">
        <f t="shared" si="3"/>
        <v>Frames v0.3</v>
      </c>
      <c r="I225" t="str">
        <f t="shared" si="4"/>
        <v>S</v>
      </c>
      <c r="J225" s="1" t="str">
        <f t="shared" ref="J225:Q225" si="229">indirect(address($G225+4, column()-9, 4, , $H225))</f>
        <v>R17, R34, R35, R55, R56</v>
      </c>
      <c r="K225" s="1">
        <f t="shared" si="229"/>
        <v>5</v>
      </c>
      <c r="L225" s="1" t="str">
        <f t="shared" si="229"/>
        <v>Resistor, 1%</v>
      </c>
      <c r="M225" s="1" t="str">
        <f t="shared" si="229"/>
        <v/>
      </c>
      <c r="N225" s="289" t="str">
        <f t="shared" si="229"/>
        <v>510</v>
      </c>
      <c r="O225" s="289" t="str">
        <f t="shared" si="229"/>
        <v>0603</v>
      </c>
      <c r="P225" s="1" t="str">
        <f t="shared" si="229"/>
        <v>652-CR0603FX-5100ELF</v>
      </c>
      <c r="Q225" s="1" t="str">
        <f t="shared" si="229"/>
        <v/>
      </c>
    </row>
    <row r="226">
      <c r="D226" s="282"/>
      <c r="F226" s="1">
        <v>6.0</v>
      </c>
      <c r="G226" s="60">
        <f t="shared" si="2"/>
        <v>2</v>
      </c>
      <c r="H226" s="1" t="str">
        <f t="shared" si="3"/>
        <v>Frames v0.3</v>
      </c>
      <c r="I226" t="str">
        <f t="shared" si="4"/>
        <v>S</v>
      </c>
      <c r="J226" s="1" t="str">
        <f t="shared" ref="J226:Q226" si="230">indirect(address($G226+4, column()-9, 4, , $H226))</f>
        <v>R28, R39, R48, R51, R58, R61</v>
      </c>
      <c r="K226" s="1">
        <f t="shared" si="230"/>
        <v>6</v>
      </c>
      <c r="L226" s="1" t="str">
        <f t="shared" si="230"/>
        <v>Resistor, 1%</v>
      </c>
      <c r="M226" s="1" t="str">
        <f t="shared" si="230"/>
        <v/>
      </c>
      <c r="N226" s="289" t="str">
        <f t="shared" si="230"/>
        <v>1.0k</v>
      </c>
      <c r="O226" s="289" t="str">
        <f t="shared" si="230"/>
        <v>0603</v>
      </c>
      <c r="P226" s="290" t="str">
        <f t="shared" si="230"/>
        <v>652-CR0603FX-1001ELF</v>
      </c>
      <c r="Q226" s="1" t="str">
        <f t="shared" si="230"/>
        <v/>
      </c>
    </row>
    <row r="227">
      <c r="D227" s="282"/>
      <c r="F227" s="1">
        <v>6.0</v>
      </c>
      <c r="G227" s="60">
        <f t="shared" si="2"/>
        <v>3</v>
      </c>
      <c r="H227" s="1" t="str">
        <f t="shared" si="3"/>
        <v>Frames v0.3</v>
      </c>
      <c r="I227" t="str">
        <f t="shared" si="4"/>
        <v>S</v>
      </c>
      <c r="J227" s="1" t="str">
        <f t="shared" ref="J227:Q227" si="231">indirect(address($G227+4, column()-9, 4, , $H227))</f>
        <v>R24</v>
      </c>
      <c r="K227" s="1">
        <f t="shared" si="231"/>
        <v>1</v>
      </c>
      <c r="L227" s="1" t="str">
        <f t="shared" si="231"/>
        <v>Resistor, 1%</v>
      </c>
      <c r="M227" s="1" t="str">
        <f t="shared" si="231"/>
        <v/>
      </c>
      <c r="N227" s="1" t="str">
        <f t="shared" si="231"/>
        <v>3.3k</v>
      </c>
      <c r="O227" s="289" t="str">
        <f t="shared" si="231"/>
        <v>0603</v>
      </c>
      <c r="P227" s="290" t="str">
        <f t="shared" si="231"/>
        <v>652-CR0603-FX3301ELF</v>
      </c>
      <c r="Q227" s="1" t="str">
        <f t="shared" si="231"/>
        <v/>
      </c>
    </row>
    <row r="228">
      <c r="D228" s="282"/>
      <c r="F228" s="1">
        <v>6.0</v>
      </c>
      <c r="G228" s="60">
        <f t="shared" si="2"/>
        <v>4</v>
      </c>
      <c r="H228" s="1" t="str">
        <f t="shared" si="3"/>
        <v>Frames v0.3</v>
      </c>
      <c r="I228" t="str">
        <f t="shared" si="4"/>
        <v>S</v>
      </c>
      <c r="J228" s="1" t="str">
        <f t="shared" ref="J228:Q228" si="232">indirect(address($G228+4, column()-9, 4, , $H228))</f>
        <v>R25, R26</v>
      </c>
      <c r="K228" s="1">
        <f t="shared" si="232"/>
        <v>2</v>
      </c>
      <c r="L228" s="1" t="str">
        <f t="shared" si="232"/>
        <v>Resistor, 1%</v>
      </c>
      <c r="M228" s="1" t="str">
        <f t="shared" si="232"/>
        <v/>
      </c>
      <c r="N228" s="1" t="str">
        <f t="shared" si="232"/>
        <v>4.7k</v>
      </c>
      <c r="O228" s="289" t="str">
        <f t="shared" si="232"/>
        <v>0603</v>
      </c>
      <c r="P228" s="290" t="str">
        <f t="shared" si="232"/>
        <v>652-CR0603FX-4701ELF</v>
      </c>
      <c r="Q228" s="1" t="str">
        <f t="shared" si="232"/>
        <v/>
      </c>
    </row>
    <row r="229">
      <c r="D229" s="282"/>
      <c r="F229" s="1">
        <v>6.0</v>
      </c>
      <c r="G229" s="60">
        <f t="shared" si="2"/>
        <v>5</v>
      </c>
      <c r="H229" s="1" t="str">
        <f t="shared" si="3"/>
        <v>Frames v0.3</v>
      </c>
      <c r="I229" t="str">
        <f t="shared" si="4"/>
        <v>S</v>
      </c>
      <c r="J229" s="1" t="str">
        <f t="shared" ref="J229:Q229" si="233">indirect(address($G229+4, column()-9, 4, , $H229))</f>
        <v>R1, R10, R23</v>
      </c>
      <c r="K229" s="1">
        <f t="shared" si="233"/>
        <v>3</v>
      </c>
      <c r="L229" s="1" t="str">
        <f t="shared" si="233"/>
        <v>Resistor, 1%</v>
      </c>
      <c r="M229" s="1" t="str">
        <f t="shared" si="233"/>
        <v/>
      </c>
      <c r="N229" s="289" t="str">
        <f t="shared" si="233"/>
        <v>10k</v>
      </c>
      <c r="O229" s="289" t="str">
        <f t="shared" si="233"/>
        <v>0603</v>
      </c>
      <c r="P229" s="290" t="str">
        <f t="shared" si="233"/>
        <v>652-CR0603-FX-1002GLF</v>
      </c>
      <c r="Q229" s="1" t="str">
        <f t="shared" si="233"/>
        <v/>
      </c>
    </row>
    <row r="230">
      <c r="D230" s="282"/>
      <c r="F230" s="1">
        <v>6.0</v>
      </c>
      <c r="G230" s="60">
        <f t="shared" si="2"/>
        <v>6</v>
      </c>
      <c r="H230" s="1" t="str">
        <f t="shared" si="3"/>
        <v>Frames v0.3</v>
      </c>
      <c r="I230" t="str">
        <f t="shared" si="4"/>
        <v>S</v>
      </c>
      <c r="J230" s="1" t="str">
        <f t="shared" ref="J230:Q230" si="234">indirect(address($G230+4, column()-9, 4, , $H230))</f>
        <v>R40</v>
      </c>
      <c r="K230" s="1">
        <f t="shared" si="234"/>
        <v>1</v>
      </c>
      <c r="L230" s="1" t="str">
        <f t="shared" si="234"/>
        <v>Resistor, 1%</v>
      </c>
      <c r="M230" s="1" t="str">
        <f t="shared" si="234"/>
        <v/>
      </c>
      <c r="N230" s="289" t="str">
        <f t="shared" si="234"/>
        <v>33k</v>
      </c>
      <c r="O230" s="289" t="str">
        <f t="shared" si="234"/>
        <v>0603</v>
      </c>
      <c r="P230" s="1" t="str">
        <f t="shared" si="234"/>
        <v>652-CR0603FX-3302ELF</v>
      </c>
      <c r="Q230" s="1" t="str">
        <f t="shared" si="234"/>
        <v/>
      </c>
    </row>
    <row r="231">
      <c r="D231" s="282"/>
      <c r="F231" s="1">
        <v>6.0</v>
      </c>
      <c r="G231" s="60">
        <f t="shared" si="2"/>
        <v>7</v>
      </c>
      <c r="H231" s="1" t="str">
        <f t="shared" si="3"/>
        <v>Frames v0.3</v>
      </c>
      <c r="I231" t="str">
        <f t="shared" si="4"/>
        <v>S</v>
      </c>
      <c r="J231" s="1" t="str">
        <f t="shared" ref="J231:Q231" si="235">indirect(address($G231+4, column()-9, 4, , $H231))</f>
        <v>R43</v>
      </c>
      <c r="K231" s="1">
        <f t="shared" si="235"/>
        <v>1</v>
      </c>
      <c r="L231" s="1" t="str">
        <f t="shared" si="235"/>
        <v>Resistor, 1%</v>
      </c>
      <c r="M231" s="1" t="str">
        <f t="shared" si="235"/>
        <v/>
      </c>
      <c r="N231" s="289" t="str">
        <f t="shared" si="235"/>
        <v>49.9k</v>
      </c>
      <c r="O231" s="289" t="str">
        <f t="shared" si="235"/>
        <v>0603</v>
      </c>
      <c r="P231" s="290" t="str">
        <f t="shared" si="235"/>
        <v>652-CR0603FX-4992ELF</v>
      </c>
      <c r="Q231" s="1" t="str">
        <f t="shared" si="235"/>
        <v/>
      </c>
    </row>
    <row r="232">
      <c r="D232" s="282"/>
      <c r="F232" s="1">
        <v>6.0</v>
      </c>
      <c r="G232" s="60">
        <f t="shared" si="2"/>
        <v>8</v>
      </c>
      <c r="H232" s="1" t="str">
        <f t="shared" si="3"/>
        <v>Frames v0.3</v>
      </c>
      <c r="I232" t="str">
        <f t="shared" si="4"/>
        <v>S</v>
      </c>
      <c r="J232" s="1" t="str">
        <f t="shared" ref="J232:Q232" si="236">indirect(address($G232+4, column()-9, 4, , $H232))</f>
        <v>R18, R27, R29, R30, R31, R32, R33, R36, R37, R38, R41, R44, R45, R46, R47, R49, R50, R52, R53, R54, R57, R59, R60, R62, R63, R64, R65</v>
      </c>
      <c r="K232" s="1">
        <f t="shared" si="236"/>
        <v>27</v>
      </c>
      <c r="L232" s="1" t="str">
        <f t="shared" si="236"/>
        <v>Resistor, 1%</v>
      </c>
      <c r="M232" s="1" t="str">
        <f t="shared" si="236"/>
        <v/>
      </c>
      <c r="N232" s="1" t="str">
        <f t="shared" si="236"/>
        <v>100k</v>
      </c>
      <c r="O232" s="289" t="str">
        <f t="shared" si="236"/>
        <v>0603</v>
      </c>
      <c r="P232" s="1" t="str">
        <f t="shared" si="236"/>
        <v>652-CR0603-FX-1003GLF</v>
      </c>
      <c r="Q232" s="1" t="str">
        <f t="shared" si="236"/>
        <v/>
      </c>
    </row>
    <row r="233">
      <c r="D233" s="282"/>
      <c r="F233" s="1">
        <v>6.0</v>
      </c>
      <c r="G233" s="60">
        <f t="shared" si="2"/>
        <v>9</v>
      </c>
      <c r="H233" s="1" t="str">
        <f t="shared" si="3"/>
        <v>Frames v0.3</v>
      </c>
      <c r="I233" t="str">
        <f t="shared" si="4"/>
        <v>S</v>
      </c>
      <c r="J233" s="1" t="str">
        <f t="shared" ref="J233:Q233" si="237">indirect(address($G233+4, column()-9, 4, , $H233))</f>
        <v>R42</v>
      </c>
      <c r="K233" s="1">
        <f t="shared" si="237"/>
        <v>1</v>
      </c>
      <c r="L233" s="1" t="str">
        <f t="shared" si="237"/>
        <v>Resistor, 1%</v>
      </c>
      <c r="M233" s="1" t="str">
        <f t="shared" si="237"/>
        <v/>
      </c>
      <c r="N233" s="289" t="str">
        <f t="shared" si="237"/>
        <v>240k</v>
      </c>
      <c r="O233" s="289" t="str">
        <f t="shared" si="237"/>
        <v>0603</v>
      </c>
      <c r="P233" s="290" t="str">
        <f t="shared" si="237"/>
        <v>652-CR0603FX-2403ELF</v>
      </c>
      <c r="Q233" s="1" t="str">
        <f t="shared" si="237"/>
        <v/>
      </c>
    </row>
    <row r="234">
      <c r="D234" s="282"/>
      <c r="F234" s="1">
        <v>6.0</v>
      </c>
      <c r="G234" s="60">
        <f t="shared" si="2"/>
        <v>10</v>
      </c>
      <c r="H234" s="1" t="str">
        <f t="shared" si="3"/>
        <v>Frames v0.3</v>
      </c>
      <c r="I234" t="str">
        <f t="shared" si="4"/>
        <v>S</v>
      </c>
      <c r="J234" s="1" t="str">
        <f t="shared" ref="J234:Q234" si="238">indirect(address($G234+4, column()-9, 4, , $H234))</f>
        <v>C1, C9, C23, C38, C39, C40, C44, C46</v>
      </c>
      <c r="K234" s="1">
        <f t="shared" si="238"/>
        <v>8</v>
      </c>
      <c r="L234" s="1" t="str">
        <f t="shared" si="238"/>
        <v>Capacitor, ceramic</v>
      </c>
      <c r="M234" s="1" t="str">
        <f t="shared" si="238"/>
        <v/>
      </c>
      <c r="N234" s="289" t="str">
        <f t="shared" si="238"/>
        <v>18p</v>
      </c>
      <c r="O234" s="289" t="str">
        <f t="shared" si="238"/>
        <v>0603</v>
      </c>
      <c r="P234" s="290" t="str">
        <f t="shared" si="238"/>
        <v>81-GRM185C1H180JA01J</v>
      </c>
      <c r="Q234" s="1" t="str">
        <f t="shared" si="238"/>
        <v>Murata GRM1885C1H180JA01J</v>
      </c>
    </row>
    <row r="235">
      <c r="D235" s="282"/>
      <c r="F235" s="1">
        <v>6.0</v>
      </c>
      <c r="G235" s="60">
        <f t="shared" si="2"/>
        <v>11</v>
      </c>
      <c r="H235" s="1" t="str">
        <f t="shared" si="3"/>
        <v>Frames v0.3</v>
      </c>
      <c r="I235" t="str">
        <f t="shared" si="4"/>
        <v>S</v>
      </c>
      <c r="J235" s="1" t="str">
        <f t="shared" ref="J235:Q235" si="239">indirect(address($G235+4, column()-9, 4, , $H235))</f>
        <v>C22, C27, C31, C42, C43</v>
      </c>
      <c r="K235" s="1">
        <f t="shared" si="239"/>
        <v>5</v>
      </c>
      <c r="L235" s="1" t="str">
        <f t="shared" si="239"/>
        <v>Capacitor, ceramic</v>
      </c>
      <c r="M235" s="1" t="str">
        <f t="shared" si="239"/>
        <v>&gt;= 16V</v>
      </c>
      <c r="N235" s="289" t="str">
        <f t="shared" si="239"/>
        <v>560p</v>
      </c>
      <c r="O235" s="289" t="str">
        <f t="shared" si="239"/>
        <v>0603</v>
      </c>
      <c r="P235" s="1" t="str">
        <f t="shared" si="239"/>
        <v>81-GRM185C1E561JA01D</v>
      </c>
      <c r="Q235" s="1" t="str">
        <f t="shared" si="239"/>
        <v>Murata GRM1885C1E561JA01D</v>
      </c>
    </row>
    <row r="236">
      <c r="D236" s="282"/>
      <c r="F236" s="1">
        <v>6.0</v>
      </c>
      <c r="G236" s="60">
        <f t="shared" si="2"/>
        <v>12</v>
      </c>
      <c r="H236" s="1" t="str">
        <f t="shared" si="3"/>
        <v>Frames v0.3</v>
      </c>
      <c r="I236" t="str">
        <f t="shared" si="4"/>
        <v>S</v>
      </c>
      <c r="J236" s="1" t="str">
        <f t="shared" ref="J236:Q236" si="240">indirect(address($G236+4, column()-9, 4, , $H236))</f>
        <v>C2, C3, C6, C7, C10, C13, C16, C24, C25, C26, C28, C29, C30, C34, C35, C36, C37, C41, C45, C47, C48</v>
      </c>
      <c r="K236" s="1">
        <f t="shared" si="240"/>
        <v>21</v>
      </c>
      <c r="L236" s="1" t="str">
        <f t="shared" si="240"/>
        <v>Capacitor, ceramic</v>
      </c>
      <c r="M236" s="1" t="str">
        <f t="shared" si="240"/>
        <v>&gt;= 16V</v>
      </c>
      <c r="N236" s="1" t="str">
        <f t="shared" si="240"/>
        <v>100n</v>
      </c>
      <c r="O236" s="289" t="str">
        <f t="shared" si="240"/>
        <v>0603</v>
      </c>
      <c r="P236" s="1" t="str">
        <f t="shared" si="240"/>
        <v>81-GRM188R71E104JA1J</v>
      </c>
      <c r="Q236" s="1" t="str">
        <f t="shared" si="240"/>
        <v>Murata GRM188R71E104JA01J</v>
      </c>
    </row>
    <row r="237">
      <c r="D237" s="282"/>
      <c r="F237" s="1">
        <v>6.0</v>
      </c>
      <c r="G237" s="60">
        <f t="shared" si="2"/>
        <v>13</v>
      </c>
      <c r="H237" s="1" t="str">
        <f t="shared" si="3"/>
        <v>Frames v0.3</v>
      </c>
      <c r="I237" t="str">
        <f t="shared" si="4"/>
        <v>S</v>
      </c>
      <c r="J237" s="1" t="str">
        <f t="shared" ref="J237:Q237" si="241">indirect(address($G237+4, column()-9, 4, , $H237))</f>
        <v>C12</v>
      </c>
      <c r="K237" s="1">
        <f t="shared" si="241"/>
        <v>1</v>
      </c>
      <c r="L237" s="1" t="str">
        <f t="shared" si="241"/>
        <v>Capacitor, ceramic</v>
      </c>
      <c r="M237" s="1" t="str">
        <f t="shared" si="241"/>
        <v>&gt;= 16V</v>
      </c>
      <c r="N237" s="1" t="str">
        <f t="shared" si="241"/>
        <v>470n</v>
      </c>
      <c r="O237" s="289" t="str">
        <f t="shared" si="241"/>
        <v>0603</v>
      </c>
      <c r="P237" s="1" t="str">
        <f t="shared" si="241"/>
        <v>81-GRM18F51C474ZA01J</v>
      </c>
      <c r="Q237" s="1" t="str">
        <f t="shared" si="241"/>
        <v/>
      </c>
    </row>
    <row r="238">
      <c r="D238" s="282"/>
      <c r="F238" s="1">
        <v>6.0</v>
      </c>
      <c r="G238" s="60">
        <f t="shared" si="2"/>
        <v>14</v>
      </c>
      <c r="H238" s="1" t="str">
        <f t="shared" si="3"/>
        <v>Frames v0.3</v>
      </c>
      <c r="I238" t="str">
        <f t="shared" si="4"/>
        <v>S</v>
      </c>
      <c r="J238" s="1" t="str">
        <f t="shared" ref="J238:Q238" si="242">indirect(address($G238+4, column()-9, 4, , $H238))</f>
        <v>C17, C18, C19, C20</v>
      </c>
      <c r="K238" s="1">
        <f t="shared" si="242"/>
        <v>4</v>
      </c>
      <c r="L238" s="1" t="str">
        <f t="shared" si="242"/>
        <v>Capacitor, ceramic</v>
      </c>
      <c r="M238" s="1" t="str">
        <f t="shared" si="242"/>
        <v>&gt;= 6.3V, &lt;= 10%</v>
      </c>
      <c r="N238" s="289" t="str">
        <f t="shared" si="242"/>
        <v>1u</v>
      </c>
      <c r="O238" s="289" t="str">
        <f t="shared" si="242"/>
        <v>0603</v>
      </c>
      <c r="P238" s="1" t="str">
        <f t="shared" si="242"/>
        <v>81-GRM185C81A105KE6D</v>
      </c>
      <c r="Q238" s="1" t="str">
        <f t="shared" si="242"/>
        <v>GRM185C81A105KE36D</v>
      </c>
    </row>
    <row r="239">
      <c r="D239" s="282"/>
      <c r="F239" s="1">
        <v>6.0</v>
      </c>
      <c r="G239" s="60">
        <f t="shared" si="2"/>
        <v>15</v>
      </c>
      <c r="H239" s="1" t="str">
        <f t="shared" si="3"/>
        <v>Frames v0.3</v>
      </c>
      <c r="I239" t="str">
        <f t="shared" si="4"/>
        <v>S</v>
      </c>
      <c r="J239" s="1" t="str">
        <f t="shared" ref="J239:Q239" si="243">indirect(address($G239+4, column()-9, 4, , $H239))</f>
        <v>C8, C14</v>
      </c>
      <c r="K239" s="1">
        <f t="shared" si="243"/>
        <v>2</v>
      </c>
      <c r="L239" s="1" t="str">
        <f t="shared" si="243"/>
        <v>Capacitor, ceramic</v>
      </c>
      <c r="M239" s="1" t="str">
        <f t="shared" si="243"/>
        <v>&gt;= 6.3V</v>
      </c>
      <c r="N239" s="1" t="str">
        <f t="shared" si="243"/>
        <v>3.3u</v>
      </c>
      <c r="O239" s="289" t="str">
        <f t="shared" si="243"/>
        <v>0603</v>
      </c>
      <c r="P239" s="1" t="str">
        <f t="shared" si="243"/>
        <v>81-GRM188R61A335KE5D</v>
      </c>
      <c r="Q239" s="1" t="str">
        <f t="shared" si="243"/>
        <v>Murata GRM188R61A335KE15D</v>
      </c>
    </row>
    <row r="240">
      <c r="D240" s="282"/>
      <c r="F240" s="1">
        <v>6.0</v>
      </c>
      <c r="G240" s="60">
        <f t="shared" si="2"/>
        <v>16</v>
      </c>
      <c r="H240" s="1" t="str">
        <f t="shared" si="3"/>
        <v>Frames v0.3</v>
      </c>
      <c r="I240" t="str">
        <f t="shared" si="4"/>
        <v>S</v>
      </c>
      <c r="J240" s="1" t="str">
        <f t="shared" ref="J240:Q240" si="244">indirect(address($G240+4, column()-9, 4, , $H240))</f>
        <v>C5, C11, C15</v>
      </c>
      <c r="K240" s="1">
        <f t="shared" si="244"/>
        <v>3</v>
      </c>
      <c r="L240" s="1" t="str">
        <f t="shared" si="244"/>
        <v>Capacitor, electrolytic</v>
      </c>
      <c r="M240" s="1" t="str">
        <f t="shared" si="244"/>
        <v>&gt;= 25V</v>
      </c>
      <c r="N240" s="289" t="str">
        <f t="shared" si="244"/>
        <v>22u</v>
      </c>
      <c r="O240" s="289" t="str">
        <f t="shared" si="244"/>
        <v>Panasonic C</v>
      </c>
      <c r="P240" s="290" t="str">
        <f t="shared" si="244"/>
        <v>667-EEE-FP1E220AR</v>
      </c>
      <c r="Q240" s="1" t="str">
        <f t="shared" si="244"/>
        <v>EEE-FP1E220AR</v>
      </c>
    </row>
    <row r="241">
      <c r="D241" s="282"/>
      <c r="F241" s="1">
        <v>6.0</v>
      </c>
      <c r="G241" s="60">
        <f t="shared" si="2"/>
        <v>17</v>
      </c>
      <c r="H241" s="1" t="str">
        <f t="shared" si="3"/>
        <v>Frames v0.3</v>
      </c>
      <c r="I241" t="str">
        <f t="shared" si="4"/>
        <v>S</v>
      </c>
      <c r="J241" s="1" t="str">
        <f t="shared" ref="J241:Q241" si="245">indirect(address($G241+4, column()-9, 4, , $H241))</f>
        <v>C4, C21</v>
      </c>
      <c r="K241" s="1">
        <f t="shared" si="245"/>
        <v>2</v>
      </c>
      <c r="L241" s="1" t="str">
        <f t="shared" si="245"/>
        <v>Capacitor, electrolytic</v>
      </c>
      <c r="M241" s="1" t="str">
        <f t="shared" si="245"/>
        <v>&gt;= 25V</v>
      </c>
      <c r="N241" s="289" t="str">
        <f t="shared" si="245"/>
        <v>47u</v>
      </c>
      <c r="O241" s="289" t="str">
        <f t="shared" si="245"/>
        <v>Panasonic D</v>
      </c>
      <c r="P241" s="290" t="str">
        <f t="shared" si="245"/>
        <v>667-EEE-FK1V470P</v>
      </c>
      <c r="Q241" s="1" t="str">
        <f t="shared" si="245"/>
        <v>EEEFK1V470P</v>
      </c>
    </row>
    <row r="242">
      <c r="D242" s="282"/>
      <c r="F242" s="1">
        <v>6.0</v>
      </c>
      <c r="G242" s="60">
        <f t="shared" si="2"/>
        <v>18</v>
      </c>
      <c r="H242" s="1" t="str">
        <f t="shared" si="3"/>
        <v>Frames v0.3</v>
      </c>
      <c r="I242" t="str">
        <f t="shared" si="4"/>
        <v>S</v>
      </c>
      <c r="J242" s="1" t="str">
        <f t="shared" ref="J242:Q242" si="246">indirect(address($G242+4, column()-9, 4, , $H242))</f>
        <v>D1, D2</v>
      </c>
      <c r="K242" s="1">
        <f t="shared" si="246"/>
        <v>2</v>
      </c>
      <c r="L242" s="1" t="str">
        <f t="shared" si="246"/>
        <v>1N5819HW diode</v>
      </c>
      <c r="M242" s="1" t="str">
        <f t="shared" si="246"/>
        <v/>
      </c>
      <c r="N242" s="289" t="str">
        <f t="shared" si="246"/>
        <v/>
      </c>
      <c r="O242" s="1" t="str">
        <f t="shared" si="246"/>
        <v>SOD123</v>
      </c>
      <c r="P242" s="1" t="str">
        <f t="shared" si="246"/>
        <v>621-1N5819HW-F</v>
      </c>
      <c r="Q242" s="1" t="str">
        <f t="shared" si="246"/>
        <v>Diodes Inc 1N5819HW-7-F</v>
      </c>
    </row>
    <row r="243">
      <c r="D243" s="282"/>
      <c r="F243" s="1">
        <v>6.0</v>
      </c>
      <c r="G243" s="60">
        <f t="shared" si="2"/>
        <v>19</v>
      </c>
      <c r="H243" s="1" t="str">
        <f t="shared" si="3"/>
        <v>Frames v0.3</v>
      </c>
      <c r="I243" t="str">
        <f t="shared" si="4"/>
        <v>S</v>
      </c>
      <c r="J243" s="1" t="str">
        <f t="shared" ref="J243:Q243" si="247">indirect(address($G243+4, column()-9, 4, , $H243))</f>
        <v>D3</v>
      </c>
      <c r="K243" s="1">
        <f t="shared" si="247"/>
        <v>1</v>
      </c>
      <c r="L243" s="1" t="str">
        <f t="shared" si="247"/>
        <v>BAT54S diode</v>
      </c>
      <c r="M243" s="1" t="str">
        <f t="shared" si="247"/>
        <v/>
      </c>
      <c r="N243" s="1" t="str">
        <f t="shared" si="247"/>
        <v/>
      </c>
      <c r="O243" s="289" t="str">
        <f t="shared" si="247"/>
        <v>SOT23</v>
      </c>
      <c r="P243" s="1" t="str">
        <f t="shared" si="247"/>
        <v>512-BAT54S</v>
      </c>
      <c r="Q243" s="1" t="str">
        <f t="shared" si="247"/>
        <v>BAT54S</v>
      </c>
    </row>
    <row r="244">
      <c r="D244" s="282"/>
      <c r="F244" s="1">
        <v>6.0</v>
      </c>
      <c r="G244" s="60">
        <f t="shared" si="2"/>
        <v>20</v>
      </c>
      <c r="H244" s="1" t="str">
        <f t="shared" si="3"/>
        <v>Frames v0.3</v>
      </c>
      <c r="I244" t="str">
        <f t="shared" si="4"/>
        <v>S</v>
      </c>
      <c r="J244" s="1" t="str">
        <f t="shared" ref="J244:Q244" si="248">indirect(address($G244+4, column()-9, 4, , $H244))</f>
        <v>IC1, IC4</v>
      </c>
      <c r="K244" s="1">
        <f t="shared" si="248"/>
        <v>2</v>
      </c>
      <c r="L244" s="1" t="str">
        <f t="shared" si="248"/>
        <v>LM1117-3.3V LDO Vreg</v>
      </c>
      <c r="M244" s="1" t="str">
        <f t="shared" si="248"/>
        <v/>
      </c>
      <c r="N244" s="289" t="str">
        <f t="shared" si="248"/>
        <v>3.3V</v>
      </c>
      <c r="O244" s="289" t="str">
        <f t="shared" si="248"/>
        <v>SO223</v>
      </c>
      <c r="P244" s="290" t="str">
        <f t="shared" si="248"/>
        <v>926-LM1117MPX3.3NOPB</v>
      </c>
      <c r="Q244" s="1" t="str">
        <f t="shared" si="248"/>
        <v>National LM1117MPX3.3NOPB</v>
      </c>
    </row>
    <row r="245">
      <c r="D245" s="282"/>
      <c r="F245" s="1">
        <v>6.0</v>
      </c>
      <c r="G245" s="60">
        <f t="shared" si="2"/>
        <v>21</v>
      </c>
      <c r="H245" s="1" t="str">
        <f t="shared" si="3"/>
        <v>Frames v0.3</v>
      </c>
      <c r="I245" t="str">
        <f t="shared" si="4"/>
        <v>S</v>
      </c>
      <c r="J245" s="1" t="str">
        <f t="shared" ref="J245:Q245" si="249">indirect(address($G245+4, column()-9, 4, , $H245))</f>
        <v>IC2</v>
      </c>
      <c r="K245" s="1">
        <f t="shared" si="249"/>
        <v>1</v>
      </c>
      <c r="L245" s="1" t="str">
        <f t="shared" si="249"/>
        <v>LM4040 Shunt Vref</v>
      </c>
      <c r="M245" s="1" t="str">
        <f t="shared" si="249"/>
        <v>A, B or C grade</v>
      </c>
      <c r="N245" s="289" t="str">
        <f t="shared" si="249"/>
        <v>2.5V</v>
      </c>
      <c r="O245" s="289" t="str">
        <f t="shared" si="249"/>
        <v>SOT23</v>
      </c>
      <c r="P245" s="290" t="str">
        <f t="shared" si="249"/>
        <v>595-LM4040C25IDBZR</v>
      </c>
      <c r="Q245" s="1" t="str">
        <f t="shared" si="249"/>
        <v>Texas Instruments LM4040C25IDBZ</v>
      </c>
    </row>
    <row r="246">
      <c r="D246" s="282"/>
      <c r="F246" s="1">
        <v>6.0</v>
      </c>
      <c r="G246" s="60">
        <f t="shared" si="2"/>
        <v>22</v>
      </c>
      <c r="H246" s="1" t="str">
        <f t="shared" si="3"/>
        <v>Frames v0.3</v>
      </c>
      <c r="I246" t="str">
        <f t="shared" si="4"/>
        <v>S</v>
      </c>
      <c r="J246" s="1" t="str">
        <f t="shared" ref="J246:Q246" si="250">indirect(address($G246+4, column()-9, 4, , $H246))</f>
        <v>IC3</v>
      </c>
      <c r="K246" s="1">
        <f t="shared" si="250"/>
        <v>1</v>
      </c>
      <c r="L246" s="1" t="str">
        <f t="shared" si="250"/>
        <v>DAC124S085C DAC</v>
      </c>
      <c r="M246" s="1" t="str">
        <f t="shared" si="250"/>
        <v>A, B or C grade</v>
      </c>
      <c r="N246" s="289" t="str">
        <f t="shared" si="250"/>
        <v/>
      </c>
      <c r="O246" s="289" t="str">
        <f t="shared" si="250"/>
        <v>MSOP10</v>
      </c>
      <c r="P246" s="290" t="str">
        <f t="shared" si="250"/>
        <v>926-DAC124S085CIMMNO</v>
      </c>
      <c r="Q246" s="1" t="str">
        <f t="shared" si="250"/>
        <v>Texas Instruments DAC124S085CIMM/NOPB</v>
      </c>
    </row>
    <row r="247">
      <c r="D247" s="282"/>
      <c r="F247" s="1">
        <v>6.0</v>
      </c>
      <c r="G247" s="60">
        <f t="shared" si="2"/>
        <v>23</v>
      </c>
      <c r="H247" s="1" t="str">
        <f t="shared" si="3"/>
        <v>Frames v0.3</v>
      </c>
      <c r="I247" t="str">
        <f t="shared" si="4"/>
        <v>S</v>
      </c>
      <c r="J247" s="1" t="str">
        <f t="shared" ref="J247:Q247" si="251">indirect(address($G247+4, column()-9, 4, , $H247))</f>
        <v>IC5</v>
      </c>
      <c r="K247" s="1">
        <f t="shared" si="251"/>
        <v>1</v>
      </c>
      <c r="L247" s="1" t="str">
        <f t="shared" si="251"/>
        <v>LM4040 Shunt Vref</v>
      </c>
      <c r="M247" s="1" t="str">
        <f t="shared" si="251"/>
        <v>A, B or C grade</v>
      </c>
      <c r="N247" s="289" t="str">
        <f t="shared" si="251"/>
        <v>10V</v>
      </c>
      <c r="O247" s="289" t="str">
        <f t="shared" si="251"/>
        <v>SOT23</v>
      </c>
      <c r="P247" s="290" t="str">
        <f t="shared" si="251"/>
        <v>595-LM4040C10IDBZR</v>
      </c>
      <c r="Q247" s="1" t="str">
        <f t="shared" si="251"/>
        <v>Texas Instruments LM4040C10IDBZ</v>
      </c>
    </row>
    <row r="248">
      <c r="D248" s="282"/>
      <c r="F248" s="1">
        <v>6.0</v>
      </c>
      <c r="G248" s="60">
        <f t="shared" si="2"/>
        <v>24</v>
      </c>
      <c r="H248" s="1" t="str">
        <f t="shared" si="3"/>
        <v>Frames v0.3</v>
      </c>
      <c r="I248" t="str">
        <f t="shared" si="4"/>
        <v>S</v>
      </c>
      <c r="J248" s="1" t="str">
        <f t="shared" ref="J248:Q248" si="252">indirect(address($G248+4, column()-9, 4, , $H248))</f>
        <v>IC6, IC7, IC8, IC9, IC11, IC12, IC13</v>
      </c>
      <c r="K248" s="1">
        <f t="shared" si="252"/>
        <v>7</v>
      </c>
      <c r="L248" s="1" t="str">
        <f t="shared" si="252"/>
        <v>TL072 dual op-amp</v>
      </c>
      <c r="M248" s="1" t="str">
        <f t="shared" si="252"/>
        <v/>
      </c>
      <c r="N248" s="1" t="str">
        <f t="shared" si="252"/>
        <v/>
      </c>
      <c r="O248" s="1" t="str">
        <f t="shared" si="252"/>
        <v>SOIC8</v>
      </c>
      <c r="P248" s="1" t="str">
        <f t="shared" si="252"/>
        <v>595-TL072CD</v>
      </c>
      <c r="Q248" s="1" t="str">
        <f t="shared" si="252"/>
        <v>TI TL072CD</v>
      </c>
    </row>
    <row r="249">
      <c r="D249" s="282"/>
      <c r="F249" s="1">
        <v>6.0</v>
      </c>
      <c r="G249" s="60">
        <f t="shared" si="2"/>
        <v>25</v>
      </c>
      <c r="H249" s="1" t="str">
        <f t="shared" si="3"/>
        <v>Frames v0.3</v>
      </c>
      <c r="I249" t="str">
        <f t="shared" si="4"/>
        <v>S</v>
      </c>
      <c r="J249" s="1" t="str">
        <f t="shared" ref="J249:Q249" si="253">indirect(address($G249+4, column()-9, 4, , $H249))</f>
        <v>IC10</v>
      </c>
      <c r="K249" s="1">
        <f t="shared" si="253"/>
        <v>1</v>
      </c>
      <c r="L249" s="1" t="str">
        <f t="shared" si="253"/>
        <v>V2164 quad VCA</v>
      </c>
      <c r="M249" s="1" t="str">
        <f t="shared" si="253"/>
        <v/>
      </c>
      <c r="N249" s="289" t="str">
        <f t="shared" si="253"/>
        <v/>
      </c>
      <c r="O249" s="289" t="str">
        <f t="shared" si="253"/>
        <v>SOIC16</v>
      </c>
      <c r="P249" s="288" t="str">
        <f t="shared" si="253"/>
        <v>V2164M @ CabinTech</v>
      </c>
      <c r="Q249" s="1" t="str">
        <f t="shared" si="253"/>
        <v>CoolAudio V2164M</v>
      </c>
    </row>
    <row r="250">
      <c r="D250" s="282"/>
      <c r="F250" s="1">
        <v>6.0</v>
      </c>
      <c r="G250" s="60">
        <f t="shared" si="2"/>
        <v>26</v>
      </c>
      <c r="H250" s="1" t="str">
        <f t="shared" si="3"/>
        <v>Frames v0.3</v>
      </c>
      <c r="I250" t="str">
        <f t="shared" si="4"/>
        <v>S</v>
      </c>
      <c r="J250" s="1" t="str">
        <f t="shared" ref="J250:Q250" si="254">indirect(address($G250+4, column()-9, 4, , $H250))</f>
        <v>P1, P2</v>
      </c>
      <c r="K250" s="1">
        <f t="shared" si="254"/>
        <v>2</v>
      </c>
      <c r="L250" s="1" t="str">
        <f t="shared" si="254"/>
        <v>Resettable fuse</v>
      </c>
      <c r="M250" s="1" t="str">
        <f t="shared" si="254"/>
        <v>&gt;= 15V</v>
      </c>
      <c r="N250" s="1" t="str">
        <f t="shared" si="254"/>
        <v>&gt;0.1A</v>
      </c>
      <c r="O250" s="289" t="str">
        <f t="shared" si="254"/>
        <v>1206</v>
      </c>
      <c r="P250" s="1" t="str">
        <f t="shared" si="254"/>
        <v>576-1206L035/16YR</v>
      </c>
      <c r="Q250" s="1" t="str">
        <f t="shared" si="254"/>
        <v>Littelfuse 1206L035/16YR</v>
      </c>
    </row>
    <row r="251">
      <c r="D251" s="282"/>
      <c r="F251" s="1">
        <v>6.0</v>
      </c>
      <c r="G251" s="60">
        <f t="shared" si="2"/>
        <v>27</v>
      </c>
      <c r="H251" s="1" t="str">
        <f t="shared" si="3"/>
        <v>Frames v0.3</v>
      </c>
      <c r="I251" t="str">
        <f t="shared" si="4"/>
        <v>S</v>
      </c>
      <c r="J251" s="1" t="str">
        <f t="shared" ref="J251:Q251" si="255">indirect(address($G251+4, column()-9, 4, , $H251))</f>
        <v>Q1</v>
      </c>
      <c r="K251" s="1">
        <f t="shared" si="255"/>
        <v>1</v>
      </c>
      <c r="L251" s="1" t="str">
        <f t="shared" si="255"/>
        <v>8 MHz quartz</v>
      </c>
      <c r="M251" s="1" t="str">
        <f t="shared" si="255"/>
        <v/>
      </c>
      <c r="N251" s="289" t="str">
        <f t="shared" si="255"/>
        <v/>
      </c>
      <c r="O251" s="1" t="str">
        <f t="shared" si="255"/>
        <v>HC49</v>
      </c>
      <c r="P251" s="290" t="str">
        <f t="shared" si="255"/>
        <v>815-ABLS2-8-D4Y-T</v>
      </c>
      <c r="Q251" s="1" t="str">
        <f t="shared" si="255"/>
        <v>Abracon ABLS2-8.000MHZ-D4Y-T</v>
      </c>
    </row>
    <row r="252">
      <c r="D252" s="282"/>
      <c r="F252" s="1">
        <v>6.0</v>
      </c>
      <c r="G252" s="60">
        <f t="shared" si="2"/>
        <v>28</v>
      </c>
      <c r="H252" s="1" t="str">
        <f t="shared" si="3"/>
        <v>Frames v0.3</v>
      </c>
      <c r="I252" t="str">
        <f t="shared" si="4"/>
        <v>S</v>
      </c>
      <c r="J252" s="1" t="str">
        <f t="shared" ref="J252:Q252" si="256">indirect(address($G252+4, column()-9, 4, , $H252))</f>
        <v>Q2</v>
      </c>
      <c r="K252" s="1">
        <f t="shared" si="256"/>
        <v>1</v>
      </c>
      <c r="L252" s="1" t="str">
        <f t="shared" si="256"/>
        <v>NPN transistor MMBT3904</v>
      </c>
      <c r="M252" s="1" t="str">
        <f t="shared" si="256"/>
        <v/>
      </c>
      <c r="N252" s="289" t="str">
        <f t="shared" si="256"/>
        <v/>
      </c>
      <c r="O252" s="289" t="str">
        <f t="shared" si="256"/>
        <v>SOT23</v>
      </c>
      <c r="P252" s="290" t="str">
        <f t="shared" si="256"/>
        <v>863-MMBT3904LT1G</v>
      </c>
      <c r="Q252" s="1" t="str">
        <f t="shared" si="256"/>
        <v>On Semi MMBT3904LT1G</v>
      </c>
    </row>
    <row r="253">
      <c r="D253" s="282"/>
      <c r="F253" s="1">
        <v>6.0</v>
      </c>
      <c r="G253" s="60">
        <f t="shared" si="2"/>
        <v>29</v>
      </c>
      <c r="H253" s="1" t="str">
        <f t="shared" si="3"/>
        <v>Frames v0.3</v>
      </c>
      <c r="I253" t="str">
        <f t="shared" si="4"/>
        <v>S</v>
      </c>
      <c r="J253" s="1" t="str">
        <f t="shared" ref="J253:Q253" si="257">indirect(address($G253+4, column()-9, 4, , $H253))</f>
        <v>SW1, SW2</v>
      </c>
      <c r="K253" s="1">
        <f t="shared" si="257"/>
        <v>2</v>
      </c>
      <c r="L253" s="1" t="str">
        <f t="shared" si="257"/>
        <v>Switch, 6mm, SMT</v>
      </c>
      <c r="M253" s="1" t="str">
        <f t="shared" si="257"/>
        <v/>
      </c>
      <c r="N253" s="289" t="str">
        <f t="shared" si="257"/>
        <v/>
      </c>
      <c r="O253" s="289" t="str">
        <f t="shared" si="257"/>
        <v>6mm x 6mm</v>
      </c>
      <c r="P253" s="290" t="str">
        <f t="shared" si="257"/>
        <v>667-EVQ-Q2K01W</v>
      </c>
      <c r="Q253" s="1" t="str">
        <f t="shared" si="257"/>
        <v>Panasonic EVQ-Q2K01W</v>
      </c>
    </row>
    <row r="254">
      <c r="D254" s="282"/>
      <c r="F254" s="1">
        <v>6.0</v>
      </c>
      <c r="G254" s="60">
        <f t="shared" si="2"/>
        <v>30</v>
      </c>
      <c r="H254" s="1" t="str">
        <f t="shared" si="3"/>
        <v>Frames v0.3</v>
      </c>
      <c r="I254" t="str">
        <f t="shared" si="4"/>
        <v>S</v>
      </c>
      <c r="J254" s="1" t="str">
        <f t="shared" ref="J254:Q254" si="258">indirect(address($G254+4, column()-9, 4, , $H254))</f>
        <v>UC1</v>
      </c>
      <c r="K254" s="1">
        <f t="shared" si="258"/>
        <v>1</v>
      </c>
      <c r="L254" s="1" t="str">
        <f t="shared" si="258"/>
        <v>STM32F103CBT6 MCU</v>
      </c>
      <c r="M254" s="1" t="str">
        <f t="shared" si="258"/>
        <v/>
      </c>
      <c r="N254" s="289" t="str">
        <f t="shared" si="258"/>
        <v/>
      </c>
      <c r="O254" s="289" t="str">
        <f t="shared" si="258"/>
        <v>LQFP48</v>
      </c>
      <c r="P254" s="290" t="str">
        <f t="shared" si="258"/>
        <v>511-STM32F103CBT6</v>
      </c>
      <c r="Q254" s="1" t="str">
        <f t="shared" si="258"/>
        <v>ST STM32F103CBT6</v>
      </c>
    </row>
    <row r="255">
      <c r="D255" s="282"/>
      <c r="F255" s="1">
        <v>6.0</v>
      </c>
      <c r="G255" s="60">
        <f t="shared" si="2"/>
        <v>31</v>
      </c>
      <c r="H255" s="1" t="str">
        <f t="shared" si="3"/>
        <v>Frames v0.3</v>
      </c>
      <c r="I255" t="str">
        <f t="shared" si="4"/>
        <v/>
      </c>
      <c r="J255" s="1" t="str">
        <f t="shared" ref="J255:Q255" si="259">indirect(address($G255+4, column()-9, 4, , $H255))</f>
        <v>PTH parts, top side</v>
      </c>
      <c r="K255" s="1" t="str">
        <f t="shared" si="259"/>
        <v/>
      </c>
      <c r="L255" s="1" t="str">
        <f t="shared" si="259"/>
        <v/>
      </c>
      <c r="M255" s="1" t="str">
        <f t="shared" si="259"/>
        <v/>
      </c>
      <c r="N255" s="1" t="str">
        <f t="shared" si="259"/>
        <v/>
      </c>
      <c r="O255" s="1" t="str">
        <f t="shared" si="259"/>
        <v/>
      </c>
      <c r="P255" s="1" t="str">
        <f t="shared" si="259"/>
        <v/>
      </c>
      <c r="Q255" s="1" t="str">
        <f t="shared" si="259"/>
        <v/>
      </c>
    </row>
    <row r="256">
      <c r="D256" s="282"/>
      <c r="F256" s="1">
        <v>6.0</v>
      </c>
      <c r="G256" s="60">
        <f t="shared" si="2"/>
        <v>32</v>
      </c>
      <c r="H256" s="1" t="str">
        <f t="shared" si="3"/>
        <v>Frames v0.3</v>
      </c>
      <c r="I256" t="str">
        <f t="shared" si="4"/>
        <v>U</v>
      </c>
      <c r="J256" s="1" t="str">
        <f t="shared" ref="J256:Q256" si="260">indirect(address($G256+4, column()-9, 4, , $H256))</f>
        <v>J1, J2, J3, J4, J5, J6, J7, J8, J9, J10, J11, J12</v>
      </c>
      <c r="K256" s="1">
        <f t="shared" si="260"/>
        <v>12</v>
      </c>
      <c r="L256" s="1" t="str">
        <f t="shared" si="260"/>
        <v>Vertical jack connector</v>
      </c>
      <c r="M256" s="1" t="str">
        <f t="shared" si="260"/>
        <v/>
      </c>
      <c r="N256" s="289" t="str">
        <f t="shared" si="260"/>
        <v/>
      </c>
      <c r="O256" s="289" t="str">
        <f t="shared" si="260"/>
        <v/>
      </c>
      <c r="P256" s="290" t="str">
        <f t="shared" si="260"/>
        <v/>
      </c>
      <c r="Q256" s="1" t="str">
        <f t="shared" si="260"/>
        <v>PJ-301-B</v>
      </c>
    </row>
    <row r="257">
      <c r="D257" s="282"/>
      <c r="F257" s="1">
        <v>6.0</v>
      </c>
      <c r="G257" s="60">
        <f t="shared" si="2"/>
        <v>33</v>
      </c>
      <c r="H257" s="1" t="str">
        <f t="shared" si="3"/>
        <v>Frames v0.3</v>
      </c>
      <c r="I257" t="str">
        <f t="shared" si="4"/>
        <v>U</v>
      </c>
      <c r="J257" s="1" t="str">
        <f t="shared" ref="J257:Q257" si="261">indirect(address($G257+4, column()-9, 4, , $H257))</f>
        <v>R15</v>
      </c>
      <c r="K257" s="1">
        <f t="shared" si="261"/>
        <v>1</v>
      </c>
      <c r="L257" s="1" t="str">
        <f t="shared" si="261"/>
        <v>10k linear pot, 15mm shaft, center detent</v>
      </c>
      <c r="M257" s="1" t="str">
        <f t="shared" si="261"/>
        <v/>
      </c>
      <c r="N257" s="289" t="str">
        <f t="shared" si="261"/>
        <v/>
      </c>
      <c r="O257" s="289" t="str">
        <f t="shared" si="261"/>
        <v/>
      </c>
      <c r="P257" s="290" t="str">
        <f t="shared" si="261"/>
        <v/>
      </c>
      <c r="Q257" s="288" t="str">
        <f t="shared" si="261"/>
        <v>https://www.thonk.co.uk/shop/alpha-9mm-pots/</v>
      </c>
    </row>
    <row r="258">
      <c r="D258" s="282"/>
      <c r="F258" s="1">
        <v>6.0</v>
      </c>
      <c r="G258" s="60">
        <f t="shared" si="2"/>
        <v>34</v>
      </c>
      <c r="H258" s="1" t="str">
        <f t="shared" si="3"/>
        <v>Frames v0.3</v>
      </c>
      <c r="I258" t="str">
        <f t="shared" si="4"/>
        <v>U</v>
      </c>
      <c r="J258" s="1" t="str">
        <f t="shared" ref="J258:Q258" si="262">indirect(address($G258+4, column()-9, 4, , $H258))</f>
        <v>R2, R3, R4, R5, R14</v>
      </c>
      <c r="K258" s="1">
        <f t="shared" si="262"/>
        <v>5</v>
      </c>
      <c r="L258" s="1" t="str">
        <f t="shared" si="262"/>
        <v>10k linear pot, 15mm shaft</v>
      </c>
      <c r="M258" s="1" t="str">
        <f t="shared" si="262"/>
        <v/>
      </c>
      <c r="N258" s="289" t="str">
        <f t="shared" si="262"/>
        <v/>
      </c>
      <c r="O258" s="289" t="str">
        <f t="shared" si="262"/>
        <v/>
      </c>
      <c r="P258" s="290" t="str">
        <f t="shared" si="262"/>
        <v/>
      </c>
      <c r="Q258" s="288" t="str">
        <f t="shared" si="262"/>
        <v>https://www.thonk.co.uk/shop/alpha-9mm-pots/</v>
      </c>
    </row>
    <row r="259">
      <c r="D259" s="282"/>
      <c r="F259" s="1">
        <v>6.0</v>
      </c>
      <c r="G259" s="60">
        <f t="shared" si="2"/>
        <v>35</v>
      </c>
      <c r="H259" s="1" t="str">
        <f t="shared" si="3"/>
        <v>Frames v0.3</v>
      </c>
      <c r="I259" t="str">
        <f t="shared" si="4"/>
        <v>U</v>
      </c>
      <c r="J259" s="1" t="str">
        <f t="shared" ref="J259:Q259" si="263">indirect(address($G259+4, column()-9, 4, , $H259))</f>
        <v>LED1, LED2, LED3, LED4</v>
      </c>
      <c r="K259" s="1">
        <f t="shared" si="263"/>
        <v>4</v>
      </c>
      <c r="L259" s="1" t="str">
        <f t="shared" si="263"/>
        <v>LED 3mm, green, round</v>
      </c>
      <c r="M259" s="1" t="str">
        <f t="shared" si="263"/>
        <v/>
      </c>
      <c r="N259" s="289" t="str">
        <f t="shared" si="263"/>
        <v/>
      </c>
      <c r="O259" s="289" t="str">
        <f t="shared" si="263"/>
        <v/>
      </c>
      <c r="P259" s="1" t="str">
        <f t="shared" si="263"/>
        <v>604-WP710A10GD</v>
      </c>
      <c r="Q259" s="1" t="str">
        <f t="shared" si="263"/>
        <v>Kingbright WP710A10GD ou L-710A10GD</v>
      </c>
    </row>
    <row r="260">
      <c r="D260" s="282"/>
      <c r="F260" s="1">
        <v>6.0</v>
      </c>
      <c r="G260" s="60">
        <f t="shared" si="2"/>
        <v>36</v>
      </c>
      <c r="H260" s="1" t="str">
        <f t="shared" si="3"/>
        <v>Frames v0.3</v>
      </c>
      <c r="I260" t="str">
        <f t="shared" si="4"/>
        <v>U</v>
      </c>
      <c r="J260" s="1" t="str">
        <f t="shared" ref="J260:Q260" si="264">indirect(address($G260+4, column()-9, 4, , $H260))</f>
        <v>LED5</v>
      </c>
      <c r="K260" s="1">
        <f t="shared" si="264"/>
        <v>1</v>
      </c>
      <c r="L260" s="1" t="str">
        <f t="shared" si="264"/>
        <v>LED 5mm RGB</v>
      </c>
      <c r="M260" s="1" t="str">
        <f t="shared" si="264"/>
        <v/>
      </c>
      <c r="N260" s="1" t="str">
        <f t="shared" si="264"/>
        <v/>
      </c>
      <c r="O260" s="1" t="str">
        <f t="shared" si="264"/>
        <v/>
      </c>
      <c r="P260" s="293" t="str">
        <f t="shared" si="264"/>
        <v>604-WP154A4SUREQBFZG</v>
      </c>
      <c r="Q260" s="293" t="str">
        <f t="shared" si="264"/>
        <v>Kingbright WP154A4SUREQBFZGWC “water clear”</v>
      </c>
    </row>
    <row r="261">
      <c r="D261" s="282"/>
      <c r="F261" s="1">
        <v>6.0</v>
      </c>
      <c r="G261" s="60">
        <f t="shared" si="2"/>
        <v>37</v>
      </c>
      <c r="H261" s="1" t="str">
        <f t="shared" si="3"/>
        <v>Frames v0.3</v>
      </c>
      <c r="I261" t="str">
        <f t="shared" si="4"/>
        <v>U</v>
      </c>
      <c r="J261" s="1" t="str">
        <f t="shared" ref="J261:Q261" si="265">indirect(address($G261+4, column()-9, 4, , $H261))</f>
        <v>LED6</v>
      </c>
      <c r="K261" s="1">
        <f t="shared" si="265"/>
        <v>1</v>
      </c>
      <c r="L261" s="1" t="str">
        <f t="shared" si="265"/>
        <v>LED 5mm, green</v>
      </c>
      <c r="M261" s="1" t="str">
        <f t="shared" si="265"/>
        <v/>
      </c>
      <c r="N261" s="1" t="str">
        <f t="shared" si="265"/>
        <v/>
      </c>
      <c r="O261" s="1" t="str">
        <f t="shared" si="265"/>
        <v/>
      </c>
      <c r="P261" s="1" t="str">
        <f t="shared" si="265"/>
        <v>604-WP7113SGD</v>
      </c>
      <c r="Q261" s="1" t="str">
        <f t="shared" si="265"/>
        <v>Kingbright WP7113SGD</v>
      </c>
    </row>
    <row r="262">
      <c r="D262" s="282"/>
      <c r="F262" s="1">
        <v>6.0</v>
      </c>
      <c r="G262" s="60">
        <f t="shared" si="2"/>
        <v>38</v>
      </c>
      <c r="H262" s="1" t="str">
        <f t="shared" si="3"/>
        <v>Frames v0.3</v>
      </c>
      <c r="I262" t="str">
        <f t="shared" si="4"/>
        <v>U</v>
      </c>
      <c r="J262" s="1" t="str">
        <f t="shared" ref="J262:Q262" si="266">indirect(address($G262+4, column()-9, 4, , $H262))</f>
        <v>SW3, SW4</v>
      </c>
      <c r="K262" s="1">
        <f t="shared" si="266"/>
        <v>2</v>
      </c>
      <c r="L262" s="1" t="str">
        <f t="shared" si="266"/>
        <v>Push-button, round cap, black</v>
      </c>
      <c r="M262" s="1" t="str">
        <f t="shared" si="266"/>
        <v/>
      </c>
      <c r="N262" s="289" t="str">
        <f t="shared" si="266"/>
        <v/>
      </c>
      <c r="O262" s="289" t="str">
        <f t="shared" si="266"/>
        <v/>
      </c>
      <c r="P262" s="290" t="str">
        <f t="shared" si="266"/>
        <v>611-D6R90LFS</v>
      </c>
      <c r="Q262" s="1" t="str">
        <f t="shared" si="266"/>
        <v>C&amp;K D6R90 F1 LFS</v>
      </c>
    </row>
    <row r="263">
      <c r="D263" s="282"/>
      <c r="F263" s="1">
        <v>6.0</v>
      </c>
      <c r="G263" s="60">
        <f t="shared" si="2"/>
        <v>39</v>
      </c>
      <c r="H263" s="1" t="str">
        <f t="shared" si="3"/>
        <v>Frames v0.3</v>
      </c>
      <c r="I263" t="str">
        <f t="shared" si="4"/>
        <v>U</v>
      </c>
      <c r="J263" s="1" t="str">
        <f t="shared" ref="J263:Q263" si="267">indirect(address($G263+4, column()-9, 4, , $H263))</f>
        <v>SW5</v>
      </c>
      <c r="K263" s="1">
        <f t="shared" si="267"/>
        <v>1</v>
      </c>
      <c r="L263" s="1" t="str">
        <f t="shared" si="267"/>
        <v>Toggle switch, SPDT</v>
      </c>
      <c r="M263" s="1" t="str">
        <f t="shared" si="267"/>
        <v/>
      </c>
      <c r="N263" s="1" t="str">
        <f t="shared" si="267"/>
        <v/>
      </c>
      <c r="O263" s="1" t="str">
        <f t="shared" si="267"/>
        <v/>
      </c>
      <c r="P263" s="1" t="str">
        <f t="shared" si="267"/>
        <v>633-CS12ANW03</v>
      </c>
      <c r="Q263" s="1" t="str">
        <f t="shared" si="267"/>
        <v/>
      </c>
    </row>
    <row r="264">
      <c r="D264" s="282"/>
      <c r="F264" s="1">
        <v>6.0</v>
      </c>
      <c r="G264" s="60">
        <f t="shared" si="2"/>
        <v>40</v>
      </c>
      <c r="H264" s="1" t="str">
        <f t="shared" si="3"/>
        <v>Frames v0.3</v>
      </c>
      <c r="I264" t="str">
        <f t="shared" si="4"/>
        <v/>
      </c>
      <c r="J264" s="1" t="str">
        <f t="shared" ref="J264:Q264" si="268">indirect(address($G264+4, column()-9, 4, , $H264))</f>
        <v>PTH parts, bottom side</v>
      </c>
      <c r="K264" s="1" t="str">
        <f t="shared" si="268"/>
        <v/>
      </c>
      <c r="L264" s="1" t="str">
        <f t="shared" si="268"/>
        <v/>
      </c>
      <c r="M264" s="1" t="str">
        <f t="shared" si="268"/>
        <v/>
      </c>
      <c r="N264" s="289" t="str">
        <f t="shared" si="268"/>
        <v/>
      </c>
      <c r="O264" s="289" t="str">
        <f t="shared" si="268"/>
        <v/>
      </c>
      <c r="P264" s="290" t="str">
        <f t="shared" si="268"/>
        <v/>
      </c>
      <c r="Q264" s="1" t="str">
        <f t="shared" si="268"/>
        <v/>
      </c>
    </row>
    <row r="265">
      <c r="D265" s="282"/>
      <c r="F265" s="1">
        <v>6.0</v>
      </c>
      <c r="G265" s="60">
        <f t="shared" si="2"/>
        <v>41</v>
      </c>
      <c r="H265" s="1" t="str">
        <f t="shared" si="3"/>
        <v>Frames v0.3</v>
      </c>
      <c r="I265" t="str">
        <f t="shared" si="4"/>
        <v>D</v>
      </c>
      <c r="J265" s="1" t="str">
        <f t="shared" ref="J265:Q265" si="269">indirect(address($G265+4, column()-9, 4, , $H265))</f>
        <v>JP1</v>
      </c>
      <c r="K265" s="1">
        <f t="shared" si="269"/>
        <v>1</v>
      </c>
      <c r="L265" s="1" t="str">
        <f t="shared" si="269"/>
        <v>1x3 male header, 2.54mm pitch</v>
      </c>
      <c r="M265" s="1" t="str">
        <f t="shared" si="269"/>
        <v/>
      </c>
      <c r="N265" s="1" t="str">
        <f t="shared" si="269"/>
        <v/>
      </c>
      <c r="O265" s="1" t="str">
        <f t="shared" si="269"/>
        <v/>
      </c>
      <c r="P265" s="1" t="str">
        <f t="shared" si="269"/>
        <v>649-77311-118-03LF</v>
      </c>
      <c r="Q265" s="1" t="str">
        <f t="shared" si="269"/>
        <v/>
      </c>
    </row>
    <row r="266">
      <c r="D266" s="282"/>
      <c r="F266" s="1">
        <v>6.0</v>
      </c>
      <c r="G266" s="60">
        <f t="shared" si="2"/>
        <v>42</v>
      </c>
      <c r="H266" s="1" t="str">
        <f t="shared" si="3"/>
        <v>Frames v0.3</v>
      </c>
      <c r="I266" t="str">
        <f t="shared" si="4"/>
        <v>D</v>
      </c>
      <c r="J266" s="1" t="str">
        <f t="shared" ref="J266:Q266" si="270">indirect(address($G266+4, column()-9, 4, , $H266))</f>
        <v>JP2</v>
      </c>
      <c r="K266" s="1">
        <f t="shared" si="270"/>
        <v>1</v>
      </c>
      <c r="L266" s="1" t="str">
        <f t="shared" si="270"/>
        <v>2x5 male header, 2.54mm pitch</v>
      </c>
      <c r="M266" s="1" t="str">
        <f t="shared" si="270"/>
        <v/>
      </c>
      <c r="N266" s="1" t="str">
        <f t="shared" si="270"/>
        <v/>
      </c>
      <c r="O266" s="1" t="str">
        <f t="shared" si="270"/>
        <v/>
      </c>
      <c r="P266" s="1" t="str">
        <f t="shared" si="270"/>
        <v>649-67996-410HLF</v>
      </c>
      <c r="Q266" s="1" t="str">
        <f t="shared" si="270"/>
        <v/>
      </c>
    </row>
    <row r="267">
      <c r="D267" s="282"/>
      <c r="F267" s="1">
        <v>6.0</v>
      </c>
      <c r="G267" s="60">
        <f t="shared" si="2"/>
        <v>43</v>
      </c>
      <c r="H267" s="1" t="str">
        <f t="shared" si="3"/>
        <v>Frames v0.3</v>
      </c>
      <c r="I267" t="str">
        <f t="shared" si="4"/>
        <v>D</v>
      </c>
      <c r="J267" s="1" t="str">
        <f t="shared" ref="J267:Q267" si="271">indirect(address($G267+4, column()-9, 4, , $H267))</f>
        <v>JP3</v>
      </c>
      <c r="K267" s="1">
        <f t="shared" si="271"/>
        <v>1</v>
      </c>
      <c r="L267" s="1" t="str">
        <f t="shared" si="271"/>
        <v>1x6 male header, 2.54mm pitch</v>
      </c>
      <c r="M267" s="1" t="str">
        <f t="shared" si="271"/>
        <v/>
      </c>
      <c r="N267" s="289" t="str">
        <f t="shared" si="271"/>
        <v/>
      </c>
      <c r="O267" s="289" t="str">
        <f t="shared" si="271"/>
        <v/>
      </c>
      <c r="P267" s="290" t="str">
        <f t="shared" si="271"/>
        <v>649-68002-106HLF</v>
      </c>
      <c r="Q267" s="1" t="str">
        <f t="shared" si="271"/>
        <v/>
      </c>
    </row>
    <row r="268">
      <c r="D268" s="282"/>
      <c r="F268" s="1">
        <v>6.0</v>
      </c>
      <c r="G268" s="60">
        <f t="shared" si="2"/>
        <v>44</v>
      </c>
      <c r="H268" s="1" t="str">
        <f t="shared" si="3"/>
        <v>Frames v0.3</v>
      </c>
      <c r="I268" t="str">
        <f t="shared" si="4"/>
        <v>D</v>
      </c>
      <c r="J268" s="1" t="str">
        <f t="shared" ref="J268:Q268" si="272">indirect(address($G268+4, column()-9, 4, , $H268))</f>
        <v>JP4</v>
      </c>
      <c r="K268" s="1">
        <f t="shared" si="272"/>
        <v>1</v>
      </c>
      <c r="L268" s="1" t="str">
        <f t="shared" si="272"/>
        <v>2x5, 1.27mm pitch male header</v>
      </c>
      <c r="M268" s="1" t="str">
        <f t="shared" si="272"/>
        <v/>
      </c>
      <c r="N268" s="289" t="str">
        <f t="shared" si="272"/>
        <v/>
      </c>
      <c r="O268" s="289" t="str">
        <f t="shared" si="272"/>
        <v/>
      </c>
      <c r="P268" s="290" t="str">
        <f t="shared" si="272"/>
        <v>649-221111-00010T4LF</v>
      </c>
      <c r="Q268" s="1" t="str">
        <f t="shared" si="272"/>
        <v/>
      </c>
    </row>
    <row r="269">
      <c r="D269" s="282"/>
      <c r="F269" s="1">
        <v>6.0</v>
      </c>
      <c r="G269" s="60">
        <f t="shared" si="2"/>
        <v>45</v>
      </c>
      <c r="H269" s="1" t="str">
        <f t="shared" si="3"/>
        <v>Frames v0.3</v>
      </c>
      <c r="I269" t="str">
        <f t="shared" si="4"/>
        <v>D</v>
      </c>
      <c r="J269" s="1" t="str">
        <f t="shared" ref="J269:Q269" si="273">indirect(address($G269+4, column()-9, 4, , $H269))</f>
        <v>Jumper</v>
      </c>
      <c r="K269" s="1">
        <f t="shared" si="273"/>
        <v>1</v>
      </c>
      <c r="L269" s="1" t="str">
        <f t="shared" si="273"/>
        <v>2.54 Shunt jumper</v>
      </c>
      <c r="M269" s="1" t="str">
        <f t="shared" si="273"/>
        <v/>
      </c>
      <c r="N269" s="1" t="str">
        <f t="shared" si="273"/>
        <v/>
      </c>
      <c r="O269" s="1" t="str">
        <f t="shared" si="273"/>
        <v/>
      </c>
      <c r="P269" s="1" t="str">
        <f t="shared" si="273"/>
        <v>517-9691020000DA</v>
      </c>
      <c r="Q269" s="1" t="str">
        <f t="shared" si="273"/>
        <v/>
      </c>
    </row>
    <row r="270">
      <c r="D270" s="282"/>
      <c r="F270" s="1">
        <v>6.0</v>
      </c>
      <c r="G270" s="60">
        <f t="shared" si="2"/>
        <v>46</v>
      </c>
      <c r="H270" s="1" t="str">
        <f t="shared" si="3"/>
        <v>Frames v0.3</v>
      </c>
      <c r="I270" t="str">
        <f t="shared" si="4"/>
        <v/>
      </c>
      <c r="J270" s="1" t="str">
        <f t="shared" ref="J270:Q270" si="274">indirect(address($G270+4, column()-9, 4, , $H270))</f>
        <v>PCB specifications</v>
      </c>
      <c r="K270" s="290" t="str">
        <f t="shared" si="274"/>
        <v/>
      </c>
      <c r="L270" s="1" t="str">
        <f t="shared" si="274"/>
        <v/>
      </c>
      <c r="M270" s="1" t="str">
        <f t="shared" si="274"/>
        <v/>
      </c>
      <c r="N270" s="289" t="str">
        <f t="shared" si="274"/>
        <v/>
      </c>
      <c r="O270" s="289" t="str">
        <f t="shared" si="274"/>
        <v/>
      </c>
      <c r="P270" s="290" t="str">
        <f t="shared" si="274"/>
        <v/>
      </c>
      <c r="Q270" s="1" t="str">
        <f t="shared" si="274"/>
        <v/>
      </c>
    </row>
    <row r="271">
      <c r="D271" s="282"/>
      <c r="F271" s="1">
        <v>6.0</v>
      </c>
      <c r="G271" s="60">
        <f t="shared" si="2"/>
        <v>47</v>
      </c>
      <c r="H271" s="1" t="str">
        <f t="shared" si="3"/>
        <v>Frames v0.3</v>
      </c>
      <c r="I271" t="str">
        <f t="shared" si="4"/>
        <v>P</v>
      </c>
      <c r="J271" s="1" t="str">
        <f t="shared" ref="J271:Q271" si="275">indirect(address($G271+4, column()-9, 4, , $H271))</f>
        <v>PCB</v>
      </c>
      <c r="K271" s="1" t="str">
        <f t="shared" si="275"/>
        <v/>
      </c>
      <c r="L271" s="1" t="str">
        <f t="shared" si="275"/>
        <v>101.6 x 88.9 ; 2 layers</v>
      </c>
      <c r="M271" s="1" t="str">
        <f t="shared" si="275"/>
        <v/>
      </c>
      <c r="N271" s="289" t="str">
        <f t="shared" si="275"/>
        <v/>
      </c>
      <c r="O271" s="289" t="str">
        <f t="shared" si="275"/>
        <v/>
      </c>
      <c r="P271" s="290" t="str">
        <f t="shared" si="275"/>
        <v/>
      </c>
      <c r="Q271" s="1" t="str">
        <f t="shared" si="275"/>
        <v/>
      </c>
    </row>
    <row r="272">
      <c r="D272" s="282"/>
      <c r="F272" s="1">
        <v>7.0</v>
      </c>
      <c r="G272" s="60">
        <f t="shared" si="2"/>
        <v>0</v>
      </c>
      <c r="H272" s="1" t="str">
        <f t="shared" si="3"/>
        <v>Grids v0.2</v>
      </c>
      <c r="I272" t="str">
        <f t="shared" si="4"/>
        <v>S</v>
      </c>
      <c r="J272" s="1" t="str">
        <f t="shared" ref="J272:Q272" si="276">indirect(address($G272+4, column()-9, 4, , $H272))</f>
        <v>R4, R39, R40, R41</v>
      </c>
      <c r="K272" s="291">
        <f t="shared" si="276"/>
        <v>4</v>
      </c>
      <c r="L272" s="1" t="str">
        <f t="shared" si="276"/>
        <v>Resistor, 1%</v>
      </c>
      <c r="M272" s="1" t="str">
        <f t="shared" si="276"/>
        <v/>
      </c>
      <c r="N272" s="1">
        <f t="shared" si="276"/>
        <v>100</v>
      </c>
      <c r="O272" s="289" t="str">
        <f t="shared" si="276"/>
        <v>0603</v>
      </c>
      <c r="P272" s="290" t="str">
        <f t="shared" si="276"/>
        <v>667-ERJ3EKF1000V</v>
      </c>
      <c r="Q272" s="1" t="str">
        <f t="shared" si="276"/>
        <v/>
      </c>
    </row>
    <row r="273">
      <c r="D273" s="282"/>
      <c r="F273" s="1">
        <v>7.0</v>
      </c>
      <c r="G273" s="60">
        <f t="shared" si="2"/>
        <v>1</v>
      </c>
      <c r="H273" s="1" t="str">
        <f t="shared" si="3"/>
        <v>Grids v0.2</v>
      </c>
      <c r="I273" t="str">
        <f t="shared" si="4"/>
        <v>S</v>
      </c>
      <c r="J273" s="1" t="str">
        <f t="shared" ref="J273:Q273" si="277">indirect(address($G273+4, column()-9, 4, , $H273))</f>
        <v>R43, R44, R45, R47, R48, R49</v>
      </c>
      <c r="K273" s="291">
        <f t="shared" si="277"/>
        <v>6</v>
      </c>
      <c r="L273" s="1" t="str">
        <f t="shared" si="277"/>
        <v>Resistor, 1%</v>
      </c>
      <c r="M273" s="1" t="str">
        <f t="shared" si="277"/>
        <v/>
      </c>
      <c r="N273" s="1" t="str">
        <f t="shared" si="277"/>
        <v>1k</v>
      </c>
      <c r="O273" s="289" t="str">
        <f t="shared" si="277"/>
        <v>0603</v>
      </c>
      <c r="P273" s="1" t="str">
        <f t="shared" si="277"/>
        <v>667-ERJ3EKF1001V</v>
      </c>
      <c r="Q273" s="1" t="str">
        <f t="shared" si="277"/>
        <v/>
      </c>
    </row>
    <row r="274">
      <c r="D274" s="282"/>
      <c r="F274" s="1">
        <v>7.0</v>
      </c>
      <c r="G274" s="60">
        <f t="shared" si="2"/>
        <v>2</v>
      </c>
      <c r="H274" s="1" t="str">
        <f t="shared" si="3"/>
        <v>Grids v0.2</v>
      </c>
      <c r="I274" t="str">
        <f t="shared" si="4"/>
        <v>S</v>
      </c>
      <c r="J274" s="1" t="str">
        <f t="shared" ref="J274:Q274" si="278">indirect(address($G274+4, column()-9, 4, , $H274))</f>
        <v>R3, R6, R7, R8</v>
      </c>
      <c r="K274" s="291">
        <f t="shared" si="278"/>
        <v>4</v>
      </c>
      <c r="L274" s="1" t="str">
        <f t="shared" si="278"/>
        <v>Resistor, 1%</v>
      </c>
      <c r="M274" s="1" t="str">
        <f t="shared" si="278"/>
        <v/>
      </c>
      <c r="N274" s="289" t="str">
        <f t="shared" si="278"/>
        <v>10k</v>
      </c>
      <c r="O274" s="289" t="str">
        <f t="shared" si="278"/>
        <v>0603</v>
      </c>
      <c r="P274" s="290" t="str">
        <f t="shared" si="278"/>
        <v>667-ERJ3EKF1002V</v>
      </c>
      <c r="Q274" s="1" t="str">
        <f t="shared" si="278"/>
        <v/>
      </c>
    </row>
    <row r="275">
      <c r="D275" s="282"/>
      <c r="F275" s="1">
        <v>7.0</v>
      </c>
      <c r="G275" s="60">
        <f t="shared" si="2"/>
        <v>3</v>
      </c>
      <c r="H275" s="1" t="str">
        <f t="shared" si="3"/>
        <v>Grids v0.2</v>
      </c>
      <c r="I275" t="str">
        <f t="shared" si="4"/>
        <v>S</v>
      </c>
      <c r="J275" s="1" t="str">
        <f t="shared" ref="J275:Q275" si="279">indirect(address($G275+4, column()-9, 4, , $H275))</f>
        <v>R9, R11, R13, R14, R15, R16, R17, R18, R19, R20, R21, R22, R23, R24, R27, R28, R29, R30, R31, R32, R33, R34, R35, R36, R37, R38</v>
      </c>
      <c r="K275" s="291">
        <f t="shared" si="279"/>
        <v>26</v>
      </c>
      <c r="L275" s="1" t="str">
        <f t="shared" si="279"/>
        <v>Resistor, 1%</v>
      </c>
      <c r="M275" s="1" t="str">
        <f t="shared" si="279"/>
        <v/>
      </c>
      <c r="N275" s="1" t="str">
        <f t="shared" si="279"/>
        <v>100k</v>
      </c>
      <c r="O275" s="289" t="str">
        <f t="shared" si="279"/>
        <v>0603</v>
      </c>
      <c r="P275" s="1" t="str">
        <f t="shared" si="279"/>
        <v>667-ERJ3EKF1003V</v>
      </c>
      <c r="Q275" s="1" t="str">
        <f t="shared" si="279"/>
        <v/>
      </c>
    </row>
    <row r="276">
      <c r="D276" s="282"/>
      <c r="F276" s="1">
        <v>7.0</v>
      </c>
      <c r="G276" s="60">
        <f t="shared" si="2"/>
        <v>4</v>
      </c>
      <c r="H276" s="1" t="str">
        <f t="shared" si="3"/>
        <v>Grids v0.2</v>
      </c>
      <c r="I276" t="str">
        <f t="shared" si="4"/>
        <v>S</v>
      </c>
      <c r="J276" s="1" t="str">
        <f t="shared" ref="J276:Q276" si="280">indirect(address($G276+4, column()-9, 4, , $H276))</f>
        <v>R10, R12</v>
      </c>
      <c r="K276" s="291">
        <f t="shared" si="280"/>
        <v>2</v>
      </c>
      <c r="L276" s="1" t="str">
        <f t="shared" si="280"/>
        <v>Resistor, 1%</v>
      </c>
      <c r="M276" s="1" t="str">
        <f t="shared" si="280"/>
        <v/>
      </c>
      <c r="N276" s="1" t="str">
        <f t="shared" si="280"/>
        <v>1M</v>
      </c>
      <c r="O276" s="289" t="str">
        <f t="shared" si="280"/>
        <v>0603</v>
      </c>
      <c r="P276" s="1" t="str">
        <f t="shared" si="280"/>
        <v>667-ERJ3EKF1004V</v>
      </c>
      <c r="Q276" s="1" t="str">
        <f t="shared" si="280"/>
        <v/>
      </c>
    </row>
    <row r="277">
      <c r="D277" s="282"/>
      <c r="F277" s="1">
        <v>7.0</v>
      </c>
      <c r="G277" s="60">
        <f t="shared" si="2"/>
        <v>5</v>
      </c>
      <c r="H277" s="1" t="str">
        <f t="shared" si="3"/>
        <v>Grids v0.2</v>
      </c>
      <c r="I277" t="str">
        <f t="shared" si="4"/>
        <v>S</v>
      </c>
      <c r="J277" s="1" t="str">
        <f t="shared" ref="J277:Q277" si="281">indirect(address($G277+4, column()-9, 4, , $H277))</f>
        <v>C2, C7</v>
      </c>
      <c r="K277" s="291">
        <f t="shared" si="281"/>
        <v>2</v>
      </c>
      <c r="L277" s="1" t="str">
        <f t="shared" si="281"/>
        <v>Capacitor, ceramic</v>
      </c>
      <c r="M277" s="1" t="str">
        <f t="shared" si="281"/>
        <v/>
      </c>
      <c r="N277" s="1" t="str">
        <f t="shared" si="281"/>
        <v>18p</v>
      </c>
      <c r="O277" s="289" t="str">
        <f t="shared" si="281"/>
        <v>0603</v>
      </c>
      <c r="P277" s="1" t="str">
        <f t="shared" si="281"/>
        <v>81-GRM185C1H180JA01J</v>
      </c>
      <c r="Q277" s="1" t="str">
        <f t="shared" si="281"/>
        <v/>
      </c>
    </row>
    <row r="278">
      <c r="D278" s="282"/>
      <c r="F278" s="1">
        <v>7.0</v>
      </c>
      <c r="G278" s="60">
        <f t="shared" si="2"/>
        <v>6</v>
      </c>
      <c r="H278" s="1" t="str">
        <f t="shared" si="3"/>
        <v>Grids v0.2</v>
      </c>
      <c r="I278" t="str">
        <f t="shared" si="4"/>
        <v>S</v>
      </c>
      <c r="J278" s="1" t="str">
        <f t="shared" ref="J278:Q278" si="282">indirect(address($G278+4, column()-9, 4, , $H278))</f>
        <v>C10, C12, C14, C15, C16, C17</v>
      </c>
      <c r="K278" s="291">
        <f t="shared" si="282"/>
        <v>6</v>
      </c>
      <c r="L278" s="1" t="str">
        <f t="shared" si="282"/>
        <v>Capacitor, ceramic</v>
      </c>
      <c r="M278" s="1" t="str">
        <f t="shared" si="282"/>
        <v/>
      </c>
      <c r="N278" s="289" t="str">
        <f t="shared" si="282"/>
        <v>10n</v>
      </c>
      <c r="O278" s="289" t="str">
        <f t="shared" si="282"/>
        <v>0603</v>
      </c>
      <c r="P278" s="290" t="str">
        <f t="shared" si="282"/>
        <v>81-GRM18R71H103JA01D</v>
      </c>
      <c r="Q278" s="1" t="str">
        <f t="shared" si="282"/>
        <v/>
      </c>
    </row>
    <row r="279">
      <c r="D279" s="282"/>
      <c r="F279" s="1">
        <v>7.0</v>
      </c>
      <c r="G279" s="60">
        <f t="shared" si="2"/>
        <v>7</v>
      </c>
      <c r="H279" s="1" t="str">
        <f t="shared" si="3"/>
        <v>Grids v0.2</v>
      </c>
      <c r="I279" t="str">
        <f t="shared" si="4"/>
        <v>S</v>
      </c>
      <c r="J279" s="1" t="str">
        <f t="shared" ref="J279:Q279" si="283">indirect(address($G279+4, column()-9, 4, , $H279))</f>
        <v>C3, C4, C5, C6, C9, C11, C13, C18</v>
      </c>
      <c r="K279" s="291">
        <f t="shared" si="283"/>
        <v>8</v>
      </c>
      <c r="L279" s="1" t="str">
        <f t="shared" si="283"/>
        <v>Capacitor, ceramic</v>
      </c>
      <c r="M279" s="1" t="str">
        <f t="shared" si="283"/>
        <v>&gt;= 16V</v>
      </c>
      <c r="N279" s="1" t="str">
        <f t="shared" si="283"/>
        <v>100n</v>
      </c>
      <c r="O279" s="289" t="str">
        <f t="shared" si="283"/>
        <v>0603</v>
      </c>
      <c r="P279" s="1" t="str">
        <f t="shared" si="283"/>
        <v>81-GRM188R61C104KA1D</v>
      </c>
      <c r="Q279" s="1" t="str">
        <f t="shared" si="283"/>
        <v/>
      </c>
    </row>
    <row r="280">
      <c r="D280" s="282"/>
      <c r="F280" s="1">
        <v>7.0</v>
      </c>
      <c r="G280" s="60">
        <f t="shared" si="2"/>
        <v>8</v>
      </c>
      <c r="H280" s="1" t="str">
        <f t="shared" si="3"/>
        <v>Grids v0.2</v>
      </c>
      <c r="I280" t="str">
        <f t="shared" si="4"/>
        <v>S</v>
      </c>
      <c r="J280" s="1" t="str">
        <f t="shared" ref="J280:Q280" si="284">indirect(address($G280+4, column()-9, 4, , $H280))</f>
        <v>C8</v>
      </c>
      <c r="K280" s="291">
        <f t="shared" si="284"/>
        <v>1</v>
      </c>
      <c r="L280" s="1" t="str">
        <f t="shared" si="284"/>
        <v>Capacitor, ceramic</v>
      </c>
      <c r="M280" s="1" t="str">
        <f t="shared" si="284"/>
        <v>&gt;= 6.3V</v>
      </c>
      <c r="N280" s="1" t="str">
        <f t="shared" si="284"/>
        <v>470n</v>
      </c>
      <c r="O280" s="289" t="str">
        <f t="shared" si="284"/>
        <v>0603</v>
      </c>
      <c r="P280" s="1" t="str">
        <f t="shared" si="284"/>
        <v>81-GRM18F51C474ZA01J</v>
      </c>
      <c r="Q280" s="1" t="str">
        <f t="shared" si="284"/>
        <v/>
      </c>
    </row>
    <row r="281">
      <c r="D281" s="282"/>
      <c r="F281" s="1">
        <v>7.0</v>
      </c>
      <c r="G281" s="60">
        <f t="shared" si="2"/>
        <v>9</v>
      </c>
      <c r="H281" s="1" t="str">
        <f t="shared" si="3"/>
        <v>Grids v0.2</v>
      </c>
      <c r="I281" t="str">
        <f t="shared" si="4"/>
        <v>S</v>
      </c>
      <c r="J281" s="1" t="str">
        <f t="shared" ref="J281:Q281" si="285">indirect(address($G281+4, column()-9, 4, , $H281))</f>
        <v>C1, C19</v>
      </c>
      <c r="K281" s="291">
        <f t="shared" si="285"/>
        <v>2</v>
      </c>
      <c r="L281" s="1" t="str">
        <f t="shared" si="285"/>
        <v>Capacitor, electrolytic</v>
      </c>
      <c r="M281" s="1" t="str">
        <f t="shared" si="285"/>
        <v>&gt;= 25V</v>
      </c>
      <c r="N281" s="1" t="str">
        <f t="shared" si="285"/>
        <v>22u</v>
      </c>
      <c r="O281" s="1" t="str">
        <f t="shared" si="285"/>
        <v>Panasonic C</v>
      </c>
      <c r="P281" s="1" t="str">
        <f t="shared" si="285"/>
        <v>667-EEE-FP1E220AR</v>
      </c>
      <c r="Q281" s="1" t="str">
        <f t="shared" si="285"/>
        <v>Panasonic EEEFP1E220AR</v>
      </c>
    </row>
    <row r="282">
      <c r="D282" s="282"/>
      <c r="F282" s="1">
        <v>7.0</v>
      </c>
      <c r="G282" s="60">
        <f t="shared" si="2"/>
        <v>10</v>
      </c>
      <c r="H282" s="1" t="str">
        <f t="shared" si="3"/>
        <v>Grids v0.2</v>
      </c>
      <c r="I282" t="str">
        <f t="shared" si="4"/>
        <v>S</v>
      </c>
      <c r="J282" s="1" t="str">
        <f t="shared" ref="J282:Q282" si="286">indirect(address($G282+4, column()-9, 4, , $H282))</f>
        <v>L1</v>
      </c>
      <c r="K282" s="291">
        <f t="shared" si="286"/>
        <v>1</v>
      </c>
      <c r="L282" s="1" t="str">
        <f t="shared" si="286"/>
        <v>Ferrite bead</v>
      </c>
      <c r="M282" s="1" t="str">
        <f t="shared" si="286"/>
        <v>Z@100M &gt; 200</v>
      </c>
      <c r="N282" s="1" t="str">
        <f t="shared" si="286"/>
        <v/>
      </c>
      <c r="O282" s="289" t="str">
        <f t="shared" si="286"/>
        <v>0603</v>
      </c>
      <c r="P282" s="1" t="str">
        <f t="shared" si="286"/>
        <v>710-742792642</v>
      </c>
      <c r="Q282" s="1" t="str">
        <f t="shared" si="286"/>
        <v>WE 742792642</v>
      </c>
    </row>
    <row r="283">
      <c r="D283" s="282"/>
      <c r="F283" s="1">
        <v>7.0</v>
      </c>
      <c r="G283" s="60">
        <f t="shared" si="2"/>
        <v>11</v>
      </c>
      <c r="H283" s="1" t="str">
        <f t="shared" si="3"/>
        <v>Grids v0.2</v>
      </c>
      <c r="I283" t="str">
        <f t="shared" si="4"/>
        <v>S</v>
      </c>
      <c r="J283" s="1" t="str">
        <f t="shared" ref="J283:Q283" si="287">indirect(address($G283+4, column()-9, 4, , $H283))</f>
        <v>IC1</v>
      </c>
      <c r="K283" s="291">
        <f t="shared" si="287"/>
        <v>1</v>
      </c>
      <c r="L283" s="1" t="str">
        <f t="shared" si="287"/>
        <v>ATMega328p</v>
      </c>
      <c r="M283" s="1" t="str">
        <f t="shared" si="287"/>
        <v/>
      </c>
      <c r="N283" s="1" t="str">
        <f t="shared" si="287"/>
        <v/>
      </c>
      <c r="O283" s="1" t="str">
        <f t="shared" si="287"/>
        <v>TQFP32</v>
      </c>
      <c r="P283" s="1" t="str">
        <f t="shared" si="287"/>
        <v>556-ATMEGA328P-AU</v>
      </c>
      <c r="Q283" s="1" t="str">
        <f t="shared" si="287"/>
        <v>ATMEGA328P-AU</v>
      </c>
    </row>
    <row r="284">
      <c r="D284" s="282"/>
      <c r="F284" s="1">
        <v>7.0</v>
      </c>
      <c r="G284" s="60">
        <f t="shared" si="2"/>
        <v>12</v>
      </c>
      <c r="H284" s="1" t="str">
        <f t="shared" si="3"/>
        <v>Grids v0.2</v>
      </c>
      <c r="I284" t="str">
        <f t="shared" si="4"/>
        <v>S</v>
      </c>
      <c r="J284" s="1" t="str">
        <f t="shared" ref="J284:Q284" si="288">indirect(address($G284+4, column()-9, 4, , $H284))</f>
        <v>IC2</v>
      </c>
      <c r="K284" s="291">
        <f t="shared" si="288"/>
        <v>1</v>
      </c>
      <c r="L284" s="1" t="str">
        <f t="shared" si="288"/>
        <v>LM4040 Shunt Vref</v>
      </c>
      <c r="M284" s="1" t="str">
        <f t="shared" si="288"/>
        <v>A, B or C grade</v>
      </c>
      <c r="N284" s="1" t="str">
        <f t="shared" si="288"/>
        <v>5.0V</v>
      </c>
      <c r="O284" s="1" t="str">
        <f t="shared" si="288"/>
        <v>SOT23</v>
      </c>
      <c r="P284" s="1" t="str">
        <f t="shared" si="288"/>
        <v>595-LM4040C50IDBZR</v>
      </c>
      <c r="Q284" s="1" t="str">
        <f t="shared" si="288"/>
        <v>Texas Instruments LM4040C50IDBZ</v>
      </c>
    </row>
    <row r="285">
      <c r="D285" s="282"/>
      <c r="F285" s="1">
        <v>7.0</v>
      </c>
      <c r="G285" s="60">
        <f t="shared" si="2"/>
        <v>13</v>
      </c>
      <c r="H285" s="1" t="str">
        <f t="shared" si="3"/>
        <v>Grids v0.2</v>
      </c>
      <c r="I285" t="str">
        <f t="shared" si="4"/>
        <v>S</v>
      </c>
      <c r="J285" s="1" t="str">
        <f t="shared" ref="J285:Q285" si="289">indirect(address($G285+4, column()-9, 4, , $H285))</f>
        <v>IC3, IC4, IC5</v>
      </c>
      <c r="K285" s="291">
        <f t="shared" si="289"/>
        <v>3</v>
      </c>
      <c r="L285" s="1" t="str">
        <f t="shared" si="289"/>
        <v>MCP6002 dual op-amp R2R IO</v>
      </c>
      <c r="M285" s="1" t="str">
        <f t="shared" si="289"/>
        <v/>
      </c>
      <c r="N285" s="1" t="str">
        <f t="shared" si="289"/>
        <v/>
      </c>
      <c r="O285" s="1" t="str">
        <f t="shared" si="289"/>
        <v>SOIC8</v>
      </c>
      <c r="P285" s="1" t="str">
        <f t="shared" si="289"/>
        <v>579-MCP6002-I/SN</v>
      </c>
      <c r="Q285" s="1" t="str">
        <f t="shared" si="289"/>
        <v>MCP6002-I/SN</v>
      </c>
    </row>
    <row r="286">
      <c r="D286" s="282"/>
      <c r="F286" s="1">
        <v>7.0</v>
      </c>
      <c r="G286" s="60">
        <f t="shared" si="2"/>
        <v>14</v>
      </c>
      <c r="H286" s="1" t="str">
        <f t="shared" si="3"/>
        <v>Grids v0.2</v>
      </c>
      <c r="I286" t="str">
        <f t="shared" si="4"/>
        <v>S</v>
      </c>
      <c r="J286" s="1" t="str">
        <f t="shared" ref="J286:Q286" si="290">indirect(address($G286+4, column()-9, 4, , $H286))</f>
        <v>IC6</v>
      </c>
      <c r="K286" s="291">
        <f t="shared" si="290"/>
        <v>1</v>
      </c>
      <c r="L286" s="1" t="str">
        <f t="shared" si="290"/>
        <v>74hc595 SIPO shift register</v>
      </c>
      <c r="M286" s="1" t="str">
        <f t="shared" si="290"/>
        <v/>
      </c>
      <c r="N286" s="1" t="str">
        <f t="shared" si="290"/>
        <v/>
      </c>
      <c r="O286" s="1" t="str">
        <f t="shared" si="290"/>
        <v>SOIC16</v>
      </c>
      <c r="P286" s="1" t="str">
        <f t="shared" si="290"/>
        <v>595-CD74HC595M</v>
      </c>
      <c r="Q286" s="1" t="str">
        <f t="shared" si="290"/>
        <v>Texas Instruments CD74HC595M, NXP 74HC595D,112</v>
      </c>
    </row>
    <row r="287">
      <c r="D287" s="282"/>
      <c r="F287" s="1">
        <v>7.0</v>
      </c>
      <c r="G287" s="60">
        <f t="shared" si="2"/>
        <v>15</v>
      </c>
      <c r="H287" s="1" t="str">
        <f t="shared" si="3"/>
        <v>Grids v0.2</v>
      </c>
      <c r="I287" t="str">
        <f t="shared" si="4"/>
        <v>S</v>
      </c>
      <c r="J287" s="1" t="str">
        <f t="shared" ref="J287:Q287" si="291">indirect(address($G287+4, column()-9, 4, , $H287))</f>
        <v>IC7</v>
      </c>
      <c r="K287" s="291">
        <f t="shared" si="291"/>
        <v>1</v>
      </c>
      <c r="L287" s="1" t="str">
        <f t="shared" si="291"/>
        <v>LM1117-5.0V LDO Vreg</v>
      </c>
      <c r="M287" s="1" t="str">
        <f t="shared" si="291"/>
        <v/>
      </c>
      <c r="N287" s="1" t="str">
        <f t="shared" si="291"/>
        <v>5.0V</v>
      </c>
      <c r="O287" s="1" t="str">
        <f t="shared" si="291"/>
        <v>SO223</v>
      </c>
      <c r="P287" s="1" t="str">
        <f t="shared" si="291"/>
        <v>926-LM1117MPX5.0NOPB</v>
      </c>
      <c r="Q287" s="1" t="str">
        <f t="shared" si="291"/>
        <v>National LM1117MPX-5.0/NOPB</v>
      </c>
    </row>
    <row r="288">
      <c r="D288" s="282"/>
      <c r="F288" s="1">
        <v>7.0</v>
      </c>
      <c r="G288" s="60">
        <f t="shared" si="2"/>
        <v>16</v>
      </c>
      <c r="H288" s="1" t="str">
        <f t="shared" si="3"/>
        <v>Grids v0.2</v>
      </c>
      <c r="I288" t="str">
        <f t="shared" si="4"/>
        <v>S</v>
      </c>
      <c r="J288" s="1" t="str">
        <f t="shared" ref="J288:Q288" si="292">indirect(address($G288+4, column()-9, 4, , $H288))</f>
        <v>D1</v>
      </c>
      <c r="K288" s="291">
        <f t="shared" si="292"/>
        <v>1</v>
      </c>
      <c r="L288" s="1" t="str">
        <f t="shared" si="292"/>
        <v>1N5819HW diode</v>
      </c>
      <c r="M288" s="1" t="str">
        <f t="shared" si="292"/>
        <v/>
      </c>
      <c r="N288" s="1" t="str">
        <f t="shared" si="292"/>
        <v/>
      </c>
      <c r="O288" s="1" t="str">
        <f t="shared" si="292"/>
        <v>SOD123</v>
      </c>
      <c r="P288" s="1" t="str">
        <f t="shared" si="292"/>
        <v>621-1N5819HW-F</v>
      </c>
      <c r="Q288" s="1" t="str">
        <f t="shared" si="292"/>
        <v>Diodes Inc 1N5819HW-7-F</v>
      </c>
    </row>
    <row r="289">
      <c r="D289" s="282"/>
      <c r="F289" s="1">
        <v>7.0</v>
      </c>
      <c r="G289" s="60">
        <f t="shared" si="2"/>
        <v>17</v>
      </c>
      <c r="H289" s="1" t="str">
        <f t="shared" si="3"/>
        <v>Grids v0.2</v>
      </c>
      <c r="I289" t="str">
        <f t="shared" si="4"/>
        <v>S</v>
      </c>
      <c r="J289" s="1" t="str">
        <f t="shared" ref="J289:Q289" si="293">indirect(address($G289+4, column()-9, 4, , $H289))</f>
        <v>Q1</v>
      </c>
      <c r="K289" s="291">
        <f t="shared" si="293"/>
        <v>1</v>
      </c>
      <c r="L289" s="1" t="str">
        <f t="shared" si="293"/>
        <v>Quartz, 20 MHz</v>
      </c>
      <c r="M289" s="1" t="str">
        <f t="shared" si="293"/>
        <v/>
      </c>
      <c r="N289" s="289" t="str">
        <f t="shared" si="293"/>
        <v/>
      </c>
      <c r="O289" s="1" t="str">
        <f t="shared" si="293"/>
        <v>HC49</v>
      </c>
      <c r="P289" s="290" t="str">
        <f t="shared" si="293"/>
        <v>815-ABLS2-20-D4Y-T</v>
      </c>
      <c r="Q289" s="1" t="str">
        <f t="shared" si="293"/>
        <v>Abracon ABLS2-20.000MHZ-D4Y-T</v>
      </c>
    </row>
    <row r="290">
      <c r="D290" s="282"/>
      <c r="F290" s="1">
        <v>7.0</v>
      </c>
      <c r="G290" s="60">
        <f t="shared" si="2"/>
        <v>18</v>
      </c>
      <c r="H290" s="1" t="str">
        <f t="shared" si="3"/>
        <v>Grids v0.2</v>
      </c>
      <c r="I290" t="str">
        <f t="shared" si="4"/>
        <v>S</v>
      </c>
      <c r="J290" s="1" t="str">
        <f t="shared" ref="J290:Q290" si="294">indirect(address($G290+4, column()-9, 4, , $H290))</f>
        <v>Q2, Q3</v>
      </c>
      <c r="K290" s="291">
        <f t="shared" si="294"/>
        <v>2</v>
      </c>
      <c r="L290" s="1" t="str">
        <f t="shared" si="294"/>
        <v>NPN transistor MMBT3904</v>
      </c>
      <c r="M290" s="1" t="str">
        <f t="shared" si="294"/>
        <v/>
      </c>
      <c r="N290" s="1" t="str">
        <f t="shared" si="294"/>
        <v/>
      </c>
      <c r="O290" s="1" t="str">
        <f t="shared" si="294"/>
        <v>SOT23</v>
      </c>
      <c r="P290" s="1" t="str">
        <f t="shared" si="294"/>
        <v>863-MMBT3904LT1G</v>
      </c>
      <c r="Q290" s="1" t="str">
        <f t="shared" si="294"/>
        <v>On Semi MMBT3904LT1G</v>
      </c>
    </row>
    <row r="291">
      <c r="D291" s="282"/>
      <c r="F291" s="1">
        <v>7.0</v>
      </c>
      <c r="G291" s="60">
        <f t="shared" si="2"/>
        <v>19</v>
      </c>
      <c r="H291" s="1" t="str">
        <f t="shared" si="3"/>
        <v>Grids v0.2</v>
      </c>
      <c r="I291" t="str">
        <f t="shared" si="4"/>
        <v/>
      </c>
      <c r="J291" s="1" t="str">
        <f t="shared" ref="J291:Q291" si="295">indirect(address($G291+4, column()-9, 4, , $H291))</f>
        <v>PTH parts, top side</v>
      </c>
      <c r="K291" s="1" t="str">
        <f t="shared" si="295"/>
        <v/>
      </c>
      <c r="L291" s="1" t="str">
        <f t="shared" si="295"/>
        <v/>
      </c>
      <c r="M291" s="1" t="str">
        <f t="shared" si="295"/>
        <v/>
      </c>
      <c r="N291" s="1" t="str">
        <f t="shared" si="295"/>
        <v/>
      </c>
      <c r="O291" s="1" t="str">
        <f t="shared" si="295"/>
        <v/>
      </c>
      <c r="P291" s="1" t="str">
        <f t="shared" si="295"/>
        <v/>
      </c>
      <c r="Q291" s="1" t="str">
        <f t="shared" si="295"/>
        <v/>
      </c>
    </row>
    <row r="292">
      <c r="D292" s="282"/>
      <c r="F292" s="1">
        <v>7.0</v>
      </c>
      <c r="G292" s="60">
        <f t="shared" si="2"/>
        <v>20</v>
      </c>
      <c r="H292" s="1" t="str">
        <f t="shared" si="3"/>
        <v>Grids v0.2</v>
      </c>
      <c r="I292" t="str">
        <f t="shared" si="4"/>
        <v>U</v>
      </c>
      <c r="J292" s="1" t="str">
        <f t="shared" ref="J292:Q292" si="296">indirect(address($G292+4, column()-9, 4, , $H292))</f>
        <v>LED2, LED3, LED4</v>
      </c>
      <c r="K292" s="291">
        <f t="shared" si="296"/>
        <v>3</v>
      </c>
      <c r="L292" s="1" t="str">
        <f t="shared" si="296"/>
        <v>LED 3mm, green, flat top</v>
      </c>
      <c r="M292" s="1" t="str">
        <f t="shared" si="296"/>
        <v/>
      </c>
      <c r="N292" s="289" t="str">
        <f t="shared" si="296"/>
        <v/>
      </c>
      <c r="O292" s="289" t="str">
        <f t="shared" si="296"/>
        <v/>
      </c>
      <c r="P292" s="1" t="str">
        <f t="shared" si="296"/>
        <v>604-WP424GDT</v>
      </c>
      <c r="Q292" s="1" t="str">
        <f t="shared" si="296"/>
        <v>Kingbright WP424GDT / L-424GDT</v>
      </c>
    </row>
    <row r="293">
      <c r="D293" s="282"/>
      <c r="F293" s="1">
        <v>7.0</v>
      </c>
      <c r="G293" s="60">
        <f t="shared" si="2"/>
        <v>21</v>
      </c>
      <c r="H293" s="1" t="str">
        <f t="shared" si="3"/>
        <v>Grids v0.2</v>
      </c>
      <c r="I293" t="str">
        <f t="shared" si="4"/>
        <v>U</v>
      </c>
      <c r="J293" s="1" t="str">
        <f t="shared" ref="J293:Q293" si="297">indirect(address($G293+4, column()-9, 4, , $H293))</f>
        <v/>
      </c>
      <c r="K293" s="291">
        <f t="shared" si="297"/>
        <v>3</v>
      </c>
      <c r="L293" s="1" t="str">
        <f t="shared" si="297"/>
        <v>LED holder</v>
      </c>
      <c r="M293" s="1" t="str">
        <f t="shared" si="297"/>
        <v>Ø 3mm, 10mm</v>
      </c>
      <c r="N293" s="289" t="str">
        <f t="shared" si="297"/>
        <v/>
      </c>
      <c r="O293" s="289" t="str">
        <f t="shared" si="297"/>
        <v/>
      </c>
      <c r="P293" s="1" t="str">
        <f t="shared" si="297"/>
        <v/>
      </c>
      <c r="Q293" s="1" t="str">
        <f t="shared" si="297"/>
        <v>MULTICOMP LED3-10</v>
      </c>
    </row>
    <row r="294">
      <c r="D294" s="282"/>
      <c r="F294" s="1">
        <v>7.0</v>
      </c>
      <c r="G294" s="60">
        <f t="shared" si="2"/>
        <v>22</v>
      </c>
      <c r="H294" s="1" t="str">
        <f t="shared" si="3"/>
        <v>Grids v0.2</v>
      </c>
      <c r="I294" t="str">
        <f t="shared" si="4"/>
        <v>U</v>
      </c>
      <c r="J294" s="1" t="str">
        <f t="shared" ref="J294:Q294" si="298">indirect(address($G294+4, column()-9, 4, , $H294))</f>
        <v>R1, R2, R5, R25, R26, R42, R46</v>
      </c>
      <c r="K294" s="291">
        <f t="shared" si="298"/>
        <v>7</v>
      </c>
      <c r="L294" s="1" t="str">
        <f t="shared" si="298"/>
        <v>10k linear pot, 15mm shaft</v>
      </c>
      <c r="M294" s="1" t="str">
        <f t="shared" si="298"/>
        <v/>
      </c>
      <c r="N294" s="289" t="str">
        <f t="shared" si="298"/>
        <v/>
      </c>
      <c r="O294" s="289" t="str">
        <f t="shared" si="298"/>
        <v/>
      </c>
      <c r="P294" s="290" t="str">
        <f t="shared" si="298"/>
        <v/>
      </c>
      <c r="Q294" s="288" t="str">
        <f t="shared" si="298"/>
        <v>https://www.thonk.co.uk/shop/alpha-9mm-pots/</v>
      </c>
    </row>
    <row r="295">
      <c r="D295" s="282"/>
      <c r="F295" s="1">
        <v>7.0</v>
      </c>
      <c r="G295" s="60">
        <f t="shared" si="2"/>
        <v>23</v>
      </c>
      <c r="H295" s="1" t="str">
        <f t="shared" si="3"/>
        <v>Grids v0.2</v>
      </c>
      <c r="I295" t="str">
        <f t="shared" si="4"/>
        <v>U</v>
      </c>
      <c r="J295" s="1" t="str">
        <f t="shared" ref="J295:Q295" si="299">indirect(address($G295+4, column()-9, 4, , $H295))</f>
        <v>SW1 + LED1</v>
      </c>
      <c r="K295" s="291">
        <f t="shared" si="299"/>
        <v>1</v>
      </c>
      <c r="L295" s="1" t="str">
        <f t="shared" si="299"/>
        <v>Switch, On-mom, Green LED</v>
      </c>
      <c r="M295" s="1" t="str">
        <f t="shared" si="299"/>
        <v/>
      </c>
      <c r="N295" s="1" t="str">
        <f t="shared" si="299"/>
        <v/>
      </c>
      <c r="O295" s="1" t="str">
        <f t="shared" si="299"/>
        <v/>
      </c>
      <c r="P295" s="288" t="str">
        <f t="shared" si="299"/>
        <v>612-LP4OA1PBCTG</v>
      </c>
      <c r="Q295" s="1" t="str">
        <f t="shared" si="299"/>
        <v>E-switch LP4OA1PBCTG</v>
      </c>
    </row>
    <row r="296">
      <c r="D296" s="282"/>
      <c r="F296" s="1">
        <v>7.0</v>
      </c>
      <c r="G296" s="60">
        <f t="shared" si="2"/>
        <v>24</v>
      </c>
      <c r="H296" s="1" t="str">
        <f t="shared" si="3"/>
        <v>Grids v0.2</v>
      </c>
      <c r="I296" t="str">
        <f t="shared" si="4"/>
        <v>U</v>
      </c>
      <c r="J296" s="1" t="str">
        <f t="shared" ref="J296:Q296" si="300">indirect(address($G296+4, column()-9, 4, , $H296))</f>
        <v>J1, J2, J3, J4, J5, J6, J7, J8, J9, J10, J11, J12, J13, J14</v>
      </c>
      <c r="K296" s="291">
        <f t="shared" si="300"/>
        <v>14</v>
      </c>
      <c r="L296" s="1" t="str">
        <f t="shared" si="300"/>
        <v>Vertical jack connector</v>
      </c>
      <c r="M296" s="1" t="str">
        <f t="shared" si="300"/>
        <v/>
      </c>
      <c r="N296" s="1" t="str">
        <f t="shared" si="300"/>
        <v/>
      </c>
      <c r="O296" s="1" t="str">
        <f t="shared" si="300"/>
        <v/>
      </c>
      <c r="P296" s="1" t="str">
        <f t="shared" si="300"/>
        <v/>
      </c>
      <c r="Q296" s="1" t="str">
        <f t="shared" si="300"/>
        <v>PJ-301-B</v>
      </c>
    </row>
    <row r="297">
      <c r="D297" s="282"/>
      <c r="F297" s="1">
        <v>7.0</v>
      </c>
      <c r="G297" s="60">
        <f t="shared" si="2"/>
        <v>25</v>
      </c>
      <c r="H297" s="1" t="str">
        <f t="shared" si="3"/>
        <v>Grids v0.2</v>
      </c>
      <c r="I297" t="str">
        <f t="shared" si="4"/>
        <v/>
      </c>
      <c r="J297" s="1" t="str">
        <f t="shared" ref="J297:Q297" si="301">indirect(address($G297+4, column()-9, 4, , $H297))</f>
        <v>PTH parts, bottom side</v>
      </c>
      <c r="K297" s="291" t="str">
        <f t="shared" si="301"/>
        <v/>
      </c>
      <c r="L297" s="1" t="str">
        <f t="shared" si="301"/>
        <v/>
      </c>
      <c r="M297" s="1" t="str">
        <f t="shared" si="301"/>
        <v/>
      </c>
      <c r="N297" s="289" t="str">
        <f t="shared" si="301"/>
        <v/>
      </c>
      <c r="O297" s="289" t="str">
        <f t="shared" si="301"/>
        <v/>
      </c>
      <c r="P297" s="290" t="str">
        <f t="shared" si="301"/>
        <v/>
      </c>
      <c r="Q297" s="1" t="str">
        <f t="shared" si="301"/>
        <v/>
      </c>
    </row>
    <row r="298">
      <c r="D298" s="282"/>
      <c r="F298" s="1">
        <v>7.0</v>
      </c>
      <c r="G298" s="60">
        <f t="shared" si="2"/>
        <v>26</v>
      </c>
      <c r="H298" s="1" t="str">
        <f t="shared" si="3"/>
        <v>Grids v0.2</v>
      </c>
      <c r="I298" t="str">
        <f t="shared" si="4"/>
        <v>D</v>
      </c>
      <c r="J298" s="1" t="str">
        <f t="shared" ref="J298:Q298" si="302">indirect(address($G298+4, column()-9, 4, , $H298))</f>
        <v>J16</v>
      </c>
      <c r="K298" s="291">
        <f t="shared" si="302"/>
        <v>1</v>
      </c>
      <c r="L298" s="1" t="str">
        <f t="shared" si="302"/>
        <v>2x5, 2.54mm pitch male header</v>
      </c>
      <c r="M298" s="1" t="str">
        <f t="shared" si="302"/>
        <v/>
      </c>
      <c r="N298" s="1" t="str">
        <f t="shared" si="302"/>
        <v/>
      </c>
      <c r="O298" s="1" t="str">
        <f t="shared" si="302"/>
        <v/>
      </c>
      <c r="P298" s="1" t="str">
        <f t="shared" si="302"/>
        <v>649-67996-410HLF</v>
      </c>
      <c r="Q298" s="1" t="str">
        <f t="shared" si="302"/>
        <v/>
      </c>
    </row>
    <row r="299">
      <c r="D299" s="282"/>
      <c r="F299" s="1">
        <v>7.0</v>
      </c>
      <c r="G299" s="60">
        <f t="shared" si="2"/>
        <v>27</v>
      </c>
      <c r="H299" s="1" t="str">
        <f t="shared" si="3"/>
        <v>Grids v0.2</v>
      </c>
      <c r="I299" t="str">
        <f t="shared" si="4"/>
        <v>D</v>
      </c>
      <c r="J299" s="1" t="str">
        <f t="shared" ref="J299:Q299" si="303">indirect(address($G299+4, column()-9, 4, , $H299))</f>
        <v>J15</v>
      </c>
      <c r="K299" s="291">
        <f t="shared" si="303"/>
        <v>1</v>
      </c>
      <c r="L299" s="1" t="str">
        <f t="shared" si="303"/>
        <v>2x3, 2.54mm pitch male header</v>
      </c>
      <c r="M299" s="1" t="str">
        <f t="shared" si="303"/>
        <v/>
      </c>
      <c r="N299" s="289" t="str">
        <f t="shared" si="303"/>
        <v/>
      </c>
      <c r="O299" s="289" t="str">
        <f t="shared" si="303"/>
        <v/>
      </c>
      <c r="P299" s="1" t="str">
        <f t="shared" si="303"/>
        <v>649-67996-406HLF</v>
      </c>
      <c r="Q299" s="1" t="str">
        <f t="shared" si="303"/>
        <v/>
      </c>
    </row>
    <row r="300">
      <c r="D300" s="282"/>
      <c r="F300" s="1">
        <v>7.0</v>
      </c>
      <c r="G300" s="60">
        <f t="shared" si="2"/>
        <v>28</v>
      </c>
      <c r="H300" s="1" t="str">
        <f t="shared" si="3"/>
        <v>Grids v0.2</v>
      </c>
      <c r="I300" t="str">
        <f t="shared" si="4"/>
        <v/>
      </c>
      <c r="J300" s="1" t="str">
        <f t="shared" ref="J300:Q300" si="304">indirect(address($G300+4, column()-9, 4, , $H300))</f>
        <v>PCB specifications</v>
      </c>
      <c r="K300" s="291" t="str">
        <f t="shared" si="304"/>
        <v/>
      </c>
      <c r="L300" s="1" t="str">
        <f t="shared" si="304"/>
        <v/>
      </c>
      <c r="M300" s="1" t="str">
        <f t="shared" si="304"/>
        <v/>
      </c>
      <c r="N300" s="289" t="str">
        <f t="shared" si="304"/>
        <v/>
      </c>
      <c r="O300" s="289" t="str">
        <f t="shared" si="304"/>
        <v/>
      </c>
      <c r="P300" s="1" t="str">
        <f t="shared" si="304"/>
        <v/>
      </c>
      <c r="Q300" s="1" t="str">
        <f t="shared" si="304"/>
        <v/>
      </c>
    </row>
    <row r="301">
      <c r="D301" s="282"/>
      <c r="F301" s="1">
        <v>7.0</v>
      </c>
      <c r="G301" s="60">
        <f t="shared" si="2"/>
        <v>29</v>
      </c>
      <c r="H301" s="1" t="str">
        <f t="shared" si="3"/>
        <v>Grids v0.2</v>
      </c>
      <c r="I301" t="str">
        <f t="shared" si="4"/>
        <v>P</v>
      </c>
      <c r="J301" s="1" t="str">
        <f t="shared" ref="J301:Q301" si="305">indirect(address($G301+4, column()-9, 4, , $H301))</f>
        <v>PCB</v>
      </c>
      <c r="K301" s="291" t="str">
        <f t="shared" si="305"/>
        <v/>
      </c>
      <c r="L301" s="1" t="str">
        <f t="shared" si="305"/>
        <v>80 x 102.9 ; 2 layers</v>
      </c>
      <c r="M301" s="1" t="str">
        <f t="shared" si="305"/>
        <v/>
      </c>
      <c r="N301" s="289" t="str">
        <f t="shared" si="305"/>
        <v/>
      </c>
      <c r="O301" s="289" t="str">
        <f t="shared" si="305"/>
        <v/>
      </c>
      <c r="P301" s="290" t="str">
        <f t="shared" si="305"/>
        <v/>
      </c>
      <c r="Q301" s="1" t="str">
        <f t="shared" si="305"/>
        <v/>
      </c>
    </row>
    <row r="302">
      <c r="D302" s="282"/>
      <c r="F302" s="1">
        <v>8.0</v>
      </c>
      <c r="G302" s="60">
        <f t="shared" si="2"/>
        <v>0</v>
      </c>
      <c r="H302" s="1" t="str">
        <f t="shared" si="3"/>
        <v>Links v4</v>
      </c>
      <c r="I302" t="str">
        <f t="shared" si="4"/>
        <v>S</v>
      </c>
      <c r="J302" s="1" t="str">
        <f t="shared" ref="J302:Q302" si="306">indirect(address($G302+4, column()-9, 4, , $H302))</f>
        <v>R2, R4, R5, R12, R13, R21</v>
      </c>
      <c r="K302" s="1">
        <f t="shared" si="306"/>
        <v>6</v>
      </c>
      <c r="L302" s="1" t="str">
        <f t="shared" si="306"/>
        <v>Resistor, 1%</v>
      </c>
      <c r="M302" s="1" t="str">
        <f t="shared" si="306"/>
        <v/>
      </c>
      <c r="N302" s="1">
        <f t="shared" si="306"/>
        <v>51</v>
      </c>
      <c r="O302" s="1" t="str">
        <f t="shared" si="306"/>
        <v>0603</v>
      </c>
      <c r="P302" s="1" t="str">
        <f t="shared" si="306"/>
        <v>667-ERJ-3EKF51R0V</v>
      </c>
      <c r="Q302" s="1" t="str">
        <f t="shared" si="306"/>
        <v/>
      </c>
    </row>
    <row r="303">
      <c r="D303" s="282"/>
      <c r="F303" s="1">
        <v>8.0</v>
      </c>
      <c r="G303" s="60">
        <f t="shared" si="2"/>
        <v>1</v>
      </c>
      <c r="H303" s="1" t="str">
        <f t="shared" si="3"/>
        <v>Links v4</v>
      </c>
      <c r="I303" t="str">
        <f t="shared" si="4"/>
        <v>S</v>
      </c>
      <c r="J303" s="1" t="str">
        <f t="shared" ref="J303:Q303" si="307">indirect(address($G303+4, column()-9, 4, , $H303))</f>
        <v>R3, R11, R19</v>
      </c>
      <c r="K303" s="1">
        <f t="shared" si="307"/>
        <v>3</v>
      </c>
      <c r="L303" s="1" t="str">
        <f t="shared" si="307"/>
        <v>Resistor, 1%</v>
      </c>
      <c r="M303" s="1" t="str">
        <f t="shared" si="307"/>
        <v/>
      </c>
      <c r="N303" s="1" t="str">
        <f t="shared" si="307"/>
        <v>1.0k</v>
      </c>
      <c r="O303" s="1" t="str">
        <f t="shared" si="307"/>
        <v>0603</v>
      </c>
      <c r="P303" s="1" t="str">
        <f t="shared" si="307"/>
        <v>667-ERJ3-EKF1001V</v>
      </c>
      <c r="Q303" s="1" t="str">
        <f t="shared" si="307"/>
        <v/>
      </c>
    </row>
    <row r="304">
      <c r="D304" s="282"/>
      <c r="F304" s="1">
        <v>8.0</v>
      </c>
      <c r="G304" s="60">
        <f t="shared" si="2"/>
        <v>2</v>
      </c>
      <c r="H304" s="1" t="str">
        <f t="shared" si="3"/>
        <v>Links v4</v>
      </c>
      <c r="I304" t="str">
        <f t="shared" si="4"/>
        <v>S</v>
      </c>
      <c r="J304" s="1" t="str">
        <f t="shared" ref="J304:Q304" si="308">indirect(address($G304+4, column()-9, 4, , $H304))</f>
        <v>R15</v>
      </c>
      <c r="K304" s="1">
        <f t="shared" si="308"/>
        <v>1</v>
      </c>
      <c r="L304" s="1" t="str">
        <f t="shared" si="308"/>
        <v>Resistor, 1%</v>
      </c>
      <c r="M304" s="1" t="str">
        <f t="shared" si="308"/>
        <v/>
      </c>
      <c r="N304" s="1" t="str">
        <f t="shared" si="308"/>
        <v>33k</v>
      </c>
      <c r="O304" s="1" t="str">
        <f t="shared" si="308"/>
        <v>0603</v>
      </c>
      <c r="P304" s="1" t="str">
        <f t="shared" si="308"/>
        <v>667-ERJ-3EKF3302V</v>
      </c>
      <c r="Q304" s="1" t="str">
        <f t="shared" si="308"/>
        <v/>
      </c>
    </row>
    <row r="305">
      <c r="D305" s="282"/>
      <c r="F305" s="1">
        <v>8.0</v>
      </c>
      <c r="G305" s="60">
        <f t="shared" si="2"/>
        <v>3</v>
      </c>
      <c r="H305" s="1" t="str">
        <f t="shared" si="3"/>
        <v>Links v4</v>
      </c>
      <c r="I305" t="str">
        <f t="shared" si="4"/>
        <v>S</v>
      </c>
      <c r="J305" s="1" t="str">
        <f t="shared" ref="J305:Q305" si="309">indirect(address($G305+4, column()-9, 4, , $H305))</f>
        <v>R6, R7, R8, R9, R10, R14, R16, R17, R18, R20</v>
      </c>
      <c r="K305" s="1">
        <f t="shared" si="309"/>
        <v>10</v>
      </c>
      <c r="L305" s="1" t="str">
        <f t="shared" si="309"/>
        <v>Resistor, 0.1%, Thin film</v>
      </c>
      <c r="M305" s="1" t="str">
        <f t="shared" si="309"/>
        <v/>
      </c>
      <c r="N305" s="1" t="str">
        <f t="shared" si="309"/>
        <v>100k</v>
      </c>
      <c r="O305" s="1" t="str">
        <f t="shared" si="309"/>
        <v>0603</v>
      </c>
      <c r="P305" s="1" t="str">
        <f t="shared" si="309"/>
        <v>667-ERA-3AEB104V</v>
      </c>
      <c r="Q305" s="1" t="str">
        <f t="shared" si="309"/>
        <v/>
      </c>
    </row>
    <row r="306">
      <c r="D306" s="282"/>
      <c r="F306" s="1">
        <v>8.0</v>
      </c>
      <c r="G306" s="60">
        <f t="shared" si="2"/>
        <v>4</v>
      </c>
      <c r="H306" s="1" t="str">
        <f t="shared" si="3"/>
        <v>Links v4</v>
      </c>
      <c r="I306" t="str">
        <f t="shared" si="4"/>
        <v>S</v>
      </c>
      <c r="J306" s="1" t="str">
        <f t="shared" ref="J306:Q306" si="310">indirect(address($G306+4, column()-9, 4, , $H306))</f>
        <v>R1</v>
      </c>
      <c r="K306" s="1">
        <f t="shared" si="310"/>
        <v>1</v>
      </c>
      <c r="L306" s="1" t="str">
        <f t="shared" si="310"/>
        <v>Resistor, 1%</v>
      </c>
      <c r="M306" s="1" t="str">
        <f t="shared" si="310"/>
        <v/>
      </c>
      <c r="N306" s="1" t="str">
        <f t="shared" si="310"/>
        <v>10M</v>
      </c>
      <c r="O306" s="1" t="str">
        <f t="shared" si="310"/>
        <v>0603</v>
      </c>
      <c r="P306" s="1" t="str">
        <f t="shared" si="310"/>
        <v>603-RC0603FR-0710ML</v>
      </c>
      <c r="Q306" s="1" t="str">
        <f t="shared" si="310"/>
        <v/>
      </c>
    </row>
    <row r="307">
      <c r="D307" s="282"/>
      <c r="F307" s="1">
        <v>8.0</v>
      </c>
      <c r="G307" s="60">
        <f t="shared" si="2"/>
        <v>5</v>
      </c>
      <c r="H307" s="1" t="str">
        <f t="shared" si="3"/>
        <v>Links v4</v>
      </c>
      <c r="I307" t="str">
        <f t="shared" si="4"/>
        <v>S</v>
      </c>
      <c r="J307" s="1" t="str">
        <f t="shared" ref="J307:Q307" si="311">indirect(address($G307+4, column()-9, 4, , $H307))</f>
        <v>C6, C9</v>
      </c>
      <c r="K307" s="1">
        <f t="shared" si="311"/>
        <v>2</v>
      </c>
      <c r="L307" s="1" t="str">
        <f t="shared" si="311"/>
        <v>Capacitor, ceramic</v>
      </c>
      <c r="M307" s="1" t="str">
        <f t="shared" si="311"/>
        <v>&gt;= 16V, &lt;= 5%, C0G</v>
      </c>
      <c r="N307" s="1" t="str">
        <f t="shared" si="311"/>
        <v>10p</v>
      </c>
      <c r="O307" s="1" t="str">
        <f t="shared" si="311"/>
        <v>0603</v>
      </c>
      <c r="P307" s="1" t="str">
        <f t="shared" si="311"/>
        <v>81-GRM185C1H100JA01J</v>
      </c>
      <c r="Q307" s="1" t="str">
        <f t="shared" si="311"/>
        <v/>
      </c>
    </row>
    <row r="308">
      <c r="D308" s="282"/>
      <c r="F308" s="1">
        <v>8.0</v>
      </c>
      <c r="G308" s="60">
        <f t="shared" si="2"/>
        <v>6</v>
      </c>
      <c r="H308" s="1" t="str">
        <f t="shared" si="3"/>
        <v>Links v4</v>
      </c>
      <c r="I308" t="str">
        <f t="shared" si="4"/>
        <v>S</v>
      </c>
      <c r="J308" s="1" t="str">
        <f t="shared" ref="J308:Q308" si="312">indirect(address($G308+4, column()-9, 4, , $H308))</f>
        <v>C3, C4, C5, C7, C8, C10</v>
      </c>
      <c r="K308" s="1">
        <f t="shared" si="312"/>
        <v>6</v>
      </c>
      <c r="L308" s="1" t="str">
        <f t="shared" si="312"/>
        <v>Capacitor, ceramic</v>
      </c>
      <c r="M308" s="1" t="str">
        <f t="shared" si="312"/>
        <v>&gt;= 16V</v>
      </c>
      <c r="N308" s="1" t="str">
        <f t="shared" si="312"/>
        <v>100n</v>
      </c>
      <c r="O308" s="1" t="str">
        <f t="shared" si="312"/>
        <v>0603</v>
      </c>
      <c r="P308" s="1" t="str">
        <f t="shared" si="312"/>
        <v>81-GRM188R71E104JA1J</v>
      </c>
      <c r="Q308" s="1" t="str">
        <f t="shared" si="312"/>
        <v/>
      </c>
    </row>
    <row r="309">
      <c r="D309" s="282"/>
      <c r="F309" s="1">
        <v>8.0</v>
      </c>
      <c r="G309" s="60">
        <f t="shared" si="2"/>
        <v>7</v>
      </c>
      <c r="H309" s="1" t="str">
        <f t="shared" si="3"/>
        <v>Links v4</v>
      </c>
      <c r="I309" t="str">
        <f t="shared" si="4"/>
        <v>S</v>
      </c>
      <c r="J309" s="1" t="str">
        <f t="shared" ref="J309:Q309" si="313">indirect(address($G309+4, column()-9, 4, , $H309))</f>
        <v>C1, C2</v>
      </c>
      <c r="K309" s="1">
        <f t="shared" si="313"/>
        <v>2</v>
      </c>
      <c r="L309" s="1" t="str">
        <f t="shared" si="313"/>
        <v>Capacitor, electrolytic</v>
      </c>
      <c r="M309" s="1" t="str">
        <f t="shared" si="313"/>
        <v>&gt;= 25V</v>
      </c>
      <c r="N309" s="1" t="str">
        <f t="shared" si="313"/>
        <v>4.7u</v>
      </c>
      <c r="O309" s="1" t="str">
        <f t="shared" si="313"/>
        <v>Panasonic A (3mm dia)</v>
      </c>
      <c r="P309" s="1" t="str">
        <f t="shared" si="313"/>
        <v>647-UWX1E4R7MCL2</v>
      </c>
      <c r="Q309" s="1" t="str">
        <f t="shared" si="313"/>
        <v>Nichicon UWX1E4R7MCL2GB</v>
      </c>
    </row>
    <row r="310">
      <c r="D310" s="282"/>
      <c r="F310" s="1">
        <v>8.0</v>
      </c>
      <c r="G310" s="60">
        <f t="shared" si="2"/>
        <v>8</v>
      </c>
      <c r="H310" s="1" t="str">
        <f t="shared" si="3"/>
        <v>Links v4</v>
      </c>
      <c r="I310" t="str">
        <f t="shared" si="4"/>
        <v>S</v>
      </c>
      <c r="J310" s="1" t="str">
        <f t="shared" ref="J310:Q310" si="314">indirect(address($G310+4, column()-9, 4, , $H310))</f>
        <v>D1, D2</v>
      </c>
      <c r="K310" s="1">
        <f t="shared" si="314"/>
        <v>2</v>
      </c>
      <c r="L310" s="1" t="str">
        <f t="shared" si="314"/>
        <v>1N5819HW diode</v>
      </c>
      <c r="M310" s="1" t="str">
        <f t="shared" si="314"/>
        <v/>
      </c>
      <c r="N310" s="1" t="str">
        <f t="shared" si="314"/>
        <v/>
      </c>
      <c r="O310" s="1" t="str">
        <f t="shared" si="314"/>
        <v>SOD123</v>
      </c>
      <c r="P310" s="1" t="str">
        <f t="shared" si="314"/>
        <v>621-1N5819HW-F</v>
      </c>
      <c r="Q310" s="1" t="str">
        <f t="shared" si="314"/>
        <v>Diodes Inc 1N5819HW-7-F</v>
      </c>
    </row>
    <row r="311">
      <c r="D311" s="282"/>
      <c r="F311" s="1">
        <v>8.0</v>
      </c>
      <c r="G311" s="60">
        <f t="shared" si="2"/>
        <v>9</v>
      </c>
      <c r="H311" s="1" t="str">
        <f t="shared" si="3"/>
        <v>Links v4</v>
      </c>
      <c r="I311" t="str">
        <f t="shared" si="4"/>
        <v>S</v>
      </c>
      <c r="J311" s="1" t="str">
        <f t="shared" ref="J311:Q311" si="315">indirect(address($G311+4, column()-9, 4, , $H311))</f>
        <v>IC2, IC4</v>
      </c>
      <c r="K311" s="1">
        <f t="shared" si="315"/>
        <v>2</v>
      </c>
      <c r="L311" s="1" t="str">
        <f t="shared" si="315"/>
        <v>TL072 dual op-amp</v>
      </c>
      <c r="M311" s="1" t="str">
        <f t="shared" si="315"/>
        <v/>
      </c>
      <c r="N311" s="1" t="str">
        <f t="shared" si="315"/>
        <v/>
      </c>
      <c r="O311" s="1" t="str">
        <f t="shared" si="315"/>
        <v>TSSOP8</v>
      </c>
      <c r="P311" s="1" t="str">
        <f t="shared" si="315"/>
        <v>595-TL072CPWR</v>
      </c>
      <c r="Q311" s="1" t="str">
        <f t="shared" si="315"/>
        <v>Texas Instruments TL072CPW</v>
      </c>
    </row>
    <row r="312">
      <c r="D312" s="282"/>
      <c r="F312" s="1">
        <v>8.0</v>
      </c>
      <c r="G312" s="60">
        <f t="shared" si="2"/>
        <v>10</v>
      </c>
      <c r="H312" s="1" t="str">
        <f t="shared" si="3"/>
        <v>Links v4</v>
      </c>
      <c r="I312" t="str">
        <f t="shared" si="4"/>
        <v>S</v>
      </c>
      <c r="J312" s="1" t="str">
        <f t="shared" ref="J312:Q312" si="316">indirect(address($G312+4, column()-9, 4, , $H312))</f>
        <v>IC1</v>
      </c>
      <c r="K312" s="1">
        <f t="shared" si="316"/>
        <v>1</v>
      </c>
      <c r="L312" s="1" t="str">
        <f t="shared" si="316"/>
        <v>OPA4171 quad op-amp</v>
      </c>
      <c r="M312" s="1" t="str">
        <f t="shared" si="316"/>
        <v/>
      </c>
      <c r="N312" s="1" t="str">
        <f t="shared" si="316"/>
        <v/>
      </c>
      <c r="O312" s="1" t="str">
        <f t="shared" si="316"/>
        <v>TSSOP14</v>
      </c>
      <c r="P312" s="1" t="str">
        <f t="shared" si="316"/>
        <v>595-OPA4171AIPW</v>
      </c>
      <c r="Q312" s="1" t="str">
        <f t="shared" si="316"/>
        <v>Texas Instruments OPA4171AIPW</v>
      </c>
    </row>
    <row r="313">
      <c r="D313" s="282"/>
      <c r="F313" s="1">
        <v>8.0</v>
      </c>
      <c r="G313" s="60">
        <f t="shared" si="2"/>
        <v>11</v>
      </c>
      <c r="H313" s="1" t="str">
        <f t="shared" si="3"/>
        <v>Links v4</v>
      </c>
      <c r="I313" t="str">
        <f t="shared" si="4"/>
        <v>S</v>
      </c>
      <c r="J313" s="1" t="str">
        <f t="shared" ref="J313:Q313" si="317">indirect(address($G313+4, column()-9, 4, , $H313))</f>
        <v>IC3, IC5</v>
      </c>
      <c r="K313" s="1">
        <f t="shared" si="317"/>
        <v>2</v>
      </c>
      <c r="L313" s="1" t="str">
        <f t="shared" si="317"/>
        <v>LM321 single op-amp</v>
      </c>
      <c r="M313" s="1" t="str">
        <f t="shared" si="317"/>
        <v/>
      </c>
      <c r="N313" s="1" t="str">
        <f t="shared" si="317"/>
        <v/>
      </c>
      <c r="O313" s="1" t="str">
        <f t="shared" si="317"/>
        <v>SOT23-5</v>
      </c>
      <c r="P313" s="1" t="str">
        <f t="shared" si="317"/>
        <v>926-LM321MFX/NOPB</v>
      </c>
      <c r="Q313" s="1" t="str">
        <f t="shared" si="317"/>
        <v>Texas Instruments LM321MFX/NOPB</v>
      </c>
    </row>
    <row r="314">
      <c r="D314" s="282"/>
      <c r="F314" s="1">
        <v>8.0</v>
      </c>
      <c r="G314" s="60">
        <f t="shared" si="2"/>
        <v>12</v>
      </c>
      <c r="H314" s="1" t="str">
        <f t="shared" si="3"/>
        <v>Links v4</v>
      </c>
      <c r="I314" t="str">
        <f t="shared" si="4"/>
        <v/>
      </c>
      <c r="J314" s="1" t="str">
        <f t="shared" ref="J314:Q314" si="318">indirect(address($G314+4, column()-9, 4, , $H314))</f>
        <v>PTH parts, top side</v>
      </c>
      <c r="K314" s="1" t="str">
        <f t="shared" si="318"/>
        <v/>
      </c>
      <c r="L314" s="1" t="str">
        <f t="shared" si="318"/>
        <v/>
      </c>
      <c r="M314" s="1" t="str">
        <f t="shared" si="318"/>
        <v/>
      </c>
      <c r="N314" s="1" t="str">
        <f t="shared" si="318"/>
        <v/>
      </c>
      <c r="O314" s="1" t="str">
        <f t="shared" si="318"/>
        <v/>
      </c>
      <c r="P314" s="1" t="str">
        <f t="shared" si="318"/>
        <v/>
      </c>
      <c r="Q314" s="1" t="str">
        <f t="shared" si="318"/>
        <v/>
      </c>
    </row>
    <row r="315">
      <c r="D315" s="282"/>
      <c r="F315" s="1">
        <v>8.0</v>
      </c>
      <c r="G315" s="60">
        <f t="shared" si="2"/>
        <v>13</v>
      </c>
      <c r="H315" s="1" t="str">
        <f t="shared" si="3"/>
        <v>Links v4</v>
      </c>
      <c r="I315" t="str">
        <f t="shared" si="4"/>
        <v>U</v>
      </c>
      <c r="J315" s="1" t="str">
        <f t="shared" ref="J315:Q315" si="319">indirect(address($G315+4, column()-9, 4, , $H315))</f>
        <v>J1, J2, J3, J4, J5, J6, J7, J8, J9, J10, J11, J12</v>
      </c>
      <c r="K315" s="1">
        <f t="shared" si="319"/>
        <v>12</v>
      </c>
      <c r="L315" s="1" t="str">
        <f t="shared" si="319"/>
        <v>Vertical jack connector</v>
      </c>
      <c r="M315" s="1" t="str">
        <f t="shared" si="319"/>
        <v/>
      </c>
      <c r="N315" s="1" t="str">
        <f t="shared" si="319"/>
        <v/>
      </c>
      <c r="O315" s="1" t="str">
        <f t="shared" si="319"/>
        <v/>
      </c>
      <c r="P315" s="1" t="str">
        <f t="shared" si="319"/>
        <v/>
      </c>
      <c r="Q315" s="1" t="str">
        <f t="shared" si="319"/>
        <v>PJ-301-M-12</v>
      </c>
    </row>
    <row r="316">
      <c r="D316" s="282"/>
      <c r="F316" s="1">
        <v>8.0</v>
      </c>
      <c r="G316" s="60">
        <f t="shared" si="2"/>
        <v>14</v>
      </c>
      <c r="H316" s="1" t="str">
        <f t="shared" si="3"/>
        <v>Links v4</v>
      </c>
      <c r="I316" t="str">
        <f t="shared" si="4"/>
        <v>U</v>
      </c>
      <c r="J316" s="1" t="str">
        <f t="shared" ref="J316:Q316" si="320">indirect(address($G316+4, column()-9, 4, , $H316))</f>
        <v>LED1, LED2, LED3</v>
      </c>
      <c r="K316" s="1">
        <f t="shared" si="320"/>
        <v>3</v>
      </c>
      <c r="L316" s="1" t="str">
        <f t="shared" si="320"/>
        <v>LED, Red/Green, 2 terminals</v>
      </c>
      <c r="M316" s="1" t="str">
        <f t="shared" si="320"/>
        <v/>
      </c>
      <c r="N316" s="1" t="str">
        <f t="shared" si="320"/>
        <v/>
      </c>
      <c r="O316" s="1" t="str">
        <f t="shared" si="320"/>
        <v>2 terminals</v>
      </c>
      <c r="P316" s="1" t="str">
        <f t="shared" si="320"/>
        <v>604-WP937EGW</v>
      </c>
      <c r="Q316" s="1" t="str">
        <f t="shared" si="320"/>
        <v>Kingbright WP937EGW</v>
      </c>
    </row>
    <row r="317">
      <c r="D317" s="282"/>
      <c r="F317" s="1">
        <v>8.0</v>
      </c>
      <c r="G317" s="60">
        <f t="shared" si="2"/>
        <v>15</v>
      </c>
      <c r="H317" s="1" t="str">
        <f t="shared" si="3"/>
        <v>Links v4</v>
      </c>
      <c r="I317" t="str">
        <f t="shared" si="4"/>
        <v>U</v>
      </c>
      <c r="J317" s="1" t="str">
        <f t="shared" ref="J317:Q317" si="321">indirect(address($G317+4, column()-9, 4, , $H317))</f>
        <v>- LED1, LED2, LED3</v>
      </c>
      <c r="K317" s="1">
        <f t="shared" si="321"/>
        <v>3</v>
      </c>
      <c r="L317" s="1" t="str">
        <f t="shared" si="321"/>
        <v>LED holder, 3mm LED, 10mm height</v>
      </c>
      <c r="M317" s="1" t="str">
        <f t="shared" si="321"/>
        <v/>
      </c>
      <c r="N317" s="1" t="str">
        <f t="shared" si="321"/>
        <v/>
      </c>
      <c r="O317" s="1" t="str">
        <f t="shared" si="321"/>
        <v/>
      </c>
      <c r="P317" s="1" t="str">
        <f t="shared" si="321"/>
        <v/>
      </c>
      <c r="Q317" s="1" t="str">
        <f t="shared" si="321"/>
        <v>LED3-10 Multicomp; Farnell P/N 9555277</v>
      </c>
    </row>
    <row r="318">
      <c r="D318" s="282"/>
      <c r="F318" s="1">
        <v>8.0</v>
      </c>
      <c r="G318" s="60">
        <f t="shared" si="2"/>
        <v>16</v>
      </c>
      <c r="H318" s="1" t="str">
        <f t="shared" si="3"/>
        <v>Links v4</v>
      </c>
      <c r="I318" t="str">
        <f t="shared" si="4"/>
        <v/>
      </c>
      <c r="J318" s="1" t="str">
        <f t="shared" ref="J318:Q318" si="322">indirect(address($G318+4, column()-9, 4, , $H318))</f>
        <v>PTH parts, bottom side</v>
      </c>
      <c r="K318" s="1" t="str">
        <f t="shared" si="322"/>
        <v/>
      </c>
      <c r="L318" s="1" t="str">
        <f t="shared" si="322"/>
        <v/>
      </c>
      <c r="M318" s="1" t="str">
        <f t="shared" si="322"/>
        <v/>
      </c>
      <c r="N318" s="289" t="str">
        <f t="shared" si="322"/>
        <v/>
      </c>
      <c r="O318" s="1" t="str">
        <f t="shared" si="322"/>
        <v/>
      </c>
      <c r="P318" s="292" t="str">
        <f t="shared" si="322"/>
        <v/>
      </c>
      <c r="Q318" s="1" t="str">
        <f t="shared" si="322"/>
        <v/>
      </c>
    </row>
    <row r="319">
      <c r="D319" s="282"/>
      <c r="F319" s="1">
        <v>8.0</v>
      </c>
      <c r="G319" s="60">
        <f t="shared" si="2"/>
        <v>17</v>
      </c>
      <c r="H319" s="1" t="str">
        <f t="shared" si="3"/>
        <v>Links v4</v>
      </c>
      <c r="I319" t="str">
        <f t="shared" si="4"/>
        <v>D</v>
      </c>
      <c r="J319" s="1" t="str">
        <f t="shared" ref="J319:Q319" si="323">indirect(address($G319+4, column()-9, 4, , $H319))</f>
        <v>JP1</v>
      </c>
      <c r="K319" s="1">
        <f t="shared" si="323"/>
        <v>1</v>
      </c>
      <c r="L319" s="1" t="str">
        <f t="shared" si="323"/>
        <v>2x5 male header, 2.54mm pitch</v>
      </c>
      <c r="M319" s="1" t="str">
        <f t="shared" si="323"/>
        <v/>
      </c>
      <c r="N319" s="1" t="str">
        <f t="shared" si="323"/>
        <v/>
      </c>
      <c r="O319" s="1" t="str">
        <f t="shared" si="323"/>
        <v/>
      </c>
      <c r="P319" s="1" t="str">
        <f t="shared" si="323"/>
        <v>649-67996-410HLF</v>
      </c>
      <c r="Q319" s="1" t="str">
        <f t="shared" si="323"/>
        <v/>
      </c>
    </row>
    <row r="320">
      <c r="D320" s="282"/>
      <c r="F320" s="1">
        <v>8.0</v>
      </c>
      <c r="G320" s="60">
        <f t="shared" si="2"/>
        <v>18</v>
      </c>
      <c r="H320" s="1" t="str">
        <f t="shared" si="3"/>
        <v>Links v4</v>
      </c>
      <c r="I320" t="str">
        <f t="shared" si="4"/>
        <v/>
      </c>
      <c r="J320" s="1" t="str">
        <f t="shared" ref="J320:Q320" si="324">indirect(address($G320+4, column()-9, 4, , $H320))</f>
        <v>PCB specifications</v>
      </c>
      <c r="K320" s="1" t="str">
        <f t="shared" si="324"/>
        <v/>
      </c>
      <c r="L320" s="1" t="str">
        <f t="shared" si="324"/>
        <v/>
      </c>
      <c r="M320" s="1" t="str">
        <f t="shared" si="324"/>
        <v/>
      </c>
      <c r="N320" s="289" t="str">
        <f t="shared" si="324"/>
        <v/>
      </c>
      <c r="O320" s="1" t="str">
        <f t="shared" si="324"/>
        <v/>
      </c>
      <c r="P320" s="292" t="str">
        <f t="shared" si="324"/>
        <v/>
      </c>
      <c r="Q320" s="1" t="str">
        <f t="shared" si="324"/>
        <v/>
      </c>
    </row>
    <row r="321">
      <c r="D321" s="282"/>
      <c r="F321" s="1">
        <v>8.0</v>
      </c>
      <c r="G321" s="60">
        <f t="shared" si="2"/>
        <v>19</v>
      </c>
      <c r="H321" s="1" t="str">
        <f t="shared" si="3"/>
        <v>Links v4</v>
      </c>
      <c r="I321" t="str">
        <f t="shared" si="4"/>
        <v>P</v>
      </c>
      <c r="J321" s="1" t="str">
        <f t="shared" ref="J321:Q321" si="325">indirect(address($G321+4, column()-9, 4, , $H321))</f>
        <v>PCB</v>
      </c>
      <c r="K321" s="1" t="str">
        <f t="shared" si="325"/>
        <v/>
      </c>
      <c r="L321" s="1" t="str">
        <f t="shared" si="325"/>
        <v>19.0 x 108.4 ; 2 layers</v>
      </c>
      <c r="M321" s="1" t="str">
        <f t="shared" si="325"/>
        <v/>
      </c>
      <c r="N321" s="289" t="str">
        <f t="shared" si="325"/>
        <v/>
      </c>
      <c r="O321" s="1" t="str">
        <f t="shared" si="325"/>
        <v/>
      </c>
      <c r="P321" s="292" t="str">
        <f t="shared" si="325"/>
        <v/>
      </c>
      <c r="Q321" s="1" t="str">
        <f t="shared" si="325"/>
        <v/>
      </c>
    </row>
    <row r="322">
      <c r="D322" s="282"/>
      <c r="F322" s="1">
        <v>9.0</v>
      </c>
      <c r="G322" s="60">
        <f t="shared" si="2"/>
        <v>0</v>
      </c>
      <c r="H322" s="1" t="str">
        <f t="shared" si="3"/>
        <v>Peaks v3.1</v>
      </c>
      <c r="I322" t="str">
        <f t="shared" si="4"/>
        <v>S</v>
      </c>
      <c r="J322" s="1" t="str">
        <f t="shared" ref="J322:Q322" si="326">indirect(address($G322+4, column()-9, 4, , $H322))</f>
        <v>R10, R23</v>
      </c>
      <c r="K322" s="1">
        <f t="shared" si="326"/>
        <v>2</v>
      </c>
      <c r="L322" s="1" t="str">
        <f t="shared" si="326"/>
        <v>Resistor, 1%</v>
      </c>
      <c r="M322" s="1" t="str">
        <f t="shared" si="326"/>
        <v/>
      </c>
      <c r="N322" s="1">
        <f t="shared" si="326"/>
        <v>33</v>
      </c>
      <c r="O322" s="1" t="str">
        <f t="shared" si="326"/>
        <v>0603</v>
      </c>
      <c r="P322" s="290" t="str">
        <f t="shared" si="326"/>
        <v>652-CR0603FX-33R0ELF</v>
      </c>
      <c r="Q322" s="1" t="str">
        <f t="shared" si="326"/>
        <v/>
      </c>
    </row>
    <row r="323">
      <c r="D323" s="282"/>
      <c r="F323" s="1">
        <v>9.0</v>
      </c>
      <c r="G323" s="60">
        <f t="shared" si="2"/>
        <v>1</v>
      </c>
      <c r="H323" s="1" t="str">
        <f t="shared" si="3"/>
        <v>Peaks v3.1</v>
      </c>
      <c r="I323" t="str">
        <f t="shared" si="4"/>
        <v>S</v>
      </c>
      <c r="J323" s="1" t="str">
        <f t="shared" ref="J323:Q323" si="327">indirect(address($G323+4, column()-9, 4, , $H323))</f>
        <v>R2, R4, R6, R7, R8</v>
      </c>
      <c r="K323" s="1">
        <f t="shared" si="327"/>
        <v>5</v>
      </c>
      <c r="L323" s="1" t="str">
        <f t="shared" si="327"/>
        <v>Resistor, 1%</v>
      </c>
      <c r="M323" s="1" t="str">
        <f t="shared" si="327"/>
        <v/>
      </c>
      <c r="N323" s="1">
        <f t="shared" si="327"/>
        <v>100</v>
      </c>
      <c r="O323" s="1" t="str">
        <f t="shared" si="327"/>
        <v>0603</v>
      </c>
      <c r="P323" s="290" t="str">
        <f t="shared" si="327"/>
        <v>652-CR0603FX-1000ELF</v>
      </c>
      <c r="Q323" s="1" t="str">
        <f t="shared" si="327"/>
        <v/>
      </c>
    </row>
    <row r="324">
      <c r="D324" s="282"/>
      <c r="F324" s="1">
        <v>9.0</v>
      </c>
      <c r="G324" s="60">
        <f t="shared" si="2"/>
        <v>2</v>
      </c>
      <c r="H324" s="1" t="str">
        <f t="shared" si="3"/>
        <v>Peaks v3.1</v>
      </c>
      <c r="I324" t="str">
        <f t="shared" si="4"/>
        <v>S</v>
      </c>
      <c r="J324" s="1" t="str">
        <f t="shared" ref="J324:Q324" si="328">indirect(address($G324+4, column()-9, 4, , $H324))</f>
        <v>R20, R31</v>
      </c>
      <c r="K324" s="1">
        <f t="shared" si="328"/>
        <v>2</v>
      </c>
      <c r="L324" s="1" t="str">
        <f t="shared" si="328"/>
        <v>Resistor, 1%</v>
      </c>
      <c r="M324" s="1" t="str">
        <f t="shared" si="328"/>
        <v/>
      </c>
      <c r="N324" s="1" t="str">
        <f t="shared" si="328"/>
        <v>1.0k</v>
      </c>
      <c r="O324" s="1" t="str">
        <f t="shared" si="328"/>
        <v>0603</v>
      </c>
      <c r="P324" s="290" t="str">
        <f t="shared" si="328"/>
        <v>652-CR0603FX-1001ELF</v>
      </c>
      <c r="Q324" s="1" t="str">
        <f t="shared" si="328"/>
        <v/>
      </c>
    </row>
    <row r="325">
      <c r="D325" s="282"/>
      <c r="F325" s="1">
        <v>9.0</v>
      </c>
      <c r="G325" s="60">
        <f t="shared" si="2"/>
        <v>3</v>
      </c>
      <c r="H325" s="1" t="str">
        <f t="shared" si="3"/>
        <v>Peaks v3.1</v>
      </c>
      <c r="I325" t="str">
        <f t="shared" si="4"/>
        <v>S</v>
      </c>
      <c r="J325" s="1" t="str">
        <f t="shared" ref="J325:Q325" si="329">indirect(address($G325+4, column()-9, 4, , $H325))</f>
        <v>R9, R25</v>
      </c>
      <c r="K325" s="1">
        <f t="shared" si="329"/>
        <v>2</v>
      </c>
      <c r="L325" s="1" t="str">
        <f t="shared" si="329"/>
        <v>Resistor, 1%</v>
      </c>
      <c r="M325" s="1" t="str">
        <f t="shared" si="329"/>
        <v/>
      </c>
      <c r="N325" s="1" t="str">
        <f t="shared" si="329"/>
        <v>3.3k</v>
      </c>
      <c r="O325" s="1" t="str">
        <f t="shared" si="329"/>
        <v>0603</v>
      </c>
      <c r="P325" s="290" t="str">
        <f t="shared" si="329"/>
        <v>652-CR0603-FX3301ELF</v>
      </c>
      <c r="Q325" s="1" t="str">
        <f t="shared" si="329"/>
        <v/>
      </c>
    </row>
    <row r="326">
      <c r="D326" s="282"/>
      <c r="F326" s="1">
        <v>9.0</v>
      </c>
      <c r="G326" s="60">
        <f t="shared" si="2"/>
        <v>4</v>
      </c>
      <c r="H326" s="1" t="str">
        <f t="shared" si="3"/>
        <v>Peaks v3.1</v>
      </c>
      <c r="I326" t="str">
        <f t="shared" si="4"/>
        <v>S</v>
      </c>
      <c r="J326" s="1" t="str">
        <f t="shared" ref="J326:Q326" si="330">indirect(address($G326+4, column()-9, 4, , $H326))</f>
        <v>R3, R13, R16, R28</v>
      </c>
      <c r="K326" s="1">
        <f t="shared" si="330"/>
        <v>4</v>
      </c>
      <c r="L326" s="1" t="str">
        <f t="shared" si="330"/>
        <v>Resistor, 1%</v>
      </c>
      <c r="M326" s="1" t="str">
        <f t="shared" si="330"/>
        <v/>
      </c>
      <c r="N326" s="289" t="str">
        <f t="shared" si="330"/>
        <v>10k</v>
      </c>
      <c r="O326" s="1" t="str">
        <f t="shared" si="330"/>
        <v>0603</v>
      </c>
      <c r="P326" s="290" t="str">
        <f t="shared" si="330"/>
        <v>652-CR0603-FX-1002GLF</v>
      </c>
      <c r="Q326" s="1" t="str">
        <f t="shared" si="330"/>
        <v/>
      </c>
    </row>
    <row r="327">
      <c r="D327" s="282"/>
      <c r="F327" s="1">
        <v>9.0</v>
      </c>
      <c r="G327" s="60">
        <f t="shared" si="2"/>
        <v>5</v>
      </c>
      <c r="H327" s="1" t="str">
        <f t="shared" si="3"/>
        <v>Peaks v3.1</v>
      </c>
      <c r="I327" t="str">
        <f t="shared" si="4"/>
        <v>S</v>
      </c>
      <c r="J327" s="1" t="str">
        <f t="shared" ref="J327:Q327" si="331">indirect(address($G327+4, column()-9, 4, , $H327))</f>
        <v>R12, R14, R17, R22, R24, R26</v>
      </c>
      <c r="K327" s="1">
        <f t="shared" si="331"/>
        <v>6</v>
      </c>
      <c r="L327" s="1" t="str">
        <f t="shared" si="331"/>
        <v>Resistor, 1%</v>
      </c>
      <c r="M327" s="1" t="str">
        <f t="shared" si="331"/>
        <v/>
      </c>
      <c r="N327" s="1" t="str">
        <f t="shared" si="331"/>
        <v>39k</v>
      </c>
      <c r="O327" s="1" t="str">
        <f t="shared" si="331"/>
        <v>0603</v>
      </c>
      <c r="P327" s="1" t="str">
        <f t="shared" si="331"/>
        <v>652-CR0603FX-3902ELF</v>
      </c>
      <c r="Q327" s="1" t="str">
        <f t="shared" si="331"/>
        <v/>
      </c>
    </row>
    <row r="328">
      <c r="D328" s="282"/>
      <c r="F328" s="1">
        <v>9.0</v>
      </c>
      <c r="G328" s="60">
        <f t="shared" si="2"/>
        <v>6</v>
      </c>
      <c r="H328" s="1" t="str">
        <f t="shared" si="3"/>
        <v>Peaks v3.1</v>
      </c>
      <c r="I328" t="str">
        <f t="shared" si="4"/>
        <v>S</v>
      </c>
      <c r="J328" s="1" t="str">
        <f t="shared" ref="J328:Q328" si="332">indirect(address($G328+4, column()-9, 4, , $H328))</f>
        <v>R15, R27</v>
      </c>
      <c r="K328" s="1">
        <f t="shared" si="332"/>
        <v>2</v>
      </c>
      <c r="L328" s="1" t="str">
        <f t="shared" si="332"/>
        <v>Resistor, 1%</v>
      </c>
      <c r="M328" s="1" t="str">
        <f t="shared" si="332"/>
        <v/>
      </c>
      <c r="N328" s="1" t="str">
        <f t="shared" si="332"/>
        <v>100k</v>
      </c>
      <c r="O328" s="1" t="str">
        <f t="shared" si="332"/>
        <v>0603</v>
      </c>
      <c r="P328" s="1" t="str">
        <f t="shared" si="332"/>
        <v>652-CR0603-FX-1003GLF</v>
      </c>
      <c r="Q328" s="1" t="str">
        <f t="shared" si="332"/>
        <v/>
      </c>
    </row>
    <row r="329">
      <c r="D329" s="282"/>
      <c r="F329" s="1">
        <v>9.0</v>
      </c>
      <c r="G329" s="60">
        <f t="shared" si="2"/>
        <v>7</v>
      </c>
      <c r="H329" s="1" t="str">
        <f t="shared" si="3"/>
        <v>Peaks v3.1</v>
      </c>
      <c r="I329" t="str">
        <f t="shared" si="4"/>
        <v>S</v>
      </c>
      <c r="J329" s="1" t="str">
        <f t="shared" ref="J329:Q329" si="333">indirect(address($G329+4, column()-9, 4, , $H329))</f>
        <v>R18, R29</v>
      </c>
      <c r="K329" s="1">
        <f t="shared" si="333"/>
        <v>2</v>
      </c>
      <c r="L329" s="1" t="str">
        <f t="shared" si="333"/>
        <v>Resistor, 1%</v>
      </c>
      <c r="M329" s="1" t="str">
        <f t="shared" si="333"/>
        <v/>
      </c>
      <c r="N329" s="289" t="str">
        <f t="shared" si="333"/>
        <v>249k</v>
      </c>
      <c r="O329" s="1" t="str">
        <f t="shared" si="333"/>
        <v>0603</v>
      </c>
      <c r="P329" s="1" t="str">
        <f t="shared" si="333"/>
        <v>652-CR0603FX-2493ELF</v>
      </c>
      <c r="Q329" s="1" t="str">
        <f t="shared" si="333"/>
        <v/>
      </c>
    </row>
    <row r="330">
      <c r="D330" s="282"/>
      <c r="F330" s="1">
        <v>9.0</v>
      </c>
      <c r="G330" s="60">
        <f t="shared" si="2"/>
        <v>8</v>
      </c>
      <c r="H330" s="1" t="str">
        <f t="shared" si="3"/>
        <v>Peaks v3.1</v>
      </c>
      <c r="I330" t="str">
        <f t="shared" si="4"/>
        <v>S</v>
      </c>
      <c r="J330" s="1" t="str">
        <f t="shared" ref="J330:Q330" si="334">indirect(address($G330+4, column()-9, 4, , $H330))</f>
        <v>R19, R30</v>
      </c>
      <c r="K330" s="1">
        <f t="shared" si="334"/>
        <v>2</v>
      </c>
      <c r="L330" s="1" t="str">
        <f t="shared" si="334"/>
        <v>Resistor, 1%</v>
      </c>
      <c r="M330" s="1" t="str">
        <f t="shared" si="334"/>
        <v/>
      </c>
      <c r="N330" s="289" t="str">
        <f t="shared" si="334"/>
        <v>309k</v>
      </c>
      <c r="O330" s="1" t="str">
        <f t="shared" si="334"/>
        <v>0603</v>
      </c>
      <c r="P330" s="1" t="str">
        <f t="shared" si="334"/>
        <v>667-ERJ-3EKF3093V</v>
      </c>
      <c r="Q330" s="1" t="str">
        <f t="shared" si="334"/>
        <v/>
      </c>
    </row>
    <row r="331">
      <c r="D331" s="282"/>
      <c r="F331" s="1">
        <v>9.0</v>
      </c>
      <c r="G331" s="60">
        <f t="shared" si="2"/>
        <v>9</v>
      </c>
      <c r="H331" s="1" t="str">
        <f t="shared" si="3"/>
        <v>Peaks v3.1</v>
      </c>
      <c r="I331" t="str">
        <f t="shared" si="4"/>
        <v>S</v>
      </c>
      <c r="J331" s="1" t="str">
        <f t="shared" ref="J331:Q331" si="335">indirect(address($G331+4, column()-9, 4, , $H331))</f>
        <v>C6, C7, C17, C23</v>
      </c>
      <c r="K331" s="1">
        <f t="shared" si="335"/>
        <v>4</v>
      </c>
      <c r="L331" s="1" t="str">
        <f t="shared" si="335"/>
        <v>Capacitor, ceramic</v>
      </c>
      <c r="M331" s="1" t="str">
        <f t="shared" si="335"/>
        <v/>
      </c>
      <c r="N331" s="289" t="str">
        <f t="shared" si="335"/>
        <v>18p</v>
      </c>
      <c r="O331" s="1" t="str">
        <f t="shared" si="335"/>
        <v>0603</v>
      </c>
      <c r="P331" s="290" t="str">
        <f t="shared" si="335"/>
        <v>81-GRM185C1H180JA01J</v>
      </c>
      <c r="Q331" s="1" t="str">
        <f t="shared" si="335"/>
        <v/>
      </c>
    </row>
    <row r="332">
      <c r="D332" s="282"/>
      <c r="F332" s="1">
        <v>9.0</v>
      </c>
      <c r="G332" s="60">
        <f t="shared" si="2"/>
        <v>10</v>
      </c>
      <c r="H332" s="1" t="str">
        <f t="shared" si="3"/>
        <v>Peaks v3.1</v>
      </c>
      <c r="I332" t="str">
        <f t="shared" si="4"/>
        <v>S</v>
      </c>
      <c r="J332" s="1" t="str">
        <f t="shared" ref="J332:Q332" si="336">indirect(address($G332+4, column()-9, 4, , $H332))</f>
        <v>C14, C15, C19, C20</v>
      </c>
      <c r="K332" s="1">
        <f t="shared" si="336"/>
        <v>4</v>
      </c>
      <c r="L332" s="1" t="str">
        <f t="shared" si="336"/>
        <v>Capacitor, ceramic</v>
      </c>
      <c r="M332" s="1" t="str">
        <f t="shared" si="336"/>
        <v>&gt;= 16V, &lt;= 2%, C0G</v>
      </c>
      <c r="N332" s="289" t="str">
        <f t="shared" si="336"/>
        <v>220p</v>
      </c>
      <c r="O332" s="1" t="str">
        <f t="shared" si="336"/>
        <v>0603</v>
      </c>
      <c r="P332" s="1" t="str">
        <f t="shared" si="336"/>
        <v>81-GRM185C1H221GA01D</v>
      </c>
      <c r="Q332" s="1" t="str">
        <f t="shared" si="336"/>
        <v/>
      </c>
    </row>
    <row r="333">
      <c r="D333" s="282"/>
      <c r="F333" s="1">
        <v>9.0</v>
      </c>
      <c r="G333" s="60">
        <f t="shared" si="2"/>
        <v>11</v>
      </c>
      <c r="H333" s="1" t="str">
        <f t="shared" si="3"/>
        <v>Peaks v3.1</v>
      </c>
      <c r="I333" t="str">
        <f t="shared" si="4"/>
        <v>S</v>
      </c>
      <c r="J333" s="1" t="str">
        <f t="shared" ref="J333:Q333" si="337">indirect(address($G333+4, column()-9, 4, , $H333))</f>
        <v>C3, C5, C8, C9, C10, C12, C16, C18, C21, C24</v>
      </c>
      <c r="K333" s="1">
        <f t="shared" si="337"/>
        <v>10</v>
      </c>
      <c r="L333" s="1" t="str">
        <f t="shared" si="337"/>
        <v>Capacitor, ceramic</v>
      </c>
      <c r="M333" s="1" t="str">
        <f t="shared" si="337"/>
        <v>&gt;= 16V</v>
      </c>
      <c r="N333" s="1" t="str">
        <f t="shared" si="337"/>
        <v>100n</v>
      </c>
      <c r="O333" s="1" t="str">
        <f t="shared" si="337"/>
        <v>0603</v>
      </c>
      <c r="P333" s="1" t="str">
        <f t="shared" si="337"/>
        <v>81-GRM188R71E104JA1J</v>
      </c>
      <c r="Q333" s="1" t="str">
        <f t="shared" si="337"/>
        <v/>
      </c>
    </row>
    <row r="334">
      <c r="D334" s="282"/>
      <c r="F334" s="1">
        <v>9.0</v>
      </c>
      <c r="G334" s="60">
        <f t="shared" si="2"/>
        <v>12</v>
      </c>
      <c r="H334" s="1" t="str">
        <f t="shared" si="3"/>
        <v>Peaks v3.1</v>
      </c>
      <c r="I334" t="str">
        <f t="shared" si="4"/>
        <v>S</v>
      </c>
      <c r="J334" s="1" t="str">
        <f t="shared" ref="J334:Q334" si="338">indirect(address($G334+4, column()-9, 4, , $H334))</f>
        <v>C11, C22</v>
      </c>
      <c r="K334" s="1">
        <f t="shared" si="338"/>
        <v>2</v>
      </c>
      <c r="L334" s="1" t="str">
        <f t="shared" si="338"/>
        <v>Capacitor, ceramic</v>
      </c>
      <c r="M334" s="1" t="str">
        <f t="shared" si="338"/>
        <v>&gt;= 16V</v>
      </c>
      <c r="N334" s="1" t="str">
        <f t="shared" si="338"/>
        <v>470n</v>
      </c>
      <c r="O334" s="1" t="str">
        <f t="shared" si="338"/>
        <v>0603</v>
      </c>
      <c r="P334" s="1" t="str">
        <f t="shared" si="338"/>
        <v>81-GRM18F51C474ZA01J</v>
      </c>
      <c r="Q334" s="1" t="str">
        <f t="shared" si="338"/>
        <v/>
      </c>
    </row>
    <row r="335">
      <c r="D335" s="282"/>
      <c r="F335" s="1">
        <v>9.0</v>
      </c>
      <c r="G335" s="60">
        <f t="shared" si="2"/>
        <v>13</v>
      </c>
      <c r="H335" s="1" t="str">
        <f t="shared" si="3"/>
        <v>Peaks v3.1</v>
      </c>
      <c r="I335" t="str">
        <f t="shared" si="4"/>
        <v>S</v>
      </c>
      <c r="J335" s="1" t="str">
        <f t="shared" ref="J335:Q335" si="339">indirect(address($G335+4, column()-9, 4, , $H335))</f>
        <v>C13</v>
      </c>
      <c r="K335" s="1">
        <f t="shared" si="339"/>
        <v>1</v>
      </c>
      <c r="L335" s="1" t="str">
        <f t="shared" si="339"/>
        <v>Capacitor, ceramic</v>
      </c>
      <c r="M335" s="1" t="str">
        <f t="shared" si="339"/>
        <v>&gt;= 6.3V</v>
      </c>
      <c r="N335" s="1" t="str">
        <f t="shared" si="339"/>
        <v>3.3u</v>
      </c>
      <c r="O335" s="1" t="str">
        <f t="shared" si="339"/>
        <v>0603</v>
      </c>
      <c r="P335" s="1" t="str">
        <f t="shared" si="339"/>
        <v>81-GRM188R61A335KE5D</v>
      </c>
      <c r="Q335" s="1" t="str">
        <f t="shared" si="339"/>
        <v/>
      </c>
    </row>
    <row r="336">
      <c r="D336" s="282"/>
      <c r="F336" s="1">
        <v>9.0</v>
      </c>
      <c r="G336" s="60">
        <f t="shared" si="2"/>
        <v>14</v>
      </c>
      <c r="H336" s="1" t="str">
        <f t="shared" si="3"/>
        <v>Peaks v3.1</v>
      </c>
      <c r="I336" t="str">
        <f t="shared" si="4"/>
        <v>S</v>
      </c>
      <c r="J336" s="1" t="str">
        <f t="shared" ref="J336:Q336" si="340">indirect(address($G336+4, column()-9, 4, , $H336))</f>
        <v>C1, C2, C4</v>
      </c>
      <c r="K336" s="1">
        <f t="shared" si="340"/>
        <v>3</v>
      </c>
      <c r="L336" s="1" t="str">
        <f t="shared" si="340"/>
        <v>Capacitor, electrolytic</v>
      </c>
      <c r="M336" s="1" t="str">
        <f t="shared" si="340"/>
        <v>&gt;= 25V</v>
      </c>
      <c r="N336" s="289" t="str">
        <f t="shared" si="340"/>
        <v>22u</v>
      </c>
      <c r="O336" s="1" t="str">
        <f t="shared" si="340"/>
        <v>Panasonic C</v>
      </c>
      <c r="P336" s="290" t="str">
        <f t="shared" si="340"/>
        <v>667-EEE-FP1E220AR</v>
      </c>
      <c r="Q336" s="1" t="str">
        <f t="shared" si="340"/>
        <v>EEE-FP1E220AR</v>
      </c>
    </row>
    <row r="337">
      <c r="D337" s="282"/>
      <c r="F337" s="1">
        <v>9.0</v>
      </c>
      <c r="G337" s="60">
        <f t="shared" si="2"/>
        <v>15</v>
      </c>
      <c r="H337" s="1" t="str">
        <f t="shared" si="3"/>
        <v>Peaks v3.1</v>
      </c>
      <c r="I337" t="str">
        <f t="shared" si="4"/>
        <v>S</v>
      </c>
      <c r="J337" s="1" t="str">
        <f t="shared" ref="J337:Q337" si="341">indirect(address($G337+4, column()-9, 4, , $H337))</f>
        <v>L1</v>
      </c>
      <c r="K337" s="1">
        <f t="shared" si="341"/>
        <v>1</v>
      </c>
      <c r="L337" s="1" t="str">
        <f t="shared" si="341"/>
        <v>EMI Filter Bead</v>
      </c>
      <c r="M337" s="1" t="str">
        <f t="shared" si="341"/>
        <v>&gt;= 2200 ohm</v>
      </c>
      <c r="N337" s="1" t="str">
        <f t="shared" si="341"/>
        <v/>
      </c>
      <c r="O337" s="1" t="str">
        <f t="shared" si="341"/>
        <v>0603</v>
      </c>
      <c r="P337" s="1" t="str">
        <f t="shared" si="341"/>
        <v>710-742792693</v>
      </c>
      <c r="Q337" s="1" t="str">
        <f t="shared" si="341"/>
        <v>Wurth Electronics 742792693</v>
      </c>
    </row>
    <row r="338">
      <c r="D338" s="282"/>
      <c r="F338" s="1">
        <v>9.0</v>
      </c>
      <c r="G338" s="60">
        <f t="shared" si="2"/>
        <v>16</v>
      </c>
      <c r="H338" s="1" t="str">
        <f t="shared" si="3"/>
        <v>Peaks v3.1</v>
      </c>
      <c r="I338" t="str">
        <f t="shared" si="4"/>
        <v>S</v>
      </c>
      <c r="J338" s="1" t="str">
        <f t="shared" ref="J338:Q338" si="342">indirect(address($G338+4, column()-9, 4, , $H338))</f>
        <v>D1, D2</v>
      </c>
      <c r="K338" s="1">
        <f t="shared" si="342"/>
        <v>2</v>
      </c>
      <c r="L338" s="1" t="str">
        <f t="shared" si="342"/>
        <v>1N5819HW diode</v>
      </c>
      <c r="M338" s="1" t="str">
        <f t="shared" si="342"/>
        <v/>
      </c>
      <c r="N338" s="289" t="str">
        <f t="shared" si="342"/>
        <v/>
      </c>
      <c r="O338" s="1" t="str">
        <f t="shared" si="342"/>
        <v>SOD123</v>
      </c>
      <c r="P338" s="1" t="str">
        <f t="shared" si="342"/>
        <v>621-1N5819HW-F</v>
      </c>
      <c r="Q338" s="1" t="str">
        <f t="shared" si="342"/>
        <v>Diodes Inc 1N5819HW-7-F</v>
      </c>
    </row>
    <row r="339">
      <c r="D339" s="282"/>
      <c r="F339" s="1">
        <v>9.0</v>
      </c>
      <c r="G339" s="60">
        <f t="shared" si="2"/>
        <v>17</v>
      </c>
      <c r="H339" s="1" t="str">
        <f t="shared" si="3"/>
        <v>Peaks v3.1</v>
      </c>
      <c r="I339" t="str">
        <f t="shared" si="4"/>
        <v>S</v>
      </c>
      <c r="J339" s="1" t="str">
        <f t="shared" ref="J339:Q339" si="343">indirect(address($G339+4, column()-9, 4, , $H339))</f>
        <v>IC1</v>
      </c>
      <c r="K339" s="1">
        <f t="shared" si="343"/>
        <v>1</v>
      </c>
      <c r="L339" s="1" t="str">
        <f t="shared" si="343"/>
        <v>LM1117-3.3V LDO Vreg</v>
      </c>
      <c r="M339" s="1" t="str">
        <f t="shared" si="343"/>
        <v/>
      </c>
      <c r="N339" s="289" t="str">
        <f t="shared" si="343"/>
        <v>3.3V</v>
      </c>
      <c r="O339" s="1" t="str">
        <f t="shared" si="343"/>
        <v>SO223</v>
      </c>
      <c r="P339" s="290" t="str">
        <f t="shared" si="343"/>
        <v>926-LM1117MPX3.3NOPB</v>
      </c>
      <c r="Q339" s="1" t="str">
        <f t="shared" si="343"/>
        <v>National LM1117MPX3.3NOPB</v>
      </c>
    </row>
    <row r="340">
      <c r="D340" s="282"/>
      <c r="F340" s="1">
        <v>9.0</v>
      </c>
      <c r="G340" s="60">
        <f t="shared" si="2"/>
        <v>18</v>
      </c>
      <c r="H340" s="1" t="str">
        <f t="shared" si="3"/>
        <v>Peaks v3.1</v>
      </c>
      <c r="I340" t="str">
        <f t="shared" si="4"/>
        <v>S</v>
      </c>
      <c r="J340" s="1" t="str">
        <f t="shared" ref="J340:Q340" si="344">indirect(address($G340+4, column()-9, 4, , $H340))</f>
        <v>IC2</v>
      </c>
      <c r="K340" s="1">
        <f t="shared" si="344"/>
        <v>1</v>
      </c>
      <c r="L340" s="1" t="str">
        <f t="shared" si="344"/>
        <v>LM4040 Shunt Vref</v>
      </c>
      <c r="M340" s="1" t="str">
        <f t="shared" si="344"/>
        <v>A, B or C grade</v>
      </c>
      <c r="N340" s="289" t="str">
        <f t="shared" si="344"/>
        <v>2.5V</v>
      </c>
      <c r="O340" s="1" t="str">
        <f t="shared" si="344"/>
        <v>SOT23</v>
      </c>
      <c r="P340" s="290" t="str">
        <f t="shared" si="344"/>
        <v>595-LM4040C25IDBZR</v>
      </c>
      <c r="Q340" s="1" t="str">
        <f t="shared" si="344"/>
        <v>Texas Instruments LM4040C25IDBZ</v>
      </c>
    </row>
    <row r="341">
      <c r="D341" s="282"/>
      <c r="F341" s="1">
        <v>9.0</v>
      </c>
      <c r="G341" s="60">
        <f t="shared" si="2"/>
        <v>19</v>
      </c>
      <c r="H341" s="1" t="str">
        <f t="shared" si="3"/>
        <v>Peaks v3.1</v>
      </c>
      <c r="I341" t="str">
        <f t="shared" si="4"/>
        <v>S</v>
      </c>
      <c r="J341" s="1" t="str">
        <f t="shared" ref="J341:Q341" si="345">indirect(address($G341+4, column()-9, 4, , $H341))</f>
        <v>IC6</v>
      </c>
      <c r="K341" s="1">
        <f t="shared" si="345"/>
        <v>1</v>
      </c>
      <c r="L341" s="1" t="str">
        <f t="shared" si="345"/>
        <v>LM4040 Shunt Vref</v>
      </c>
      <c r="M341" s="1" t="str">
        <f t="shared" si="345"/>
        <v>A, B or C grade</v>
      </c>
      <c r="N341" s="289" t="str">
        <f t="shared" si="345"/>
        <v>10V</v>
      </c>
      <c r="O341" s="1" t="str">
        <f t="shared" si="345"/>
        <v>SOT23</v>
      </c>
      <c r="P341" s="290" t="str">
        <f t="shared" si="345"/>
        <v>595-LM4040C10IDBZR</v>
      </c>
      <c r="Q341" s="1" t="str">
        <f t="shared" si="345"/>
        <v>Texas Instruments LM4040C10IDBZ</v>
      </c>
    </row>
    <row r="342">
      <c r="D342" s="282"/>
      <c r="F342" s="1">
        <v>9.0</v>
      </c>
      <c r="G342" s="60">
        <f t="shared" si="2"/>
        <v>20</v>
      </c>
      <c r="H342" s="1" t="str">
        <f t="shared" si="3"/>
        <v>Peaks v3.1</v>
      </c>
      <c r="I342" t="str">
        <f t="shared" si="4"/>
        <v>S</v>
      </c>
      <c r="J342" s="1" t="str">
        <f t="shared" ref="J342:Q342" si="346">indirect(address($G342+4, column()-9, 4, , $H342))</f>
        <v>IC3</v>
      </c>
      <c r="K342" s="1">
        <f t="shared" si="346"/>
        <v>1</v>
      </c>
      <c r="L342" s="1" t="str">
        <f t="shared" si="346"/>
        <v>DAC8552 dual 16-bit DAC</v>
      </c>
      <c r="M342" s="1" t="str">
        <f t="shared" si="346"/>
        <v/>
      </c>
      <c r="N342" s="289" t="str">
        <f t="shared" si="346"/>
        <v/>
      </c>
      <c r="O342" s="1" t="str">
        <f t="shared" si="346"/>
        <v>MSOP8</v>
      </c>
      <c r="P342" s="290" t="str">
        <f t="shared" si="346"/>
        <v>595-DAC8552IDGKT</v>
      </c>
      <c r="Q342" s="1" t="str">
        <f t="shared" si="346"/>
        <v>Texas Instruments DAC8552IDGKT</v>
      </c>
    </row>
    <row r="343">
      <c r="D343" s="282"/>
      <c r="F343" s="1">
        <v>9.0</v>
      </c>
      <c r="G343" s="60">
        <f t="shared" si="2"/>
        <v>21</v>
      </c>
      <c r="H343" s="1" t="str">
        <f t="shared" si="3"/>
        <v>Peaks v3.1</v>
      </c>
      <c r="I343" t="str">
        <f t="shared" si="4"/>
        <v>S</v>
      </c>
      <c r="J343" s="1" t="str">
        <f t="shared" ref="J343:Q343" si="347">indirect(address($G343+4, column()-9, 4, , $H343))</f>
        <v>IC4, IC5</v>
      </c>
      <c r="K343" s="1">
        <f t="shared" si="347"/>
        <v>2</v>
      </c>
      <c r="L343" s="1" t="str">
        <f t="shared" si="347"/>
        <v>OPA2171 dual op-amp</v>
      </c>
      <c r="M343" s="1" t="str">
        <f t="shared" si="347"/>
        <v/>
      </c>
      <c r="N343" s="1" t="str">
        <f t="shared" si="347"/>
        <v/>
      </c>
      <c r="O343" s="1" t="str">
        <f t="shared" si="347"/>
        <v>SOIC8</v>
      </c>
      <c r="P343" s="1" t="str">
        <f t="shared" si="347"/>
        <v>595-OPA2171AID</v>
      </c>
      <c r="Q343" s="1" t="str">
        <f t="shared" si="347"/>
        <v>TI OPA2171AID</v>
      </c>
    </row>
    <row r="344">
      <c r="D344" s="282"/>
      <c r="F344" s="1">
        <v>9.0</v>
      </c>
      <c r="G344" s="60">
        <f t="shared" si="2"/>
        <v>22</v>
      </c>
      <c r="H344" s="1" t="str">
        <f t="shared" si="3"/>
        <v>Peaks v3.1</v>
      </c>
      <c r="I344" t="str">
        <f t="shared" si="4"/>
        <v>S</v>
      </c>
      <c r="J344" s="1" t="str">
        <f t="shared" ref="J344:Q344" si="348">indirect(address($G344+4, column()-9, 4, , $H344))</f>
        <v>Q2, Q3</v>
      </c>
      <c r="K344" s="1">
        <f t="shared" si="348"/>
        <v>2</v>
      </c>
      <c r="L344" s="1" t="str">
        <f t="shared" si="348"/>
        <v>NPN transistor MMBT3904</v>
      </c>
      <c r="M344" s="1" t="str">
        <f t="shared" si="348"/>
        <v/>
      </c>
      <c r="N344" s="289" t="str">
        <f t="shared" si="348"/>
        <v/>
      </c>
      <c r="O344" s="1" t="str">
        <f t="shared" si="348"/>
        <v>SOT23</v>
      </c>
      <c r="P344" s="290" t="str">
        <f t="shared" si="348"/>
        <v>863-MMBT3904LT1G</v>
      </c>
      <c r="Q344" s="1" t="str">
        <f t="shared" si="348"/>
        <v>On Semi MMBT3904LT1G</v>
      </c>
    </row>
    <row r="345">
      <c r="D345" s="282"/>
      <c r="F345" s="1">
        <v>9.0</v>
      </c>
      <c r="G345" s="60">
        <f t="shared" si="2"/>
        <v>23</v>
      </c>
      <c r="H345" s="1" t="str">
        <f t="shared" si="3"/>
        <v>Peaks v3.1</v>
      </c>
      <c r="I345" t="str">
        <f t="shared" si="4"/>
        <v>S</v>
      </c>
      <c r="J345" s="1" t="str">
        <f t="shared" ref="J345:Q345" si="349">indirect(address($G345+4, column()-9, 4, , $H345))</f>
        <v>Q1</v>
      </c>
      <c r="K345" s="1">
        <f t="shared" si="349"/>
        <v>1</v>
      </c>
      <c r="L345" s="1" t="str">
        <f t="shared" si="349"/>
        <v>8 MHz quartz</v>
      </c>
      <c r="M345" s="1" t="str">
        <f t="shared" si="349"/>
        <v/>
      </c>
      <c r="N345" s="289" t="str">
        <f t="shared" si="349"/>
        <v/>
      </c>
      <c r="O345" s="1" t="str">
        <f t="shared" si="349"/>
        <v>HC49</v>
      </c>
      <c r="P345" s="290" t="str">
        <f t="shared" si="349"/>
        <v>815-ABLS2-8-D4Y-T</v>
      </c>
      <c r="Q345" s="1" t="str">
        <f t="shared" si="349"/>
        <v>Abracon ABLS2-8.000MHZ-D4Y-T</v>
      </c>
    </row>
    <row r="346">
      <c r="D346" s="282"/>
      <c r="F346" s="1">
        <v>9.0</v>
      </c>
      <c r="G346" s="60">
        <f t="shared" si="2"/>
        <v>24</v>
      </c>
      <c r="H346" s="1" t="str">
        <f t="shared" si="3"/>
        <v>Peaks v3.1</v>
      </c>
      <c r="I346" t="str">
        <f t="shared" si="4"/>
        <v>S</v>
      </c>
      <c r="J346" s="1" t="str">
        <f t="shared" ref="J346:Q346" si="350">indirect(address($G346+4, column()-9, 4, , $H346))</f>
        <v>SW3, SW5</v>
      </c>
      <c r="K346" s="1">
        <f t="shared" si="350"/>
        <v>2</v>
      </c>
      <c r="L346" s="1" t="str">
        <f t="shared" si="350"/>
        <v>Switch, 6mm, SMT</v>
      </c>
      <c r="M346" s="1" t="str">
        <f t="shared" si="350"/>
        <v/>
      </c>
      <c r="N346" s="289" t="str">
        <f t="shared" si="350"/>
        <v/>
      </c>
      <c r="O346" s="1" t="str">
        <f t="shared" si="350"/>
        <v>6mm x 6mm</v>
      </c>
      <c r="P346" s="290" t="str">
        <f t="shared" si="350"/>
        <v>667-EVQ-Q2K01W</v>
      </c>
      <c r="Q346" s="1" t="str">
        <f t="shared" si="350"/>
        <v>Panasonic EVQ-Q2K01W</v>
      </c>
    </row>
    <row r="347">
      <c r="D347" s="282"/>
      <c r="F347" s="1">
        <v>9.0</v>
      </c>
      <c r="G347" s="60">
        <f t="shared" si="2"/>
        <v>25</v>
      </c>
      <c r="H347" s="1" t="str">
        <f t="shared" si="3"/>
        <v>Peaks v3.1</v>
      </c>
      <c r="I347" t="str">
        <f t="shared" si="4"/>
        <v>S</v>
      </c>
      <c r="J347" s="1" t="str">
        <f t="shared" ref="J347:Q347" si="351">indirect(address($G347+4, column()-9, 4, , $H347))</f>
        <v>UC1</v>
      </c>
      <c r="K347" s="1">
        <f t="shared" si="351"/>
        <v>1</v>
      </c>
      <c r="L347" s="1" t="str">
        <f t="shared" si="351"/>
        <v>STM32F103CBT6 MCU</v>
      </c>
      <c r="M347" s="1" t="str">
        <f t="shared" si="351"/>
        <v/>
      </c>
      <c r="N347" s="289" t="str">
        <f t="shared" si="351"/>
        <v/>
      </c>
      <c r="O347" s="1" t="str">
        <f t="shared" si="351"/>
        <v>LQFP48</v>
      </c>
      <c r="P347" s="290" t="str">
        <f t="shared" si="351"/>
        <v>511-STM32F103CBT6</v>
      </c>
      <c r="Q347" s="1" t="str">
        <f t="shared" si="351"/>
        <v>ST STM32F103CBT6</v>
      </c>
    </row>
    <row r="348">
      <c r="D348" s="282"/>
      <c r="F348" s="1">
        <v>9.0</v>
      </c>
      <c r="G348" s="60">
        <f t="shared" si="2"/>
        <v>26</v>
      </c>
      <c r="H348" s="1" t="str">
        <f t="shared" si="3"/>
        <v>Peaks v3.1</v>
      </c>
      <c r="I348" t="str">
        <f t="shared" si="4"/>
        <v/>
      </c>
      <c r="J348" s="1" t="str">
        <f t="shared" ref="J348:Q348" si="352">indirect(address($G348+4, column()-9, 4, , $H348))</f>
        <v>PTH parts, top side</v>
      </c>
      <c r="K348" s="1" t="str">
        <f t="shared" si="352"/>
        <v/>
      </c>
      <c r="L348" s="1" t="str">
        <f t="shared" si="352"/>
        <v/>
      </c>
      <c r="M348" s="1" t="str">
        <f t="shared" si="352"/>
        <v/>
      </c>
      <c r="N348" s="1" t="str">
        <f t="shared" si="352"/>
        <v/>
      </c>
      <c r="O348" s="1" t="str">
        <f t="shared" si="352"/>
        <v/>
      </c>
      <c r="P348" s="1" t="str">
        <f t="shared" si="352"/>
        <v/>
      </c>
      <c r="Q348" s="1" t="str">
        <f t="shared" si="352"/>
        <v/>
      </c>
    </row>
    <row r="349">
      <c r="D349" s="282"/>
      <c r="F349" s="1">
        <v>9.0</v>
      </c>
      <c r="G349" s="60">
        <f t="shared" si="2"/>
        <v>27</v>
      </c>
      <c r="H349" s="1" t="str">
        <f t="shared" si="3"/>
        <v>Peaks v3.1</v>
      </c>
      <c r="I349" t="str">
        <f t="shared" si="4"/>
        <v>U</v>
      </c>
      <c r="J349" s="1" t="str">
        <f t="shared" ref="J349:Q349" si="353">indirect(address($G349+4, column()-9, 4, , $H349))</f>
        <v>J1, J2, J3, J4</v>
      </c>
      <c r="K349" s="1">
        <f t="shared" si="353"/>
        <v>4</v>
      </c>
      <c r="L349" s="1" t="str">
        <f t="shared" si="353"/>
        <v>Vertical jack connector</v>
      </c>
      <c r="M349" s="1" t="str">
        <f t="shared" si="353"/>
        <v/>
      </c>
      <c r="N349" s="289" t="str">
        <f t="shared" si="353"/>
        <v/>
      </c>
      <c r="O349" s="1" t="str">
        <f t="shared" si="353"/>
        <v/>
      </c>
      <c r="P349" s="290" t="str">
        <f t="shared" si="353"/>
        <v/>
      </c>
      <c r="Q349" s="1" t="str">
        <f t="shared" si="353"/>
        <v>PJ-301-M-12</v>
      </c>
    </row>
    <row r="350">
      <c r="D350" s="282"/>
      <c r="F350" s="1">
        <v>9.0</v>
      </c>
      <c r="G350" s="60">
        <f t="shared" si="2"/>
        <v>28</v>
      </c>
      <c r="H350" s="1" t="str">
        <f t="shared" si="3"/>
        <v>Peaks v3.1</v>
      </c>
      <c r="I350" t="str">
        <f t="shared" si="4"/>
        <v>U</v>
      </c>
      <c r="J350" s="1" t="str">
        <f t="shared" ref="J350:Q350" si="354">indirect(address($G350+4, column()-9, 4, , $H350))</f>
        <v>LED1, LED2, LED3, LED4, LED5</v>
      </c>
      <c r="K350" s="1">
        <f t="shared" si="354"/>
        <v>5</v>
      </c>
      <c r="L350" s="1" t="str">
        <f t="shared" si="354"/>
        <v>LED 3mm, green, round</v>
      </c>
      <c r="M350" s="1" t="str">
        <f t="shared" si="354"/>
        <v/>
      </c>
      <c r="N350" s="289" t="str">
        <f t="shared" si="354"/>
        <v/>
      </c>
      <c r="O350" s="1" t="str">
        <f t="shared" si="354"/>
        <v/>
      </c>
      <c r="P350" s="1" t="str">
        <f t="shared" si="354"/>
        <v>604-WP710A10GD</v>
      </c>
      <c r="Q350" s="1" t="str">
        <f t="shared" si="354"/>
        <v>Kingbright WP710A10GD ou L-710A10GD</v>
      </c>
    </row>
    <row r="351">
      <c r="D351" s="282"/>
      <c r="F351" s="1">
        <v>9.0</v>
      </c>
      <c r="G351" s="60">
        <f t="shared" si="2"/>
        <v>29</v>
      </c>
      <c r="H351" s="1" t="str">
        <f t="shared" si="3"/>
        <v>Peaks v3.1</v>
      </c>
      <c r="I351" t="str">
        <f t="shared" si="4"/>
        <v>U</v>
      </c>
      <c r="J351" s="1" t="str">
        <f t="shared" ref="J351:Q351" si="355">indirect(address($G351+4, column()-9, 4, , $H351))</f>
        <v>- LED1, LED2, LED3, LED4, LED5</v>
      </c>
      <c r="K351" s="1">
        <f t="shared" si="355"/>
        <v>5</v>
      </c>
      <c r="L351" s="1" t="str">
        <f t="shared" si="355"/>
        <v>LED holder</v>
      </c>
      <c r="M351" s="1" t="str">
        <f t="shared" si="355"/>
        <v>10mm</v>
      </c>
      <c r="N351" s="1" t="str">
        <f t="shared" si="355"/>
        <v/>
      </c>
      <c r="O351" s="1" t="str">
        <f t="shared" si="355"/>
        <v/>
      </c>
      <c r="P351" s="1" t="str">
        <f t="shared" si="355"/>
        <v/>
      </c>
      <c r="Q351" s="1" t="str">
        <f t="shared" si="355"/>
        <v>LED3-10 Multicomp; Farnell P/N 9555277</v>
      </c>
    </row>
    <row r="352">
      <c r="D352" s="282"/>
      <c r="F352" s="1">
        <v>9.0</v>
      </c>
      <c r="G352" s="60">
        <f t="shared" si="2"/>
        <v>30</v>
      </c>
      <c r="H352" s="1" t="str">
        <f t="shared" si="3"/>
        <v>Peaks v3.1</v>
      </c>
      <c r="I352" t="str">
        <f t="shared" si="4"/>
        <v>U</v>
      </c>
      <c r="J352" s="1" t="str">
        <f t="shared" ref="J352:Q352" si="356">indirect(address($G352+4, column()-9, 4, , $H352))</f>
        <v>R1, R5, R11, R21</v>
      </c>
      <c r="K352" s="1">
        <f t="shared" si="356"/>
        <v>4</v>
      </c>
      <c r="L352" s="1" t="str">
        <f t="shared" si="356"/>
        <v>10k linear pot, 15mm shaft</v>
      </c>
      <c r="M352" s="1" t="str">
        <f t="shared" si="356"/>
        <v/>
      </c>
      <c r="N352" s="289" t="str">
        <f t="shared" si="356"/>
        <v/>
      </c>
      <c r="O352" s="1" t="str">
        <f t="shared" si="356"/>
        <v/>
      </c>
      <c r="P352" s="290" t="str">
        <f t="shared" si="356"/>
        <v/>
      </c>
      <c r="Q352" s="288" t="str">
        <f t="shared" si="356"/>
        <v>https://www.thonk.co.uk/shop/alpha-9mm-pots/</v>
      </c>
    </row>
    <row r="353">
      <c r="D353" s="282"/>
      <c r="F353" s="1">
        <v>9.0</v>
      </c>
      <c r="G353" s="60">
        <f t="shared" si="2"/>
        <v>31</v>
      </c>
      <c r="H353" s="1" t="str">
        <f t="shared" si="3"/>
        <v>Peaks v3.1</v>
      </c>
      <c r="I353" t="str">
        <f t="shared" si="4"/>
        <v>U</v>
      </c>
      <c r="J353" s="1" t="str">
        <f t="shared" ref="J353:Q353" si="357">indirect(address($G353+4, column()-9, 4, , $H353))</f>
        <v>SW4, SW6</v>
      </c>
      <c r="K353" s="1">
        <f t="shared" si="357"/>
        <v>2</v>
      </c>
      <c r="L353" s="1" t="str">
        <f t="shared" si="357"/>
        <v>Switch, On-mom, Green LED</v>
      </c>
      <c r="M353" s="1" t="str">
        <f t="shared" si="357"/>
        <v/>
      </c>
      <c r="N353" s="1" t="str">
        <f t="shared" si="357"/>
        <v/>
      </c>
      <c r="O353" s="1" t="str">
        <f t="shared" si="357"/>
        <v/>
      </c>
      <c r="P353" s="288" t="str">
        <f t="shared" si="357"/>
        <v>612-LP4OA1PBCTG</v>
      </c>
      <c r="Q353" s="1" t="str">
        <f t="shared" si="357"/>
        <v>E-switch LP4OA1PBCTG</v>
      </c>
    </row>
    <row r="354">
      <c r="D354" s="282"/>
      <c r="F354" s="1">
        <v>9.0</v>
      </c>
      <c r="G354" s="60">
        <f t="shared" si="2"/>
        <v>32</v>
      </c>
      <c r="H354" s="1" t="str">
        <f t="shared" si="3"/>
        <v>Peaks v3.1</v>
      </c>
      <c r="I354" t="str">
        <f t="shared" si="4"/>
        <v>U</v>
      </c>
      <c r="J354" s="1" t="str">
        <f t="shared" ref="J354:Q354" si="358">indirect(address($G354+4, column()-9, 4, , $H354))</f>
        <v>SW1, SW2</v>
      </c>
      <c r="K354" s="1">
        <f t="shared" si="358"/>
        <v>2</v>
      </c>
      <c r="L354" s="1" t="str">
        <f t="shared" si="358"/>
        <v>Switch, 6mm</v>
      </c>
      <c r="M354" s="1" t="str">
        <f t="shared" si="358"/>
        <v/>
      </c>
      <c r="N354" s="1" t="str">
        <f t="shared" si="358"/>
        <v/>
      </c>
      <c r="O354" s="1" t="str">
        <f t="shared" si="358"/>
        <v/>
      </c>
      <c r="P354" s="1" t="str">
        <f t="shared" si="358"/>
        <v>612-TL1105SP-250</v>
      </c>
      <c r="Q354" s="1" t="str">
        <f t="shared" si="358"/>
        <v>E-switch TL1105SPF250Q</v>
      </c>
    </row>
    <row r="355">
      <c r="D355" s="282"/>
      <c r="F355" s="1">
        <v>9.0</v>
      </c>
      <c r="G355" s="60">
        <f t="shared" si="2"/>
        <v>33</v>
      </c>
      <c r="H355" s="1" t="str">
        <f t="shared" si="3"/>
        <v>Peaks v3.1</v>
      </c>
      <c r="I355" t="str">
        <f t="shared" si="4"/>
        <v>U</v>
      </c>
      <c r="J355" s="1" t="str">
        <f t="shared" ref="J355:Q355" si="359">indirect(address($G355+4, column()-9, 4, , $H355))</f>
        <v>- SW1, SW2</v>
      </c>
      <c r="K355" s="1">
        <f t="shared" si="359"/>
        <v>2</v>
      </c>
      <c r="L355" s="1" t="str">
        <f t="shared" si="359"/>
        <v>Cap for switch, black</v>
      </c>
      <c r="M355" s="1" t="str">
        <f t="shared" si="359"/>
        <v/>
      </c>
      <c r="N355" s="1" t="str">
        <f t="shared" si="359"/>
        <v/>
      </c>
      <c r="O355" s="1" t="str">
        <f t="shared" si="359"/>
        <v/>
      </c>
      <c r="P355" s="1" t="str">
        <f t="shared" si="359"/>
        <v>612-1R-BK</v>
      </c>
      <c r="Q355" s="1" t="str">
        <f t="shared" si="359"/>
        <v>E-switch 1RBLK</v>
      </c>
    </row>
    <row r="356">
      <c r="D356" s="282"/>
      <c r="F356" s="1">
        <v>9.0</v>
      </c>
      <c r="G356" s="60">
        <f t="shared" si="2"/>
        <v>34</v>
      </c>
      <c r="H356" s="1" t="str">
        <f t="shared" si="3"/>
        <v>Peaks v3.1</v>
      </c>
      <c r="I356" t="str">
        <f t="shared" si="4"/>
        <v/>
      </c>
      <c r="J356" s="1" t="str">
        <f t="shared" ref="J356:Q356" si="360">indirect(address($G356+4, column()-9, 4, , $H356))</f>
        <v>PTH parts, bottom side</v>
      </c>
      <c r="K356" s="1" t="str">
        <f t="shared" si="360"/>
        <v/>
      </c>
      <c r="L356" s="1" t="str">
        <f t="shared" si="360"/>
        <v/>
      </c>
      <c r="M356" s="1" t="str">
        <f t="shared" si="360"/>
        <v/>
      </c>
      <c r="N356" s="289" t="str">
        <f t="shared" si="360"/>
        <v/>
      </c>
      <c r="O356" s="1" t="str">
        <f t="shared" si="360"/>
        <v/>
      </c>
      <c r="P356" s="290" t="str">
        <f t="shared" si="360"/>
        <v/>
      </c>
      <c r="Q356" s="1" t="str">
        <f t="shared" si="360"/>
        <v/>
      </c>
    </row>
    <row r="357">
      <c r="D357" s="282"/>
      <c r="F357" s="1">
        <v>9.0</v>
      </c>
      <c r="G357" s="60">
        <f t="shared" si="2"/>
        <v>35</v>
      </c>
      <c r="H357" s="1" t="str">
        <f t="shared" si="3"/>
        <v>Peaks v3.1</v>
      </c>
      <c r="I357" t="str">
        <f t="shared" si="4"/>
        <v>D</v>
      </c>
      <c r="J357" s="1" t="str">
        <f t="shared" ref="J357:Q357" si="361">indirect(address($G357+4, column()-9, 4, , $H357))</f>
        <v>JP3</v>
      </c>
      <c r="K357" s="1">
        <f t="shared" si="361"/>
        <v>1</v>
      </c>
      <c r="L357" s="1" t="str">
        <f t="shared" si="361"/>
        <v>2x5 male header, 2.54mm pitch</v>
      </c>
      <c r="M357" s="1" t="str">
        <f t="shared" si="361"/>
        <v/>
      </c>
      <c r="N357" s="1" t="str">
        <f t="shared" si="361"/>
        <v/>
      </c>
      <c r="O357" s="1" t="str">
        <f t="shared" si="361"/>
        <v/>
      </c>
      <c r="P357" s="1" t="str">
        <f t="shared" si="361"/>
        <v>649-67996-410HLF</v>
      </c>
      <c r="Q357" s="1" t="str">
        <f t="shared" si="361"/>
        <v/>
      </c>
    </row>
    <row r="358">
      <c r="D358" s="282"/>
      <c r="F358" s="1">
        <v>9.0</v>
      </c>
      <c r="G358" s="60">
        <f t="shared" si="2"/>
        <v>36</v>
      </c>
      <c r="H358" s="1" t="str">
        <f t="shared" si="3"/>
        <v>Peaks v3.1</v>
      </c>
      <c r="I358" t="str">
        <f t="shared" si="4"/>
        <v>D</v>
      </c>
      <c r="J358" s="1" t="str">
        <f t="shared" ref="J358:Q358" si="362">indirect(address($G358+4, column()-9, 4, , $H358))</f>
        <v>JP2</v>
      </c>
      <c r="K358" s="1">
        <f t="shared" si="362"/>
        <v>1</v>
      </c>
      <c r="L358" s="1" t="str">
        <f t="shared" si="362"/>
        <v>2x5, 1.27mm pitch male header</v>
      </c>
      <c r="M358" s="1" t="str">
        <f t="shared" si="362"/>
        <v/>
      </c>
      <c r="N358" s="289" t="str">
        <f t="shared" si="362"/>
        <v/>
      </c>
      <c r="O358" s="1" t="str">
        <f t="shared" si="362"/>
        <v/>
      </c>
      <c r="P358" s="290" t="str">
        <f t="shared" si="362"/>
        <v>649-221111-00010T4LF</v>
      </c>
      <c r="Q358" s="1" t="str">
        <f t="shared" si="362"/>
        <v/>
      </c>
    </row>
    <row r="359">
      <c r="D359" s="282"/>
      <c r="F359" s="1">
        <v>9.0</v>
      </c>
      <c r="G359" s="60">
        <f t="shared" si="2"/>
        <v>37</v>
      </c>
      <c r="H359" s="1" t="str">
        <f t="shared" si="3"/>
        <v>Peaks v3.1</v>
      </c>
      <c r="I359" t="str">
        <f t="shared" si="4"/>
        <v>D</v>
      </c>
      <c r="J359" s="1" t="str">
        <f t="shared" ref="J359:Q359" si="363">indirect(address($G359+4, column()-9, 4, , $H359))</f>
        <v>JP1</v>
      </c>
      <c r="K359" s="1">
        <f t="shared" si="363"/>
        <v>1</v>
      </c>
      <c r="L359" s="1" t="str">
        <f t="shared" si="363"/>
        <v>1x6 male header, 2.54mm pitch</v>
      </c>
      <c r="M359" s="1" t="str">
        <f t="shared" si="363"/>
        <v/>
      </c>
      <c r="N359" s="289" t="str">
        <f t="shared" si="363"/>
        <v/>
      </c>
      <c r="O359" s="1" t="str">
        <f t="shared" si="363"/>
        <v/>
      </c>
      <c r="P359" s="290" t="str">
        <f t="shared" si="363"/>
        <v>649-68002-106HLF</v>
      </c>
      <c r="Q359" s="1" t="str">
        <f t="shared" si="363"/>
        <v/>
      </c>
    </row>
    <row r="360">
      <c r="D360" s="282"/>
      <c r="F360" s="1">
        <v>9.0</v>
      </c>
      <c r="G360" s="60">
        <f t="shared" si="2"/>
        <v>38</v>
      </c>
      <c r="H360" s="1" t="str">
        <f t="shared" si="3"/>
        <v>Peaks v3.1</v>
      </c>
      <c r="I360" t="str">
        <f t="shared" si="4"/>
        <v/>
      </c>
      <c r="J360" s="1" t="str">
        <f t="shared" ref="J360:Q360" si="364">indirect(address($G360+4, column()-9, 4, , $H360))</f>
        <v>PCB specifications</v>
      </c>
      <c r="K360" s="1" t="str">
        <f t="shared" si="364"/>
        <v/>
      </c>
      <c r="L360" s="1" t="str">
        <f t="shared" si="364"/>
        <v/>
      </c>
      <c r="M360" s="1" t="str">
        <f t="shared" si="364"/>
        <v/>
      </c>
      <c r="N360" s="289" t="str">
        <f t="shared" si="364"/>
        <v/>
      </c>
      <c r="O360" s="1" t="str">
        <f t="shared" si="364"/>
        <v/>
      </c>
      <c r="P360" s="292" t="str">
        <f t="shared" si="364"/>
        <v/>
      </c>
      <c r="Q360" s="1" t="str">
        <f t="shared" si="364"/>
        <v/>
      </c>
    </row>
    <row r="361">
      <c r="D361" s="282"/>
      <c r="F361" s="1">
        <v>9.0</v>
      </c>
      <c r="G361" s="60">
        <f t="shared" si="2"/>
        <v>39</v>
      </c>
      <c r="H361" s="1" t="str">
        <f t="shared" si="3"/>
        <v>Peaks v3.1</v>
      </c>
      <c r="I361" t="str">
        <f t="shared" si="4"/>
        <v>P</v>
      </c>
      <c r="J361" s="1" t="str">
        <f t="shared" ref="J361:Q361" si="365">indirect(address($G361+4, column()-9, 4, , $H361))</f>
        <v>PCB</v>
      </c>
      <c r="K361" s="1" t="str">
        <f t="shared" si="365"/>
        <v/>
      </c>
      <c r="L361" s="1" t="str">
        <f t="shared" si="365"/>
        <v>38.7 x 106.7 ; 2 layers</v>
      </c>
      <c r="M361" s="1" t="str">
        <f t="shared" si="365"/>
        <v/>
      </c>
      <c r="N361" s="1" t="str">
        <f t="shared" si="365"/>
        <v/>
      </c>
      <c r="O361" s="1" t="str">
        <f t="shared" si="365"/>
        <v/>
      </c>
      <c r="P361" s="1" t="str">
        <f t="shared" si="365"/>
        <v/>
      </c>
      <c r="Q361" s="1" t="str">
        <f t="shared" si="365"/>
        <v/>
      </c>
    </row>
    <row r="362">
      <c r="D362" s="282"/>
      <c r="F362" s="1">
        <v>10.0</v>
      </c>
      <c r="G362" s="60">
        <f t="shared" si="2"/>
        <v>0</v>
      </c>
      <c r="H362" s="1" t="str">
        <f t="shared" si="3"/>
        <v>Rings v3.0</v>
      </c>
      <c r="I362" t="str">
        <f t="shared" si="4"/>
        <v>S</v>
      </c>
      <c r="J362" s="1" t="str">
        <f t="shared" ref="J362:Q362" si="366">indirect(address($G362+4, column()-9, 4, , $H362))</f>
        <v>R2</v>
      </c>
      <c r="K362" s="1">
        <f t="shared" si="366"/>
        <v>1</v>
      </c>
      <c r="L362" s="1" t="str">
        <f t="shared" si="366"/>
        <v>Resistor, 5%, 250mW</v>
      </c>
      <c r="M362" s="1" t="str">
        <f t="shared" si="366"/>
        <v/>
      </c>
      <c r="N362" s="1">
        <f t="shared" si="366"/>
        <v>4.7</v>
      </c>
      <c r="O362" s="289" t="str">
        <f t="shared" si="366"/>
        <v>1206</v>
      </c>
      <c r="P362" s="1" t="str">
        <f t="shared" si="366"/>
        <v>667-ERJ-8GEYJ4R7V</v>
      </c>
      <c r="Q362" s="1" t="str">
        <f t="shared" si="366"/>
        <v/>
      </c>
    </row>
    <row r="363">
      <c r="D363" s="282"/>
      <c r="F363" s="1">
        <v>10.0</v>
      </c>
      <c r="G363" s="60">
        <f t="shared" si="2"/>
        <v>1</v>
      </c>
      <c r="H363" s="1" t="str">
        <f t="shared" si="3"/>
        <v>Rings v3.0</v>
      </c>
      <c r="I363" t="str">
        <f t="shared" si="4"/>
        <v>S</v>
      </c>
      <c r="J363" s="1" t="str">
        <f t="shared" ref="J363:Q363" si="367">indirect(address($G363+4, column()-9, 4, , $H363))</f>
        <v>R1, R3, R4, R5</v>
      </c>
      <c r="K363" s="1">
        <f t="shared" si="367"/>
        <v>4</v>
      </c>
      <c r="L363" s="1" t="str">
        <f t="shared" si="367"/>
        <v>Resistor, 1%</v>
      </c>
      <c r="M363" s="1" t="str">
        <f t="shared" si="367"/>
        <v/>
      </c>
      <c r="N363" s="1">
        <f t="shared" si="367"/>
        <v>180</v>
      </c>
      <c r="O363" s="289" t="str">
        <f t="shared" si="367"/>
        <v>0603</v>
      </c>
      <c r="P363" s="1" t="str">
        <f t="shared" si="367"/>
        <v>667-ERJ-3EKF1800V</v>
      </c>
      <c r="Q363" s="1" t="str">
        <f t="shared" si="367"/>
        <v/>
      </c>
    </row>
    <row r="364">
      <c r="D364" s="282"/>
      <c r="F364" s="1">
        <v>10.0</v>
      </c>
      <c r="G364" s="60">
        <f t="shared" si="2"/>
        <v>2</v>
      </c>
      <c r="H364" s="1" t="str">
        <f t="shared" si="3"/>
        <v>Rings v3.0</v>
      </c>
      <c r="I364" t="str">
        <f t="shared" si="4"/>
        <v>S</v>
      </c>
      <c r="J364" s="1" t="str">
        <f t="shared" ref="J364:Q364" si="368">indirect(address($G364+4, column()-9, 4, , $H364))</f>
        <v>R55, R56</v>
      </c>
      <c r="K364" s="1">
        <f t="shared" si="368"/>
        <v>2</v>
      </c>
      <c r="L364" s="1" t="str">
        <f t="shared" si="368"/>
        <v>Resistor, 1%</v>
      </c>
      <c r="M364" s="1" t="str">
        <f t="shared" si="368"/>
        <v/>
      </c>
      <c r="N364" s="1" t="str">
        <f t="shared" si="368"/>
        <v>1.0k</v>
      </c>
      <c r="O364" s="289" t="str">
        <f t="shared" si="368"/>
        <v>0603</v>
      </c>
      <c r="P364" s="1" t="str">
        <f t="shared" si="368"/>
        <v>667-ERJ-3EKF1001V</v>
      </c>
      <c r="Q364" s="1" t="str">
        <f t="shared" si="368"/>
        <v/>
      </c>
    </row>
    <row r="365">
      <c r="D365" s="282"/>
      <c r="F365" s="1">
        <v>10.0</v>
      </c>
      <c r="G365" s="60">
        <f t="shared" si="2"/>
        <v>3</v>
      </c>
      <c r="H365" s="1" t="str">
        <f t="shared" si="3"/>
        <v>Rings v3.0</v>
      </c>
      <c r="I365" t="str">
        <f t="shared" si="4"/>
        <v>S</v>
      </c>
      <c r="J365" s="1" t="str">
        <f t="shared" ref="J365:Q365" si="369">indirect(address($G365+4, column()-9, 4, , $H365))</f>
        <v>R12, R16, R17</v>
      </c>
      <c r="K365" s="1">
        <f t="shared" si="369"/>
        <v>3</v>
      </c>
      <c r="L365" s="1" t="str">
        <f t="shared" si="369"/>
        <v>Resistor, 1%</v>
      </c>
      <c r="M365" s="1" t="str">
        <f t="shared" si="369"/>
        <v/>
      </c>
      <c r="N365" s="1" t="str">
        <f t="shared" si="369"/>
        <v>2.2k</v>
      </c>
      <c r="O365" s="289" t="str">
        <f t="shared" si="369"/>
        <v>0603</v>
      </c>
      <c r="P365" s="1" t="str">
        <f t="shared" si="369"/>
        <v>667-ERJ-3EKF2201V</v>
      </c>
      <c r="Q365" s="1" t="str">
        <f t="shared" si="369"/>
        <v/>
      </c>
    </row>
    <row r="366">
      <c r="D366" s="282"/>
      <c r="F366" s="1">
        <v>10.0</v>
      </c>
      <c r="G366" s="60">
        <f t="shared" si="2"/>
        <v>4</v>
      </c>
      <c r="H366" s="1" t="str">
        <f t="shared" si="3"/>
        <v>Rings v3.0</v>
      </c>
      <c r="I366" t="str">
        <f t="shared" si="4"/>
        <v>S</v>
      </c>
      <c r="J366" s="1" t="str">
        <f t="shared" ref="J366:Q366" si="370">indirect(address($G366+4, column()-9, 4, , $H366))</f>
        <v>R40, R43, R51</v>
      </c>
      <c r="K366" s="1">
        <f t="shared" si="370"/>
        <v>3</v>
      </c>
      <c r="L366" s="1" t="str">
        <f t="shared" si="370"/>
        <v>Resistor, 1%</v>
      </c>
      <c r="M366" s="1" t="str">
        <f t="shared" si="370"/>
        <v/>
      </c>
      <c r="N366" s="1" t="str">
        <f t="shared" si="370"/>
        <v>6.8k</v>
      </c>
      <c r="O366" s="289" t="str">
        <f t="shared" si="370"/>
        <v>0603</v>
      </c>
      <c r="P366" s="1" t="str">
        <f t="shared" si="370"/>
        <v>667-ERJ-3EKF6801V</v>
      </c>
      <c r="Q366" s="1" t="str">
        <f t="shared" si="370"/>
        <v/>
      </c>
    </row>
    <row r="367">
      <c r="D367" s="282"/>
      <c r="F367" s="1">
        <v>10.0</v>
      </c>
      <c r="G367" s="60">
        <f t="shared" si="2"/>
        <v>5</v>
      </c>
      <c r="H367" s="1" t="str">
        <f t="shared" si="3"/>
        <v>Rings v3.0</v>
      </c>
      <c r="I367" t="str">
        <f t="shared" si="4"/>
        <v>S</v>
      </c>
      <c r="J367" s="1" t="str">
        <f t="shared" ref="J367:Q367" si="371">indirect(address($G367+4, column()-9, 4, , $H367))</f>
        <v>R6, R7, R8</v>
      </c>
      <c r="K367" s="1">
        <f t="shared" si="371"/>
        <v>3</v>
      </c>
      <c r="L367" s="1" t="str">
        <f t="shared" si="371"/>
        <v>Resistor, 1%</v>
      </c>
      <c r="M367" s="1" t="str">
        <f t="shared" si="371"/>
        <v/>
      </c>
      <c r="N367" s="1" t="str">
        <f t="shared" si="371"/>
        <v>10k</v>
      </c>
      <c r="O367" s="289" t="str">
        <f t="shared" si="371"/>
        <v>0603</v>
      </c>
      <c r="P367" s="1" t="str">
        <f t="shared" si="371"/>
        <v>667-ERJ-3EKF1002V</v>
      </c>
      <c r="Q367" s="1" t="str">
        <f t="shared" si="371"/>
        <v/>
      </c>
    </row>
    <row r="368">
      <c r="D368" s="282"/>
      <c r="F368" s="1">
        <v>10.0</v>
      </c>
      <c r="G368" s="60">
        <f t="shared" si="2"/>
        <v>6</v>
      </c>
      <c r="H368" s="1" t="str">
        <f t="shared" si="3"/>
        <v>Rings v3.0</v>
      </c>
      <c r="I368" t="str">
        <f t="shared" si="4"/>
        <v>S</v>
      </c>
      <c r="J368" s="1" t="str">
        <f t="shared" ref="J368:Q368" si="372">indirect(address($G368+4, column()-9, 4, , $H368))</f>
        <v>R18, R25, R26, R31, R32</v>
      </c>
      <c r="K368" s="1">
        <f t="shared" si="372"/>
        <v>5</v>
      </c>
      <c r="L368" s="1" t="str">
        <f t="shared" si="372"/>
        <v>Resistor, 1%</v>
      </c>
      <c r="M368" s="1" t="str">
        <f t="shared" si="372"/>
        <v/>
      </c>
      <c r="N368" s="1" t="str">
        <f t="shared" si="372"/>
        <v>20k</v>
      </c>
      <c r="O368" s="1" t="str">
        <f t="shared" si="372"/>
        <v>0603</v>
      </c>
      <c r="P368" s="1" t="str">
        <f t="shared" si="372"/>
        <v>667-ERJ-3EKF2002V</v>
      </c>
      <c r="Q368" s="1" t="str">
        <f t="shared" si="372"/>
        <v/>
      </c>
    </row>
    <row r="369">
      <c r="D369" s="282"/>
      <c r="F369" s="1">
        <v>10.0</v>
      </c>
      <c r="G369" s="60">
        <f t="shared" si="2"/>
        <v>7</v>
      </c>
      <c r="H369" s="1" t="str">
        <f t="shared" si="3"/>
        <v>Rings v3.0</v>
      </c>
      <c r="I369" t="str">
        <f t="shared" si="4"/>
        <v>S</v>
      </c>
      <c r="J369" s="1" t="str">
        <f t="shared" ref="J369:Q369" si="373">indirect(address($G369+4, column()-9, 4, , $H369))</f>
        <v>R27, R54</v>
      </c>
      <c r="K369" s="1">
        <f t="shared" si="373"/>
        <v>2</v>
      </c>
      <c r="L369" s="1" t="str">
        <f t="shared" si="373"/>
        <v>Resistor, 1%</v>
      </c>
      <c r="M369" s="1" t="str">
        <f t="shared" si="373"/>
        <v/>
      </c>
      <c r="N369" s="1" t="str">
        <f t="shared" si="373"/>
        <v>36k</v>
      </c>
      <c r="O369" s="289" t="str">
        <f t="shared" si="373"/>
        <v>0603</v>
      </c>
      <c r="P369" s="1" t="str">
        <f t="shared" si="373"/>
        <v>667-ERJ-3EKF3602V</v>
      </c>
      <c r="Q369" s="1" t="str">
        <f t="shared" si="373"/>
        <v/>
      </c>
    </row>
    <row r="370">
      <c r="D370" s="282"/>
      <c r="F370" s="1">
        <v>10.0</v>
      </c>
      <c r="G370" s="60">
        <f t="shared" si="2"/>
        <v>8</v>
      </c>
      <c r="H370" s="1" t="str">
        <f t="shared" si="3"/>
        <v>Rings v3.0</v>
      </c>
      <c r="I370" t="str">
        <f t="shared" si="4"/>
        <v>S</v>
      </c>
      <c r="J370" s="1" t="str">
        <f t="shared" ref="J370:Q370" si="374">indirect(address($G370+4, column()-9, 4, , $H370))</f>
        <v>R13, R33, R38, R39, R41, R42, R44</v>
      </c>
      <c r="K370" s="1">
        <f t="shared" si="374"/>
        <v>7</v>
      </c>
      <c r="L370" s="1" t="str">
        <f t="shared" si="374"/>
        <v>Resistor, 1%</v>
      </c>
      <c r="M370" s="1" t="str">
        <f t="shared" si="374"/>
        <v/>
      </c>
      <c r="N370" s="1" t="str">
        <f t="shared" si="374"/>
        <v>47k</v>
      </c>
      <c r="O370" s="289" t="str">
        <f t="shared" si="374"/>
        <v>0603</v>
      </c>
      <c r="P370" s="1" t="str">
        <f t="shared" si="374"/>
        <v>667-ERJ-3EKF4702V</v>
      </c>
      <c r="Q370" s="1" t="str">
        <f t="shared" si="374"/>
        <v/>
      </c>
    </row>
    <row r="371">
      <c r="D371" s="282"/>
      <c r="F371" s="1">
        <v>10.0</v>
      </c>
      <c r="G371" s="60">
        <f t="shared" si="2"/>
        <v>9</v>
      </c>
      <c r="H371" s="1" t="str">
        <f t="shared" si="3"/>
        <v>Rings v3.0</v>
      </c>
      <c r="I371" t="str">
        <f t="shared" si="4"/>
        <v>S</v>
      </c>
      <c r="J371" s="1" t="str">
        <f t="shared" ref="J371:Q371" si="375">indirect(address($G371+4, column()-9, 4, , $H371))</f>
        <v>R11, R14, R19, R21, R22, R34, R35, R52</v>
      </c>
      <c r="K371" s="1">
        <f t="shared" si="375"/>
        <v>8</v>
      </c>
      <c r="L371" s="1" t="str">
        <f t="shared" si="375"/>
        <v>Resistor, 1%</v>
      </c>
      <c r="M371" s="1" t="str">
        <f t="shared" si="375"/>
        <v/>
      </c>
      <c r="N371" s="1" t="str">
        <f t="shared" si="375"/>
        <v>100k</v>
      </c>
      <c r="O371" s="289" t="str">
        <f t="shared" si="375"/>
        <v>0603</v>
      </c>
      <c r="P371" s="1" t="str">
        <f t="shared" si="375"/>
        <v>667-ERJ-3EKF1003V</v>
      </c>
      <c r="Q371" s="1" t="str">
        <f t="shared" si="375"/>
        <v/>
      </c>
    </row>
    <row r="372">
      <c r="D372" s="282"/>
      <c r="F372" s="1">
        <v>10.0</v>
      </c>
      <c r="G372" s="60">
        <f t="shared" si="2"/>
        <v>10</v>
      </c>
      <c r="H372" s="1" t="str">
        <f t="shared" si="3"/>
        <v>Rings v3.0</v>
      </c>
      <c r="I372" t="str">
        <f t="shared" si="4"/>
        <v>S</v>
      </c>
      <c r="J372" s="1" t="str">
        <f t="shared" ref="J372:Q372" si="376">indirect(address($G372+4, column()-9, 4, , $H372))</f>
        <v>R20, R23, R24, R36, R37</v>
      </c>
      <c r="K372" s="1">
        <f t="shared" si="376"/>
        <v>5</v>
      </c>
      <c r="L372" s="1" t="str">
        <f t="shared" si="376"/>
        <v>Resistor, 1%</v>
      </c>
      <c r="M372" s="1" t="str">
        <f t="shared" si="376"/>
        <v/>
      </c>
      <c r="N372" s="1" t="str">
        <f t="shared" si="376"/>
        <v>120k</v>
      </c>
      <c r="O372" s="1" t="str">
        <f t="shared" si="376"/>
        <v>0603</v>
      </c>
      <c r="P372" s="1" t="str">
        <f t="shared" si="376"/>
        <v>667-ERJ-3EKF1203V</v>
      </c>
      <c r="Q372" s="1" t="str">
        <f t="shared" si="376"/>
        <v/>
      </c>
    </row>
    <row r="373">
      <c r="D373" s="282"/>
      <c r="F373" s="1">
        <v>10.0</v>
      </c>
      <c r="G373" s="60">
        <f t="shared" si="2"/>
        <v>11</v>
      </c>
      <c r="H373" s="1" t="str">
        <f t="shared" si="3"/>
        <v>Rings v3.0</v>
      </c>
      <c r="I373" t="str">
        <f t="shared" si="4"/>
        <v>S</v>
      </c>
      <c r="J373" s="1" t="str">
        <f t="shared" ref="J373:Q373" si="377">indirect(address($G373+4, column()-9, 4, , $H373))</f>
        <v>R15</v>
      </c>
      <c r="K373" s="1">
        <f t="shared" si="377"/>
        <v>1</v>
      </c>
      <c r="L373" s="1" t="str">
        <f t="shared" si="377"/>
        <v>Resistor, 1%</v>
      </c>
      <c r="M373" s="1" t="str">
        <f t="shared" si="377"/>
        <v/>
      </c>
      <c r="N373" s="1" t="str">
        <f t="shared" si="377"/>
        <v>180k</v>
      </c>
      <c r="O373" s="289" t="str">
        <f t="shared" si="377"/>
        <v>0603</v>
      </c>
      <c r="P373" s="1" t="str">
        <f t="shared" si="377"/>
        <v>667-ERJ-3EKF1803V</v>
      </c>
      <c r="Q373" s="1" t="str">
        <f t="shared" si="377"/>
        <v/>
      </c>
    </row>
    <row r="374">
      <c r="D374" s="282"/>
      <c r="F374" s="1">
        <v>10.0</v>
      </c>
      <c r="G374" s="60">
        <f t="shared" si="2"/>
        <v>12</v>
      </c>
      <c r="H374" s="1" t="str">
        <f t="shared" si="3"/>
        <v>Rings v3.0</v>
      </c>
      <c r="I374" t="str">
        <f t="shared" si="4"/>
        <v>S</v>
      </c>
      <c r="J374" s="1" t="str">
        <f t="shared" ref="J374:Q374" si="378">indirect(address($G374+4, column()-9, 4, , $H374))</f>
        <v>R57</v>
      </c>
      <c r="K374" s="1">
        <f t="shared" si="378"/>
        <v>1</v>
      </c>
      <c r="L374" s="1" t="str">
        <f t="shared" si="378"/>
        <v>Resistor, 1%</v>
      </c>
      <c r="M374" s="1" t="str">
        <f t="shared" si="378"/>
        <v/>
      </c>
      <c r="N374" s="1" t="str">
        <f t="shared" si="378"/>
        <v>470k</v>
      </c>
      <c r="O374" s="289" t="str">
        <f t="shared" si="378"/>
        <v>0603</v>
      </c>
      <c r="P374" s="1" t="str">
        <f t="shared" si="378"/>
        <v>667-ERJ-3EKF4703V</v>
      </c>
      <c r="Q374" s="1" t="str">
        <f t="shared" si="378"/>
        <v/>
      </c>
    </row>
    <row r="375">
      <c r="D375" s="282"/>
      <c r="F375" s="1">
        <v>10.0</v>
      </c>
      <c r="G375" s="60">
        <f t="shared" si="2"/>
        <v>13</v>
      </c>
      <c r="H375" s="1" t="str">
        <f t="shared" si="3"/>
        <v>Rings v3.0</v>
      </c>
      <c r="I375" t="str">
        <f t="shared" si="4"/>
        <v>S</v>
      </c>
      <c r="J375" s="1" t="str">
        <f t="shared" ref="J375:Q375" si="379">indirect(address($G375+4, column()-9, 4, , $H375))</f>
        <v>R53</v>
      </c>
      <c r="K375" s="1">
        <f t="shared" si="379"/>
        <v>1</v>
      </c>
      <c r="L375" s="1" t="str">
        <f t="shared" si="379"/>
        <v>Resistor, 1%</v>
      </c>
      <c r="M375" s="1" t="str">
        <f t="shared" si="379"/>
        <v/>
      </c>
      <c r="N375" s="1" t="str">
        <f t="shared" si="379"/>
        <v>1.0M</v>
      </c>
      <c r="O375" s="289" t="str">
        <f t="shared" si="379"/>
        <v>0603</v>
      </c>
      <c r="P375" s="1" t="str">
        <f t="shared" si="379"/>
        <v>667-ERJ-3EKF1004V</v>
      </c>
      <c r="Q375" s="1" t="str">
        <f t="shared" si="379"/>
        <v/>
      </c>
    </row>
    <row r="376">
      <c r="D376" s="282"/>
      <c r="F376" s="1">
        <v>10.0</v>
      </c>
      <c r="G376" s="60">
        <f t="shared" si="2"/>
        <v>14</v>
      </c>
      <c r="H376" s="1" t="str">
        <f t="shared" si="3"/>
        <v>Rings v3.0</v>
      </c>
      <c r="I376" t="str">
        <f t="shared" si="4"/>
        <v>S</v>
      </c>
      <c r="J376" s="1" t="str">
        <f t="shared" ref="J376:Q376" si="380">indirect(address($G376+4, column()-9, 4, , $H376))</f>
        <v>R50</v>
      </c>
      <c r="K376" s="1">
        <f t="shared" si="380"/>
        <v>1</v>
      </c>
      <c r="L376" s="1" t="str">
        <f t="shared" si="380"/>
        <v>Resistor, &lt;=5%</v>
      </c>
      <c r="M376" s="1" t="str">
        <f t="shared" si="380"/>
        <v/>
      </c>
      <c r="N376" s="1" t="str">
        <f t="shared" si="380"/>
        <v>3.3M</v>
      </c>
      <c r="O376" s="289" t="str">
        <f t="shared" si="380"/>
        <v>0603</v>
      </c>
      <c r="P376" s="1" t="str">
        <f t="shared" si="380"/>
        <v>667-ERJ-3GEYJ335V</v>
      </c>
      <c r="Q376" s="1" t="str">
        <f t="shared" si="380"/>
        <v/>
      </c>
    </row>
    <row r="377">
      <c r="D377" s="282"/>
      <c r="F377" s="1">
        <v>10.0</v>
      </c>
      <c r="G377" s="60">
        <f t="shared" si="2"/>
        <v>15</v>
      </c>
      <c r="H377" s="1" t="str">
        <f t="shared" si="3"/>
        <v>Rings v3.0</v>
      </c>
      <c r="I377" t="str">
        <f t="shared" si="4"/>
        <v>S</v>
      </c>
      <c r="J377" s="1" t="str">
        <f t="shared" ref="J377:Q377" si="381">indirect(address($G377+4, column()-9, 4, , $H377))</f>
        <v>C4, C5, C23, C24, C42, C43</v>
      </c>
      <c r="K377" s="1">
        <f t="shared" si="381"/>
        <v>6</v>
      </c>
      <c r="L377" s="1" t="str">
        <f t="shared" si="381"/>
        <v>Capacitor, ceramic</v>
      </c>
      <c r="M377" s="1" t="str">
        <f t="shared" si="381"/>
        <v/>
      </c>
      <c r="N377" s="1" t="str">
        <f t="shared" si="381"/>
        <v>18p</v>
      </c>
      <c r="O377" s="289" t="str">
        <f t="shared" si="381"/>
        <v>0603</v>
      </c>
      <c r="P377" s="1" t="str">
        <f t="shared" si="381"/>
        <v>81-GRM185C1H180JA01J</v>
      </c>
      <c r="Q377" s="1" t="str">
        <f t="shared" si="381"/>
        <v>Murata GRM1885C1H180JA01J</v>
      </c>
    </row>
    <row r="378">
      <c r="D378" s="282"/>
      <c r="F378" s="1">
        <v>10.0</v>
      </c>
      <c r="G378" s="60">
        <f t="shared" si="2"/>
        <v>16</v>
      </c>
      <c r="H378" s="1" t="str">
        <f t="shared" si="3"/>
        <v>Rings v3.0</v>
      </c>
      <c r="I378" t="str">
        <f t="shared" si="4"/>
        <v>S</v>
      </c>
      <c r="J378" s="1" t="str">
        <f t="shared" ref="J378:Q378" si="382">indirect(address($G378+4, column()-9, 4, , $H378))</f>
        <v>C49</v>
      </c>
      <c r="K378" s="1">
        <f t="shared" si="382"/>
        <v>1</v>
      </c>
      <c r="L378" s="1" t="str">
        <f t="shared" si="382"/>
        <v>Capacitor, ceramic</v>
      </c>
      <c r="M378" s="1" t="str">
        <f t="shared" si="382"/>
        <v>&gt;= 16V, &lt;= 2%</v>
      </c>
      <c r="N378" s="1" t="str">
        <f t="shared" si="382"/>
        <v>220p</v>
      </c>
      <c r="O378" s="289" t="str">
        <f t="shared" si="382"/>
        <v>0603</v>
      </c>
      <c r="P378" s="1" t="str">
        <f t="shared" si="382"/>
        <v>81-GRM185C1H221GA01D</v>
      </c>
      <c r="Q378" s="1" t="str">
        <f t="shared" si="382"/>
        <v>Murata GRM185C1H221GA01D</v>
      </c>
    </row>
    <row r="379">
      <c r="D379" s="282"/>
      <c r="F379" s="1">
        <v>10.0</v>
      </c>
      <c r="G379" s="60">
        <f t="shared" si="2"/>
        <v>17</v>
      </c>
      <c r="H379" s="1" t="str">
        <f t="shared" si="3"/>
        <v>Rings v3.0</v>
      </c>
      <c r="I379" t="str">
        <f t="shared" si="4"/>
        <v>S</v>
      </c>
      <c r="J379" s="1" t="str">
        <f t="shared" ref="J379:Q379" si="383">indirect(address($G379+4, column()-9, 4, , $H379))</f>
        <v>C14, C29</v>
      </c>
      <c r="K379" s="1">
        <f t="shared" si="383"/>
        <v>2</v>
      </c>
      <c r="L379" s="1" t="str">
        <f t="shared" si="383"/>
        <v>Capacitor, ceramic</v>
      </c>
      <c r="M379" s="1" t="str">
        <f t="shared" si="383"/>
        <v>&gt;= 50V, &lt;= 5%</v>
      </c>
      <c r="N379" s="1" t="str">
        <f t="shared" si="383"/>
        <v>2.2n</v>
      </c>
      <c r="O379" s="289" t="str">
        <f t="shared" si="383"/>
        <v>0603</v>
      </c>
      <c r="P379" s="1" t="str">
        <f t="shared" si="383"/>
        <v>81-GRM1885C1H222JA1J</v>
      </c>
      <c r="Q379" s="1" t="str">
        <f t="shared" si="383"/>
        <v>Murata GRM1885C1H222JA01J</v>
      </c>
    </row>
    <row r="380">
      <c r="D380" s="282"/>
      <c r="F380" s="1">
        <v>10.0</v>
      </c>
      <c r="G380" s="60">
        <f t="shared" si="2"/>
        <v>18</v>
      </c>
      <c r="H380" s="1" t="str">
        <f t="shared" si="3"/>
        <v>Rings v3.0</v>
      </c>
      <c r="I380" t="str">
        <f t="shared" si="4"/>
        <v>S</v>
      </c>
      <c r="J380" s="1" t="str">
        <f t="shared" ref="J380:Q380" si="384">indirect(address($G380+4, column()-9, 4, , $H380))</f>
        <v>C26, C28, C36, C38</v>
      </c>
      <c r="K380" s="1">
        <f t="shared" si="384"/>
        <v>4</v>
      </c>
      <c r="L380" s="1" t="str">
        <f t="shared" si="384"/>
        <v>Capacitor, ceramic</v>
      </c>
      <c r="M380" s="1" t="str">
        <f t="shared" si="384"/>
        <v>&gt;= 50V, &lt;= 5%</v>
      </c>
      <c r="N380" s="1" t="str">
        <f t="shared" si="384"/>
        <v>10n</v>
      </c>
      <c r="O380" s="289" t="str">
        <f t="shared" si="384"/>
        <v>0603</v>
      </c>
      <c r="P380" s="1" t="str">
        <f t="shared" si="384"/>
        <v>81-GRM18R71H103JA01D</v>
      </c>
      <c r="Q380" s="1" t="str">
        <f t="shared" si="384"/>
        <v>Murata GRM188R71H103JA01D</v>
      </c>
    </row>
    <row r="381">
      <c r="D381" s="282"/>
      <c r="F381" s="1">
        <v>10.0</v>
      </c>
      <c r="G381" s="60">
        <f t="shared" si="2"/>
        <v>19</v>
      </c>
      <c r="H381" s="1" t="str">
        <f t="shared" si="3"/>
        <v>Rings v3.0</v>
      </c>
      <c r="I381" t="str">
        <f t="shared" si="4"/>
        <v>S</v>
      </c>
      <c r="J381" s="1" t="str">
        <f t="shared" ref="J381:Q381" si="385">indirect(address($G381+4, column()-9, 4, , $H381))</f>
        <v>C6, C9, C10, C11, C13, C15, C17, C19, C20, C25, C27, C31, C35, C37, C39, C44, C45, C47, C48</v>
      </c>
      <c r="K381" s="1">
        <f t="shared" si="385"/>
        <v>19</v>
      </c>
      <c r="L381" s="1" t="str">
        <f t="shared" si="385"/>
        <v>Capacitor, ceramic</v>
      </c>
      <c r="M381" s="1" t="str">
        <f t="shared" si="385"/>
        <v>&gt;= 16V</v>
      </c>
      <c r="N381" s="1" t="str">
        <f t="shared" si="385"/>
        <v>100n</v>
      </c>
      <c r="O381" s="289" t="str">
        <f t="shared" si="385"/>
        <v>0603</v>
      </c>
      <c r="P381" s="1" t="str">
        <f t="shared" si="385"/>
        <v>81-GRM188R71E104JA1J</v>
      </c>
      <c r="Q381" s="1" t="str">
        <f t="shared" si="385"/>
        <v>Murata GRM188R71E104JA01J</v>
      </c>
    </row>
    <row r="382">
      <c r="D382" s="282"/>
      <c r="F382" s="1">
        <v>10.0</v>
      </c>
      <c r="G382" s="60">
        <f t="shared" si="2"/>
        <v>20</v>
      </c>
      <c r="H382" s="1" t="str">
        <f t="shared" si="3"/>
        <v>Rings v3.0</v>
      </c>
      <c r="I382" t="str">
        <f t="shared" si="4"/>
        <v>S</v>
      </c>
      <c r="J382" s="1" t="str">
        <f t="shared" ref="J382:Q382" si="386">indirect(address($G382+4, column()-9, 4, , $H382))</f>
        <v>C7, C18, C30</v>
      </c>
      <c r="K382" s="1">
        <f t="shared" si="386"/>
        <v>3</v>
      </c>
      <c r="L382" s="1" t="str">
        <f t="shared" si="386"/>
        <v>Capacitor, ceramic</v>
      </c>
      <c r="M382" s="1" t="str">
        <f t="shared" si="386"/>
        <v>&gt;= 10V</v>
      </c>
      <c r="N382" s="1" t="str">
        <f t="shared" si="386"/>
        <v>1u</v>
      </c>
      <c r="O382" s="289" t="str">
        <f t="shared" si="386"/>
        <v>0603</v>
      </c>
      <c r="P382" s="1" t="str">
        <f t="shared" si="386"/>
        <v>81-GRM18R61A105KA61J</v>
      </c>
      <c r="Q382" s="1" t="str">
        <f t="shared" si="386"/>
        <v>Murata GRM18R61A105KA61J</v>
      </c>
    </row>
    <row r="383">
      <c r="D383" s="282"/>
      <c r="F383" s="1">
        <v>10.0</v>
      </c>
      <c r="G383" s="60">
        <f t="shared" si="2"/>
        <v>21</v>
      </c>
      <c r="H383" s="1" t="str">
        <f t="shared" si="3"/>
        <v>Rings v3.0</v>
      </c>
      <c r="I383" t="str">
        <f t="shared" si="4"/>
        <v>S</v>
      </c>
      <c r="J383" s="1" t="str">
        <f t="shared" ref="J383:Q383" si="387">indirect(address($G383+4, column()-9, 4, , $H383))</f>
        <v>C16, C22</v>
      </c>
      <c r="K383" s="1">
        <f t="shared" si="387"/>
        <v>2</v>
      </c>
      <c r="L383" s="1" t="str">
        <f t="shared" si="387"/>
        <v>Capacitor, ceramic</v>
      </c>
      <c r="M383" s="1" t="str">
        <f t="shared" si="387"/>
        <v>&gt;= 10V</v>
      </c>
      <c r="N383" s="1" t="str">
        <f t="shared" si="387"/>
        <v>2.2u</v>
      </c>
      <c r="O383" s="289" t="str">
        <f t="shared" si="387"/>
        <v>0805</v>
      </c>
      <c r="P383" s="1" t="str">
        <f t="shared" si="387"/>
        <v>810-C2012X5R1A225K-2</v>
      </c>
      <c r="Q383" s="1" t="str">
        <f t="shared" si="387"/>
        <v>TDK C2012X5R1A225K085AA</v>
      </c>
    </row>
    <row r="384">
      <c r="D384" s="282"/>
      <c r="F384" s="1">
        <v>10.0</v>
      </c>
      <c r="G384" s="60">
        <f t="shared" si="2"/>
        <v>22</v>
      </c>
      <c r="H384" s="1" t="str">
        <f t="shared" si="3"/>
        <v>Rings v3.0</v>
      </c>
      <c r="I384" t="str">
        <f t="shared" si="4"/>
        <v>S</v>
      </c>
      <c r="J384" s="1" t="str">
        <f t="shared" ref="J384:Q384" si="388">indirect(address($G384+4, column()-9, 4, , $H384))</f>
        <v>C12, C21, C32, C33, C34, C40, C41, C46</v>
      </c>
      <c r="K384" s="1">
        <f t="shared" si="388"/>
        <v>8</v>
      </c>
      <c r="L384" s="1" t="str">
        <f t="shared" si="388"/>
        <v>Capacitor, electrolytic</v>
      </c>
      <c r="M384" s="1" t="str">
        <f t="shared" si="388"/>
        <v>&gt;= 16V</v>
      </c>
      <c r="N384" s="1" t="str">
        <f t="shared" si="388"/>
        <v>10u</v>
      </c>
      <c r="O384" s="1" t="str">
        <f t="shared" si="388"/>
        <v>Panasonic A</v>
      </c>
      <c r="P384" s="1" t="str">
        <f t="shared" si="388"/>
        <v>647-UWX1C100MCL2</v>
      </c>
      <c r="Q384" s="1" t="str">
        <f t="shared" si="388"/>
        <v>Nichicon UWX1C100MCL2GB</v>
      </c>
    </row>
    <row r="385">
      <c r="D385" s="282"/>
      <c r="F385" s="1">
        <v>10.0</v>
      </c>
      <c r="G385" s="60">
        <f t="shared" si="2"/>
        <v>23</v>
      </c>
      <c r="H385" s="1" t="str">
        <f t="shared" si="3"/>
        <v>Rings v3.0</v>
      </c>
      <c r="I385" t="str">
        <f t="shared" si="4"/>
        <v>S</v>
      </c>
      <c r="J385" s="1" t="str">
        <f t="shared" ref="J385:Q385" si="389">indirect(address($G385+4, column()-9, 4, , $H385))</f>
        <v>C1</v>
      </c>
      <c r="K385" s="1">
        <f t="shared" si="389"/>
        <v>1</v>
      </c>
      <c r="L385" s="1" t="str">
        <f t="shared" si="389"/>
        <v>Capacitor, electrolytic</v>
      </c>
      <c r="M385" s="1" t="str">
        <f t="shared" si="389"/>
        <v>&gt;= 25V</v>
      </c>
      <c r="N385" s="1" t="str">
        <f t="shared" si="389"/>
        <v>22u</v>
      </c>
      <c r="O385" s="1" t="str">
        <f t="shared" si="389"/>
        <v>Panasonic C</v>
      </c>
      <c r="P385" s="1" t="str">
        <f t="shared" si="389"/>
        <v>667-EEE-FP1E220AR</v>
      </c>
      <c r="Q385" s="1" t="str">
        <f t="shared" si="389"/>
        <v>EEE-FP1E220AR</v>
      </c>
    </row>
    <row r="386">
      <c r="D386" s="282"/>
      <c r="F386" s="1">
        <v>10.0</v>
      </c>
      <c r="G386" s="60">
        <f t="shared" si="2"/>
        <v>24</v>
      </c>
      <c r="H386" s="1" t="str">
        <f t="shared" si="3"/>
        <v>Rings v3.0</v>
      </c>
      <c r="I386" t="str">
        <f t="shared" si="4"/>
        <v>S</v>
      </c>
      <c r="J386" s="1" t="str">
        <f t="shared" ref="J386:Q386" si="390">indirect(address($G386+4, column()-9, 4, , $H386))</f>
        <v>C2, C3, C8</v>
      </c>
      <c r="K386" s="1">
        <f t="shared" si="390"/>
        <v>3</v>
      </c>
      <c r="L386" s="1" t="str">
        <f t="shared" si="390"/>
        <v>Capacitor, electrolytic</v>
      </c>
      <c r="M386" s="1" t="str">
        <f t="shared" si="390"/>
        <v>&gt;= 25V</v>
      </c>
      <c r="N386" s="1" t="str">
        <f t="shared" si="390"/>
        <v>47u</v>
      </c>
      <c r="O386" s="1" t="str">
        <f t="shared" si="390"/>
        <v>Panasonic D</v>
      </c>
      <c r="P386" s="1" t="str">
        <f t="shared" si="390"/>
        <v>667-EEE-FK1V470P</v>
      </c>
      <c r="Q386" s="1" t="str">
        <f t="shared" si="390"/>
        <v>EEEFK1V470P</v>
      </c>
    </row>
    <row r="387">
      <c r="D387" s="282"/>
      <c r="F387" s="1">
        <v>10.0</v>
      </c>
      <c r="G387" s="60">
        <f t="shared" si="2"/>
        <v>25</v>
      </c>
      <c r="H387" s="1" t="str">
        <f t="shared" si="3"/>
        <v>Rings v3.0</v>
      </c>
      <c r="I387" t="str">
        <f t="shared" si="4"/>
        <v>S</v>
      </c>
      <c r="J387" s="1" t="str">
        <f t="shared" ref="J387:Q387" si="391">indirect(address($G387+4, column()-9, 4, , $H387))</f>
        <v>D1, D2</v>
      </c>
      <c r="K387" s="1">
        <f t="shared" si="391"/>
        <v>2</v>
      </c>
      <c r="L387" s="1" t="str">
        <f t="shared" si="391"/>
        <v>1N5819HW diode</v>
      </c>
      <c r="M387" s="1" t="str">
        <f t="shared" si="391"/>
        <v/>
      </c>
      <c r="N387" s="1" t="str">
        <f t="shared" si="391"/>
        <v/>
      </c>
      <c r="O387" s="1" t="str">
        <f t="shared" si="391"/>
        <v>SOD123</v>
      </c>
      <c r="P387" s="1" t="str">
        <f t="shared" si="391"/>
        <v>621-1N5819HW-F</v>
      </c>
      <c r="Q387" s="1" t="str">
        <f t="shared" si="391"/>
        <v>Diodes Inc 1N5819HW-7-F</v>
      </c>
    </row>
    <row r="388">
      <c r="D388" s="282"/>
      <c r="F388" s="1">
        <v>10.0</v>
      </c>
      <c r="G388" s="60">
        <f t="shared" si="2"/>
        <v>26</v>
      </c>
      <c r="H388" s="1" t="str">
        <f t="shared" si="3"/>
        <v>Rings v3.0</v>
      </c>
      <c r="I388" t="str">
        <f t="shared" si="4"/>
        <v>S</v>
      </c>
      <c r="J388" s="1" t="str">
        <f t="shared" ref="J388:Q388" si="392">indirect(address($G388+4, column()-9, 4, , $H388))</f>
        <v>D3</v>
      </c>
      <c r="K388" s="1">
        <f t="shared" si="392"/>
        <v>1</v>
      </c>
      <c r="L388" s="1" t="str">
        <f t="shared" si="392"/>
        <v>BAT54S diode</v>
      </c>
      <c r="M388" s="1" t="str">
        <f t="shared" si="392"/>
        <v/>
      </c>
      <c r="N388" s="1" t="str">
        <f t="shared" si="392"/>
        <v/>
      </c>
      <c r="O388" s="1" t="str">
        <f t="shared" si="392"/>
        <v>SOT23</v>
      </c>
      <c r="P388" s="1" t="str">
        <f t="shared" si="392"/>
        <v>512-BAT54S</v>
      </c>
      <c r="Q388" s="1" t="str">
        <f t="shared" si="392"/>
        <v>BAT54S</v>
      </c>
    </row>
    <row r="389">
      <c r="D389" s="282"/>
      <c r="F389" s="1">
        <v>10.0</v>
      </c>
      <c r="G389" s="60">
        <f t="shared" si="2"/>
        <v>27</v>
      </c>
      <c r="H389" s="1" t="str">
        <f t="shared" si="3"/>
        <v>Rings v3.0</v>
      </c>
      <c r="I389" t="str">
        <f t="shared" si="4"/>
        <v>S</v>
      </c>
      <c r="J389" s="1" t="str">
        <f t="shared" ref="J389:Q389" si="393">indirect(address($G389+4, column()-9, 4, , $H389))</f>
        <v>IC1</v>
      </c>
      <c r="K389" s="1">
        <f t="shared" si="393"/>
        <v>1</v>
      </c>
      <c r="L389" s="1" t="str">
        <f t="shared" si="393"/>
        <v>LM1117-3.3V LDO Vreg</v>
      </c>
      <c r="M389" s="1" t="str">
        <f t="shared" si="393"/>
        <v/>
      </c>
      <c r="N389" s="1" t="str">
        <f t="shared" si="393"/>
        <v>3.3V</v>
      </c>
      <c r="O389" s="1" t="str">
        <f t="shared" si="393"/>
        <v>TO252</v>
      </c>
      <c r="P389" s="1" t="str">
        <f t="shared" si="393"/>
        <v>926-LM1117DT-3.3NOPB</v>
      </c>
      <c r="Q389" s="1" t="str">
        <f t="shared" si="393"/>
        <v>National LM1117DT-3.3/NOPB</v>
      </c>
    </row>
    <row r="390">
      <c r="D390" s="282"/>
      <c r="F390" s="1">
        <v>10.0</v>
      </c>
      <c r="G390" s="60">
        <f t="shared" si="2"/>
        <v>28</v>
      </c>
      <c r="H390" s="1" t="str">
        <f t="shared" si="3"/>
        <v>Rings v3.0</v>
      </c>
      <c r="I390" t="str">
        <f t="shared" si="4"/>
        <v>S</v>
      </c>
      <c r="J390" s="1" t="str">
        <f t="shared" ref="J390:Q390" si="394">indirect(address($G390+4, column()-9, 4, , $H390))</f>
        <v>IC2</v>
      </c>
      <c r="K390" s="1">
        <f t="shared" si="394"/>
        <v>1</v>
      </c>
      <c r="L390" s="1" t="str">
        <f t="shared" si="394"/>
        <v>STM32F405RGT6</v>
      </c>
      <c r="M390" s="1" t="str">
        <f t="shared" si="394"/>
        <v/>
      </c>
      <c r="N390" s="1" t="str">
        <f t="shared" si="394"/>
        <v/>
      </c>
      <c r="O390" s="1" t="str">
        <f t="shared" si="394"/>
        <v>TQFP64</v>
      </c>
      <c r="P390" s="1" t="str">
        <f t="shared" si="394"/>
        <v>511-STM32F405RGT6</v>
      </c>
      <c r="Q390" s="1" t="str">
        <f t="shared" si="394"/>
        <v>ST STM32F405RGT6</v>
      </c>
    </row>
    <row r="391">
      <c r="D391" s="282"/>
      <c r="F391" s="1">
        <v>10.0</v>
      </c>
      <c r="G391" s="60">
        <f t="shared" si="2"/>
        <v>29</v>
      </c>
      <c r="H391" s="1" t="str">
        <f t="shared" si="3"/>
        <v>Rings v3.0</v>
      </c>
      <c r="I391" t="str">
        <f t="shared" si="4"/>
        <v>S</v>
      </c>
      <c r="J391" s="1" t="str">
        <f t="shared" ref="J391:Q391" si="395">indirect(address($G391+4, column()-9, 4, , $H391))</f>
        <v>IC3</v>
      </c>
      <c r="K391" s="1">
        <f t="shared" si="395"/>
        <v>1</v>
      </c>
      <c r="L391" s="1" t="str">
        <f t="shared" si="395"/>
        <v>LM4040 Shunt Vref</v>
      </c>
      <c r="M391" s="1" t="str">
        <f t="shared" si="395"/>
        <v>A, B or C grade</v>
      </c>
      <c r="N391" s="1" t="str">
        <f t="shared" si="395"/>
        <v>10V</v>
      </c>
      <c r="O391" s="1" t="str">
        <f t="shared" si="395"/>
        <v>SOT23</v>
      </c>
      <c r="P391" s="1" t="str">
        <f t="shared" si="395"/>
        <v>595-LM4040C10IDBZR</v>
      </c>
      <c r="Q391" s="1" t="str">
        <f t="shared" si="395"/>
        <v>Texas Instruments LM4040C10IDBZ</v>
      </c>
    </row>
    <row r="392">
      <c r="D392" s="282"/>
      <c r="F392" s="1">
        <v>10.0</v>
      </c>
      <c r="G392" s="60">
        <f t="shared" si="2"/>
        <v>30</v>
      </c>
      <c r="H392" s="1" t="str">
        <f t="shared" si="3"/>
        <v>Rings v3.0</v>
      </c>
      <c r="I392" t="str">
        <f t="shared" si="4"/>
        <v>S</v>
      </c>
      <c r="J392" s="1" t="str">
        <f t="shared" ref="J392:Q392" si="396">indirect(address($G392+4, column()-9, 4, , $H392))</f>
        <v>IC4</v>
      </c>
      <c r="K392" s="1">
        <f t="shared" si="396"/>
        <v>1</v>
      </c>
      <c r="L392" s="1" t="str">
        <f t="shared" si="396"/>
        <v>CD4051 8-1 multiplexer</v>
      </c>
      <c r="M392" s="1" t="str">
        <f t="shared" si="396"/>
        <v/>
      </c>
      <c r="N392" s="1" t="str">
        <f t="shared" si="396"/>
        <v/>
      </c>
      <c r="O392" s="1" t="str">
        <f t="shared" si="396"/>
        <v>TSSOP16</v>
      </c>
      <c r="P392" s="1" t="str">
        <f t="shared" si="396"/>
        <v>595-CD4051BPWR</v>
      </c>
      <c r="Q392" s="1" t="str">
        <f t="shared" si="396"/>
        <v>CD4051BPWR</v>
      </c>
    </row>
    <row r="393">
      <c r="D393" s="282"/>
      <c r="F393" s="1">
        <v>10.0</v>
      </c>
      <c r="G393" s="60">
        <f t="shared" si="2"/>
        <v>31</v>
      </c>
      <c r="H393" s="1" t="str">
        <f t="shared" si="3"/>
        <v>Rings v3.0</v>
      </c>
      <c r="I393" t="str">
        <f t="shared" si="4"/>
        <v>S</v>
      </c>
      <c r="J393" s="1" t="str">
        <f t="shared" ref="J393:Q393" si="397">indirect(address($G393+4, column()-9, 4, , $H393))</f>
        <v>IC5</v>
      </c>
      <c r="K393" s="1">
        <f t="shared" si="397"/>
        <v>1</v>
      </c>
      <c r="L393" s="1" t="str">
        <f t="shared" si="397"/>
        <v>MCP6002 dual op-amp R2R IO</v>
      </c>
      <c r="M393" s="1" t="str">
        <f t="shared" si="397"/>
        <v/>
      </c>
      <c r="N393" s="1" t="str">
        <f t="shared" si="397"/>
        <v/>
      </c>
      <c r="O393" s="1" t="str">
        <f t="shared" si="397"/>
        <v>SOIC8</v>
      </c>
      <c r="P393" s="1" t="str">
        <f t="shared" si="397"/>
        <v>579-MCP6002-I/SN</v>
      </c>
      <c r="Q393" s="1" t="str">
        <f t="shared" si="397"/>
        <v>MCP6002-I/SN</v>
      </c>
    </row>
    <row r="394">
      <c r="D394" s="282"/>
      <c r="F394" s="1">
        <v>10.0</v>
      </c>
      <c r="G394" s="60">
        <f t="shared" si="2"/>
        <v>32</v>
      </c>
      <c r="H394" s="1" t="str">
        <f t="shared" si="3"/>
        <v>Rings v3.0</v>
      </c>
      <c r="I394" t="str">
        <f t="shared" si="4"/>
        <v>S</v>
      </c>
      <c r="J394" s="1" t="str">
        <f t="shared" ref="J394:Q394" si="398">indirect(address($G394+4, column()-9, 4, , $H394))</f>
        <v>IC6</v>
      </c>
      <c r="K394" s="1">
        <f t="shared" si="398"/>
        <v>1</v>
      </c>
      <c r="L394" s="1" t="str">
        <f t="shared" si="398"/>
        <v>WM8731 audio codec</v>
      </c>
      <c r="M394" s="1" t="str">
        <f t="shared" si="398"/>
        <v/>
      </c>
      <c r="N394" s="1" t="str">
        <f t="shared" si="398"/>
        <v/>
      </c>
      <c r="O394" s="1" t="str">
        <f t="shared" si="398"/>
        <v>SSOP28</v>
      </c>
      <c r="P394" s="1" t="str">
        <f t="shared" si="398"/>
        <v>238-WM8731SEDS/V</v>
      </c>
      <c r="Q394" s="1" t="str">
        <f t="shared" si="398"/>
        <v>Wolfson micro WM8731SEDS/V</v>
      </c>
    </row>
    <row r="395">
      <c r="D395" s="282"/>
      <c r="F395" s="1">
        <v>10.0</v>
      </c>
      <c r="G395" s="60">
        <f t="shared" si="2"/>
        <v>33</v>
      </c>
      <c r="H395" s="1" t="str">
        <f t="shared" si="3"/>
        <v>Rings v3.0</v>
      </c>
      <c r="I395" t="str">
        <f t="shared" si="4"/>
        <v>S</v>
      </c>
      <c r="J395" s="1" t="str">
        <f t="shared" ref="J395:Q395" si="399">indirect(address($G395+4, column()-9, 4, , $H395))</f>
        <v>IC7</v>
      </c>
      <c r="K395" s="1">
        <f t="shared" si="399"/>
        <v>1</v>
      </c>
      <c r="L395" s="1" t="str">
        <f t="shared" si="399"/>
        <v>MCP6004 quad op-amp R2R IO</v>
      </c>
      <c r="M395" s="1" t="str">
        <f t="shared" si="399"/>
        <v/>
      </c>
      <c r="N395" s="1" t="str">
        <f t="shared" si="399"/>
        <v/>
      </c>
      <c r="O395" s="1" t="str">
        <f t="shared" si="399"/>
        <v>SOIC14</v>
      </c>
      <c r="P395" s="1" t="str">
        <f t="shared" si="399"/>
        <v>579-MCP6004-I/SL</v>
      </c>
      <c r="Q395" s="1" t="str">
        <f t="shared" si="399"/>
        <v>MCP6004-I/SL</v>
      </c>
    </row>
    <row r="396">
      <c r="D396" s="282"/>
      <c r="F396" s="1">
        <v>10.0</v>
      </c>
      <c r="G396" s="60">
        <f t="shared" si="2"/>
        <v>34</v>
      </c>
      <c r="H396" s="1" t="str">
        <f t="shared" si="3"/>
        <v>Rings v3.0</v>
      </c>
      <c r="I396" t="str">
        <f t="shared" si="4"/>
        <v>S</v>
      </c>
      <c r="J396" s="1" t="str">
        <f t="shared" ref="J396:Q396" si="400">indirect(address($G396+4, column()-9, 4, , $H396))</f>
        <v>IC8</v>
      </c>
      <c r="K396" s="1">
        <f t="shared" si="400"/>
        <v>1</v>
      </c>
      <c r="L396" s="1" t="str">
        <f t="shared" si="400"/>
        <v>TL072 dual op-amp</v>
      </c>
      <c r="M396" s="1" t="str">
        <f t="shared" si="400"/>
        <v/>
      </c>
      <c r="N396" s="1" t="str">
        <f t="shared" si="400"/>
        <v/>
      </c>
      <c r="O396" s="1" t="str">
        <f t="shared" si="400"/>
        <v>SOIC8</v>
      </c>
      <c r="P396" s="1" t="str">
        <f t="shared" si="400"/>
        <v>595-TL072CD</v>
      </c>
      <c r="Q396" s="1" t="str">
        <f t="shared" si="400"/>
        <v/>
      </c>
    </row>
    <row r="397">
      <c r="D397" s="282"/>
      <c r="F397" s="1">
        <v>10.0</v>
      </c>
      <c r="G397" s="60">
        <f t="shared" si="2"/>
        <v>35</v>
      </c>
      <c r="H397" s="1" t="str">
        <f t="shared" si="3"/>
        <v>Rings v3.0</v>
      </c>
      <c r="I397" t="str">
        <f t="shared" si="4"/>
        <v>S</v>
      </c>
      <c r="J397" s="1" t="str">
        <f t="shared" ref="J397:Q397" si="401">indirect(address($G397+4, column()-9, 4, , $H397))</f>
        <v>Q1</v>
      </c>
      <c r="K397" s="1">
        <f t="shared" si="401"/>
        <v>1</v>
      </c>
      <c r="L397" s="1" t="str">
        <f t="shared" si="401"/>
        <v>8 MHz quartz</v>
      </c>
      <c r="M397" s="1" t="str">
        <f t="shared" si="401"/>
        <v>Capa 18pF</v>
      </c>
      <c r="N397" s="1" t="str">
        <f t="shared" si="401"/>
        <v/>
      </c>
      <c r="O397" s="1" t="str">
        <f t="shared" si="401"/>
        <v>HC49</v>
      </c>
      <c r="P397" s="1" t="str">
        <f t="shared" si="401"/>
        <v>815-ABLS2-8-D4Y-T</v>
      </c>
      <c r="Q397" s="1" t="str">
        <f t="shared" si="401"/>
        <v>Abracon ABLS2-8.000MHZ-D4Y-T</v>
      </c>
    </row>
    <row r="398">
      <c r="D398" s="282"/>
      <c r="F398" s="1">
        <v>10.0</v>
      </c>
      <c r="G398" s="60">
        <f t="shared" si="2"/>
        <v>36</v>
      </c>
      <c r="H398" s="1" t="str">
        <f t="shared" si="3"/>
        <v>Rings v3.0</v>
      </c>
      <c r="I398" t="str">
        <f t="shared" si="4"/>
        <v>S</v>
      </c>
      <c r="J398" s="1" t="str">
        <f t="shared" ref="J398:Q398" si="402">indirect(address($G398+4, column()-9, 4, , $H398))</f>
        <v>Q2</v>
      </c>
      <c r="K398" s="1">
        <f t="shared" si="402"/>
        <v>1</v>
      </c>
      <c r="L398" s="1" t="str">
        <f t="shared" si="402"/>
        <v>NPN transistor MMBT3904</v>
      </c>
      <c r="M398" s="1" t="str">
        <f t="shared" si="402"/>
        <v/>
      </c>
      <c r="N398" s="1" t="str">
        <f t="shared" si="402"/>
        <v/>
      </c>
      <c r="O398" s="1" t="str">
        <f t="shared" si="402"/>
        <v>SOT23</v>
      </c>
      <c r="P398" s="1" t="str">
        <f t="shared" si="402"/>
        <v>863-MMBT3904LT1G</v>
      </c>
      <c r="Q398" s="1" t="str">
        <f t="shared" si="402"/>
        <v>On Semi MMBT3904LT1G</v>
      </c>
    </row>
    <row r="399">
      <c r="D399" s="282"/>
      <c r="F399" s="1">
        <v>10.0</v>
      </c>
      <c r="G399" s="60">
        <f t="shared" si="2"/>
        <v>37</v>
      </c>
      <c r="H399" s="1" t="str">
        <f t="shared" si="3"/>
        <v>Rings v3.0</v>
      </c>
      <c r="I399" t="str">
        <f t="shared" si="4"/>
        <v>S</v>
      </c>
      <c r="J399" s="1" t="str">
        <f t="shared" ref="J399:Q399" si="403">indirect(address($G399+4, column()-9, 4, , $H399))</f>
        <v>Q3</v>
      </c>
      <c r="K399" s="1">
        <f t="shared" si="403"/>
        <v>1</v>
      </c>
      <c r="L399" s="1" t="str">
        <f t="shared" si="403"/>
        <v>12.288 MHz quartz</v>
      </c>
      <c r="M399" s="1" t="str">
        <f t="shared" si="403"/>
        <v>Capa 18pF</v>
      </c>
      <c r="N399" s="1" t="str">
        <f t="shared" si="403"/>
        <v/>
      </c>
      <c r="O399" s="1" t="str">
        <f t="shared" si="403"/>
        <v>HC49</v>
      </c>
      <c r="P399" s="1" t="str">
        <f t="shared" si="403"/>
        <v>815-ABLS2-12.2-D4Y-T</v>
      </c>
      <c r="Q399" s="1" t="str">
        <f t="shared" si="403"/>
        <v>Abracon ABLS2-12.288MHZ-D4Y-T</v>
      </c>
    </row>
    <row r="400">
      <c r="D400" s="282"/>
      <c r="F400" s="1">
        <v>10.0</v>
      </c>
      <c r="G400" s="60">
        <f t="shared" si="2"/>
        <v>38</v>
      </c>
      <c r="H400" s="1" t="str">
        <f t="shared" si="3"/>
        <v>Rings v3.0</v>
      </c>
      <c r="I400" t="str">
        <f t="shared" si="4"/>
        <v>S</v>
      </c>
      <c r="J400" s="1" t="str">
        <f t="shared" ref="J400:Q400" si="404">indirect(address($G400+4, column()-9, 4, , $H400))</f>
        <v>L1, L2, L3</v>
      </c>
      <c r="K400" s="1">
        <f t="shared" si="404"/>
        <v>3</v>
      </c>
      <c r="L400" s="1" t="str">
        <f t="shared" si="404"/>
        <v>EMI Filter Bead</v>
      </c>
      <c r="M400" s="1" t="str">
        <f t="shared" si="404"/>
        <v>&gt;= 1k ohm, 300mA</v>
      </c>
      <c r="N400" s="1" t="str">
        <f t="shared" si="404"/>
        <v/>
      </c>
      <c r="O400" s="1" t="str">
        <f t="shared" si="404"/>
        <v>0603</v>
      </c>
      <c r="P400" s="1" t="str">
        <f t="shared" si="404"/>
        <v>710-742792664</v>
      </c>
      <c r="Q400" s="1" t="str">
        <f t="shared" si="404"/>
        <v>Wurth Electronics 742792664</v>
      </c>
    </row>
    <row r="401">
      <c r="D401" s="282"/>
      <c r="F401" s="1">
        <v>10.0</v>
      </c>
      <c r="G401" s="60">
        <f t="shared" si="2"/>
        <v>39</v>
      </c>
      <c r="H401" s="1" t="str">
        <f t="shared" si="3"/>
        <v>Rings v3.0</v>
      </c>
      <c r="I401" t="str">
        <f t="shared" si="4"/>
        <v>S</v>
      </c>
      <c r="J401" s="1" t="str">
        <f t="shared" ref="J401:Q401" si="405">indirect(address($G401+4, column()-9, 4, , $H401))</f>
        <v>SW3, SW4</v>
      </c>
      <c r="K401" s="1">
        <f t="shared" si="405"/>
        <v>2</v>
      </c>
      <c r="L401" s="1" t="str">
        <f t="shared" si="405"/>
        <v>Switch, 6mm, SMT</v>
      </c>
      <c r="M401" s="1" t="str">
        <f t="shared" si="405"/>
        <v/>
      </c>
      <c r="N401" s="1" t="str">
        <f t="shared" si="405"/>
        <v/>
      </c>
      <c r="O401" s="1" t="str">
        <f t="shared" si="405"/>
        <v>6mm x 6mm</v>
      </c>
      <c r="P401" s="1" t="str">
        <f t="shared" si="405"/>
        <v>667-EVQ-Q2K01W</v>
      </c>
      <c r="Q401" s="1" t="str">
        <f t="shared" si="405"/>
        <v>Panasonic EVQ-Q2K01W</v>
      </c>
    </row>
    <row r="402">
      <c r="D402" s="282"/>
      <c r="F402" s="1">
        <v>10.0</v>
      </c>
      <c r="G402" s="60">
        <f t="shared" si="2"/>
        <v>40</v>
      </c>
      <c r="H402" s="1" t="str">
        <f t="shared" si="3"/>
        <v>Rings v3.0</v>
      </c>
      <c r="I402" t="str">
        <f t="shared" si="4"/>
        <v/>
      </c>
      <c r="J402" s="1" t="str">
        <f t="shared" ref="J402:Q402" si="406">indirect(address($G402+4, column()-9, 4, , $H402))</f>
        <v>PTH parts, top side</v>
      </c>
      <c r="K402" s="1" t="str">
        <f t="shared" si="406"/>
        <v/>
      </c>
      <c r="L402" s="1" t="str">
        <f t="shared" si="406"/>
        <v/>
      </c>
      <c r="M402" s="1" t="str">
        <f t="shared" si="406"/>
        <v/>
      </c>
      <c r="N402" s="1" t="str">
        <f t="shared" si="406"/>
        <v/>
      </c>
      <c r="O402" s="1" t="str">
        <f t="shared" si="406"/>
        <v/>
      </c>
      <c r="P402" s="1" t="str">
        <f t="shared" si="406"/>
        <v/>
      </c>
      <c r="Q402" s="1" t="str">
        <f t="shared" si="406"/>
        <v/>
      </c>
    </row>
    <row r="403">
      <c r="D403" s="282"/>
      <c r="F403" s="1">
        <v>10.0</v>
      </c>
      <c r="G403" s="60">
        <f t="shared" si="2"/>
        <v>41</v>
      </c>
      <c r="H403" s="1" t="str">
        <f t="shared" si="3"/>
        <v>Rings v3.0</v>
      </c>
      <c r="I403" t="str">
        <f t="shared" si="4"/>
        <v>U</v>
      </c>
      <c r="J403" s="1" t="str">
        <f t="shared" ref="J403:Q403" si="407">indirect(address($G403+4, column()-9, 4, , $H403))</f>
        <v>J1, J2, J3, J4, J5, J6, J7, J8, J9, J10</v>
      </c>
      <c r="K403" s="1">
        <f t="shared" si="407"/>
        <v>10</v>
      </c>
      <c r="L403" s="1" t="str">
        <f t="shared" si="407"/>
        <v>Vertical jack connector</v>
      </c>
      <c r="M403" s="1" t="str">
        <f t="shared" si="407"/>
        <v/>
      </c>
      <c r="N403" s="1" t="str">
        <f t="shared" si="407"/>
        <v/>
      </c>
      <c r="O403" s="1" t="str">
        <f t="shared" si="407"/>
        <v/>
      </c>
      <c r="P403" s="1" t="str">
        <f t="shared" si="407"/>
        <v/>
      </c>
      <c r="Q403" s="1" t="str">
        <f t="shared" si="407"/>
        <v>PJ-301-M-12</v>
      </c>
    </row>
    <row r="404">
      <c r="D404" s="282"/>
      <c r="F404" s="1">
        <v>10.0</v>
      </c>
      <c r="G404" s="60">
        <f t="shared" si="2"/>
        <v>42</v>
      </c>
      <c r="H404" s="1" t="str">
        <f t="shared" si="3"/>
        <v>Rings v3.0</v>
      </c>
      <c r="I404" t="str">
        <f t="shared" si="4"/>
        <v>U</v>
      </c>
      <c r="J404" s="1" t="str">
        <f t="shared" ref="J404:Q404" si="408">indirect(address($G404+4, column()-9, 4, , $H404))</f>
        <v>R45, R46, R47, R48, R49</v>
      </c>
      <c r="K404" s="1">
        <f t="shared" si="408"/>
        <v>5</v>
      </c>
      <c r="L404" s="1" t="str">
        <f t="shared" si="408"/>
        <v>10k linear pot, 25mm shaft with marker</v>
      </c>
      <c r="M404" s="1" t="str">
        <f t="shared" si="408"/>
        <v/>
      </c>
      <c r="N404" s="1" t="str">
        <f t="shared" si="408"/>
        <v/>
      </c>
      <c r="O404" s="1" t="str">
        <f t="shared" si="408"/>
        <v/>
      </c>
      <c r="P404" s="1" t="str">
        <f t="shared" si="408"/>
        <v/>
      </c>
      <c r="Q404" s="288" t="str">
        <f t="shared" si="408"/>
        <v>https://www.thonk.co.uk/shop/ttpots/</v>
      </c>
    </row>
    <row r="405">
      <c r="D405" s="282"/>
      <c r="F405" s="1">
        <v>10.0</v>
      </c>
      <c r="G405" s="60">
        <f t="shared" si="2"/>
        <v>43</v>
      </c>
      <c r="H405" s="1" t="str">
        <f t="shared" si="3"/>
        <v>Rings v3.0</v>
      </c>
      <c r="I405" t="str">
        <f t="shared" si="4"/>
        <v>U</v>
      </c>
      <c r="J405" s="1" t="str">
        <f t="shared" ref="J405:Q405" si="409">indirect(address($G405+4, column()-9, 4, , $H405))</f>
        <v>R9, R10, R28, R29, R30</v>
      </c>
      <c r="K405" s="1">
        <f t="shared" si="409"/>
        <v>5</v>
      </c>
      <c r="L405" s="1" t="str">
        <f t="shared" si="409"/>
        <v>10k linear pot, 15mm shaft</v>
      </c>
      <c r="M405" s="1" t="str">
        <f t="shared" si="409"/>
        <v/>
      </c>
      <c r="N405" s="1" t="str">
        <f t="shared" si="409"/>
        <v/>
      </c>
      <c r="O405" s="1" t="str">
        <f t="shared" si="409"/>
        <v/>
      </c>
      <c r="P405" s="1" t="str">
        <f t="shared" si="409"/>
        <v/>
      </c>
      <c r="Q405" s="288" t="str">
        <f t="shared" si="409"/>
        <v>https://www.thonk.co.uk/shop/alpha-9mm-pots/</v>
      </c>
    </row>
    <row r="406">
      <c r="D406" s="282"/>
      <c r="F406" s="1">
        <v>10.0</v>
      </c>
      <c r="G406" s="60">
        <f t="shared" si="2"/>
        <v>44</v>
      </c>
      <c r="H406" s="1" t="str">
        <f t="shared" si="3"/>
        <v>Rings v3.0</v>
      </c>
      <c r="I406" t="str">
        <f t="shared" si="4"/>
        <v>U</v>
      </c>
      <c r="J406" s="1" t="str">
        <f t="shared" ref="J406:Q406" si="410">indirect(address($G406+4, column()-9, 4, , $H406))</f>
        <v>LED1, LED2</v>
      </c>
      <c r="K406" s="1">
        <f t="shared" si="410"/>
        <v>2</v>
      </c>
      <c r="L406" s="1" t="str">
        <f t="shared" si="410"/>
        <v>LED, Red/Green, 3 terminals, common K</v>
      </c>
      <c r="M406" s="1" t="str">
        <f t="shared" si="410"/>
        <v/>
      </c>
      <c r="N406" s="1" t="str">
        <f t="shared" si="410"/>
        <v/>
      </c>
      <c r="O406" s="1" t="str">
        <f t="shared" si="410"/>
        <v>3 terminals</v>
      </c>
      <c r="P406" s="1" t="str">
        <f t="shared" si="410"/>
        <v>604-WP115VEGW</v>
      </c>
      <c r="Q406" s="1" t="str">
        <f t="shared" si="410"/>
        <v>Kingbright WP115VEGW</v>
      </c>
    </row>
    <row r="407">
      <c r="D407" s="282"/>
      <c r="F407" s="1">
        <v>10.0</v>
      </c>
      <c r="G407" s="60">
        <f t="shared" si="2"/>
        <v>45</v>
      </c>
      <c r="H407" s="1" t="str">
        <f t="shared" si="3"/>
        <v>Rings v3.0</v>
      </c>
      <c r="I407" t="str">
        <f t="shared" si="4"/>
        <v>U</v>
      </c>
      <c r="J407" s="1" t="str">
        <f t="shared" ref="J407:Q407" si="411">indirect(address($G407+4, column()-9, 4, , $H407))</f>
        <v>SW1, SW2</v>
      </c>
      <c r="K407" s="1">
        <f t="shared" si="411"/>
        <v>2</v>
      </c>
      <c r="L407" s="1" t="str">
        <f t="shared" si="411"/>
        <v>Switch, 6mm</v>
      </c>
      <c r="M407" s="1" t="str">
        <f t="shared" si="411"/>
        <v/>
      </c>
      <c r="N407" s="1" t="str">
        <f t="shared" si="411"/>
        <v/>
      </c>
      <c r="O407" s="1" t="str">
        <f t="shared" si="411"/>
        <v/>
      </c>
      <c r="P407" s="1" t="str">
        <f t="shared" si="411"/>
        <v>612-TL1105SP-250</v>
      </c>
      <c r="Q407" s="1" t="str">
        <f t="shared" si="411"/>
        <v>E-switch TL1105SPF250Q</v>
      </c>
    </row>
    <row r="408">
      <c r="D408" s="282"/>
      <c r="F408" s="1">
        <v>10.0</v>
      </c>
      <c r="G408" s="60">
        <f t="shared" si="2"/>
        <v>46</v>
      </c>
      <c r="H408" s="1" t="str">
        <f t="shared" si="3"/>
        <v>Rings v3.0</v>
      </c>
      <c r="I408" t="str">
        <f t="shared" si="4"/>
        <v>U</v>
      </c>
      <c r="J408" s="1" t="str">
        <f t="shared" ref="J408:Q408" si="412">indirect(address($G408+4, column()-9, 4, , $H408))</f>
        <v>- SW1, SW2</v>
      </c>
      <c r="K408" s="1">
        <f t="shared" si="412"/>
        <v>2</v>
      </c>
      <c r="L408" s="1" t="str">
        <f t="shared" si="412"/>
        <v>Cap for switch, black</v>
      </c>
      <c r="M408" s="1" t="str">
        <f t="shared" si="412"/>
        <v/>
      </c>
      <c r="N408" s="1" t="str">
        <f t="shared" si="412"/>
        <v/>
      </c>
      <c r="O408" s="1" t="str">
        <f t="shared" si="412"/>
        <v/>
      </c>
      <c r="P408" s="1" t="str">
        <f t="shared" si="412"/>
        <v>612-1R-BK</v>
      </c>
      <c r="Q408" s="1" t="str">
        <f t="shared" si="412"/>
        <v>E-switch 1RBLK</v>
      </c>
    </row>
    <row r="409">
      <c r="D409" s="282"/>
      <c r="F409" s="1">
        <v>10.0</v>
      </c>
      <c r="G409" s="60">
        <f t="shared" si="2"/>
        <v>47</v>
      </c>
      <c r="H409" s="1" t="str">
        <f t="shared" si="3"/>
        <v>Rings v3.0</v>
      </c>
      <c r="I409" t="str">
        <f t="shared" si="4"/>
        <v/>
      </c>
      <c r="J409" s="1" t="str">
        <f t="shared" ref="J409:Q409" si="413">indirect(address($G409+4, column()-9, 4, , $H409))</f>
        <v>PTH parts, bottom side</v>
      </c>
      <c r="K409" s="1" t="str">
        <f t="shared" si="413"/>
        <v/>
      </c>
      <c r="L409" s="1" t="str">
        <f t="shared" si="413"/>
        <v/>
      </c>
      <c r="M409" s="1" t="str">
        <f t="shared" si="413"/>
        <v/>
      </c>
      <c r="N409" s="289" t="str">
        <f t="shared" si="413"/>
        <v/>
      </c>
      <c r="O409" s="1" t="str">
        <f t="shared" si="413"/>
        <v/>
      </c>
      <c r="P409" s="292" t="str">
        <f t="shared" si="413"/>
        <v/>
      </c>
      <c r="Q409" s="1" t="str">
        <f t="shared" si="413"/>
        <v/>
      </c>
    </row>
    <row r="410">
      <c r="D410" s="282"/>
      <c r="F410" s="1">
        <v>10.0</v>
      </c>
      <c r="G410" s="60">
        <f t="shared" si="2"/>
        <v>48</v>
      </c>
      <c r="H410" s="1" t="str">
        <f t="shared" si="3"/>
        <v>Rings v3.0</v>
      </c>
      <c r="I410" t="str">
        <f t="shared" si="4"/>
        <v>D</v>
      </c>
      <c r="J410" s="1" t="str">
        <f t="shared" ref="J410:Q410" si="414">indirect(address($G410+4, column()-9, 4, , $H410))</f>
        <v>JP1 / JTAG</v>
      </c>
      <c r="K410" s="1">
        <f t="shared" si="414"/>
        <v>1</v>
      </c>
      <c r="L410" s="1" t="str">
        <f t="shared" si="414"/>
        <v>2x5 male header, 1.27mm pitch</v>
      </c>
      <c r="M410" s="1" t="str">
        <f t="shared" si="414"/>
        <v/>
      </c>
      <c r="N410" s="1" t="str">
        <f t="shared" si="414"/>
        <v/>
      </c>
      <c r="O410" s="1" t="str">
        <f t="shared" si="414"/>
        <v/>
      </c>
      <c r="P410" s="1" t="str">
        <f t="shared" si="414"/>
        <v>649-221111-00010T4LF</v>
      </c>
      <c r="Q410" s="1" t="str">
        <f t="shared" si="414"/>
        <v/>
      </c>
    </row>
    <row r="411">
      <c r="D411" s="282"/>
      <c r="F411" s="1">
        <v>10.0</v>
      </c>
      <c r="G411" s="60">
        <f t="shared" si="2"/>
        <v>49</v>
      </c>
      <c r="H411" s="1" t="str">
        <f t="shared" si="3"/>
        <v>Rings v3.0</v>
      </c>
      <c r="I411" t="str">
        <f t="shared" si="4"/>
        <v>D</v>
      </c>
      <c r="J411" s="1" t="str">
        <f t="shared" ref="J411:Q411" si="415">indirect(address($G411+4, column()-9, 4, , $H411))</f>
        <v>JP3</v>
      </c>
      <c r="K411" s="1">
        <f t="shared" si="415"/>
        <v>1</v>
      </c>
      <c r="L411" s="1" t="str">
        <f t="shared" si="415"/>
        <v>2x5 male header, 2.54mm pitch</v>
      </c>
      <c r="M411" s="1" t="str">
        <f t="shared" si="415"/>
        <v/>
      </c>
      <c r="N411" s="1" t="str">
        <f t="shared" si="415"/>
        <v/>
      </c>
      <c r="O411" s="1" t="str">
        <f t="shared" si="415"/>
        <v/>
      </c>
      <c r="P411" s="1" t="str">
        <f t="shared" si="415"/>
        <v>649-67996-410HLF</v>
      </c>
      <c r="Q411" s="1" t="str">
        <f t="shared" si="415"/>
        <v/>
      </c>
    </row>
    <row r="412">
      <c r="D412" s="282"/>
      <c r="F412" s="1">
        <v>10.0</v>
      </c>
      <c r="G412" s="60">
        <f t="shared" si="2"/>
        <v>50</v>
      </c>
      <c r="H412" s="1" t="str">
        <f t="shared" si="3"/>
        <v>Rings v3.0</v>
      </c>
      <c r="I412" t="str">
        <f t="shared" si="4"/>
        <v>D</v>
      </c>
      <c r="J412" s="1" t="str">
        <f t="shared" ref="J412:Q412" si="416">indirect(address($G412+4, column()-9, 4, , $H412))</f>
        <v>JP2 / FTDI</v>
      </c>
      <c r="K412" s="1">
        <f t="shared" si="416"/>
        <v>1</v>
      </c>
      <c r="L412" s="1" t="str">
        <f t="shared" si="416"/>
        <v>1x6 male header, 2.54mm pitch</v>
      </c>
      <c r="M412" s="1" t="str">
        <f t="shared" si="416"/>
        <v/>
      </c>
      <c r="N412" s="1" t="str">
        <f t="shared" si="416"/>
        <v/>
      </c>
      <c r="O412" s="1" t="str">
        <f t="shared" si="416"/>
        <v/>
      </c>
      <c r="P412" s="1" t="str">
        <f t="shared" si="416"/>
        <v>649-68002-106HLF</v>
      </c>
      <c r="Q412" s="1" t="str">
        <f t="shared" si="416"/>
        <v/>
      </c>
    </row>
    <row r="413">
      <c r="D413" s="282"/>
      <c r="F413" s="1">
        <v>10.0</v>
      </c>
      <c r="G413" s="60">
        <f t="shared" si="2"/>
        <v>51</v>
      </c>
      <c r="H413" s="1" t="str">
        <f t="shared" si="3"/>
        <v>Rings v3.0</v>
      </c>
      <c r="I413" t="str">
        <f t="shared" si="4"/>
        <v/>
      </c>
      <c r="J413" s="1" t="str">
        <f t="shared" ref="J413:Q413" si="417">indirect(address($G413+4, column()-9, 4, , $H413))</f>
        <v>PCB Specifications</v>
      </c>
      <c r="K413" s="1" t="str">
        <f t="shared" si="417"/>
        <v/>
      </c>
      <c r="L413" s="1" t="str">
        <f t="shared" si="417"/>
        <v/>
      </c>
      <c r="M413" s="1" t="str">
        <f t="shared" si="417"/>
        <v/>
      </c>
      <c r="N413" s="1" t="str">
        <f t="shared" si="417"/>
        <v/>
      </c>
      <c r="O413" s="1" t="str">
        <f t="shared" si="417"/>
        <v/>
      </c>
      <c r="P413" s="1" t="str">
        <f t="shared" si="417"/>
        <v/>
      </c>
      <c r="Q413" s="1" t="str">
        <f t="shared" si="417"/>
        <v/>
      </c>
    </row>
    <row r="414">
      <c r="D414" s="282"/>
      <c r="F414" s="1">
        <v>10.0</v>
      </c>
      <c r="G414" s="60">
        <f t="shared" si="2"/>
        <v>52</v>
      </c>
      <c r="H414" s="1" t="str">
        <f t="shared" si="3"/>
        <v>Rings v3.0</v>
      </c>
      <c r="I414" t="str">
        <f t="shared" si="4"/>
        <v>P</v>
      </c>
      <c r="J414" s="1" t="str">
        <f t="shared" ref="J414:Q414" si="418">indirect(address($G414+4, column()-9, 4, , $H414))</f>
        <v>PCB</v>
      </c>
      <c r="K414" s="1" t="str">
        <f t="shared" si="418"/>
        <v/>
      </c>
      <c r="L414" s="1" t="str">
        <f t="shared" si="418"/>
        <v>106.7 x 69.2</v>
      </c>
      <c r="M414" s="1" t="str">
        <f t="shared" si="418"/>
        <v/>
      </c>
      <c r="N414" s="289" t="str">
        <f t="shared" si="418"/>
        <v/>
      </c>
      <c r="O414" s="1" t="str">
        <f t="shared" si="418"/>
        <v/>
      </c>
      <c r="P414" s="292" t="str">
        <f t="shared" si="418"/>
        <v/>
      </c>
      <c r="Q414" s="1" t="str">
        <f t="shared" si="418"/>
        <v/>
      </c>
    </row>
    <row r="415">
      <c r="D415" s="282"/>
      <c r="F415" s="1">
        <v>11.0</v>
      </c>
      <c r="G415" s="60">
        <f t="shared" si="2"/>
        <v>0</v>
      </c>
      <c r="H415" s="1" t="str">
        <f t="shared" si="3"/>
        <v>Ripples v4.0</v>
      </c>
      <c r="I415" t="str">
        <f t="shared" si="4"/>
        <v>S</v>
      </c>
      <c r="J415" s="1" t="str">
        <f t="shared" ref="J415:Q415" si="419">indirect(address($G415+4, column()-9, 4, , $H415))</f>
        <v>R3, R4, R10, R11</v>
      </c>
      <c r="K415" s="1">
        <f t="shared" si="419"/>
        <v>4</v>
      </c>
      <c r="L415" s="1" t="str">
        <f t="shared" si="419"/>
        <v>Resistor, 1%</v>
      </c>
      <c r="M415" s="1" t="str">
        <f t="shared" si="419"/>
        <v/>
      </c>
      <c r="N415" s="289" t="str">
        <f t="shared" si="419"/>
        <v>510</v>
      </c>
      <c r="O415" s="289" t="str">
        <f t="shared" si="419"/>
        <v>0603</v>
      </c>
      <c r="P415" s="1" t="str">
        <f t="shared" si="419"/>
        <v>667-ERJ3EKF5100V</v>
      </c>
      <c r="Q415" s="1" t="str">
        <f t="shared" si="419"/>
        <v/>
      </c>
    </row>
    <row r="416">
      <c r="D416" s="282"/>
      <c r="F416" s="1">
        <v>11.0</v>
      </c>
      <c r="G416" s="60">
        <f t="shared" si="2"/>
        <v>1</v>
      </c>
      <c r="H416" s="1" t="str">
        <f t="shared" si="3"/>
        <v>Ripples v4.0</v>
      </c>
      <c r="I416" t="str">
        <f t="shared" si="4"/>
        <v>S</v>
      </c>
      <c r="J416" s="1" t="str">
        <f t="shared" ref="J416:Q416" si="420">indirect(address($G416+4, column()-9, 4, , $H416))</f>
        <v>R14, R17, R19, R21, R28, R32, R41, R46</v>
      </c>
      <c r="K416" s="1">
        <f t="shared" si="420"/>
        <v>8</v>
      </c>
      <c r="L416" s="1" t="str">
        <f t="shared" si="420"/>
        <v>Resistor, 1%</v>
      </c>
      <c r="M416" s="1" t="str">
        <f t="shared" si="420"/>
        <v/>
      </c>
      <c r="N416" s="289" t="str">
        <f t="shared" si="420"/>
        <v>1.0k</v>
      </c>
      <c r="O416" s="289" t="str">
        <f t="shared" si="420"/>
        <v>0603</v>
      </c>
      <c r="P416" s="1" t="str">
        <f t="shared" si="420"/>
        <v>667-ERJ3EKF1001V</v>
      </c>
      <c r="Q416" s="1" t="str">
        <f t="shared" si="420"/>
        <v/>
      </c>
    </row>
    <row r="417">
      <c r="D417" s="282"/>
      <c r="F417" s="1">
        <v>11.0</v>
      </c>
      <c r="G417" s="60">
        <f t="shared" si="2"/>
        <v>2</v>
      </c>
      <c r="H417" s="1" t="str">
        <f t="shared" si="3"/>
        <v>Ripples v4.0</v>
      </c>
      <c r="I417" t="str">
        <f t="shared" si="4"/>
        <v>S</v>
      </c>
      <c r="J417" s="1" t="str">
        <f t="shared" ref="J417:Q417" si="421">indirect(address($G417+4, column()-9, 4, , $H417))</f>
        <v>R39</v>
      </c>
      <c r="K417" s="1">
        <f t="shared" si="421"/>
        <v>1</v>
      </c>
      <c r="L417" s="1" t="str">
        <f t="shared" si="421"/>
        <v>Resistor, 1%</v>
      </c>
      <c r="M417" s="1" t="str">
        <f t="shared" si="421"/>
        <v/>
      </c>
      <c r="N417" s="289" t="str">
        <f t="shared" si="421"/>
        <v>6.8k</v>
      </c>
      <c r="O417" s="289" t="str">
        <f t="shared" si="421"/>
        <v>0603</v>
      </c>
      <c r="P417" s="1" t="str">
        <f t="shared" si="421"/>
        <v>667-ERJ-3EKF6801V</v>
      </c>
      <c r="Q417" s="1" t="str">
        <f t="shared" si="421"/>
        <v/>
      </c>
    </row>
    <row r="418">
      <c r="D418" s="282"/>
      <c r="F418" s="1">
        <v>11.0</v>
      </c>
      <c r="G418" s="60">
        <f t="shared" si="2"/>
        <v>3</v>
      </c>
      <c r="H418" s="1" t="str">
        <f t="shared" si="3"/>
        <v>Ripples v4.0</v>
      </c>
      <c r="I418" t="str">
        <f t="shared" si="4"/>
        <v>S</v>
      </c>
      <c r="J418" s="1" t="str">
        <f t="shared" ref="J418:Q418" si="422">indirect(address($G418+4, column()-9, 4, , $H418))</f>
        <v>R36, R47</v>
      </c>
      <c r="K418" s="1">
        <f t="shared" si="422"/>
        <v>2</v>
      </c>
      <c r="L418" s="1" t="str">
        <f t="shared" si="422"/>
        <v>Resistor, 1%</v>
      </c>
      <c r="M418" s="1" t="str">
        <f t="shared" si="422"/>
        <v/>
      </c>
      <c r="N418" s="289" t="str">
        <f t="shared" si="422"/>
        <v>15k</v>
      </c>
      <c r="O418" s="289" t="str">
        <f t="shared" si="422"/>
        <v>0603</v>
      </c>
      <c r="P418" s="1" t="str">
        <f t="shared" si="422"/>
        <v>667-ERJ3EKF1502V</v>
      </c>
      <c r="Q418" s="1" t="str">
        <f t="shared" si="422"/>
        <v/>
      </c>
    </row>
    <row r="419">
      <c r="D419" s="282"/>
      <c r="F419" s="1">
        <v>11.0</v>
      </c>
      <c r="G419" s="60">
        <f t="shared" si="2"/>
        <v>4</v>
      </c>
      <c r="H419" s="1" t="str">
        <f t="shared" si="3"/>
        <v>Ripples v4.0</v>
      </c>
      <c r="I419" t="str">
        <f t="shared" si="4"/>
        <v>S</v>
      </c>
      <c r="J419" s="1" t="str">
        <f t="shared" ref="J419:Q419" si="423">indirect(address($G419+4, column()-9, 4, , $H419))</f>
        <v>R16, R25</v>
      </c>
      <c r="K419" s="1">
        <f t="shared" si="423"/>
        <v>2</v>
      </c>
      <c r="L419" s="1" t="str">
        <f t="shared" si="423"/>
        <v>Resistor, 1%</v>
      </c>
      <c r="M419" s="1" t="str">
        <f t="shared" si="423"/>
        <v/>
      </c>
      <c r="N419" s="289" t="str">
        <f t="shared" si="423"/>
        <v>22k</v>
      </c>
      <c r="O419" s="289" t="str">
        <f t="shared" si="423"/>
        <v>0603</v>
      </c>
      <c r="P419" s="1" t="str">
        <f t="shared" si="423"/>
        <v>667-ERJ3EKF2202V</v>
      </c>
      <c r="Q419" s="1" t="str">
        <f t="shared" si="423"/>
        <v/>
      </c>
    </row>
    <row r="420">
      <c r="D420" s="282"/>
      <c r="F420" s="1">
        <v>11.0</v>
      </c>
      <c r="G420" s="60">
        <f t="shared" si="2"/>
        <v>5</v>
      </c>
      <c r="H420" s="1" t="str">
        <f t="shared" si="3"/>
        <v>Ripples v4.0</v>
      </c>
      <c r="I420" t="str">
        <f t="shared" si="4"/>
        <v>S</v>
      </c>
      <c r="J420" s="1" t="str">
        <f t="shared" ref="J420:Q420" si="424">indirect(address($G420+4, column()-9, 4, , $H420))</f>
        <v>R23</v>
      </c>
      <c r="K420" s="1">
        <f t="shared" si="424"/>
        <v>1</v>
      </c>
      <c r="L420" s="1" t="str">
        <f t="shared" si="424"/>
        <v>Resistor, 1%</v>
      </c>
      <c r="M420" s="1" t="str">
        <f t="shared" si="424"/>
        <v/>
      </c>
      <c r="N420" s="289" t="str">
        <f t="shared" si="424"/>
        <v>27k</v>
      </c>
      <c r="O420" s="289" t="str">
        <f t="shared" si="424"/>
        <v>0603</v>
      </c>
      <c r="P420" s="1" t="str">
        <f t="shared" si="424"/>
        <v>667-ERJ3EKF2702V</v>
      </c>
      <c r="Q420" s="1" t="str">
        <f t="shared" si="424"/>
        <v/>
      </c>
    </row>
    <row r="421">
      <c r="D421" s="282"/>
      <c r="F421" s="1">
        <v>11.0</v>
      </c>
      <c r="G421" s="60">
        <f t="shared" si="2"/>
        <v>6</v>
      </c>
      <c r="H421" s="1" t="str">
        <f t="shared" si="3"/>
        <v>Ripples v4.0</v>
      </c>
      <c r="I421" t="str">
        <f t="shared" si="4"/>
        <v>S</v>
      </c>
      <c r="J421" s="1" t="str">
        <f t="shared" ref="J421:Q421" si="425">indirect(address($G421+4, column()-9, 4, , $H421))</f>
        <v>R1, R2, R5, R6, R8, R12, R13, R43</v>
      </c>
      <c r="K421" s="1">
        <f t="shared" si="425"/>
        <v>8</v>
      </c>
      <c r="L421" s="1" t="str">
        <f t="shared" si="425"/>
        <v>Resistor, 1%</v>
      </c>
      <c r="M421" s="1" t="str">
        <f t="shared" si="425"/>
        <v/>
      </c>
      <c r="N421" s="289" t="str">
        <f t="shared" si="425"/>
        <v>33k</v>
      </c>
      <c r="O421" s="289" t="str">
        <f t="shared" si="425"/>
        <v>0603</v>
      </c>
      <c r="P421" s="1" t="str">
        <f t="shared" si="425"/>
        <v>667-ERJ3EKF3302V</v>
      </c>
      <c r="Q421" s="1" t="str">
        <f t="shared" si="425"/>
        <v/>
      </c>
    </row>
    <row r="422">
      <c r="D422" s="282"/>
      <c r="F422" s="1">
        <v>11.0</v>
      </c>
      <c r="G422" s="60">
        <f t="shared" si="2"/>
        <v>7</v>
      </c>
      <c r="H422" s="1" t="str">
        <f t="shared" si="3"/>
        <v>Ripples v4.0</v>
      </c>
      <c r="I422" t="str">
        <f t="shared" si="4"/>
        <v>S</v>
      </c>
      <c r="J422" s="1" t="str">
        <f t="shared" ref="J422:Q422" si="426">indirect(address($G422+4, column()-9, 4, , $H422))</f>
        <v>R27, R30, R44</v>
      </c>
      <c r="K422" s="1">
        <f t="shared" si="426"/>
        <v>3</v>
      </c>
      <c r="L422" s="1" t="str">
        <f t="shared" si="426"/>
        <v>Resistor, 1%</v>
      </c>
      <c r="M422" s="1" t="str">
        <f t="shared" si="426"/>
        <v/>
      </c>
      <c r="N422" s="289" t="str">
        <f t="shared" si="426"/>
        <v>39k</v>
      </c>
      <c r="O422" s="289" t="str">
        <f t="shared" si="426"/>
        <v>0603</v>
      </c>
      <c r="P422" s="1" t="str">
        <f t="shared" si="426"/>
        <v>667-ERJ3EKF3902V</v>
      </c>
      <c r="Q422" s="1" t="str">
        <f t="shared" si="426"/>
        <v/>
      </c>
    </row>
    <row r="423">
      <c r="D423" s="282"/>
      <c r="F423" s="1">
        <v>11.0</v>
      </c>
      <c r="G423" s="60">
        <f t="shared" si="2"/>
        <v>8</v>
      </c>
      <c r="H423" s="1" t="str">
        <f t="shared" si="3"/>
        <v>Ripples v4.0</v>
      </c>
      <c r="I423" t="str">
        <f t="shared" si="4"/>
        <v>S</v>
      </c>
      <c r="J423" s="1" t="str">
        <f t="shared" ref="J423:Q423" si="427">indirect(address($G423+4, column()-9, 4, , $H423))</f>
        <v>R22, R26, R34</v>
      </c>
      <c r="K423" s="1">
        <f t="shared" si="427"/>
        <v>3</v>
      </c>
      <c r="L423" s="1" t="str">
        <f t="shared" si="427"/>
        <v>Resistor, 1%</v>
      </c>
      <c r="M423" s="1" t="str">
        <f t="shared" si="427"/>
        <v/>
      </c>
      <c r="N423" s="289" t="str">
        <f t="shared" si="427"/>
        <v>47k</v>
      </c>
      <c r="O423" s="289" t="str">
        <f t="shared" si="427"/>
        <v>0603</v>
      </c>
      <c r="P423" s="1" t="str">
        <f t="shared" si="427"/>
        <v>667-ERJ-P03F4702V</v>
      </c>
      <c r="Q423" s="1" t="str">
        <f t="shared" si="427"/>
        <v/>
      </c>
    </row>
    <row r="424">
      <c r="D424" s="282"/>
      <c r="F424" s="1">
        <v>11.0</v>
      </c>
      <c r="G424" s="60">
        <f t="shared" si="2"/>
        <v>9</v>
      </c>
      <c r="H424" s="1" t="str">
        <f t="shared" si="3"/>
        <v>Ripples v4.0</v>
      </c>
      <c r="I424" t="str">
        <f t="shared" si="4"/>
        <v>S</v>
      </c>
      <c r="J424" s="1" t="str">
        <f t="shared" ref="J424:Q424" si="428">indirect(address($G424+4, column()-9, 4, , $H424))</f>
        <v>R24</v>
      </c>
      <c r="K424" s="1">
        <f t="shared" si="428"/>
        <v>1</v>
      </c>
      <c r="L424" s="1" t="str">
        <f t="shared" si="428"/>
        <v>Resistor, 1%</v>
      </c>
      <c r="M424" s="1" t="str">
        <f t="shared" si="428"/>
        <v/>
      </c>
      <c r="N424" s="289" t="str">
        <f t="shared" si="428"/>
        <v>62k</v>
      </c>
      <c r="O424" s="289" t="str">
        <f t="shared" si="428"/>
        <v>0603</v>
      </c>
      <c r="P424" s="1" t="str">
        <f t="shared" si="428"/>
        <v>667-ERJ-P03F6202V</v>
      </c>
      <c r="Q424" s="1" t="str">
        <f t="shared" si="428"/>
        <v/>
      </c>
    </row>
    <row r="425">
      <c r="D425" s="282"/>
      <c r="F425" s="1">
        <v>11.0</v>
      </c>
      <c r="G425" s="60">
        <f t="shared" si="2"/>
        <v>10</v>
      </c>
      <c r="H425" s="1" t="str">
        <f t="shared" si="3"/>
        <v>Ripples v4.0</v>
      </c>
      <c r="I425" t="str">
        <f t="shared" si="4"/>
        <v>S</v>
      </c>
      <c r="J425" s="1" t="str">
        <f t="shared" ref="J425:Q425" si="429">indirect(address($G425+4, column()-9, 4, , $H425))</f>
        <v>R9, R20, R29, R31, R35, R37, R38, R40, R42, R45</v>
      </c>
      <c r="K425" s="1">
        <f t="shared" si="429"/>
        <v>10</v>
      </c>
      <c r="L425" s="1" t="str">
        <f t="shared" si="429"/>
        <v>Resistor, 1%</v>
      </c>
      <c r="M425" s="1" t="str">
        <f t="shared" si="429"/>
        <v/>
      </c>
      <c r="N425" s="289" t="str">
        <f t="shared" si="429"/>
        <v>100k</v>
      </c>
      <c r="O425" s="289" t="str">
        <f t="shared" si="429"/>
        <v>0603</v>
      </c>
      <c r="P425" s="1" t="str">
        <f t="shared" si="429"/>
        <v>667-ERJ3EKF1003V</v>
      </c>
      <c r="Q425" s="1" t="str">
        <f t="shared" si="429"/>
        <v/>
      </c>
    </row>
    <row r="426">
      <c r="D426" s="282"/>
      <c r="F426" s="1">
        <v>11.0</v>
      </c>
      <c r="G426" s="60">
        <f t="shared" si="2"/>
        <v>11</v>
      </c>
      <c r="H426" s="1" t="str">
        <f t="shared" si="3"/>
        <v>Ripples v4.0</v>
      </c>
      <c r="I426" t="str">
        <f t="shared" si="4"/>
        <v>S</v>
      </c>
      <c r="J426" s="1" t="str">
        <f t="shared" ref="J426:Q426" si="430">indirect(address($G426+4, column()-9, 4, , $H426))</f>
        <v>R15</v>
      </c>
      <c r="K426" s="1">
        <f t="shared" si="430"/>
        <v>1</v>
      </c>
      <c r="L426" s="1" t="str">
        <f t="shared" si="430"/>
        <v>Resistor, 1%</v>
      </c>
      <c r="M426" s="1" t="str">
        <f t="shared" si="430"/>
        <v/>
      </c>
      <c r="N426" s="289" t="str">
        <f t="shared" si="430"/>
        <v>300k</v>
      </c>
      <c r="O426" s="289" t="str">
        <f t="shared" si="430"/>
        <v>0603</v>
      </c>
      <c r="P426" s="1" t="str">
        <f t="shared" si="430"/>
        <v>667-ERJ3EKF3003V</v>
      </c>
      <c r="Q426" s="1" t="str">
        <f t="shared" si="430"/>
        <v/>
      </c>
    </row>
    <row r="427">
      <c r="D427" s="282"/>
      <c r="F427" s="1">
        <v>11.0</v>
      </c>
      <c r="G427" s="60">
        <f t="shared" si="2"/>
        <v>12</v>
      </c>
      <c r="H427" s="1" t="str">
        <f t="shared" si="3"/>
        <v>Ripples v4.0</v>
      </c>
      <c r="I427" t="str">
        <f t="shared" si="4"/>
        <v>S</v>
      </c>
      <c r="J427" s="1" t="str">
        <f t="shared" ref="J427:Q427" si="431">indirect(address($G427+4, column()-9, 4, , $H427))</f>
        <v>C22, C23, C26, C27</v>
      </c>
      <c r="K427" s="1">
        <f t="shared" si="431"/>
        <v>4</v>
      </c>
      <c r="L427" s="1" t="str">
        <f t="shared" si="431"/>
        <v>Capacitor, ceramic</v>
      </c>
      <c r="M427" s="1" t="str">
        <f t="shared" si="431"/>
        <v>&gt;= 16V</v>
      </c>
      <c r="N427" s="289" t="str">
        <f t="shared" si="431"/>
        <v>47p</v>
      </c>
      <c r="O427" s="289" t="str">
        <f t="shared" si="431"/>
        <v>0603</v>
      </c>
      <c r="P427" s="1" t="str">
        <f t="shared" si="431"/>
        <v>81-GRM185C1H470GA01J</v>
      </c>
      <c r="Q427" s="1" t="str">
        <f t="shared" si="431"/>
        <v>Murata GRM1885C1H470GA01J</v>
      </c>
    </row>
    <row r="428">
      <c r="D428" s="282"/>
      <c r="F428" s="1">
        <v>11.0</v>
      </c>
      <c r="G428" s="60">
        <f t="shared" si="2"/>
        <v>13</v>
      </c>
      <c r="H428" s="1" t="str">
        <f t="shared" si="3"/>
        <v>Ripples v4.0</v>
      </c>
      <c r="I428" t="str">
        <f t="shared" si="4"/>
        <v>S</v>
      </c>
      <c r="J428" s="1" t="str">
        <f t="shared" ref="J428:Q428" si="432">indirect(address($G428+4, column()-9, 4, , $H428))</f>
        <v>C1, C4, C6, C9</v>
      </c>
      <c r="K428" s="1">
        <f t="shared" si="432"/>
        <v>4</v>
      </c>
      <c r="L428" s="1" t="str">
        <f t="shared" si="432"/>
        <v>Capacitor, ceramic</v>
      </c>
      <c r="M428" s="1" t="str">
        <f t="shared" si="432"/>
        <v>&gt;= 16V, Tol &lt; 2%</v>
      </c>
      <c r="N428" s="289" t="str">
        <f t="shared" si="432"/>
        <v>220p</v>
      </c>
      <c r="O428" s="289" t="str">
        <f t="shared" si="432"/>
        <v>0603</v>
      </c>
      <c r="P428" s="1" t="str">
        <f t="shared" si="432"/>
        <v>81-GRM185C1H221GA01D</v>
      </c>
      <c r="Q428" s="1" t="str">
        <f t="shared" si="432"/>
        <v>Murata GRM1885C1H221GA01D</v>
      </c>
    </row>
    <row r="429">
      <c r="D429" s="282"/>
      <c r="F429" s="1">
        <v>11.0</v>
      </c>
      <c r="G429" s="60">
        <f t="shared" si="2"/>
        <v>14</v>
      </c>
      <c r="H429" s="1" t="str">
        <f t="shared" si="3"/>
        <v>Ripples v4.0</v>
      </c>
      <c r="I429" t="str">
        <f t="shared" si="4"/>
        <v>S</v>
      </c>
      <c r="J429" s="1" t="str">
        <f t="shared" ref="J429:Q429" si="433">indirect(address($G429+4, column()-9, 4, , $H429))</f>
        <v>C2, C3, C7, C8, C17, C18, C24</v>
      </c>
      <c r="K429" s="1">
        <f t="shared" si="433"/>
        <v>7</v>
      </c>
      <c r="L429" s="1" t="str">
        <f t="shared" si="433"/>
        <v>Capacitor, ceramic</v>
      </c>
      <c r="M429" s="1" t="str">
        <f t="shared" si="433"/>
        <v>&gt;= 16V</v>
      </c>
      <c r="N429" s="289" t="str">
        <f t="shared" si="433"/>
        <v>560p</v>
      </c>
      <c r="O429" s="289" t="str">
        <f t="shared" si="433"/>
        <v>0603</v>
      </c>
      <c r="P429" s="1" t="str">
        <f t="shared" si="433"/>
        <v>81-GRM185C1E561JA01D</v>
      </c>
      <c r="Q429" s="1" t="str">
        <f t="shared" si="433"/>
        <v>Murata GRM1885C1E561JA01D</v>
      </c>
    </row>
    <row r="430">
      <c r="D430" s="282"/>
      <c r="F430" s="1">
        <v>11.0</v>
      </c>
      <c r="G430" s="60">
        <f t="shared" si="2"/>
        <v>15</v>
      </c>
      <c r="H430" s="1" t="str">
        <f t="shared" si="3"/>
        <v>Ripples v4.0</v>
      </c>
      <c r="I430" t="str">
        <f t="shared" si="4"/>
        <v>S</v>
      </c>
      <c r="J430" s="1" t="str">
        <f t="shared" ref="J430:Q430" si="434">indirect(address($G430+4, column()-9, 4, , $H430))</f>
        <v>C5, C10, C13, C15, C19, C20, C21, C28</v>
      </c>
      <c r="K430" s="1">
        <f t="shared" si="434"/>
        <v>8</v>
      </c>
      <c r="L430" s="1" t="str">
        <f t="shared" si="434"/>
        <v>Capacitor, ceramic</v>
      </c>
      <c r="M430" s="1" t="str">
        <f t="shared" si="434"/>
        <v>&gt;= 16V</v>
      </c>
      <c r="N430" s="1" t="str">
        <f t="shared" si="434"/>
        <v>100n</v>
      </c>
      <c r="O430" s="289" t="str">
        <f t="shared" si="434"/>
        <v>0603</v>
      </c>
      <c r="P430" s="1" t="str">
        <f t="shared" si="434"/>
        <v>81-GRM188R71E104JA1J</v>
      </c>
      <c r="Q430" s="1" t="str">
        <f t="shared" si="434"/>
        <v>Murata GRM188R71E104JA01J</v>
      </c>
    </row>
    <row r="431">
      <c r="D431" s="282"/>
      <c r="F431" s="1">
        <v>11.0</v>
      </c>
      <c r="G431" s="60">
        <f t="shared" si="2"/>
        <v>16</v>
      </c>
      <c r="H431" s="1" t="str">
        <f t="shared" si="3"/>
        <v>Ripples v4.0</v>
      </c>
      <c r="I431" t="str">
        <f t="shared" si="4"/>
        <v>S</v>
      </c>
      <c r="J431" s="1" t="str">
        <f t="shared" ref="J431:Q431" si="435">indirect(address($G431+4, column()-9, 4, , $H431))</f>
        <v>C11, C25</v>
      </c>
      <c r="K431" s="1">
        <f t="shared" si="435"/>
        <v>2</v>
      </c>
      <c r="L431" s="1" t="str">
        <f t="shared" si="435"/>
        <v>Capacitor, ceramic</v>
      </c>
      <c r="M431" s="1" t="str">
        <f t="shared" si="435"/>
        <v>&gt;= 16V</v>
      </c>
      <c r="N431" s="289" t="str">
        <f t="shared" si="435"/>
        <v>220n</v>
      </c>
      <c r="O431" s="289" t="str">
        <f t="shared" si="435"/>
        <v>0603</v>
      </c>
      <c r="P431" s="1" t="str">
        <f t="shared" si="435"/>
        <v>81-GRM188R71C224KA1J</v>
      </c>
      <c r="Q431" s="1" t="str">
        <f t="shared" si="435"/>
        <v>Murata GRM188R71C224KA01J</v>
      </c>
    </row>
    <row r="432">
      <c r="D432" s="282"/>
      <c r="F432" s="1">
        <v>11.0</v>
      </c>
      <c r="G432" s="60">
        <f t="shared" si="2"/>
        <v>17</v>
      </c>
      <c r="H432" s="1" t="str">
        <f t="shared" si="3"/>
        <v>Ripples v4.0</v>
      </c>
      <c r="I432" t="str">
        <f t="shared" si="4"/>
        <v>S</v>
      </c>
      <c r="J432" s="1" t="str">
        <f t="shared" ref="J432:Q432" si="436">indirect(address($G432+4, column()-9, 4, , $H432))</f>
        <v>C16</v>
      </c>
      <c r="K432" s="1">
        <f t="shared" si="436"/>
        <v>1</v>
      </c>
      <c r="L432" s="1" t="str">
        <f t="shared" si="436"/>
        <v>Capacitor, electrolytic NP</v>
      </c>
      <c r="M432" s="1" t="str">
        <f t="shared" si="436"/>
        <v>&gt;= 16V</v>
      </c>
      <c r="N432" s="1" t="str">
        <f t="shared" si="436"/>
        <v>4.7u</v>
      </c>
      <c r="O432" s="1" t="str">
        <f t="shared" si="436"/>
        <v>Panasonic B</v>
      </c>
      <c r="P432" s="1" t="str">
        <f t="shared" si="436"/>
        <v>647-UWP1C4R7MCL</v>
      </c>
      <c r="Q432" s="1" t="str">
        <f t="shared" si="436"/>
        <v>Nichicon UWP1C4R7MCL1GB</v>
      </c>
    </row>
    <row r="433">
      <c r="D433" s="282"/>
      <c r="F433" s="1">
        <v>11.0</v>
      </c>
      <c r="G433" s="60">
        <f t="shared" si="2"/>
        <v>18</v>
      </c>
      <c r="H433" s="1" t="str">
        <f t="shared" si="3"/>
        <v>Ripples v4.0</v>
      </c>
      <c r="I433" t="str">
        <f t="shared" si="4"/>
        <v>S</v>
      </c>
      <c r="J433" s="1" t="str">
        <f t="shared" ref="J433:Q433" si="437">indirect(address($G433+4, column()-9, 4, , $H433))</f>
        <v>C12, C14</v>
      </c>
      <c r="K433" s="1">
        <f t="shared" si="437"/>
        <v>2</v>
      </c>
      <c r="L433" s="1" t="str">
        <f t="shared" si="437"/>
        <v>Capacitor, electrolytic</v>
      </c>
      <c r="M433" s="1" t="str">
        <f t="shared" si="437"/>
        <v>&gt;= 25V</v>
      </c>
      <c r="N433" s="289" t="str">
        <f t="shared" si="437"/>
        <v>47u</v>
      </c>
      <c r="O433" s="289" t="str">
        <f t="shared" si="437"/>
        <v>Panasonic D</v>
      </c>
      <c r="P433" s="290" t="str">
        <f t="shared" si="437"/>
        <v>667-EEE-FK1V470P</v>
      </c>
      <c r="Q433" s="1" t="str">
        <f t="shared" si="437"/>
        <v>EEEFK1V470P</v>
      </c>
    </row>
    <row r="434">
      <c r="D434" s="282"/>
      <c r="F434" s="1">
        <v>11.0</v>
      </c>
      <c r="G434" s="60">
        <f t="shared" si="2"/>
        <v>19</v>
      </c>
      <c r="H434" s="1" t="str">
        <f t="shared" si="3"/>
        <v>Ripples v4.0</v>
      </c>
      <c r="I434" t="str">
        <f t="shared" si="4"/>
        <v>S</v>
      </c>
      <c r="J434" s="1" t="str">
        <f t="shared" ref="J434:Q434" si="438">indirect(address($G434+4, column()-9, 4, , $H434))</f>
        <v>P1, P2</v>
      </c>
      <c r="K434" s="1">
        <f t="shared" si="438"/>
        <v>2</v>
      </c>
      <c r="L434" s="1" t="str">
        <f t="shared" si="438"/>
        <v>Resettable fuse</v>
      </c>
      <c r="M434" s="1" t="str">
        <f t="shared" si="438"/>
        <v>&gt;= 15V</v>
      </c>
      <c r="N434" s="1" t="str">
        <f t="shared" si="438"/>
        <v>&gt;0.1A</v>
      </c>
      <c r="O434" s="289" t="str">
        <f t="shared" si="438"/>
        <v>1206</v>
      </c>
      <c r="P434" s="1" t="str">
        <f t="shared" si="438"/>
        <v>576-1206L035/16YR</v>
      </c>
      <c r="Q434" s="1" t="str">
        <f t="shared" si="438"/>
        <v>Littelfuse 1206L035/16YR</v>
      </c>
    </row>
    <row r="435">
      <c r="D435" s="282"/>
      <c r="F435" s="1">
        <v>11.0</v>
      </c>
      <c r="G435" s="60">
        <f t="shared" si="2"/>
        <v>20</v>
      </c>
      <c r="H435" s="1" t="str">
        <f t="shared" si="3"/>
        <v>Ripples v4.0</v>
      </c>
      <c r="I435" t="str">
        <f t="shared" si="4"/>
        <v>S</v>
      </c>
      <c r="J435" s="1" t="str">
        <f t="shared" ref="J435:Q435" si="439">indirect(address($G435+4, column()-9, 4, , $H435))</f>
        <v>D1, D2</v>
      </c>
      <c r="K435" s="1" t="str">
        <f t="shared" si="439"/>
        <v>DNP</v>
      </c>
      <c r="L435" s="1" t="str">
        <f t="shared" si="439"/>
        <v/>
      </c>
      <c r="M435" s="1" t="str">
        <f t="shared" si="439"/>
        <v/>
      </c>
      <c r="N435" s="1" t="str">
        <f t="shared" si="439"/>
        <v/>
      </c>
      <c r="O435" s="1" t="str">
        <f t="shared" si="439"/>
        <v/>
      </c>
      <c r="P435" s="1" t="str">
        <f t="shared" si="439"/>
        <v/>
      </c>
      <c r="Q435" s="1" t="str">
        <f t="shared" si="439"/>
        <v/>
      </c>
    </row>
    <row r="436">
      <c r="D436" s="282"/>
      <c r="F436" s="1">
        <v>11.0</v>
      </c>
      <c r="G436" s="60">
        <f t="shared" si="2"/>
        <v>21</v>
      </c>
      <c r="H436" s="1" t="str">
        <f t="shared" si="3"/>
        <v>Ripples v4.0</v>
      </c>
      <c r="I436" t="str">
        <f t="shared" si="4"/>
        <v>S</v>
      </c>
      <c r="J436" s="1" t="str">
        <f t="shared" ref="J436:Q436" si="440">indirect(address($G436+4, column()-9, 4, , $H436))</f>
        <v>D3, D4</v>
      </c>
      <c r="K436" s="1">
        <f t="shared" si="440"/>
        <v>2</v>
      </c>
      <c r="L436" s="1" t="str">
        <f t="shared" si="440"/>
        <v>1N5819HW diode</v>
      </c>
      <c r="M436" s="1" t="str">
        <f t="shared" si="440"/>
        <v/>
      </c>
      <c r="N436" s="1" t="str">
        <f t="shared" si="440"/>
        <v/>
      </c>
      <c r="O436" s="1" t="str">
        <f t="shared" si="440"/>
        <v>SOD123</v>
      </c>
      <c r="P436" s="1" t="str">
        <f t="shared" si="440"/>
        <v>621-1N5819HW-F</v>
      </c>
      <c r="Q436" s="1" t="str">
        <f t="shared" si="440"/>
        <v>Diodes Inc 1N5819HW-7-F</v>
      </c>
    </row>
    <row r="437">
      <c r="D437" s="282"/>
      <c r="F437" s="1">
        <v>11.0</v>
      </c>
      <c r="G437" s="60">
        <f t="shared" si="2"/>
        <v>22</v>
      </c>
      <c r="H437" s="1" t="str">
        <f t="shared" si="3"/>
        <v>Ripples v4.0</v>
      </c>
      <c r="I437" t="str">
        <f t="shared" si="4"/>
        <v>S</v>
      </c>
      <c r="J437" s="1" t="str">
        <f t="shared" ref="J437:Q437" si="441">indirect(address($G437+4, column()-9, 4, , $H437))</f>
        <v>D5, D6</v>
      </c>
      <c r="K437" s="1">
        <f t="shared" si="441"/>
        <v>2</v>
      </c>
      <c r="L437" s="1" t="str">
        <f t="shared" si="441"/>
        <v>1N4148 diode</v>
      </c>
      <c r="M437" s="1" t="str">
        <f t="shared" si="441"/>
        <v/>
      </c>
      <c r="N437" s="1" t="str">
        <f t="shared" si="441"/>
        <v/>
      </c>
      <c r="O437" s="1" t="str">
        <f t="shared" si="441"/>
        <v>SOD323</v>
      </c>
      <c r="P437" s="1" t="str">
        <f t="shared" si="441"/>
        <v>512-1N4148WS</v>
      </c>
      <c r="Q437" s="1" t="str">
        <f t="shared" si="441"/>
        <v>Fairchild 1N4148WS</v>
      </c>
    </row>
    <row r="438">
      <c r="D438" s="282"/>
      <c r="F438" s="1">
        <v>11.0</v>
      </c>
      <c r="G438" s="60">
        <f t="shared" si="2"/>
        <v>23</v>
      </c>
      <c r="H438" s="1" t="str">
        <f t="shared" si="3"/>
        <v>Ripples v4.0</v>
      </c>
      <c r="I438" t="str">
        <f t="shared" si="4"/>
        <v>S</v>
      </c>
      <c r="J438" s="1" t="str">
        <f t="shared" ref="J438:Q438" si="442">indirect(address($G438+4, column()-9, 4, , $H438))</f>
        <v>IC1, IC3</v>
      </c>
      <c r="K438" s="1">
        <f t="shared" si="442"/>
        <v>2</v>
      </c>
      <c r="L438" s="1" t="str">
        <f t="shared" si="442"/>
        <v>TL072 dual op-amp</v>
      </c>
      <c r="M438" s="1" t="str">
        <f t="shared" si="442"/>
        <v/>
      </c>
      <c r="N438" s="1" t="str">
        <f t="shared" si="442"/>
        <v/>
      </c>
      <c r="O438" s="1" t="str">
        <f t="shared" si="442"/>
        <v>SOIC8</v>
      </c>
      <c r="P438" s="1" t="str">
        <f t="shared" si="442"/>
        <v>595-TL072CD</v>
      </c>
      <c r="Q438" s="1" t="str">
        <f t="shared" si="442"/>
        <v>TI TL072CD</v>
      </c>
    </row>
    <row r="439">
      <c r="D439" s="282"/>
      <c r="F439" s="1">
        <v>11.0</v>
      </c>
      <c r="G439" s="60">
        <f t="shared" si="2"/>
        <v>24</v>
      </c>
      <c r="H439" s="1" t="str">
        <f t="shared" si="3"/>
        <v>Ripples v4.0</v>
      </c>
      <c r="I439" t="str">
        <f t="shared" si="4"/>
        <v>S</v>
      </c>
      <c r="J439" s="1" t="str">
        <f t="shared" ref="J439:Q439" si="443">indirect(address($G439+4, column()-9, 4, , $H439))</f>
        <v>IC2</v>
      </c>
      <c r="K439" s="1">
        <f t="shared" si="443"/>
        <v>1</v>
      </c>
      <c r="L439" s="1" t="str">
        <f t="shared" si="443"/>
        <v>V2164 quad VCA</v>
      </c>
      <c r="M439" s="1" t="str">
        <f t="shared" si="443"/>
        <v/>
      </c>
      <c r="N439" s="289" t="str">
        <f t="shared" si="443"/>
        <v/>
      </c>
      <c r="O439" s="289" t="str">
        <f t="shared" si="443"/>
        <v>SOIC16</v>
      </c>
      <c r="P439" s="288" t="str">
        <f t="shared" si="443"/>
        <v>V2164M @ CabinTech</v>
      </c>
      <c r="Q439" s="1" t="str">
        <f t="shared" si="443"/>
        <v>CoolAudio V2164M</v>
      </c>
    </row>
    <row r="440">
      <c r="D440" s="282"/>
      <c r="F440" s="1">
        <v>11.0</v>
      </c>
      <c r="G440" s="60">
        <f t="shared" si="2"/>
        <v>25</v>
      </c>
      <c r="H440" s="1" t="str">
        <f t="shared" si="3"/>
        <v>Ripples v4.0</v>
      </c>
      <c r="I440" t="str">
        <f t="shared" si="4"/>
        <v>S</v>
      </c>
      <c r="J440" s="1" t="str">
        <f t="shared" ref="J440:Q440" si="444">indirect(address($G440+4, column()-9, 4, , $H440))</f>
        <v>IC4</v>
      </c>
      <c r="K440" s="1">
        <f t="shared" si="444"/>
        <v>1</v>
      </c>
      <c r="L440" s="1" t="str">
        <f t="shared" si="444"/>
        <v>LM13700 dual OTA</v>
      </c>
      <c r="M440" s="1" t="str">
        <f t="shared" si="444"/>
        <v/>
      </c>
      <c r="N440" s="289" t="str">
        <f t="shared" si="444"/>
        <v/>
      </c>
      <c r="O440" s="1" t="str">
        <f t="shared" si="444"/>
        <v>SOIC16</v>
      </c>
      <c r="P440" s="1" t="str">
        <f t="shared" si="444"/>
        <v>926-LM13700M/NOPB</v>
      </c>
      <c r="Q440" s="1" t="str">
        <f t="shared" si="444"/>
        <v>National LM13700M/NOPB</v>
      </c>
    </row>
    <row r="441">
      <c r="D441" s="282"/>
      <c r="F441" s="1">
        <v>11.0</v>
      </c>
      <c r="G441" s="60">
        <f t="shared" si="2"/>
        <v>26</v>
      </c>
      <c r="H441" s="1" t="str">
        <f t="shared" si="3"/>
        <v>Ripples v4.0</v>
      </c>
      <c r="I441" t="str">
        <f t="shared" si="4"/>
        <v>S</v>
      </c>
      <c r="J441" s="1" t="str">
        <f t="shared" ref="J441:Q441" si="445">indirect(address($G441+4, column()-9, 4, , $H441))</f>
        <v>IC5, IC6</v>
      </c>
      <c r="K441" s="1">
        <f t="shared" si="445"/>
        <v>2</v>
      </c>
      <c r="L441" s="1" t="str">
        <f t="shared" si="445"/>
        <v>TL074 quad op-amp</v>
      </c>
      <c r="M441" s="1" t="str">
        <f t="shared" si="445"/>
        <v/>
      </c>
      <c r="N441" s="289" t="str">
        <f t="shared" si="445"/>
        <v/>
      </c>
      <c r="O441" s="289" t="str">
        <f t="shared" si="445"/>
        <v>SOIC14</v>
      </c>
      <c r="P441" s="290" t="str">
        <f t="shared" si="445"/>
        <v>595-TL074CD</v>
      </c>
      <c r="Q441" s="1" t="str">
        <f t="shared" si="445"/>
        <v>Texas Instruments TL074CD</v>
      </c>
    </row>
    <row r="442">
      <c r="D442" s="282"/>
      <c r="F442" s="1">
        <v>11.0</v>
      </c>
      <c r="G442" s="60">
        <f t="shared" si="2"/>
        <v>27</v>
      </c>
      <c r="H442" s="1" t="str">
        <f t="shared" si="3"/>
        <v>Ripples v4.0</v>
      </c>
      <c r="I442" t="str">
        <f t="shared" si="4"/>
        <v>S</v>
      </c>
      <c r="J442" s="1" t="str">
        <f t="shared" ref="J442:Q442" si="446">indirect(address($G442+4, column()-9, 4, , $H442))</f>
        <v>IC7</v>
      </c>
      <c r="K442" s="1">
        <f t="shared" si="446"/>
        <v>1</v>
      </c>
      <c r="L442" s="1" t="str">
        <f t="shared" si="446"/>
        <v>LM4040 Shunt Vref</v>
      </c>
      <c r="M442" s="1" t="str">
        <f t="shared" si="446"/>
        <v>A, B or C grade</v>
      </c>
      <c r="N442" s="1" t="str">
        <f t="shared" si="446"/>
        <v>5.0V</v>
      </c>
      <c r="O442" s="1" t="str">
        <f t="shared" si="446"/>
        <v>SOT23</v>
      </c>
      <c r="P442" s="1" t="str">
        <f t="shared" si="446"/>
        <v>595-LM4040C50IDBZR</v>
      </c>
      <c r="Q442" s="1" t="str">
        <f t="shared" si="446"/>
        <v>Texas Instruments LM4040C50IDBZ</v>
      </c>
    </row>
    <row r="443">
      <c r="D443" s="282"/>
      <c r="F443" s="1">
        <v>11.0</v>
      </c>
      <c r="G443" s="60">
        <f t="shared" si="2"/>
        <v>28</v>
      </c>
      <c r="H443" s="1" t="str">
        <f t="shared" si="3"/>
        <v>Ripples v4.0</v>
      </c>
      <c r="I443" t="str">
        <f t="shared" si="4"/>
        <v>S</v>
      </c>
      <c r="J443" s="1" t="str">
        <f t="shared" ref="J443:Q443" si="447">indirect(address($G443+4, column()-9, 4, , $H443))</f>
        <v>Q1, Q2</v>
      </c>
      <c r="K443" s="1">
        <f t="shared" si="447"/>
        <v>2</v>
      </c>
      <c r="L443" s="1" t="str">
        <f t="shared" si="447"/>
        <v>PNP transistor MMBT3906</v>
      </c>
      <c r="M443" s="1" t="str">
        <f t="shared" si="447"/>
        <v/>
      </c>
      <c r="N443" s="289" t="str">
        <f t="shared" si="447"/>
        <v/>
      </c>
      <c r="O443" s="289" t="str">
        <f t="shared" si="447"/>
        <v>SOT23-BEC</v>
      </c>
      <c r="P443" s="1" t="str">
        <f t="shared" si="447"/>
        <v>771-MMBT3906T/R</v>
      </c>
      <c r="Q443" s="1" t="str">
        <f t="shared" si="447"/>
        <v>NXP MMBT3906,215</v>
      </c>
    </row>
    <row r="444">
      <c r="D444" s="282"/>
      <c r="F444" s="1">
        <v>11.0</v>
      </c>
      <c r="G444" s="60">
        <f t="shared" si="2"/>
        <v>29</v>
      </c>
      <c r="H444" s="1" t="str">
        <f t="shared" si="3"/>
        <v>Ripples v4.0</v>
      </c>
      <c r="I444" t="str">
        <f t="shared" si="4"/>
        <v/>
      </c>
      <c r="J444" s="1" t="str">
        <f t="shared" ref="J444:Q444" si="448">indirect(address($G444+4, column()-9, 4, , $H444))</f>
        <v>PTH parts, top side</v>
      </c>
      <c r="K444" s="1" t="str">
        <f t="shared" si="448"/>
        <v/>
      </c>
      <c r="L444" s="1" t="str">
        <f t="shared" si="448"/>
        <v/>
      </c>
      <c r="M444" s="1" t="str">
        <f t="shared" si="448"/>
        <v/>
      </c>
      <c r="N444" s="1" t="str">
        <f t="shared" si="448"/>
        <v/>
      </c>
      <c r="O444" s="1" t="str">
        <f t="shared" si="448"/>
        <v/>
      </c>
      <c r="P444" s="1" t="str">
        <f t="shared" si="448"/>
        <v/>
      </c>
      <c r="Q444" s="1" t="str">
        <f t="shared" si="448"/>
        <v/>
      </c>
    </row>
    <row r="445">
      <c r="D445" s="282"/>
      <c r="F445" s="1">
        <v>11.0</v>
      </c>
      <c r="G445" s="60">
        <f t="shared" si="2"/>
        <v>30</v>
      </c>
      <c r="H445" s="1" t="str">
        <f t="shared" si="3"/>
        <v>Ripples v4.0</v>
      </c>
      <c r="I445" t="str">
        <f t="shared" si="4"/>
        <v>U</v>
      </c>
      <c r="J445" s="1" t="str">
        <f t="shared" ref="J445:Q445" si="449">indirect(address($G445+4, column()-9, 4, , $H445))</f>
        <v>R7, R18, R33</v>
      </c>
      <c r="K445" s="1">
        <f t="shared" si="449"/>
        <v>3</v>
      </c>
      <c r="L445" s="1" t="str">
        <f t="shared" si="449"/>
        <v>10k linear pot, 15mm shaft</v>
      </c>
      <c r="M445" s="1" t="str">
        <f t="shared" si="449"/>
        <v/>
      </c>
      <c r="N445" s="289" t="str">
        <f t="shared" si="449"/>
        <v/>
      </c>
      <c r="O445" s="289" t="str">
        <f t="shared" si="449"/>
        <v/>
      </c>
      <c r="P445" s="290" t="str">
        <f t="shared" si="449"/>
        <v/>
      </c>
      <c r="Q445" s="288" t="str">
        <f t="shared" si="449"/>
        <v>https://www.thonk.co.uk/shop/alpha-9mm-pots/</v>
      </c>
    </row>
    <row r="446">
      <c r="D446" s="282"/>
      <c r="F446" s="1">
        <v>11.0</v>
      </c>
      <c r="G446" s="60">
        <f t="shared" si="2"/>
        <v>31</v>
      </c>
      <c r="H446" s="1" t="str">
        <f t="shared" si="3"/>
        <v>Ripples v4.0</v>
      </c>
      <c r="I446" t="str">
        <f t="shared" si="4"/>
        <v>U</v>
      </c>
      <c r="J446" s="1" t="str">
        <f t="shared" ref="J446:Q446" si="450">indirect(address($G446+4, column()-9, 4, , $H446))</f>
        <v>J1, J2, J3, J4, J5, J6, J7, J8, J9</v>
      </c>
      <c r="K446" s="1">
        <f t="shared" si="450"/>
        <v>9</v>
      </c>
      <c r="L446" s="1" t="str">
        <f t="shared" si="450"/>
        <v>Vertical jack connector</v>
      </c>
      <c r="M446" s="1" t="str">
        <f t="shared" si="450"/>
        <v/>
      </c>
      <c r="N446" s="1" t="str">
        <f t="shared" si="450"/>
        <v/>
      </c>
      <c r="O446" s="1" t="str">
        <f t="shared" si="450"/>
        <v/>
      </c>
      <c r="P446" s="1" t="str">
        <f t="shared" si="450"/>
        <v/>
      </c>
      <c r="Q446" s="1" t="str">
        <f t="shared" si="450"/>
        <v>PJ-301-M-12</v>
      </c>
    </row>
    <row r="447">
      <c r="D447" s="282"/>
      <c r="F447" s="1">
        <v>11.0</v>
      </c>
      <c r="G447" s="60">
        <f t="shared" si="2"/>
        <v>32</v>
      </c>
      <c r="H447" s="1" t="str">
        <f t="shared" si="3"/>
        <v>Ripples v4.0</v>
      </c>
      <c r="I447" t="str">
        <f t="shared" si="4"/>
        <v>U</v>
      </c>
      <c r="J447" s="1" t="str">
        <f t="shared" ref="J447:Q447" si="451">indirect(address($G447+4, column()-9, 4, , $H447))</f>
        <v>R100</v>
      </c>
      <c r="K447" s="1">
        <f t="shared" si="451"/>
        <v>1</v>
      </c>
      <c r="L447" s="1" t="str">
        <f t="shared" si="451"/>
        <v>Trimmer resistor, 25 turns, horizontal adjust.</v>
      </c>
      <c r="M447" s="1" t="str">
        <f t="shared" si="451"/>
        <v/>
      </c>
      <c r="N447" s="289" t="str">
        <f t="shared" si="451"/>
        <v>5k</v>
      </c>
      <c r="O447" s="289" t="str">
        <f t="shared" si="451"/>
        <v/>
      </c>
      <c r="P447" s="290" t="str">
        <f t="shared" si="451"/>
        <v>81-PV36X502C01B00</v>
      </c>
      <c r="Q447" s="1" t="str">
        <f t="shared" si="451"/>
        <v>Murata PV36X502C01B00</v>
      </c>
    </row>
    <row r="448">
      <c r="D448" s="282"/>
      <c r="F448" s="1">
        <v>11.0</v>
      </c>
      <c r="G448" s="60">
        <f t="shared" si="2"/>
        <v>33</v>
      </c>
      <c r="H448" s="1" t="str">
        <f t="shared" si="3"/>
        <v>Ripples v4.0</v>
      </c>
      <c r="I448" t="str">
        <f t="shared" si="4"/>
        <v/>
      </c>
      <c r="J448" s="1" t="str">
        <f t="shared" ref="J448:Q448" si="452">indirect(address($G448+4, column()-9, 4, , $H448))</f>
        <v>PTH parts, bottom side</v>
      </c>
      <c r="K448" s="1" t="str">
        <f t="shared" si="452"/>
        <v/>
      </c>
      <c r="L448" s="1" t="str">
        <f t="shared" si="452"/>
        <v/>
      </c>
      <c r="M448" s="1" t="str">
        <f t="shared" si="452"/>
        <v/>
      </c>
      <c r="N448" s="289" t="str">
        <f t="shared" si="452"/>
        <v/>
      </c>
      <c r="O448" s="289" t="str">
        <f t="shared" si="452"/>
        <v/>
      </c>
      <c r="P448" s="290" t="str">
        <f t="shared" si="452"/>
        <v/>
      </c>
      <c r="Q448" s="1" t="str">
        <f t="shared" si="452"/>
        <v/>
      </c>
    </row>
    <row r="449">
      <c r="D449" s="282"/>
      <c r="F449" s="1">
        <v>11.0</v>
      </c>
      <c r="G449" s="60">
        <f t="shared" si="2"/>
        <v>34</v>
      </c>
      <c r="H449" s="1" t="str">
        <f t="shared" si="3"/>
        <v>Ripples v4.0</v>
      </c>
      <c r="I449" t="str">
        <f t="shared" si="4"/>
        <v>D</v>
      </c>
      <c r="J449" s="1" t="str">
        <f t="shared" ref="J449:Q449" si="453">indirect(address($G449+4, column()-9, 4, , $H449))</f>
        <v>JP1</v>
      </c>
      <c r="K449" s="1">
        <f t="shared" si="453"/>
        <v>1</v>
      </c>
      <c r="L449" s="1" t="str">
        <f t="shared" si="453"/>
        <v>2x5 male header, 2.54mm pitch</v>
      </c>
      <c r="M449" s="1" t="str">
        <f t="shared" si="453"/>
        <v/>
      </c>
      <c r="N449" s="1" t="str">
        <f t="shared" si="453"/>
        <v/>
      </c>
      <c r="O449" s="1" t="str">
        <f t="shared" si="453"/>
        <v/>
      </c>
      <c r="P449" s="1" t="str">
        <f t="shared" si="453"/>
        <v>649-67996-410HLF</v>
      </c>
      <c r="Q449" s="1" t="str">
        <f t="shared" si="453"/>
        <v/>
      </c>
    </row>
    <row r="450">
      <c r="D450" s="282"/>
      <c r="F450" s="1">
        <v>11.0</v>
      </c>
      <c r="G450" s="60">
        <f t="shared" si="2"/>
        <v>35</v>
      </c>
      <c r="H450" s="1" t="str">
        <f t="shared" si="3"/>
        <v>Ripples v4.0</v>
      </c>
      <c r="I450" t="str">
        <f t="shared" si="4"/>
        <v/>
      </c>
      <c r="J450" s="1" t="str">
        <f t="shared" ref="J450:Q450" si="454">indirect(address($G450+4, column()-9, 4, , $H450))</f>
        <v>PCB specifications</v>
      </c>
      <c r="K450" s="290" t="str">
        <f t="shared" si="454"/>
        <v/>
      </c>
      <c r="L450" s="1" t="str">
        <f t="shared" si="454"/>
        <v/>
      </c>
      <c r="M450" s="1" t="str">
        <f t="shared" si="454"/>
        <v/>
      </c>
      <c r="N450" s="289" t="str">
        <f t="shared" si="454"/>
        <v/>
      </c>
      <c r="O450" s="289" t="str">
        <f t="shared" si="454"/>
        <v/>
      </c>
      <c r="P450" s="1" t="str">
        <f t="shared" si="454"/>
        <v/>
      </c>
      <c r="Q450" s="1" t="str">
        <f t="shared" si="454"/>
        <v/>
      </c>
    </row>
    <row r="451">
      <c r="D451" s="282"/>
      <c r="F451" s="1">
        <v>11.0</v>
      </c>
      <c r="G451" s="60">
        <f t="shared" si="2"/>
        <v>36</v>
      </c>
      <c r="H451" s="1" t="str">
        <f t="shared" si="3"/>
        <v>Ripples v4.0</v>
      </c>
      <c r="I451" t="str">
        <f t="shared" si="4"/>
        <v>P</v>
      </c>
      <c r="J451" s="1" t="str">
        <f t="shared" ref="J451:Q451" si="455">indirect(address($G451+4, column()-9, 4, , $H451))</f>
        <v>PCB</v>
      </c>
      <c r="K451" s="290" t="str">
        <f t="shared" si="455"/>
        <v/>
      </c>
      <c r="L451" s="1" t="str">
        <f t="shared" si="455"/>
        <v>39.4 x 106.8 ; 2 layers</v>
      </c>
      <c r="M451" s="1" t="str">
        <f t="shared" si="455"/>
        <v/>
      </c>
      <c r="N451" s="289" t="str">
        <f t="shared" si="455"/>
        <v/>
      </c>
      <c r="O451" s="289" t="str">
        <f t="shared" si="455"/>
        <v/>
      </c>
      <c r="P451" s="290" t="str">
        <f t="shared" si="455"/>
        <v/>
      </c>
      <c r="Q451" s="1" t="str">
        <f t="shared" si="455"/>
        <v/>
      </c>
    </row>
    <row r="452">
      <c r="D452" s="282"/>
      <c r="F452" s="1">
        <v>12.0</v>
      </c>
      <c r="G452" s="60">
        <f t="shared" si="2"/>
        <v>0</v>
      </c>
      <c r="H452" s="1" t="str">
        <f t="shared" si="3"/>
        <v>Shades v3.1</v>
      </c>
      <c r="I452" t="str">
        <f t="shared" si="4"/>
        <v>S</v>
      </c>
      <c r="J452" s="1" t="str">
        <f t="shared" ref="J452:Q452" si="456">indirect(address($G452+4, column()-9, 4, , $H452))</f>
        <v>R4, R11, R24, R28, R29, R30</v>
      </c>
      <c r="K452" s="1">
        <f t="shared" si="456"/>
        <v>6</v>
      </c>
      <c r="L452" s="1" t="str">
        <f t="shared" si="456"/>
        <v>Resistor, 1%</v>
      </c>
      <c r="M452" s="1" t="str">
        <f t="shared" si="456"/>
        <v/>
      </c>
      <c r="N452" s="289" t="str">
        <f t="shared" si="456"/>
        <v>1.0k</v>
      </c>
      <c r="O452" s="1" t="str">
        <f t="shared" si="456"/>
        <v>0603</v>
      </c>
      <c r="P452" s="292" t="str">
        <f t="shared" si="456"/>
        <v>667-ERJ3-EKF1001V</v>
      </c>
      <c r="Q452" s="1" t="str">
        <f t="shared" si="456"/>
        <v/>
      </c>
    </row>
    <row r="453">
      <c r="D453" s="282"/>
      <c r="F453" s="1">
        <v>12.0</v>
      </c>
      <c r="G453" s="60">
        <f t="shared" si="2"/>
        <v>1</v>
      </c>
      <c r="H453" s="1" t="str">
        <f t="shared" si="3"/>
        <v>Shades v3.1</v>
      </c>
      <c r="I453" t="str">
        <f t="shared" si="4"/>
        <v>S</v>
      </c>
      <c r="J453" s="1" t="str">
        <f t="shared" ref="J453:Q453" si="457">indirect(address($G453+4, column()-9, 4, , $H453))</f>
        <v>R27</v>
      </c>
      <c r="K453" s="1">
        <f t="shared" si="457"/>
        <v>1</v>
      </c>
      <c r="L453" s="1" t="str">
        <f t="shared" si="457"/>
        <v>Resistor, 1%</v>
      </c>
      <c r="M453" s="1" t="str">
        <f t="shared" si="457"/>
        <v/>
      </c>
      <c r="N453" s="289" t="str">
        <f t="shared" si="457"/>
        <v>10k</v>
      </c>
      <c r="O453" s="1" t="str">
        <f t="shared" si="457"/>
        <v>0603</v>
      </c>
      <c r="P453" s="292" t="str">
        <f t="shared" si="457"/>
        <v>667-ERJ3-EKF1002V</v>
      </c>
      <c r="Q453" s="1" t="str">
        <f t="shared" si="457"/>
        <v/>
      </c>
    </row>
    <row r="454">
      <c r="D454" s="282"/>
      <c r="F454" s="1">
        <v>12.0</v>
      </c>
      <c r="G454" s="60">
        <f t="shared" si="2"/>
        <v>2</v>
      </c>
      <c r="H454" s="1" t="str">
        <f t="shared" si="3"/>
        <v>Shades v3.1</v>
      </c>
      <c r="I454" t="str">
        <f t="shared" si="4"/>
        <v>S</v>
      </c>
      <c r="J454" s="1" t="str">
        <f t="shared" ref="J454:Q454" si="458">indirect(address($G454+4, column()-9, 4, , $H454))</f>
        <v>R1, R2, R5, R6, R7, R8, R9, R12, R13, R14, R15, R16, R17, R18, R19, R20, R22, R23, R25, R26</v>
      </c>
      <c r="K454" s="1">
        <f t="shared" si="458"/>
        <v>20</v>
      </c>
      <c r="L454" s="1" t="str">
        <f t="shared" si="458"/>
        <v>Resistor, 0.1% thin film</v>
      </c>
      <c r="M454" s="1" t="str">
        <f t="shared" si="458"/>
        <v/>
      </c>
      <c r="N454" s="1" t="str">
        <f t="shared" si="458"/>
        <v>100k</v>
      </c>
      <c r="O454" s="1" t="str">
        <f t="shared" si="458"/>
        <v>0603</v>
      </c>
      <c r="P454" s="1" t="str">
        <f t="shared" si="458"/>
        <v>667-ERA-3AEB104V</v>
      </c>
      <c r="Q454" s="1" t="str">
        <f t="shared" si="458"/>
        <v/>
      </c>
    </row>
    <row r="455">
      <c r="D455" s="282"/>
      <c r="F455" s="1">
        <v>12.0</v>
      </c>
      <c r="G455" s="60">
        <f t="shared" si="2"/>
        <v>3</v>
      </c>
      <c r="H455" s="1" t="str">
        <f t="shared" si="3"/>
        <v>Shades v3.1</v>
      </c>
      <c r="I455" t="str">
        <f t="shared" si="4"/>
        <v>S</v>
      </c>
      <c r="J455" s="1" t="str">
        <f t="shared" ref="J455:Q455" si="459">indirect(address($G455+4, column()-9, 4, , $H455))</f>
        <v>C5, C8, C14</v>
      </c>
      <c r="K455" s="1">
        <f t="shared" si="459"/>
        <v>3</v>
      </c>
      <c r="L455" s="1" t="str">
        <f t="shared" si="459"/>
        <v>Capacitor, ceramic</v>
      </c>
      <c r="M455" s="1" t="str">
        <f t="shared" si="459"/>
        <v>&lt;= 2%, &gt;= 25V</v>
      </c>
      <c r="N455" s="289" t="str">
        <f t="shared" si="459"/>
        <v>22p</v>
      </c>
      <c r="O455" s="1" t="str">
        <f t="shared" si="459"/>
        <v>0603</v>
      </c>
      <c r="P455" s="292" t="str">
        <f t="shared" si="459"/>
        <v>81-GRM1885C1H220GA1J</v>
      </c>
      <c r="Q455" s="1" t="str">
        <f t="shared" si="459"/>
        <v>Murata GRM1885C1H220GA01J</v>
      </c>
    </row>
    <row r="456">
      <c r="D456" s="282"/>
      <c r="F456" s="1">
        <v>12.0</v>
      </c>
      <c r="G456" s="60">
        <f t="shared" si="2"/>
        <v>4</v>
      </c>
      <c r="H456" s="1" t="str">
        <f t="shared" si="3"/>
        <v>Shades v3.1</v>
      </c>
      <c r="I456" t="str">
        <f t="shared" si="4"/>
        <v>S</v>
      </c>
      <c r="J456" s="1" t="str">
        <f t="shared" ref="J456:Q456" si="460">indirect(address($G456+4, column()-9, 4, , $H456))</f>
        <v>C3, C4, C6, C7, C9, C10, C11, C12, C13, C15</v>
      </c>
      <c r="K456" s="1">
        <f t="shared" si="460"/>
        <v>10</v>
      </c>
      <c r="L456" s="1" t="str">
        <f t="shared" si="460"/>
        <v>Capacitor, ceramic</v>
      </c>
      <c r="M456" s="1" t="str">
        <f t="shared" si="460"/>
        <v>&gt;= 16V</v>
      </c>
      <c r="N456" s="1" t="str">
        <f t="shared" si="460"/>
        <v>100n</v>
      </c>
      <c r="O456" s="1" t="str">
        <f t="shared" si="460"/>
        <v>0603</v>
      </c>
      <c r="P456" s="1" t="str">
        <f t="shared" si="460"/>
        <v>81-GRM188R71E104JA1J</v>
      </c>
      <c r="Q456" s="1" t="str">
        <f t="shared" si="460"/>
        <v>Murata GRM188R71E104JA01J</v>
      </c>
    </row>
    <row r="457">
      <c r="D457" s="282"/>
      <c r="F457" s="1">
        <v>12.0</v>
      </c>
      <c r="G457" s="60">
        <f t="shared" si="2"/>
        <v>5</v>
      </c>
      <c r="H457" s="1" t="str">
        <f t="shared" si="3"/>
        <v>Shades v3.1</v>
      </c>
      <c r="I457" t="str">
        <f t="shared" si="4"/>
        <v>S</v>
      </c>
      <c r="J457" s="1" t="str">
        <f t="shared" ref="J457:Q457" si="461">indirect(address($G457+4, column()-9, 4, , $H457))</f>
        <v>C1, C2</v>
      </c>
      <c r="K457" s="1">
        <f t="shared" si="461"/>
        <v>2</v>
      </c>
      <c r="L457" s="1" t="str">
        <f t="shared" si="461"/>
        <v>Capacitor, electrolytic</v>
      </c>
      <c r="M457" s="1" t="str">
        <f t="shared" si="461"/>
        <v>&gt;= 25V</v>
      </c>
      <c r="N457" s="289" t="str">
        <f t="shared" si="461"/>
        <v>10u</v>
      </c>
      <c r="O457" s="1" t="str">
        <f t="shared" si="461"/>
        <v>Panasonic B (3mm dia)</v>
      </c>
      <c r="P457" s="292" t="str">
        <f t="shared" si="461"/>
        <v>667-EEE-1EA100WR</v>
      </c>
      <c r="Q457" s="1" t="str">
        <f t="shared" si="461"/>
        <v>EEE-1EA100WR</v>
      </c>
    </row>
    <row r="458">
      <c r="D458" s="282"/>
      <c r="F458" s="1">
        <v>12.0</v>
      </c>
      <c r="G458" s="60">
        <f t="shared" si="2"/>
        <v>6</v>
      </c>
      <c r="H458" s="1" t="str">
        <f t="shared" si="3"/>
        <v>Shades v3.1</v>
      </c>
      <c r="I458" t="str">
        <f t="shared" si="4"/>
        <v>S</v>
      </c>
      <c r="J458" s="1" t="str">
        <f t="shared" ref="J458:Q458" si="462">indirect(address($G458+4, column()-9, 4, , $H458))</f>
        <v>D1, D2</v>
      </c>
      <c r="K458" s="1">
        <f t="shared" si="462"/>
        <v>2</v>
      </c>
      <c r="L458" s="1" t="str">
        <f t="shared" si="462"/>
        <v>1N5819HW diode</v>
      </c>
      <c r="M458" s="1" t="str">
        <f t="shared" si="462"/>
        <v/>
      </c>
      <c r="N458" s="289" t="str">
        <f t="shared" si="462"/>
        <v/>
      </c>
      <c r="O458" s="1" t="str">
        <f t="shared" si="462"/>
        <v>SOD123</v>
      </c>
      <c r="P458" s="1" t="str">
        <f t="shared" si="462"/>
        <v>621-1N5819HW-F</v>
      </c>
      <c r="Q458" s="1" t="str">
        <f t="shared" si="462"/>
        <v>Diodes Inc 1N5819HW-7-F</v>
      </c>
    </row>
    <row r="459">
      <c r="D459" s="282"/>
      <c r="F459" s="1">
        <v>12.0</v>
      </c>
      <c r="G459" s="60">
        <f t="shared" si="2"/>
        <v>7</v>
      </c>
      <c r="H459" s="1" t="str">
        <f t="shared" si="3"/>
        <v>Shades v3.1</v>
      </c>
      <c r="I459" t="str">
        <f t="shared" si="4"/>
        <v>S</v>
      </c>
      <c r="J459" s="1" t="str">
        <f t="shared" ref="J459:Q459" si="463">indirect(address($G459+4, column()-9, 4, , $H459))</f>
        <v>IC6</v>
      </c>
      <c r="K459" s="1">
        <f t="shared" si="463"/>
        <v>1</v>
      </c>
      <c r="L459" s="1" t="str">
        <f t="shared" si="463"/>
        <v>LM4040 Shunt Vref</v>
      </c>
      <c r="M459" s="1" t="str">
        <f t="shared" si="463"/>
        <v>A, B or C grade</v>
      </c>
      <c r="N459" s="289" t="str">
        <f t="shared" si="463"/>
        <v>10V</v>
      </c>
      <c r="O459" s="1" t="str">
        <f t="shared" si="463"/>
        <v>SOT23</v>
      </c>
      <c r="P459" s="292" t="str">
        <f t="shared" si="463"/>
        <v>595-LM4040C10IDBZR</v>
      </c>
      <c r="Q459" s="1" t="str">
        <f t="shared" si="463"/>
        <v>Texas Instruments LM4040C10IDBZ</v>
      </c>
    </row>
    <row r="460">
      <c r="D460" s="282"/>
      <c r="F460" s="1">
        <v>12.0</v>
      </c>
      <c r="G460" s="60">
        <f t="shared" si="2"/>
        <v>8</v>
      </c>
      <c r="H460" s="1" t="str">
        <f t="shared" si="3"/>
        <v>Shades v3.1</v>
      </c>
      <c r="I460" t="str">
        <f t="shared" si="4"/>
        <v>S</v>
      </c>
      <c r="J460" s="1" t="str">
        <f t="shared" ref="J460:Q460" si="464">indirect(address($G460+4, column()-9, 4, , $H460))</f>
        <v>IC1, IC2, IC3, IC4</v>
      </c>
      <c r="K460" s="1">
        <f t="shared" si="464"/>
        <v>4</v>
      </c>
      <c r="L460" s="1" t="str">
        <f t="shared" si="464"/>
        <v>LME49720 dual op-amp</v>
      </c>
      <c r="M460" s="1" t="str">
        <f t="shared" si="464"/>
        <v/>
      </c>
      <c r="N460" s="1" t="str">
        <f t="shared" si="464"/>
        <v/>
      </c>
      <c r="O460" s="1" t="str">
        <f t="shared" si="464"/>
        <v>SOIC8</v>
      </c>
      <c r="P460" s="288" t="str">
        <f t="shared" si="464"/>
        <v>926-LME49720MAX/NOPB</v>
      </c>
      <c r="Q460" s="1" t="str">
        <f t="shared" si="464"/>
        <v>TI LME49720MA or LME49720MAX</v>
      </c>
    </row>
    <row r="461">
      <c r="D461" s="282"/>
      <c r="F461" s="1">
        <v>12.0</v>
      </c>
      <c r="G461" s="60">
        <f t="shared" si="2"/>
        <v>9</v>
      </c>
      <c r="H461" s="1" t="str">
        <f t="shared" si="3"/>
        <v>Shades v3.1</v>
      </c>
      <c r="I461" t="str">
        <f t="shared" si="4"/>
        <v>S</v>
      </c>
      <c r="J461" s="1" t="str">
        <f t="shared" ref="J461:Q461" si="465">indirect(address($G461+4, column()-9, 4, , $H461))</f>
        <v>IC5</v>
      </c>
      <c r="K461" s="1">
        <f t="shared" si="465"/>
        <v>1</v>
      </c>
      <c r="L461" s="1" t="str">
        <f t="shared" si="465"/>
        <v>TL072 dual op-amp</v>
      </c>
      <c r="M461" s="1" t="str">
        <f t="shared" si="465"/>
        <v/>
      </c>
      <c r="N461" s="1" t="str">
        <f t="shared" si="465"/>
        <v/>
      </c>
      <c r="O461" s="1" t="str">
        <f t="shared" si="465"/>
        <v>SOIC8</v>
      </c>
      <c r="P461" s="1" t="str">
        <f t="shared" si="465"/>
        <v>595-TL072CD</v>
      </c>
      <c r="Q461" s="1" t="str">
        <f t="shared" si="465"/>
        <v>TI TL072CD</v>
      </c>
    </row>
    <row r="462">
      <c r="D462" s="282"/>
      <c r="F462" s="1">
        <v>12.0</v>
      </c>
      <c r="G462" s="60">
        <f t="shared" si="2"/>
        <v>10</v>
      </c>
      <c r="H462" s="1" t="str">
        <f t="shared" si="3"/>
        <v>Shades v3.1</v>
      </c>
      <c r="I462" t="str">
        <f t="shared" si="4"/>
        <v>S</v>
      </c>
      <c r="J462" s="1" t="str">
        <f t="shared" ref="J462:Q462" si="466">indirect(address($G462+4, column()-9, 4, , $H462))</f>
        <v>IC7, IC8, IC9</v>
      </c>
      <c r="K462" s="1">
        <f t="shared" si="466"/>
        <v>3</v>
      </c>
      <c r="L462" s="1" t="str">
        <f t="shared" si="466"/>
        <v>LM321 single op-amp</v>
      </c>
      <c r="M462" s="1" t="str">
        <f t="shared" si="466"/>
        <v/>
      </c>
      <c r="N462" s="1" t="str">
        <f t="shared" si="466"/>
        <v/>
      </c>
      <c r="O462" s="1" t="str">
        <f t="shared" si="466"/>
        <v>SOT23-5</v>
      </c>
      <c r="P462" s="1" t="str">
        <f t="shared" si="466"/>
        <v>926-LM321MFX/NOPB</v>
      </c>
      <c r="Q462" s="1" t="str">
        <f t="shared" si="466"/>
        <v>TI LM321MFX/NOPB</v>
      </c>
    </row>
    <row r="463">
      <c r="D463" s="282"/>
      <c r="F463" s="1">
        <v>12.0</v>
      </c>
      <c r="G463" s="60">
        <f t="shared" si="2"/>
        <v>11</v>
      </c>
      <c r="H463" s="1" t="str">
        <f t="shared" si="3"/>
        <v>Shades v3.1</v>
      </c>
      <c r="I463" t="str">
        <f t="shared" si="4"/>
        <v/>
      </c>
      <c r="J463" s="1" t="str">
        <f t="shared" ref="J463:Q463" si="467">indirect(address($G463+4, column()-9, 4, , $H463))</f>
        <v>PTH parts, top side</v>
      </c>
      <c r="K463" s="1" t="str">
        <f t="shared" si="467"/>
        <v/>
      </c>
      <c r="L463" s="1" t="str">
        <f t="shared" si="467"/>
        <v/>
      </c>
      <c r="M463" s="1" t="str">
        <f t="shared" si="467"/>
        <v/>
      </c>
      <c r="N463" s="1" t="str">
        <f t="shared" si="467"/>
        <v/>
      </c>
      <c r="O463" s="1" t="str">
        <f t="shared" si="467"/>
        <v/>
      </c>
      <c r="P463" s="1" t="str">
        <f t="shared" si="467"/>
        <v/>
      </c>
      <c r="Q463" s="1" t="str">
        <f t="shared" si="467"/>
        <v/>
      </c>
    </row>
    <row r="464">
      <c r="D464" s="282"/>
      <c r="F464" s="1">
        <v>12.0</v>
      </c>
      <c r="G464" s="60">
        <f t="shared" si="2"/>
        <v>12</v>
      </c>
      <c r="H464" s="1" t="str">
        <f t="shared" si="3"/>
        <v>Shades v3.1</v>
      </c>
      <c r="I464" t="str">
        <f t="shared" si="4"/>
        <v>U</v>
      </c>
      <c r="J464" s="1" t="str">
        <f t="shared" ref="J464:Q464" si="468">indirect(address($G464+4, column()-9, 4, , $H464))</f>
        <v>J1, J2, J3, J4, J5, J6</v>
      </c>
      <c r="K464" s="1">
        <f t="shared" si="468"/>
        <v>6</v>
      </c>
      <c r="L464" s="1" t="str">
        <f t="shared" si="468"/>
        <v>Vertical jack connector</v>
      </c>
      <c r="M464" s="1" t="str">
        <f t="shared" si="468"/>
        <v/>
      </c>
      <c r="N464" s="289" t="str">
        <f t="shared" si="468"/>
        <v/>
      </c>
      <c r="O464" s="1" t="str">
        <f t="shared" si="468"/>
        <v/>
      </c>
      <c r="P464" s="292" t="str">
        <f t="shared" si="468"/>
        <v/>
      </c>
      <c r="Q464" s="1" t="str">
        <f t="shared" si="468"/>
        <v>PJ-301-M-12</v>
      </c>
    </row>
    <row r="465">
      <c r="D465" s="282"/>
      <c r="F465" s="1">
        <v>12.0</v>
      </c>
      <c r="G465" s="60">
        <f t="shared" si="2"/>
        <v>13</v>
      </c>
      <c r="H465" s="1" t="str">
        <f t="shared" si="3"/>
        <v>Shades v3.1</v>
      </c>
      <c r="I465" t="str">
        <f t="shared" si="4"/>
        <v>U</v>
      </c>
      <c r="J465" s="1" t="str">
        <f t="shared" ref="J465:Q465" si="469">indirect(address($G465+4, column()-9, 4, , $H465))</f>
        <v>LED1, LED2, LED3</v>
      </c>
      <c r="K465" s="1">
        <f t="shared" si="469"/>
        <v>3</v>
      </c>
      <c r="L465" s="1" t="str">
        <f t="shared" si="469"/>
        <v>LED, Red/Green, 2 terminals</v>
      </c>
      <c r="M465" s="1" t="str">
        <f t="shared" si="469"/>
        <v/>
      </c>
      <c r="N465" s="1" t="str">
        <f t="shared" si="469"/>
        <v/>
      </c>
      <c r="O465" s="1" t="str">
        <f t="shared" si="469"/>
        <v>2 terminals</v>
      </c>
      <c r="P465" s="1" t="str">
        <f t="shared" si="469"/>
        <v>604-WP937EGW</v>
      </c>
      <c r="Q465" s="1" t="str">
        <f t="shared" si="469"/>
        <v>Kingbright WP937EGW</v>
      </c>
    </row>
    <row r="466">
      <c r="D466" s="282"/>
      <c r="F466" s="1">
        <v>12.0</v>
      </c>
      <c r="G466" s="60">
        <f t="shared" si="2"/>
        <v>14</v>
      </c>
      <c r="H466" s="1" t="str">
        <f t="shared" si="3"/>
        <v>Shades v3.1</v>
      </c>
      <c r="I466" t="str">
        <f t="shared" si="4"/>
        <v>U</v>
      </c>
      <c r="J466" s="1" t="str">
        <f t="shared" ref="J466:Q466" si="470">indirect(address($G466+4, column()-9, 4, , $H466))</f>
        <v>- LED1, LED2, LED3</v>
      </c>
      <c r="K466" s="1">
        <f t="shared" si="470"/>
        <v>3</v>
      </c>
      <c r="L466" s="1" t="str">
        <f t="shared" si="470"/>
        <v>LED holder</v>
      </c>
      <c r="M466" s="1" t="str">
        <f t="shared" si="470"/>
        <v>10mm</v>
      </c>
      <c r="N466" s="1" t="str">
        <f t="shared" si="470"/>
        <v/>
      </c>
      <c r="O466" s="1" t="str">
        <f t="shared" si="470"/>
        <v/>
      </c>
      <c r="P466" s="1" t="str">
        <f t="shared" si="470"/>
        <v/>
      </c>
      <c r="Q466" s="1" t="str">
        <f t="shared" si="470"/>
        <v>LED3-10 Multicomp; Farnell P/N 9555277</v>
      </c>
    </row>
    <row r="467">
      <c r="D467" s="282"/>
      <c r="F467" s="1">
        <v>12.0</v>
      </c>
      <c r="G467" s="60">
        <f t="shared" si="2"/>
        <v>15</v>
      </c>
      <c r="H467" s="1" t="str">
        <f t="shared" si="3"/>
        <v>Shades v3.1</v>
      </c>
      <c r="I467" t="str">
        <f t="shared" si="4"/>
        <v>U</v>
      </c>
      <c r="J467" s="1" t="str">
        <f t="shared" ref="J467:Q467" si="471">indirect(address($G467+4, column()-9, 4, , $H467))</f>
        <v>R3, R10, R21</v>
      </c>
      <c r="K467" s="1">
        <f t="shared" si="471"/>
        <v>3</v>
      </c>
      <c r="L467" s="1" t="str">
        <f t="shared" si="471"/>
        <v>10k linear pot, 15mm shaft</v>
      </c>
      <c r="M467" s="1" t="str">
        <f t="shared" si="471"/>
        <v/>
      </c>
      <c r="N467" s="289" t="str">
        <f t="shared" si="471"/>
        <v/>
      </c>
      <c r="O467" s="1" t="str">
        <f t="shared" si="471"/>
        <v/>
      </c>
      <c r="P467" s="292" t="str">
        <f t="shared" si="471"/>
        <v/>
      </c>
      <c r="Q467" s="288" t="str">
        <f t="shared" si="471"/>
        <v>https://www.thonk.co.uk/shop/alpha-9mm-pots/</v>
      </c>
    </row>
    <row r="468">
      <c r="D468" s="282"/>
      <c r="F468" s="1">
        <v>12.0</v>
      </c>
      <c r="G468" s="60">
        <f t="shared" si="2"/>
        <v>16</v>
      </c>
      <c r="H468" s="1" t="str">
        <f t="shared" si="3"/>
        <v>Shades v3.1</v>
      </c>
      <c r="I468" t="str">
        <f t="shared" si="4"/>
        <v>U</v>
      </c>
      <c r="J468" s="1" t="str">
        <f t="shared" ref="J468:Q468" si="472">indirect(address($G468+4, column()-9, 4, , $H468))</f>
        <v>SW1, SW2, SW3</v>
      </c>
      <c r="K468" s="1">
        <f t="shared" si="472"/>
        <v>3</v>
      </c>
      <c r="L468" s="1" t="str">
        <f t="shared" si="472"/>
        <v>Toggle switch, SPDT</v>
      </c>
      <c r="M468" s="1" t="str">
        <f t="shared" si="472"/>
        <v/>
      </c>
      <c r="N468" s="1" t="str">
        <f t="shared" si="472"/>
        <v/>
      </c>
      <c r="O468" s="1" t="str">
        <f t="shared" si="472"/>
        <v/>
      </c>
      <c r="P468" s="1" t="str">
        <f t="shared" si="472"/>
        <v>633-CS12ANW03</v>
      </c>
      <c r="Q468" s="1" t="str">
        <f t="shared" si="472"/>
        <v/>
      </c>
    </row>
    <row r="469">
      <c r="D469" s="282"/>
      <c r="F469" s="1">
        <v>12.0</v>
      </c>
      <c r="G469" s="60">
        <f t="shared" si="2"/>
        <v>17</v>
      </c>
      <c r="H469" s="1" t="str">
        <f t="shared" si="3"/>
        <v>Shades v3.1</v>
      </c>
      <c r="I469" t="str">
        <f t="shared" si="4"/>
        <v/>
      </c>
      <c r="J469" s="1" t="str">
        <f t="shared" ref="J469:Q469" si="473">indirect(address($G469+4, column()-9, 4, , $H469))</f>
        <v>PTH parts, bottom side</v>
      </c>
      <c r="K469" s="1" t="str">
        <f t="shared" si="473"/>
        <v/>
      </c>
      <c r="L469" s="1" t="str">
        <f t="shared" si="473"/>
        <v/>
      </c>
      <c r="M469" s="1" t="str">
        <f t="shared" si="473"/>
        <v/>
      </c>
      <c r="N469" s="289" t="str">
        <f t="shared" si="473"/>
        <v/>
      </c>
      <c r="O469" s="1" t="str">
        <f t="shared" si="473"/>
        <v/>
      </c>
      <c r="P469" s="292" t="str">
        <f t="shared" si="473"/>
        <v/>
      </c>
      <c r="Q469" s="1" t="str">
        <f t="shared" si="473"/>
        <v/>
      </c>
    </row>
    <row r="470">
      <c r="D470" s="282"/>
      <c r="F470" s="1">
        <v>12.0</v>
      </c>
      <c r="G470" s="60">
        <f t="shared" si="2"/>
        <v>18</v>
      </c>
      <c r="H470" s="1" t="str">
        <f t="shared" si="3"/>
        <v>Shades v3.1</v>
      </c>
      <c r="I470" t="str">
        <f t="shared" si="4"/>
        <v>D</v>
      </c>
      <c r="J470" s="1" t="str">
        <f t="shared" ref="J470:Q470" si="474">indirect(address($G470+4, column()-9, 4, , $H470))</f>
        <v>JP2, JP3, JP4</v>
      </c>
      <c r="K470" s="1">
        <f t="shared" si="474"/>
        <v>3</v>
      </c>
      <c r="L470" s="1" t="str">
        <f t="shared" si="474"/>
        <v>1x3 male header, 2.54mm pitch</v>
      </c>
      <c r="M470" s="1" t="str">
        <f t="shared" si="474"/>
        <v/>
      </c>
      <c r="N470" s="1" t="str">
        <f t="shared" si="474"/>
        <v/>
      </c>
      <c r="O470" s="1" t="str">
        <f t="shared" si="474"/>
        <v/>
      </c>
      <c r="P470" s="1" t="str">
        <f t="shared" si="474"/>
        <v>649-77311-118-03LF</v>
      </c>
      <c r="Q470" s="1" t="str">
        <f t="shared" si="474"/>
        <v/>
      </c>
    </row>
    <row r="471">
      <c r="D471" s="282"/>
      <c r="F471" s="1">
        <v>12.0</v>
      </c>
      <c r="G471" s="60">
        <f t="shared" si="2"/>
        <v>19</v>
      </c>
      <c r="H471" s="1" t="str">
        <f t="shared" si="3"/>
        <v>Shades v3.1</v>
      </c>
      <c r="I471" t="str">
        <f t="shared" si="4"/>
        <v>D</v>
      </c>
      <c r="J471" s="1" t="str">
        <f t="shared" ref="J471:Q471" si="475">indirect(address($G471+4, column()-9, 4, , $H471))</f>
        <v>JP1</v>
      </c>
      <c r="K471" s="1">
        <f t="shared" si="475"/>
        <v>1</v>
      </c>
      <c r="L471" s="1" t="str">
        <f t="shared" si="475"/>
        <v>2x5 male header, 2.54mm pitch</v>
      </c>
      <c r="M471" s="1" t="str">
        <f t="shared" si="475"/>
        <v/>
      </c>
      <c r="N471" s="1" t="str">
        <f t="shared" si="475"/>
        <v/>
      </c>
      <c r="O471" s="1" t="str">
        <f t="shared" si="475"/>
        <v/>
      </c>
      <c r="P471" s="1" t="str">
        <f t="shared" si="475"/>
        <v>649-67996-410HLF</v>
      </c>
      <c r="Q471" s="1" t="str">
        <f t="shared" si="475"/>
        <v/>
      </c>
    </row>
    <row r="472">
      <c r="D472" s="282"/>
      <c r="F472" s="1">
        <v>12.0</v>
      </c>
      <c r="G472" s="60">
        <f t="shared" si="2"/>
        <v>20</v>
      </c>
      <c r="H472" s="1" t="str">
        <f t="shared" si="3"/>
        <v>Shades v3.1</v>
      </c>
      <c r="I472" t="str">
        <f t="shared" si="4"/>
        <v>D</v>
      </c>
      <c r="J472" s="1" t="str">
        <f t="shared" ref="J472:Q472" si="476">indirect(address($G472+4, column()-9, 4, , $H472))</f>
        <v>Jumper</v>
      </c>
      <c r="K472" s="1">
        <f t="shared" si="476"/>
        <v>3</v>
      </c>
      <c r="L472" s="1" t="str">
        <f t="shared" si="476"/>
        <v>2.54 Shunt jumper</v>
      </c>
      <c r="M472" s="1" t="str">
        <f t="shared" si="476"/>
        <v/>
      </c>
      <c r="N472" s="1" t="str">
        <f t="shared" si="476"/>
        <v/>
      </c>
      <c r="O472" s="1" t="str">
        <f t="shared" si="476"/>
        <v/>
      </c>
      <c r="P472" s="1" t="str">
        <f t="shared" si="476"/>
        <v>517-9691020000DA</v>
      </c>
      <c r="Q472" s="1" t="str">
        <f t="shared" si="476"/>
        <v/>
      </c>
    </row>
    <row r="473">
      <c r="D473" s="282"/>
      <c r="F473" s="1">
        <v>12.0</v>
      </c>
      <c r="G473" s="60">
        <f t="shared" si="2"/>
        <v>21</v>
      </c>
      <c r="H473" s="1" t="str">
        <f t="shared" si="3"/>
        <v>Shades v3.1</v>
      </c>
      <c r="I473" t="str">
        <f t="shared" si="4"/>
        <v/>
      </c>
      <c r="J473" s="1" t="str">
        <f t="shared" ref="J473:Q473" si="477">indirect(address($G473+4, column()-9, 4, , $H473))</f>
        <v>PCB specifications</v>
      </c>
      <c r="K473" s="1" t="str">
        <f t="shared" si="477"/>
        <v/>
      </c>
      <c r="L473" s="1" t="str">
        <f t="shared" si="477"/>
        <v/>
      </c>
      <c r="M473" s="1" t="str">
        <f t="shared" si="477"/>
        <v/>
      </c>
      <c r="N473" s="289" t="str">
        <f t="shared" si="477"/>
        <v/>
      </c>
      <c r="O473" s="1" t="str">
        <f t="shared" si="477"/>
        <v/>
      </c>
      <c r="P473" s="292" t="str">
        <f t="shared" si="477"/>
        <v/>
      </c>
      <c r="Q473" s="1" t="str">
        <f t="shared" si="477"/>
        <v/>
      </c>
    </row>
    <row r="474">
      <c r="D474" s="282"/>
      <c r="F474" s="1">
        <v>12.0</v>
      </c>
      <c r="G474" s="60">
        <f t="shared" si="2"/>
        <v>22</v>
      </c>
      <c r="H474" s="1" t="str">
        <f t="shared" si="3"/>
        <v>Shades v3.1</v>
      </c>
      <c r="I474" t="str">
        <f t="shared" si="4"/>
        <v>P</v>
      </c>
      <c r="J474" s="1" t="str">
        <f t="shared" ref="J474:Q474" si="478">indirect(address($G474+4, column()-9, 4, , $H474))</f>
        <v>PCB</v>
      </c>
      <c r="K474" s="1" t="str">
        <f t="shared" si="478"/>
        <v/>
      </c>
      <c r="L474" s="1" t="str">
        <f t="shared" si="478"/>
        <v>29.2 x 106.7 ; 2 layers</v>
      </c>
      <c r="M474" s="1" t="str">
        <f t="shared" si="478"/>
        <v/>
      </c>
      <c r="N474" s="289" t="str">
        <f t="shared" si="478"/>
        <v/>
      </c>
      <c r="O474" s="1" t="str">
        <f t="shared" si="478"/>
        <v/>
      </c>
      <c r="P474" s="292" t="str">
        <f t="shared" si="478"/>
        <v/>
      </c>
      <c r="Q474" s="1" t="str">
        <f t="shared" si="478"/>
        <v/>
      </c>
    </row>
    <row r="475">
      <c r="D475" s="282"/>
      <c r="F475" s="1">
        <v>13.0</v>
      </c>
      <c r="G475" s="60">
        <f t="shared" si="2"/>
        <v>0</v>
      </c>
      <c r="H475" s="1" t="str">
        <f t="shared" si="3"/>
        <v>Shelves v0.5</v>
      </c>
      <c r="I475" t="str">
        <f t="shared" si="4"/>
        <v>S</v>
      </c>
      <c r="J475" s="1" t="str">
        <f t="shared" ref="J475:Q475" si="479">indirect(address($G475+4, column()-9, 4, , $H475))</f>
        <v>R20, R21, R24, R25, R56, R57, R61, R64, R89, R90, R94, R97</v>
      </c>
      <c r="K475" s="1">
        <f t="shared" si="479"/>
        <v>12</v>
      </c>
      <c r="L475" s="1" t="str">
        <f t="shared" si="479"/>
        <v>Resistor, 1%</v>
      </c>
      <c r="M475" s="1" t="str">
        <f t="shared" si="479"/>
        <v/>
      </c>
      <c r="N475" s="1">
        <f t="shared" si="479"/>
        <v>510</v>
      </c>
      <c r="O475" s="1" t="str">
        <f t="shared" si="479"/>
        <v>0603</v>
      </c>
      <c r="P475" s="1" t="str">
        <f t="shared" si="479"/>
        <v>667-ERJ3EKF5100V</v>
      </c>
      <c r="Q475" s="1" t="str">
        <f t="shared" si="479"/>
        <v/>
      </c>
    </row>
    <row r="476">
      <c r="D476" s="282"/>
      <c r="F476" s="1">
        <v>13.0</v>
      </c>
      <c r="G476" s="60">
        <f t="shared" si="2"/>
        <v>1</v>
      </c>
      <c r="H476" s="1" t="str">
        <f t="shared" si="3"/>
        <v>Shelves v0.5</v>
      </c>
      <c r="I476" t="str">
        <f t="shared" si="4"/>
        <v>S</v>
      </c>
      <c r="J476" s="1" t="str">
        <f t="shared" ref="J476:Q476" si="480">indirect(address($G476+4, column()-9, 4, , $H476))</f>
        <v>R2, R111, R112</v>
      </c>
      <c r="K476" s="1">
        <f t="shared" si="480"/>
        <v>3</v>
      </c>
      <c r="L476" s="1" t="str">
        <f t="shared" si="480"/>
        <v>Resistor, 1%</v>
      </c>
      <c r="M476" s="1" t="str">
        <f t="shared" si="480"/>
        <v/>
      </c>
      <c r="N476" s="1" t="str">
        <f t="shared" si="480"/>
        <v>1.0k</v>
      </c>
      <c r="O476" s="1" t="str">
        <f t="shared" si="480"/>
        <v>0603</v>
      </c>
      <c r="P476" s="1" t="str">
        <f t="shared" si="480"/>
        <v>667-ERJ-3EKF1001V</v>
      </c>
      <c r="Q476" s="1" t="str">
        <f t="shared" si="480"/>
        <v/>
      </c>
    </row>
    <row r="477">
      <c r="D477" s="282"/>
      <c r="F477" s="1">
        <v>13.0</v>
      </c>
      <c r="G477" s="60">
        <f t="shared" si="2"/>
        <v>2</v>
      </c>
      <c r="H477" s="1" t="str">
        <f t="shared" si="3"/>
        <v>Shelves v0.5</v>
      </c>
      <c r="I477" t="str">
        <f t="shared" si="4"/>
        <v>S</v>
      </c>
      <c r="J477" s="1" t="str">
        <f t="shared" ref="J477:Q477" si="481">indirect(address($G477+4, column()-9, 4, , $H477))</f>
        <v>R1</v>
      </c>
      <c r="K477" s="1">
        <f t="shared" si="481"/>
        <v>1</v>
      </c>
      <c r="L477" s="1" t="str">
        <f t="shared" si="481"/>
        <v>Resistor, 1%</v>
      </c>
      <c r="M477" s="1" t="str">
        <f t="shared" si="481"/>
        <v/>
      </c>
      <c r="N477" s="1" t="str">
        <f t="shared" si="481"/>
        <v>3.3k</v>
      </c>
      <c r="O477" s="1" t="str">
        <f t="shared" si="481"/>
        <v>0603</v>
      </c>
      <c r="P477" s="1" t="str">
        <f t="shared" si="481"/>
        <v>667-ERJ-3EKF3301V</v>
      </c>
      <c r="Q477" s="1" t="str">
        <f t="shared" si="481"/>
        <v/>
      </c>
    </row>
    <row r="478">
      <c r="D478" s="282"/>
      <c r="F478" s="1">
        <v>13.0</v>
      </c>
      <c r="G478" s="60">
        <f t="shared" si="2"/>
        <v>3</v>
      </c>
      <c r="H478" s="1" t="str">
        <f t="shared" si="3"/>
        <v>Shelves v0.5</v>
      </c>
      <c r="I478" t="str">
        <f t="shared" si="4"/>
        <v>S</v>
      </c>
      <c r="J478" s="1" t="str">
        <f t="shared" ref="J478:Q478" si="482">indirect(address($G478+4, column()-9, 4, , $H478))</f>
        <v>R22, R23, R50, R84, R113</v>
      </c>
      <c r="K478" s="1">
        <f t="shared" si="482"/>
        <v>5</v>
      </c>
      <c r="L478" s="1" t="str">
        <f t="shared" si="482"/>
        <v>Resistor, 1%</v>
      </c>
      <c r="M478" s="1" t="str">
        <f t="shared" si="482"/>
        <v/>
      </c>
      <c r="N478" s="1" t="str">
        <f t="shared" si="482"/>
        <v>12k</v>
      </c>
      <c r="O478" s="1" t="str">
        <f t="shared" si="482"/>
        <v>0603</v>
      </c>
      <c r="P478" s="1" t="str">
        <f t="shared" si="482"/>
        <v>667-ERJ-3EKF1202V</v>
      </c>
      <c r="Q478" s="1" t="str">
        <f t="shared" si="482"/>
        <v/>
      </c>
    </row>
    <row r="479">
      <c r="D479" s="282"/>
      <c r="F479" s="1">
        <v>13.0</v>
      </c>
      <c r="G479" s="60">
        <f t="shared" si="2"/>
        <v>4</v>
      </c>
      <c r="H479" s="1" t="str">
        <f t="shared" si="3"/>
        <v>Shelves v0.5</v>
      </c>
      <c r="I479" t="str">
        <f t="shared" si="4"/>
        <v>S</v>
      </c>
      <c r="J479" s="1" t="str">
        <f t="shared" ref="J479:Q479" si="483">indirect(address($G479+4, column()-9, 4, , $H479))</f>
        <v>R13, R14, R51, R85</v>
      </c>
      <c r="K479" s="1">
        <f t="shared" si="483"/>
        <v>4</v>
      </c>
      <c r="L479" s="1" t="str">
        <f t="shared" si="483"/>
        <v>Resistor, 1%</v>
      </c>
      <c r="M479" s="1" t="str">
        <f t="shared" si="483"/>
        <v/>
      </c>
      <c r="N479" s="1" t="str">
        <f t="shared" si="483"/>
        <v>18k</v>
      </c>
      <c r="O479" s="1" t="str">
        <f t="shared" si="483"/>
        <v>0603</v>
      </c>
      <c r="P479" s="1" t="str">
        <f t="shared" si="483"/>
        <v>667-ERJ-3EKF1802V</v>
      </c>
      <c r="Q479" s="1" t="str">
        <f t="shared" si="483"/>
        <v/>
      </c>
    </row>
    <row r="480">
      <c r="D480" s="282"/>
      <c r="F480" s="1">
        <v>13.0</v>
      </c>
      <c r="G480" s="60">
        <f t="shared" si="2"/>
        <v>5</v>
      </c>
      <c r="H480" s="1" t="str">
        <f t="shared" si="3"/>
        <v>Shelves v0.5</v>
      </c>
      <c r="I480" t="str">
        <f t="shared" si="4"/>
        <v>S</v>
      </c>
      <c r="J480" s="1" t="str">
        <f t="shared" ref="J480:Q480" si="484">indirect(address($G480+4, column()-9, 4, , $H480))</f>
        <v>R60, R93, R116</v>
      </c>
      <c r="K480" s="1">
        <f t="shared" si="484"/>
        <v>3</v>
      </c>
      <c r="L480" s="1" t="str">
        <f t="shared" si="484"/>
        <v>Resistor, 1%</v>
      </c>
      <c r="M480" s="1" t="str">
        <f t="shared" si="484"/>
        <v/>
      </c>
      <c r="N480" s="1" t="str">
        <f t="shared" si="484"/>
        <v>22k</v>
      </c>
      <c r="O480" s="1" t="str">
        <f t="shared" si="484"/>
        <v>0603</v>
      </c>
      <c r="P480" s="1" t="str">
        <f t="shared" si="484"/>
        <v>667-ERJ-3EKF2202V</v>
      </c>
      <c r="Q480" s="1" t="str">
        <f t="shared" si="484"/>
        <v/>
      </c>
    </row>
    <row r="481">
      <c r="D481" s="282"/>
      <c r="F481" s="1">
        <v>13.0</v>
      </c>
      <c r="G481" s="60">
        <f t="shared" si="2"/>
        <v>6</v>
      </c>
      <c r="H481" s="1" t="str">
        <f t="shared" si="3"/>
        <v>Shelves v0.5</v>
      </c>
      <c r="I481" t="str">
        <f t="shared" si="4"/>
        <v>S</v>
      </c>
      <c r="J481" s="1" t="str">
        <f t="shared" ref="J481:Q481" si="485">indirect(address($G481+4, column()-9, 4, , $H481))</f>
        <v>R5, R6, R7, R8, R9, R10, R11, R12, R15, R16, R17, R18, R19, R32, R33, R35, R37, R38, R39, R40,
R41, R43, R47, R48, R49, R52, R53, R55, R58, R59, R66, R67, R71, R72, R73, R74, R75, R76, R77, R81,
R82, R83, R86, R87, R88, R91, R92, R98, R99, R102, R103, R104, R105, R108, R109, R110, R114, R115, R117, R118,
R120, R121, R122</v>
      </c>
      <c r="K481" s="1">
        <f t="shared" si="485"/>
        <v>63</v>
      </c>
      <c r="L481" s="1" t="str">
        <f t="shared" si="485"/>
        <v>Resistor, 0.1%, thin film</v>
      </c>
      <c r="M481" s="1" t="str">
        <f t="shared" si="485"/>
        <v/>
      </c>
      <c r="N481" s="1" t="str">
        <f t="shared" si="485"/>
        <v>100k</v>
      </c>
      <c r="O481" s="1" t="str">
        <f t="shared" si="485"/>
        <v>0603</v>
      </c>
      <c r="P481" s="1" t="str">
        <f t="shared" si="485"/>
        <v>667-ERA-3AEB104V</v>
      </c>
      <c r="Q481" s="1" t="str">
        <f t="shared" si="485"/>
        <v>Panasonic ERA-3AEB104V</v>
      </c>
    </row>
    <row r="482">
      <c r="D482" s="282"/>
      <c r="F482" s="1">
        <v>13.0</v>
      </c>
      <c r="G482" s="60">
        <f t="shared" si="2"/>
        <v>7</v>
      </c>
      <c r="H482" s="1" t="str">
        <f t="shared" si="3"/>
        <v>Shelves v0.5</v>
      </c>
      <c r="I482" t="str">
        <f t="shared" si="4"/>
        <v>S</v>
      </c>
      <c r="J482" s="1" t="str">
        <f t="shared" ref="J482:Q482" si="486">indirect(address($G482+4, column()-9, 4, , $H482))</f>
        <v>R26, R27, R30, R31, R44, R45, R78, R79</v>
      </c>
      <c r="K482" s="1">
        <f t="shared" si="486"/>
        <v>8</v>
      </c>
      <c r="L482" s="1" t="str">
        <f t="shared" si="486"/>
        <v>Resistor, 1%</v>
      </c>
      <c r="M482" s="1" t="str">
        <f t="shared" si="486"/>
        <v/>
      </c>
      <c r="N482" s="1" t="str">
        <f t="shared" si="486"/>
        <v>120k</v>
      </c>
      <c r="O482" s="1" t="str">
        <f t="shared" si="486"/>
        <v>0603</v>
      </c>
      <c r="P482" s="1" t="str">
        <f t="shared" si="486"/>
        <v>667-ERJ-3EKF1203V</v>
      </c>
      <c r="Q482" s="1" t="str">
        <f t="shared" si="486"/>
        <v/>
      </c>
    </row>
    <row r="483">
      <c r="D483" s="282"/>
      <c r="F483" s="1">
        <v>13.0</v>
      </c>
      <c r="G483" s="60">
        <f t="shared" si="2"/>
        <v>8</v>
      </c>
      <c r="H483" s="1" t="str">
        <f t="shared" si="3"/>
        <v>Shelves v0.5</v>
      </c>
      <c r="I483" t="str">
        <f t="shared" si="4"/>
        <v>S</v>
      </c>
      <c r="J483" s="1" t="str">
        <f t="shared" ref="J483:Q483" si="487">indirect(address($G483+4, column()-9, 4, , $H483))</f>
        <v>R62, R95</v>
      </c>
      <c r="K483" s="1">
        <f t="shared" si="487"/>
        <v>2</v>
      </c>
      <c r="L483" s="1" t="str">
        <f t="shared" si="487"/>
        <v>Resistor, 1%</v>
      </c>
      <c r="M483" s="1" t="str">
        <f t="shared" si="487"/>
        <v/>
      </c>
      <c r="N483" s="1" t="str">
        <f t="shared" si="487"/>
        <v>150k</v>
      </c>
      <c r="O483" s="1" t="str">
        <f t="shared" si="487"/>
        <v>0603</v>
      </c>
      <c r="P483" s="1" t="str">
        <f t="shared" si="487"/>
        <v>667-ERJ-3EKF1503V</v>
      </c>
      <c r="Q483" s="1" t="str">
        <f t="shared" si="487"/>
        <v/>
      </c>
    </row>
    <row r="484">
      <c r="D484" s="282"/>
      <c r="F484" s="1">
        <v>13.0</v>
      </c>
      <c r="G484" s="60">
        <f t="shared" si="2"/>
        <v>9</v>
      </c>
      <c r="H484" s="1" t="str">
        <f t="shared" si="3"/>
        <v>Shelves v0.5</v>
      </c>
      <c r="I484" t="str">
        <f t="shared" si="4"/>
        <v>S</v>
      </c>
      <c r="J484" s="1" t="str">
        <f t="shared" ref="J484:Q484" si="488">indirect(address($G484+4, column()-9, 4, , $H484))</f>
        <v>R28, R29, R46, R54, R70, R80, R106, R107</v>
      </c>
      <c r="K484" s="1">
        <f t="shared" si="488"/>
        <v>8</v>
      </c>
      <c r="L484" s="1" t="str">
        <f t="shared" si="488"/>
        <v>Resistor, 1%</v>
      </c>
      <c r="M484" s="1" t="str">
        <f t="shared" si="488"/>
        <v/>
      </c>
      <c r="N484" s="1" t="str">
        <f t="shared" si="488"/>
        <v>200k</v>
      </c>
      <c r="O484" s="1" t="str">
        <f t="shared" si="488"/>
        <v>0603</v>
      </c>
      <c r="P484" s="1" t="str">
        <f t="shared" si="488"/>
        <v>667-ERJ-3EKF2003V</v>
      </c>
      <c r="Q484" s="1" t="str">
        <f t="shared" si="488"/>
        <v/>
      </c>
    </row>
    <row r="485">
      <c r="D485" s="282"/>
      <c r="F485" s="1">
        <v>13.0</v>
      </c>
      <c r="G485" s="60">
        <f t="shared" si="2"/>
        <v>10</v>
      </c>
      <c r="H485" s="1" t="str">
        <f t="shared" si="3"/>
        <v>Shelves v0.5</v>
      </c>
      <c r="I485" t="str">
        <f t="shared" si="4"/>
        <v>S</v>
      </c>
      <c r="J485" s="1" t="str">
        <f t="shared" ref="J485:Q485" si="489">indirect(address($G485+4, column()-9, 4, , $H485))</f>
        <v>R119</v>
      </c>
      <c r="K485" s="1">
        <f t="shared" si="489"/>
        <v>1</v>
      </c>
      <c r="L485" s="1" t="str">
        <f t="shared" si="489"/>
        <v>Resistor, 1%</v>
      </c>
      <c r="M485" s="1" t="str">
        <f t="shared" si="489"/>
        <v/>
      </c>
      <c r="N485" s="1" t="str">
        <f t="shared" si="489"/>
        <v>220k</v>
      </c>
      <c r="O485" s="1" t="str">
        <f t="shared" si="489"/>
        <v>0603</v>
      </c>
      <c r="P485" s="1" t="str">
        <f t="shared" si="489"/>
        <v>667-ERJ-3EKF2203V</v>
      </c>
      <c r="Q485" s="1" t="str">
        <f t="shared" si="489"/>
        <v/>
      </c>
    </row>
    <row r="486">
      <c r="D486" s="282"/>
      <c r="F486" s="1">
        <v>13.0</v>
      </c>
      <c r="G486" s="60">
        <f t="shared" si="2"/>
        <v>11</v>
      </c>
      <c r="H486" s="1" t="str">
        <f t="shared" si="3"/>
        <v>Shelves v0.5</v>
      </c>
      <c r="I486" t="str">
        <f t="shared" si="4"/>
        <v>S</v>
      </c>
      <c r="J486" s="1" t="str">
        <f t="shared" ref="J486:Q486" si="490">indirect(address($G486+4, column()-9, 4, , $H486))</f>
        <v>R63, R96</v>
      </c>
      <c r="K486" s="1">
        <f t="shared" si="490"/>
        <v>2</v>
      </c>
      <c r="L486" s="1" t="str">
        <f t="shared" si="490"/>
        <v>Resistor, 1%</v>
      </c>
      <c r="M486" s="1" t="str">
        <f t="shared" si="490"/>
        <v/>
      </c>
      <c r="N486" s="1" t="str">
        <f t="shared" si="490"/>
        <v>1.5M</v>
      </c>
      <c r="O486" s="1" t="str">
        <f t="shared" si="490"/>
        <v>0603</v>
      </c>
      <c r="P486" s="1" t="str">
        <f t="shared" si="490"/>
        <v>667-ERJ-3EKF1504V</v>
      </c>
      <c r="Q486" s="1" t="str">
        <f t="shared" si="490"/>
        <v/>
      </c>
    </row>
    <row r="487">
      <c r="D487" s="282"/>
      <c r="F487" s="1">
        <v>13.0</v>
      </c>
      <c r="G487" s="60">
        <f t="shared" si="2"/>
        <v>12</v>
      </c>
      <c r="H487" s="1" t="str">
        <f t="shared" si="3"/>
        <v>Shelves v0.5</v>
      </c>
      <c r="I487" t="str">
        <f t="shared" si="4"/>
        <v>S</v>
      </c>
      <c r="J487" s="1" t="str">
        <f t="shared" ref="J487:Q487" si="491">indirect(address($G487+4, column()-9, 4, , $H487))</f>
        <v>C6, C7, C25, C26, C40, C41</v>
      </c>
      <c r="K487" s="1">
        <f t="shared" si="491"/>
        <v>6</v>
      </c>
      <c r="L487" s="1" t="str">
        <f t="shared" si="491"/>
        <v>Capacitor, ceramic</v>
      </c>
      <c r="M487" s="1" t="str">
        <f t="shared" si="491"/>
        <v>&gt;= 50V, 1%</v>
      </c>
      <c r="N487" s="1" t="str">
        <f t="shared" si="491"/>
        <v>68p</v>
      </c>
      <c r="O487" s="1" t="str">
        <f t="shared" si="491"/>
        <v>0603</v>
      </c>
      <c r="P487" s="1" t="str">
        <f t="shared" si="491"/>
        <v>81-GRM185C1H680FA01J</v>
      </c>
      <c r="Q487" s="1" t="str">
        <f t="shared" si="491"/>
        <v>Murata GRM1885C1H680FA01J</v>
      </c>
    </row>
    <row r="488">
      <c r="D488" s="282"/>
      <c r="F488" s="1">
        <v>13.0</v>
      </c>
      <c r="G488" s="60">
        <f t="shared" si="2"/>
        <v>13</v>
      </c>
      <c r="H488" s="1" t="str">
        <f t="shared" si="3"/>
        <v>Shelves v0.5</v>
      </c>
      <c r="I488" t="str">
        <f t="shared" si="4"/>
        <v>S</v>
      </c>
      <c r="J488" s="1" t="str">
        <f t="shared" ref="J488:Q488" si="492">indirect(address($G488+4, column()-9, 4, , $H488))</f>
        <v>C10, C11, C14, C15, C16, C17, C18, C19, C23, C24, C29, C30, C32, C33, C34, C38, C39, C45, C46, C47, C48, C49</v>
      </c>
      <c r="K488" s="1">
        <f t="shared" si="492"/>
        <v>22</v>
      </c>
      <c r="L488" s="1" t="str">
        <f t="shared" si="492"/>
        <v>Capacitor, ceramic</v>
      </c>
      <c r="M488" s="1" t="str">
        <f t="shared" si="492"/>
        <v>&gt;= 25V</v>
      </c>
      <c r="N488" s="1" t="str">
        <f t="shared" si="492"/>
        <v>560p</v>
      </c>
      <c r="O488" s="1" t="str">
        <f t="shared" si="492"/>
        <v>0603</v>
      </c>
      <c r="P488" s="1" t="str">
        <f t="shared" si="492"/>
        <v>81-GRM185C1E561JA01D</v>
      </c>
      <c r="Q488" s="1" t="str">
        <f t="shared" si="492"/>
        <v>Murata GRM1885C1E561JA01D</v>
      </c>
    </row>
    <row r="489">
      <c r="D489" s="282"/>
      <c r="F489" s="1">
        <v>13.0</v>
      </c>
      <c r="G489" s="60">
        <f t="shared" si="2"/>
        <v>14</v>
      </c>
      <c r="H489" s="1" t="str">
        <f t="shared" si="3"/>
        <v>Shelves v0.5</v>
      </c>
      <c r="I489" t="str">
        <f t="shared" si="4"/>
        <v>S</v>
      </c>
      <c r="J489" s="1" t="str">
        <f t="shared" ref="J489:Q489" si="493">indirect(address($G489+4, column()-9, 4, , $H489))</f>
        <v>C3, C4, C5, C8, C9, C12, C13, C20, C21, C22, C27, C28, C31, C35, C36, C37, C42, C43, C44, C50, C51, C52, C53, C54, C55, C56, C57</v>
      </c>
      <c r="K489" s="1">
        <f t="shared" si="493"/>
        <v>27</v>
      </c>
      <c r="L489" s="1" t="str">
        <f t="shared" si="493"/>
        <v>Capacitor, ceramic</v>
      </c>
      <c r="M489" s="1" t="str">
        <f t="shared" si="493"/>
        <v>&gt;= 16V</v>
      </c>
      <c r="N489" s="1" t="str">
        <f t="shared" si="493"/>
        <v>100n</v>
      </c>
      <c r="O489" s="1" t="str">
        <f t="shared" si="493"/>
        <v>0603</v>
      </c>
      <c r="P489" s="1" t="str">
        <f t="shared" si="493"/>
        <v>81-GRM188R71E104JA1J</v>
      </c>
      <c r="Q489" s="1" t="str">
        <f t="shared" si="493"/>
        <v>Murata GRM188R71E104JA01J</v>
      </c>
    </row>
    <row r="490">
      <c r="D490" s="282"/>
      <c r="F490" s="1">
        <v>13.0</v>
      </c>
      <c r="G490" s="60">
        <f t="shared" si="2"/>
        <v>15</v>
      </c>
      <c r="H490" s="1" t="str">
        <f t="shared" si="3"/>
        <v>Shelves v0.5</v>
      </c>
      <c r="I490" t="str">
        <f t="shared" si="4"/>
        <v>S</v>
      </c>
      <c r="J490" s="1" t="str">
        <f t="shared" ref="J490:Q490" si="494">indirect(address($G490+4, column()-9, 4, , $H490))</f>
        <v>C1, C2, C58</v>
      </c>
      <c r="K490" s="1">
        <f t="shared" si="494"/>
        <v>3</v>
      </c>
      <c r="L490" s="1" t="str">
        <f t="shared" si="494"/>
        <v>Capacitor, electrolytic</v>
      </c>
      <c r="M490" s="1" t="str">
        <f t="shared" si="494"/>
        <v>&gt;= 25V</v>
      </c>
      <c r="N490" s="1" t="str">
        <f t="shared" si="494"/>
        <v>22u</v>
      </c>
      <c r="O490" s="1" t="str">
        <f t="shared" si="494"/>
        <v>Panasonic C</v>
      </c>
      <c r="P490" s="1" t="str">
        <f t="shared" si="494"/>
        <v>667-EEE-FP1E220AR</v>
      </c>
      <c r="Q490" s="1" t="str">
        <f t="shared" si="494"/>
        <v>EEE-FP1E220AR</v>
      </c>
    </row>
    <row r="491">
      <c r="D491" s="282"/>
      <c r="F491" s="1">
        <v>13.0</v>
      </c>
      <c r="G491" s="60">
        <f t="shared" si="2"/>
        <v>16</v>
      </c>
      <c r="H491" s="1" t="str">
        <f t="shared" si="3"/>
        <v>Shelves v0.5</v>
      </c>
      <c r="I491" t="str">
        <f t="shared" si="4"/>
        <v>S</v>
      </c>
      <c r="J491" s="1" t="str">
        <f t="shared" ref="J491:Q491" si="495">indirect(address($G491+4, column()-9, 4, , $H491))</f>
        <v>D1, D2</v>
      </c>
      <c r="K491" s="1">
        <f t="shared" si="495"/>
        <v>2</v>
      </c>
      <c r="L491" s="1" t="str">
        <f t="shared" si="495"/>
        <v>1N5819HW diode</v>
      </c>
      <c r="M491" s="1" t="str">
        <f t="shared" si="495"/>
        <v/>
      </c>
      <c r="N491" s="1" t="str">
        <f t="shared" si="495"/>
        <v/>
      </c>
      <c r="O491" s="1" t="str">
        <f t="shared" si="495"/>
        <v>SOD123</v>
      </c>
      <c r="P491" s="1" t="str">
        <f t="shared" si="495"/>
        <v>621-1N5819HW-F</v>
      </c>
      <c r="Q491" s="1" t="str">
        <f t="shared" si="495"/>
        <v>Diodes Inc 1N5819HW-7-F</v>
      </c>
    </row>
    <row r="492">
      <c r="D492" s="282"/>
      <c r="F492" s="1">
        <v>13.0</v>
      </c>
      <c r="G492" s="60">
        <f t="shared" si="2"/>
        <v>17</v>
      </c>
      <c r="H492" s="1" t="str">
        <f t="shared" si="3"/>
        <v>Shelves v0.5</v>
      </c>
      <c r="I492" t="str">
        <f t="shared" si="4"/>
        <v>S</v>
      </c>
      <c r="J492" s="1" t="str">
        <f t="shared" ref="J492:Q492" si="496">indirect(address($G492+4, column()-9, 4, , $H492))</f>
        <v>D3, D4, D5, D6, D7, D8, D9, D10, D11, D12, D13, D14, D15, D16</v>
      </c>
      <c r="K492" s="1">
        <f t="shared" si="496"/>
        <v>14</v>
      </c>
      <c r="L492" s="1" t="str">
        <f t="shared" si="496"/>
        <v>1N4148 diode</v>
      </c>
      <c r="M492" s="1" t="str">
        <f t="shared" si="496"/>
        <v/>
      </c>
      <c r="N492" s="1" t="str">
        <f t="shared" si="496"/>
        <v/>
      </c>
      <c r="O492" s="1" t="str">
        <f t="shared" si="496"/>
        <v>SOD323</v>
      </c>
      <c r="P492" s="1" t="str">
        <f t="shared" si="496"/>
        <v>512-1N4148WS</v>
      </c>
      <c r="Q492" s="1" t="str">
        <f t="shared" si="496"/>
        <v>Fairchild 1N4148WS</v>
      </c>
    </row>
    <row r="493">
      <c r="D493" s="282"/>
      <c r="F493" s="1">
        <v>13.0</v>
      </c>
      <c r="G493" s="60">
        <f t="shared" si="2"/>
        <v>18</v>
      </c>
      <c r="H493" s="1" t="str">
        <f t="shared" si="3"/>
        <v>Shelves v0.5</v>
      </c>
      <c r="I493" t="str">
        <f t="shared" si="4"/>
        <v>S</v>
      </c>
      <c r="J493" s="1" t="str">
        <f t="shared" ref="J493:Q493" si="497">indirect(address($G493+4, column()-9, 4, , $H493))</f>
        <v>P1</v>
      </c>
      <c r="K493" s="1">
        <f t="shared" si="497"/>
        <v>1</v>
      </c>
      <c r="L493" s="1" t="str">
        <f t="shared" si="497"/>
        <v>Resettable fuse</v>
      </c>
      <c r="M493" s="1" t="str">
        <f t="shared" si="497"/>
        <v>&gt;= 15V</v>
      </c>
      <c r="N493" s="1" t="str">
        <f t="shared" si="497"/>
        <v>&gt;0.1A</v>
      </c>
      <c r="O493" s="1">
        <f t="shared" si="497"/>
        <v>1206</v>
      </c>
      <c r="P493" s="1" t="str">
        <f t="shared" si="497"/>
        <v>576-1206L035/16YR</v>
      </c>
      <c r="Q493" s="1" t="str">
        <f t="shared" si="497"/>
        <v>Littelfuse 1206L035/16YR</v>
      </c>
    </row>
    <row r="494">
      <c r="D494" s="282"/>
      <c r="F494" s="1">
        <v>13.0</v>
      </c>
      <c r="G494" s="60">
        <f t="shared" si="2"/>
        <v>19</v>
      </c>
      <c r="H494" s="1" t="str">
        <f t="shared" si="3"/>
        <v>Shelves v0.5</v>
      </c>
      <c r="I494" t="str">
        <f t="shared" si="4"/>
        <v>S</v>
      </c>
      <c r="J494" s="1" t="str">
        <f t="shared" ref="J494:Q494" si="498">indirect(address($G494+4, column()-9, 4, , $H494))</f>
        <v>Q1</v>
      </c>
      <c r="K494" s="1">
        <f t="shared" si="498"/>
        <v>1</v>
      </c>
      <c r="L494" s="1" t="str">
        <f t="shared" si="498"/>
        <v>NPN transistor MMBT3904</v>
      </c>
      <c r="M494" s="1" t="str">
        <f t="shared" si="498"/>
        <v/>
      </c>
      <c r="N494" s="1" t="str">
        <f t="shared" si="498"/>
        <v/>
      </c>
      <c r="O494" s="1" t="str">
        <f t="shared" si="498"/>
        <v>SOT23</v>
      </c>
      <c r="P494" s="1" t="str">
        <f t="shared" si="498"/>
        <v>863-MMBT3904LT1G</v>
      </c>
      <c r="Q494" s="1" t="str">
        <f t="shared" si="498"/>
        <v>On Semi MMBT3904LT1G</v>
      </c>
    </row>
    <row r="495">
      <c r="D495" s="282"/>
      <c r="F495" s="1">
        <v>13.0</v>
      </c>
      <c r="G495" s="60">
        <f t="shared" si="2"/>
        <v>20</v>
      </c>
      <c r="H495" s="1" t="str">
        <f t="shared" si="3"/>
        <v>Shelves v0.5</v>
      </c>
      <c r="I495" t="str">
        <f t="shared" si="4"/>
        <v>S</v>
      </c>
      <c r="J495" s="1" t="str">
        <f t="shared" ref="J495:Q495" si="499">indirect(address($G495+4, column()-9, 4, , $H495))</f>
        <v>IC5, IC8, IC11</v>
      </c>
      <c r="K495" s="1">
        <f t="shared" si="499"/>
        <v>3</v>
      </c>
      <c r="L495" s="1" t="str">
        <f t="shared" si="499"/>
        <v>V2164 quad VCA</v>
      </c>
      <c r="M495" s="1" t="str">
        <f t="shared" si="499"/>
        <v/>
      </c>
      <c r="N495" s="1" t="str">
        <f t="shared" si="499"/>
        <v/>
      </c>
      <c r="O495" s="1" t="str">
        <f t="shared" si="499"/>
        <v>SOIC16</v>
      </c>
      <c r="P495" s="288" t="str">
        <f t="shared" si="499"/>
        <v>V2164M @ CabinTech</v>
      </c>
      <c r="Q495" s="1" t="str">
        <f t="shared" si="499"/>
        <v>CoolAudio V2164M</v>
      </c>
    </row>
    <row r="496">
      <c r="D496" s="282"/>
      <c r="F496" s="1">
        <v>13.0</v>
      </c>
      <c r="G496" s="60">
        <f t="shared" si="2"/>
        <v>21</v>
      </c>
      <c r="H496" s="1" t="str">
        <f t="shared" si="3"/>
        <v>Shelves v0.5</v>
      </c>
      <c r="I496" t="str">
        <f t="shared" si="4"/>
        <v>S</v>
      </c>
      <c r="J496" s="1" t="str">
        <f t="shared" ref="J496:Q496" si="500">indirect(address($G496+4, column()-9, 4, , $H496))</f>
        <v>IC3, IC12, IC13, IC14</v>
      </c>
      <c r="K496" s="1">
        <f t="shared" si="500"/>
        <v>4</v>
      </c>
      <c r="L496" s="1" t="str">
        <f t="shared" si="500"/>
        <v>TL072 dual op-amp</v>
      </c>
      <c r="M496" s="1" t="str">
        <f t="shared" si="500"/>
        <v/>
      </c>
      <c r="N496" s="1" t="str">
        <f t="shared" si="500"/>
        <v/>
      </c>
      <c r="O496" s="1" t="str">
        <f t="shared" si="500"/>
        <v>SOIC8</v>
      </c>
      <c r="P496" s="1" t="str">
        <f t="shared" si="500"/>
        <v>595-TL072CD</v>
      </c>
      <c r="Q496" s="1" t="str">
        <f t="shared" si="500"/>
        <v>TI TL072CD</v>
      </c>
    </row>
    <row r="497">
      <c r="D497" s="282"/>
      <c r="F497" s="1">
        <v>13.0</v>
      </c>
      <c r="G497" s="60">
        <f t="shared" si="2"/>
        <v>22</v>
      </c>
      <c r="H497" s="1" t="str">
        <f t="shared" si="3"/>
        <v>Shelves v0.5</v>
      </c>
      <c r="I497" t="str">
        <f t="shared" si="4"/>
        <v>S</v>
      </c>
      <c r="J497" s="1" t="str">
        <f t="shared" ref="J497:Q497" si="501">indirect(address($G497+4, column()-9, 4, , $H497))</f>
        <v>IC4, IC6, IC7, IC9, IC10</v>
      </c>
      <c r="K497" s="1">
        <f t="shared" si="501"/>
        <v>5</v>
      </c>
      <c r="L497" s="1" t="str">
        <f t="shared" si="501"/>
        <v>TL074 quad op-amp</v>
      </c>
      <c r="M497" s="1" t="str">
        <f t="shared" si="501"/>
        <v/>
      </c>
      <c r="N497" s="1" t="str">
        <f t="shared" si="501"/>
        <v/>
      </c>
      <c r="O497" s="1" t="str">
        <f t="shared" si="501"/>
        <v>SOIC14</v>
      </c>
      <c r="P497" s="1" t="str">
        <f t="shared" si="501"/>
        <v>595-TL074CD</v>
      </c>
      <c r="Q497" s="1" t="str">
        <f t="shared" si="501"/>
        <v>Texas Instruments TL074CD</v>
      </c>
    </row>
    <row r="498">
      <c r="D498" s="282"/>
      <c r="F498" s="1">
        <v>13.0</v>
      </c>
      <c r="G498" s="60">
        <f t="shared" si="2"/>
        <v>23</v>
      </c>
      <c r="H498" s="1" t="str">
        <f t="shared" si="3"/>
        <v>Shelves v0.5</v>
      </c>
      <c r="I498" t="str">
        <f t="shared" si="4"/>
        <v>S</v>
      </c>
      <c r="J498" s="1" t="str">
        <f t="shared" ref="J498:Q498" si="502">indirect(address($G498+4, column()-9, 4, , $H498))</f>
        <v>IC1, IC2</v>
      </c>
      <c r="K498" s="1">
        <f t="shared" si="502"/>
        <v>2</v>
      </c>
      <c r="L498" s="1" t="str">
        <f t="shared" si="502"/>
        <v>LM4040 Shunt Vref</v>
      </c>
      <c r="M498" s="1" t="str">
        <f t="shared" si="502"/>
        <v>A, B or C grade</v>
      </c>
      <c r="N498" s="1" t="str">
        <f t="shared" si="502"/>
        <v>10V</v>
      </c>
      <c r="O498" s="1" t="str">
        <f t="shared" si="502"/>
        <v>SOT23</v>
      </c>
      <c r="P498" s="1" t="str">
        <f t="shared" si="502"/>
        <v>595-LM4040C10IDBZR</v>
      </c>
      <c r="Q498" s="1" t="str">
        <f t="shared" si="502"/>
        <v>Texas Instruments LM4040C10IDBZ</v>
      </c>
    </row>
    <row r="499">
      <c r="D499" s="282"/>
      <c r="F499" s="1">
        <v>13.0</v>
      </c>
      <c r="G499" s="60">
        <f t="shared" si="2"/>
        <v>24</v>
      </c>
      <c r="H499" s="1" t="str">
        <f t="shared" si="3"/>
        <v>Shelves v0.5</v>
      </c>
      <c r="I499" t="str">
        <f t="shared" si="4"/>
        <v/>
      </c>
      <c r="J499" s="1" t="str">
        <f t="shared" ref="J499:Q499" si="503">indirect(address($G499+4, column()-9, 4, , $H499))</f>
        <v>PTH parts, top side</v>
      </c>
      <c r="K499" s="1" t="str">
        <f t="shared" si="503"/>
        <v/>
      </c>
      <c r="L499" s="1" t="str">
        <f t="shared" si="503"/>
        <v/>
      </c>
      <c r="M499" s="1" t="str">
        <f t="shared" si="503"/>
        <v/>
      </c>
      <c r="N499" s="1" t="str">
        <f t="shared" si="503"/>
        <v/>
      </c>
      <c r="O499" s="1" t="str">
        <f t="shared" si="503"/>
        <v/>
      </c>
      <c r="P499" s="1" t="str">
        <f t="shared" si="503"/>
        <v/>
      </c>
      <c r="Q499" s="1" t="str">
        <f t="shared" si="503"/>
        <v/>
      </c>
    </row>
    <row r="500">
      <c r="D500" s="282"/>
      <c r="F500" s="1">
        <v>13.0</v>
      </c>
      <c r="G500" s="60">
        <f t="shared" si="2"/>
        <v>25</v>
      </c>
      <c r="H500" s="1" t="str">
        <f t="shared" si="3"/>
        <v>Shelves v0.5</v>
      </c>
      <c r="I500" t="str">
        <f t="shared" si="4"/>
        <v>U</v>
      </c>
      <c r="J500" s="1" t="str">
        <f t="shared" ref="J500:Q500" si="504">indirect(address($G500+4, column()-9, 4, , $H500))</f>
        <v>J1, J2, J3, J4, J5, J6, J7, J8, J9, J10, J11, J12, J13, J14</v>
      </c>
      <c r="K500" s="1">
        <f t="shared" si="504"/>
        <v>14</v>
      </c>
      <c r="L500" s="1" t="str">
        <f t="shared" si="504"/>
        <v>Vertical jack connector</v>
      </c>
      <c r="M500" s="1" t="str">
        <f t="shared" si="504"/>
        <v/>
      </c>
      <c r="N500" s="1" t="str">
        <f t="shared" si="504"/>
        <v/>
      </c>
      <c r="O500" s="1" t="str">
        <f t="shared" si="504"/>
        <v/>
      </c>
      <c r="P500" s="1" t="str">
        <f t="shared" si="504"/>
        <v/>
      </c>
      <c r="Q500" s="1" t="str">
        <f t="shared" si="504"/>
        <v>PJ-301-M-12</v>
      </c>
    </row>
    <row r="501">
      <c r="D501" s="282"/>
      <c r="F501" s="1">
        <v>13.0</v>
      </c>
      <c r="G501" s="60">
        <f t="shared" si="2"/>
        <v>26</v>
      </c>
      <c r="H501" s="1" t="str">
        <f t="shared" si="3"/>
        <v>Shelves v0.5</v>
      </c>
      <c r="I501" t="str">
        <f t="shared" si="4"/>
        <v>U</v>
      </c>
      <c r="J501" s="1" t="str">
        <f t="shared" ref="J501:Q501" si="505">indirect(address($G501+4, column()-9, 4, , $H501))</f>
        <v>LED1</v>
      </c>
      <c r="K501" s="1">
        <f t="shared" si="505"/>
        <v>1</v>
      </c>
      <c r="L501" s="1" t="str">
        <f t="shared" si="505"/>
        <v>LED 3mm, red</v>
      </c>
      <c r="M501" s="1" t="str">
        <f t="shared" si="505"/>
        <v/>
      </c>
      <c r="N501" s="1" t="str">
        <f t="shared" si="505"/>
        <v/>
      </c>
      <c r="O501" s="1" t="str">
        <f t="shared" si="505"/>
        <v/>
      </c>
      <c r="P501" s="1" t="str">
        <f t="shared" si="505"/>
        <v>604-WP710A10ID</v>
      </c>
      <c r="Q501" s="1" t="str">
        <f t="shared" si="505"/>
        <v/>
      </c>
    </row>
    <row r="502">
      <c r="D502" s="282"/>
      <c r="F502" s="1">
        <v>13.0</v>
      </c>
      <c r="G502" s="60">
        <f t="shared" si="2"/>
        <v>27</v>
      </c>
      <c r="H502" s="1" t="str">
        <f t="shared" si="3"/>
        <v>Shelves v0.5</v>
      </c>
      <c r="I502" t="str">
        <f t="shared" si="4"/>
        <v>U</v>
      </c>
      <c r="J502" s="1" t="str">
        <f t="shared" ref="J502:Q502" si="506">indirect(address($G502+4, column()-9, 4, , $H502))</f>
        <v>R42, R65</v>
      </c>
      <c r="K502" s="1">
        <f t="shared" si="506"/>
        <v>2</v>
      </c>
      <c r="L502" s="1" t="str">
        <f t="shared" si="506"/>
        <v>10k linear pot, 25mm shaft with marker</v>
      </c>
      <c r="M502" s="1" t="str">
        <f t="shared" si="506"/>
        <v/>
      </c>
      <c r="N502" s="1" t="str">
        <f t="shared" si="506"/>
        <v/>
      </c>
      <c r="O502" s="1" t="str">
        <f t="shared" si="506"/>
        <v/>
      </c>
      <c r="P502" s="1" t="str">
        <f t="shared" si="506"/>
        <v>652-PTV09A-4025UB103</v>
      </c>
      <c r="Q502" s="288" t="str">
        <f t="shared" si="506"/>
        <v>https://www.thonk.co.uk/shop/ttpots/</v>
      </c>
    </row>
    <row r="503">
      <c r="D503" s="282"/>
      <c r="F503" s="1">
        <v>13.0</v>
      </c>
      <c r="G503" s="60">
        <f t="shared" si="2"/>
        <v>28</v>
      </c>
      <c r="H503" s="1" t="str">
        <f t="shared" si="3"/>
        <v>Shelves v0.5</v>
      </c>
      <c r="I503" t="str">
        <f t="shared" si="4"/>
        <v>U</v>
      </c>
      <c r="J503" s="1" t="str">
        <f t="shared" ref="J503:Q503" si="507">indirect(address($G503+4, column()-9, 4, , $H503))</f>
        <v>R3, R4, R34, R36, R68, R69, R100, R101</v>
      </c>
      <c r="K503" s="1">
        <f t="shared" si="507"/>
        <v>8</v>
      </c>
      <c r="L503" s="1" t="str">
        <f t="shared" si="507"/>
        <v>10k linear pot, 15mm shaft</v>
      </c>
      <c r="M503" s="1" t="str">
        <f t="shared" si="507"/>
        <v/>
      </c>
      <c r="N503" s="1" t="str">
        <f t="shared" si="507"/>
        <v/>
      </c>
      <c r="O503" s="1" t="str">
        <f t="shared" si="507"/>
        <v/>
      </c>
      <c r="P503" s="1" t="str">
        <f t="shared" si="507"/>
        <v/>
      </c>
      <c r="Q503" s="288" t="str">
        <f t="shared" si="507"/>
        <v>https://www.thonk.co.uk/shop/alpha-9mm-pots/</v>
      </c>
    </row>
    <row r="504">
      <c r="D504" s="282"/>
      <c r="F504" s="1">
        <v>13.0</v>
      </c>
      <c r="G504" s="60">
        <f t="shared" si="2"/>
        <v>29</v>
      </c>
      <c r="H504" s="1" t="str">
        <f t="shared" si="3"/>
        <v>Shelves v0.5</v>
      </c>
      <c r="I504" t="str">
        <f t="shared" si="4"/>
        <v/>
      </c>
      <c r="J504" s="1" t="str">
        <f t="shared" ref="J504:Q504" si="508">indirect(address($G504+4, column()-9, 4, , $H504))</f>
        <v>PTH parts, bottom side</v>
      </c>
      <c r="K504" s="290" t="str">
        <f t="shared" si="508"/>
        <v/>
      </c>
      <c r="L504" s="1" t="str">
        <f t="shared" si="508"/>
        <v/>
      </c>
      <c r="M504" s="1" t="str">
        <f t="shared" si="508"/>
        <v/>
      </c>
      <c r="N504" s="289" t="str">
        <f t="shared" si="508"/>
        <v/>
      </c>
      <c r="O504" s="289" t="str">
        <f t="shared" si="508"/>
        <v/>
      </c>
      <c r="P504" s="290" t="str">
        <f t="shared" si="508"/>
        <v/>
      </c>
      <c r="Q504" s="1" t="str">
        <f t="shared" si="508"/>
        <v/>
      </c>
    </row>
    <row r="505">
      <c r="D505" s="282"/>
      <c r="F505" s="1">
        <v>13.0</v>
      </c>
      <c r="G505" s="60">
        <f t="shared" si="2"/>
        <v>30</v>
      </c>
      <c r="H505" s="1" t="str">
        <f t="shared" si="3"/>
        <v>Shelves v0.5</v>
      </c>
      <c r="I505" t="str">
        <f t="shared" si="4"/>
        <v>D</v>
      </c>
      <c r="J505" s="1" t="str">
        <f t="shared" ref="J505:Q505" si="509">indirect(address($G505+4, column()-9, 4, , $H505))</f>
        <v>JP11</v>
      </c>
      <c r="K505" s="1">
        <f t="shared" si="509"/>
        <v>1</v>
      </c>
      <c r="L505" s="1" t="str">
        <f t="shared" si="509"/>
        <v>2x5 male header, 2.54mm pitch</v>
      </c>
      <c r="M505" s="1" t="str">
        <f t="shared" si="509"/>
        <v/>
      </c>
      <c r="N505" s="1" t="str">
        <f t="shared" si="509"/>
        <v/>
      </c>
      <c r="O505" s="1" t="str">
        <f t="shared" si="509"/>
        <v/>
      </c>
      <c r="P505" s="1" t="str">
        <f t="shared" si="509"/>
        <v>649-67996-410HLF</v>
      </c>
      <c r="Q505" s="1" t="str">
        <f t="shared" si="509"/>
        <v/>
      </c>
    </row>
    <row r="506">
      <c r="D506" s="282"/>
      <c r="F506" s="1">
        <v>13.0</v>
      </c>
      <c r="G506" s="60">
        <f t="shared" si="2"/>
        <v>31</v>
      </c>
      <c r="H506" s="1" t="str">
        <f t="shared" si="3"/>
        <v>Shelves v0.5</v>
      </c>
      <c r="I506" t="str">
        <f t="shared" si="4"/>
        <v>D</v>
      </c>
      <c r="J506" s="1" t="str">
        <f t="shared" ref="J506:Q506" si="510">indirect(address($G506+4, column()-9, 4, , $H506))</f>
        <v>JP5+JP7, JP6+JP13</v>
      </c>
      <c r="K506" s="1">
        <f t="shared" si="510"/>
        <v>2</v>
      </c>
      <c r="L506" s="1" t="str">
        <f t="shared" si="510"/>
        <v>2x3 male header, 2.54mm pitch</v>
      </c>
      <c r="M506" s="1" t="str">
        <f t="shared" si="510"/>
        <v/>
      </c>
      <c r="N506" s="289" t="str">
        <f t="shared" si="510"/>
        <v/>
      </c>
      <c r="O506" s="289" t="str">
        <f t="shared" si="510"/>
        <v/>
      </c>
      <c r="P506" s="1" t="str">
        <f t="shared" si="510"/>
        <v>649-67996-406HLF</v>
      </c>
      <c r="Q506" s="1" t="str">
        <f t="shared" si="510"/>
        <v/>
      </c>
    </row>
    <row r="507">
      <c r="D507" s="282"/>
      <c r="F507" s="1">
        <v>13.0</v>
      </c>
      <c r="G507" s="60">
        <f t="shared" si="2"/>
        <v>32</v>
      </c>
      <c r="H507" s="1" t="str">
        <f t="shared" si="3"/>
        <v>Shelves v0.5</v>
      </c>
      <c r="I507" t="str">
        <f t="shared" si="4"/>
        <v>D</v>
      </c>
      <c r="J507" s="1" t="str">
        <f t="shared" ref="J507:Q507" si="511">indirect(address($G507+4, column()-9, 4, , $H507))</f>
        <v>Jumper</v>
      </c>
      <c r="K507" s="1">
        <f t="shared" si="511"/>
        <v>1</v>
      </c>
      <c r="L507" s="1" t="str">
        <f t="shared" si="511"/>
        <v>2.54 Shunt jumper</v>
      </c>
      <c r="M507" s="1" t="str">
        <f t="shared" si="511"/>
        <v/>
      </c>
      <c r="N507" s="1" t="str">
        <f t="shared" si="511"/>
        <v/>
      </c>
      <c r="O507" s="1" t="str">
        <f t="shared" si="511"/>
        <v/>
      </c>
      <c r="P507" s="1" t="str">
        <f t="shared" si="511"/>
        <v>517-9691020000DA</v>
      </c>
      <c r="Q507" s="1" t="str">
        <f t="shared" si="511"/>
        <v/>
      </c>
    </row>
    <row r="508">
      <c r="D508" s="282"/>
      <c r="F508" s="1">
        <v>13.0</v>
      </c>
      <c r="G508" s="60">
        <f t="shared" si="2"/>
        <v>33</v>
      </c>
      <c r="H508" s="1" t="str">
        <f t="shared" si="3"/>
        <v>Shelves v0.5</v>
      </c>
      <c r="I508" t="str">
        <f t="shared" si="4"/>
        <v>D</v>
      </c>
      <c r="J508" s="1" t="str">
        <f t="shared" ref="J508:Q508" si="512">indirect(address($G508+4, column()-9, 4, , $H508))</f>
        <v>JP2</v>
      </c>
      <c r="K508" s="1">
        <f t="shared" si="512"/>
        <v>1</v>
      </c>
      <c r="L508" s="1" t="str">
        <f t="shared" si="512"/>
        <v>1x3 male header, 2.54mm pitch</v>
      </c>
      <c r="M508" s="1" t="str">
        <f t="shared" si="512"/>
        <v/>
      </c>
      <c r="N508" s="1" t="str">
        <f t="shared" si="512"/>
        <v/>
      </c>
      <c r="O508" s="1" t="str">
        <f t="shared" si="512"/>
        <v/>
      </c>
      <c r="P508" s="1" t="str">
        <f t="shared" si="512"/>
        <v>649-77311-118-03LF</v>
      </c>
      <c r="Q508" s="1" t="str">
        <f t="shared" si="512"/>
        <v/>
      </c>
    </row>
    <row r="509">
      <c r="D509" s="282"/>
      <c r="F509" s="1">
        <v>13.0</v>
      </c>
      <c r="G509" s="60">
        <f t="shared" si="2"/>
        <v>34</v>
      </c>
      <c r="H509" s="1" t="str">
        <f t="shared" si="3"/>
        <v>Shelves v0.5</v>
      </c>
      <c r="I509" t="str">
        <f t="shared" si="4"/>
        <v/>
      </c>
      <c r="J509" s="1" t="str">
        <f t="shared" ref="J509:Q509" si="513">indirect(address($G509+4, column()-9, 4, , $H509))</f>
        <v>PCB specifications</v>
      </c>
      <c r="K509" s="1" t="str">
        <f t="shared" si="513"/>
        <v/>
      </c>
      <c r="L509" s="1" t="str">
        <f t="shared" si="513"/>
        <v/>
      </c>
      <c r="M509" s="1" t="str">
        <f t="shared" si="513"/>
        <v/>
      </c>
      <c r="N509" s="289" t="str">
        <f t="shared" si="513"/>
        <v/>
      </c>
      <c r="O509" s="1" t="str">
        <f t="shared" si="513"/>
        <v/>
      </c>
      <c r="P509" s="292" t="str">
        <f t="shared" si="513"/>
        <v/>
      </c>
      <c r="Q509" s="1" t="str">
        <f t="shared" si="513"/>
        <v/>
      </c>
    </row>
    <row r="510">
      <c r="D510" s="282"/>
      <c r="F510" s="1">
        <v>13.0</v>
      </c>
      <c r="G510" s="60">
        <f t="shared" si="2"/>
        <v>35</v>
      </c>
      <c r="H510" s="1" t="str">
        <f t="shared" si="3"/>
        <v>Shelves v0.5</v>
      </c>
      <c r="I510" t="str">
        <f t="shared" si="4"/>
        <v>P</v>
      </c>
      <c r="J510" s="1" t="str">
        <f t="shared" ref="J510:Q510" si="514">indirect(address($G510+4, column()-9, 4, , $H510))</f>
        <v>PCB</v>
      </c>
      <c r="K510" s="1" t="str">
        <f t="shared" si="514"/>
        <v/>
      </c>
      <c r="L510" s="1" t="str">
        <f t="shared" si="514"/>
        <v>107.6 x 78.7 ; 2 layers</v>
      </c>
      <c r="M510" s="1" t="str">
        <f t="shared" si="514"/>
        <v/>
      </c>
      <c r="N510" s="1" t="str">
        <f t="shared" si="514"/>
        <v/>
      </c>
      <c r="O510" s="1" t="str">
        <f t="shared" si="514"/>
        <v/>
      </c>
      <c r="P510" s="1" t="str">
        <f t="shared" si="514"/>
        <v/>
      </c>
      <c r="Q510" s="1" t="str">
        <f t="shared" si="514"/>
        <v/>
      </c>
    </row>
    <row r="511">
      <c r="D511" s="282"/>
      <c r="F511" s="1">
        <v>14.0</v>
      </c>
      <c r="G511" s="60">
        <f t="shared" si="2"/>
        <v>0</v>
      </c>
      <c r="H511" s="1" t="str">
        <f t="shared" si="3"/>
        <v>shelves_expander_v10</v>
      </c>
      <c r="I511" t="str">
        <f t="shared" si="4"/>
        <v>S</v>
      </c>
      <c r="J511" s="1" t="str">
        <f t="shared" ref="J511:Q511" si="515">indirect(address($G511+4, column()-9, 4, , $H511))</f>
        <v>R1, R2, R3, R4, R5, R6</v>
      </c>
      <c r="K511" s="1">
        <f t="shared" si="515"/>
        <v>6</v>
      </c>
      <c r="L511" s="1" t="str">
        <f t="shared" si="515"/>
        <v>Resistor, 1%</v>
      </c>
      <c r="M511" s="1" t="str">
        <f t="shared" si="515"/>
        <v/>
      </c>
      <c r="N511" s="289" t="str">
        <f t="shared" si="515"/>
        <v>1.0k</v>
      </c>
      <c r="O511" s="1" t="str">
        <f t="shared" si="515"/>
        <v>0603</v>
      </c>
      <c r="P511" s="292" t="str">
        <f t="shared" si="515"/>
        <v>667-ERJ3-EKF1001V</v>
      </c>
      <c r="Q511" s="1" t="str">
        <f t="shared" si="515"/>
        <v/>
      </c>
    </row>
    <row r="512">
      <c r="D512" s="282"/>
      <c r="F512" s="1">
        <v>14.0</v>
      </c>
      <c r="G512" s="60">
        <f t="shared" si="2"/>
        <v>1</v>
      </c>
      <c r="H512" s="1" t="str">
        <f t="shared" si="3"/>
        <v>shelves_expander_v10</v>
      </c>
      <c r="I512" t="str">
        <f t="shared" si="4"/>
        <v/>
      </c>
      <c r="J512" s="1" t="str">
        <f t="shared" ref="J512:Q512" si="516">indirect(address($G512+4, column()-9, 4, , $H512))</f>
        <v>PTH parts, top side</v>
      </c>
      <c r="K512" s="1" t="str">
        <f t="shared" si="516"/>
        <v/>
      </c>
      <c r="L512" s="1" t="str">
        <f t="shared" si="516"/>
        <v/>
      </c>
      <c r="M512" s="1" t="str">
        <f t="shared" si="516"/>
        <v/>
      </c>
      <c r="N512" s="1" t="str">
        <f t="shared" si="516"/>
        <v/>
      </c>
      <c r="O512" s="1" t="str">
        <f t="shared" si="516"/>
        <v/>
      </c>
      <c r="P512" s="1" t="str">
        <f t="shared" si="516"/>
        <v/>
      </c>
      <c r="Q512" s="1" t="str">
        <f t="shared" si="516"/>
        <v/>
      </c>
    </row>
    <row r="513">
      <c r="D513" s="282"/>
      <c r="F513" s="1">
        <v>14.0</v>
      </c>
      <c r="G513" s="60">
        <f t="shared" si="2"/>
        <v>2</v>
      </c>
      <c r="H513" s="1" t="str">
        <f t="shared" si="3"/>
        <v>shelves_expander_v10</v>
      </c>
      <c r="I513" t="str">
        <f t="shared" si="4"/>
        <v>U</v>
      </c>
      <c r="J513" s="1" t="str">
        <f t="shared" ref="J513:Q513" si="517">indirect(address($G513+4, column()-9, 4, , $H513))</f>
        <v>J1, J2, J3, J4, J5, J6</v>
      </c>
      <c r="K513" s="1">
        <f t="shared" si="517"/>
        <v>6</v>
      </c>
      <c r="L513" s="1" t="str">
        <f t="shared" si="517"/>
        <v>Vertical jack connector</v>
      </c>
      <c r="M513" s="1" t="str">
        <f t="shared" si="517"/>
        <v/>
      </c>
      <c r="N513" s="289" t="str">
        <f t="shared" si="517"/>
        <v/>
      </c>
      <c r="O513" s="1" t="str">
        <f t="shared" si="517"/>
        <v/>
      </c>
      <c r="P513" s="292" t="str">
        <f t="shared" si="517"/>
        <v/>
      </c>
      <c r="Q513" s="1" t="str">
        <f t="shared" si="517"/>
        <v>PJ-301-M-12</v>
      </c>
    </row>
    <row r="514">
      <c r="D514" s="282"/>
      <c r="F514" s="1">
        <v>14.0</v>
      </c>
      <c r="G514" s="60">
        <f t="shared" si="2"/>
        <v>3</v>
      </c>
      <c r="H514" s="1" t="str">
        <f t="shared" si="3"/>
        <v>shelves_expander_v10</v>
      </c>
      <c r="I514" t="str">
        <f t="shared" si="4"/>
        <v/>
      </c>
      <c r="J514" s="1" t="str">
        <f t="shared" ref="J514:Q514" si="518">indirect(address($G514+4, column()-9, 4, , $H514))</f>
        <v>PTH parts, bottom side</v>
      </c>
      <c r="K514" s="1" t="str">
        <f t="shared" si="518"/>
        <v/>
      </c>
      <c r="L514" s="1" t="str">
        <f t="shared" si="518"/>
        <v/>
      </c>
      <c r="M514" s="1" t="str">
        <f t="shared" si="518"/>
        <v/>
      </c>
      <c r="N514" s="289" t="str">
        <f t="shared" si="518"/>
        <v/>
      </c>
      <c r="O514" s="1" t="str">
        <f t="shared" si="518"/>
        <v/>
      </c>
      <c r="P514" s="292" t="str">
        <f t="shared" si="518"/>
        <v/>
      </c>
      <c r="Q514" s="1" t="str">
        <f t="shared" si="518"/>
        <v/>
      </c>
    </row>
    <row r="515">
      <c r="D515" s="282"/>
      <c r="F515" s="1">
        <v>14.0</v>
      </c>
      <c r="G515" s="60">
        <f t="shared" si="2"/>
        <v>4</v>
      </c>
      <c r="H515" s="1" t="str">
        <f t="shared" si="3"/>
        <v>shelves_expander_v10</v>
      </c>
      <c r="I515" t="str">
        <f t="shared" si="4"/>
        <v>D</v>
      </c>
      <c r="J515" s="1" t="str">
        <f t="shared" ref="J515:Q515" si="519">indirect(address($G515+4, column()-9, 4, , $H515))</f>
        <v/>
      </c>
      <c r="K515" s="291">
        <f t="shared" si="519"/>
        <v>2</v>
      </c>
      <c r="L515" s="1" t="str">
        <f t="shared" si="519"/>
        <v>2x3, 2.54mm pitch male header</v>
      </c>
      <c r="M515" s="1" t="str">
        <f t="shared" si="519"/>
        <v/>
      </c>
      <c r="N515" s="289" t="str">
        <f t="shared" si="519"/>
        <v/>
      </c>
      <c r="O515" s="289" t="str">
        <f t="shared" si="519"/>
        <v/>
      </c>
      <c r="P515" s="1" t="str">
        <f t="shared" si="519"/>
        <v>649-67996-406HLF</v>
      </c>
      <c r="Q515" s="1" t="str">
        <f t="shared" si="519"/>
        <v/>
      </c>
    </row>
    <row r="516">
      <c r="D516" s="282"/>
      <c r="F516" s="1">
        <v>14.0</v>
      </c>
      <c r="G516" s="60">
        <f t="shared" si="2"/>
        <v>5</v>
      </c>
      <c r="H516" s="1" t="str">
        <f t="shared" si="3"/>
        <v>shelves_expander_v10</v>
      </c>
      <c r="I516" t="str">
        <f t="shared" si="4"/>
        <v/>
      </c>
      <c r="J516" s="1" t="str">
        <f t="shared" ref="J516:Q516" si="520">indirect(address($G516+4, column()-9, 4, , $H516))</f>
        <v>PCB specifications</v>
      </c>
      <c r="K516" s="1" t="str">
        <f t="shared" si="520"/>
        <v/>
      </c>
      <c r="L516" s="1" t="str">
        <f t="shared" si="520"/>
        <v/>
      </c>
      <c r="M516" s="1" t="str">
        <f t="shared" si="520"/>
        <v/>
      </c>
      <c r="N516" s="289" t="str">
        <f t="shared" si="520"/>
        <v/>
      </c>
      <c r="O516" s="1" t="str">
        <f t="shared" si="520"/>
        <v/>
      </c>
      <c r="P516" s="292" t="str">
        <f t="shared" si="520"/>
        <v/>
      </c>
      <c r="Q516" s="1" t="str">
        <f t="shared" si="520"/>
        <v/>
      </c>
    </row>
    <row r="517">
      <c r="D517" s="282"/>
      <c r="F517" s="1">
        <v>14.0</v>
      </c>
      <c r="G517" s="60">
        <f t="shared" si="2"/>
        <v>6</v>
      </c>
      <c r="H517" s="1" t="str">
        <f t="shared" si="3"/>
        <v>shelves_expander_v10</v>
      </c>
      <c r="I517" t="str">
        <f t="shared" si="4"/>
        <v>P</v>
      </c>
      <c r="J517" s="1" t="str">
        <f t="shared" ref="J517:Q517" si="521">indirect(address($G517+4, column()-9, 4, , $H517))</f>
        <v>PCB</v>
      </c>
      <c r="K517" s="1" t="str">
        <f t="shared" si="521"/>
        <v/>
      </c>
      <c r="L517" s="1" t="str">
        <f t="shared" si="521"/>
        <v>14.6 x 105.7 ; 2 layers</v>
      </c>
      <c r="M517" s="1" t="str">
        <f t="shared" si="521"/>
        <v/>
      </c>
      <c r="N517" s="289" t="str">
        <f t="shared" si="521"/>
        <v/>
      </c>
      <c r="O517" s="1" t="str">
        <f t="shared" si="521"/>
        <v/>
      </c>
      <c r="P517" s="292" t="str">
        <f t="shared" si="521"/>
        <v/>
      </c>
      <c r="Q517" s="1" t="str">
        <f t="shared" si="521"/>
        <v/>
      </c>
    </row>
    <row r="518">
      <c r="D518" s="282"/>
      <c r="F518" s="1">
        <v>15.0</v>
      </c>
      <c r="G518" s="60">
        <f t="shared" si="2"/>
        <v>0</v>
      </c>
      <c r="H518" s="1" t="str">
        <f t="shared" si="3"/>
        <v>Streams v0.5</v>
      </c>
      <c r="I518" t="str">
        <f t="shared" si="4"/>
        <v>S</v>
      </c>
      <c r="J518" s="1" t="str">
        <f t="shared" ref="J518:Q518" si="522">indirect(address($G518+4, column()-9, 4, , $H518))</f>
        <v>R11</v>
      </c>
      <c r="K518" s="1">
        <f t="shared" si="522"/>
        <v>1</v>
      </c>
      <c r="L518" s="1" t="str">
        <f t="shared" si="522"/>
        <v>Resistor, 5%, 250mW</v>
      </c>
      <c r="M518" s="1" t="str">
        <f t="shared" si="522"/>
        <v/>
      </c>
      <c r="N518" s="1">
        <f t="shared" si="522"/>
        <v>4.7</v>
      </c>
      <c r="O518" s="1" t="str">
        <f t="shared" si="522"/>
        <v>1206</v>
      </c>
      <c r="P518" s="1" t="str">
        <f t="shared" si="522"/>
        <v>667-ERJ-8GEYJ4R7V</v>
      </c>
      <c r="Q518" s="1" t="str">
        <f t="shared" si="522"/>
        <v/>
      </c>
    </row>
    <row r="519">
      <c r="D519" s="282"/>
      <c r="F519" s="1">
        <v>15.0</v>
      </c>
      <c r="G519" s="60">
        <f t="shared" si="2"/>
        <v>1</v>
      </c>
      <c r="H519" s="1" t="str">
        <f t="shared" si="3"/>
        <v>Streams v0.5</v>
      </c>
      <c r="I519" t="str">
        <f t="shared" si="4"/>
        <v>S</v>
      </c>
      <c r="J519" s="1" t="str">
        <f t="shared" ref="J519:Q519" si="523">indirect(address($G519+4, column()-9, 4, , $H519))</f>
        <v>R31, R38, R40, R41, R43, R45, R47, R48, R50, R55</v>
      </c>
      <c r="K519" s="1">
        <f t="shared" si="523"/>
        <v>10</v>
      </c>
      <c r="L519" s="1" t="str">
        <f t="shared" si="523"/>
        <v>Resistor, 1%</v>
      </c>
      <c r="M519" s="1" t="str">
        <f t="shared" si="523"/>
        <v/>
      </c>
      <c r="N519" s="1">
        <f t="shared" si="523"/>
        <v>510</v>
      </c>
      <c r="O519" s="1" t="str">
        <f t="shared" si="523"/>
        <v>0603</v>
      </c>
      <c r="P519" s="1" t="str">
        <f t="shared" si="523"/>
        <v>667-ERJ-3EKF5100V</v>
      </c>
      <c r="Q519" s="1" t="str">
        <f t="shared" si="523"/>
        <v/>
      </c>
    </row>
    <row r="520">
      <c r="D520" s="282"/>
      <c r="F520" s="1">
        <v>15.0</v>
      </c>
      <c r="G520" s="60">
        <f t="shared" si="2"/>
        <v>2</v>
      </c>
      <c r="H520" s="1" t="str">
        <f t="shared" si="3"/>
        <v>Streams v0.5</v>
      </c>
      <c r="I520" t="str">
        <f t="shared" si="4"/>
        <v>S</v>
      </c>
      <c r="J520" s="1" t="str">
        <f t="shared" ref="J520:Q520" si="524">indirect(address($G520+4, column()-9, 4, , $H520))</f>
        <v>R6, R7, R16, R17, R46, R61, R62</v>
      </c>
      <c r="K520" s="1">
        <f t="shared" si="524"/>
        <v>7</v>
      </c>
      <c r="L520" s="1" t="str">
        <f t="shared" si="524"/>
        <v>Resistor, 1%</v>
      </c>
      <c r="M520" s="1" t="str">
        <f t="shared" si="524"/>
        <v/>
      </c>
      <c r="N520" s="1" t="str">
        <f t="shared" si="524"/>
        <v>1.0k</v>
      </c>
      <c r="O520" s="1" t="str">
        <f t="shared" si="524"/>
        <v>0603</v>
      </c>
      <c r="P520" s="1" t="str">
        <f t="shared" si="524"/>
        <v>667-ERJ-3EKF1001V</v>
      </c>
      <c r="Q520" s="1" t="str">
        <f t="shared" si="524"/>
        <v/>
      </c>
    </row>
    <row r="521">
      <c r="D521" s="282"/>
      <c r="F521" s="1">
        <v>15.0</v>
      </c>
      <c r="G521" s="60">
        <f t="shared" si="2"/>
        <v>3</v>
      </c>
      <c r="H521" s="1" t="str">
        <f t="shared" si="3"/>
        <v>Streams v0.5</v>
      </c>
      <c r="I521" t="str">
        <f t="shared" si="4"/>
        <v>S</v>
      </c>
      <c r="J521" s="1" t="str">
        <f t="shared" ref="J521:Q521" si="525">indirect(address($G521+4, column()-9, 4, , $H521))</f>
        <v>R4, R5</v>
      </c>
      <c r="K521" s="1">
        <f t="shared" si="525"/>
        <v>2</v>
      </c>
      <c r="L521" s="1" t="str">
        <f t="shared" si="525"/>
        <v>Resistor, 1%</v>
      </c>
      <c r="M521" s="1" t="str">
        <f t="shared" si="525"/>
        <v/>
      </c>
      <c r="N521" s="1" t="str">
        <f t="shared" si="525"/>
        <v>1.2k</v>
      </c>
      <c r="O521" s="1" t="str">
        <f t="shared" si="525"/>
        <v>0603</v>
      </c>
      <c r="P521" s="1" t="str">
        <f t="shared" si="525"/>
        <v>667-ERJ-3EKF1201V</v>
      </c>
      <c r="Q521" s="1" t="str">
        <f t="shared" si="525"/>
        <v/>
      </c>
    </row>
    <row r="522">
      <c r="D522" s="282"/>
      <c r="F522" s="1">
        <v>15.0</v>
      </c>
      <c r="G522" s="60">
        <f t="shared" si="2"/>
        <v>4</v>
      </c>
      <c r="H522" s="1" t="str">
        <f t="shared" si="3"/>
        <v>Streams v0.5</v>
      </c>
      <c r="I522" t="str">
        <f t="shared" si="4"/>
        <v>S</v>
      </c>
      <c r="J522" s="1" t="str">
        <f t="shared" ref="J522:Q522" si="526">indirect(address($G522+4, column()-9, 4, , $H522))</f>
        <v>R8, R57</v>
      </c>
      <c r="K522" s="1">
        <f t="shared" si="526"/>
        <v>2</v>
      </c>
      <c r="L522" s="1" t="str">
        <f t="shared" si="526"/>
        <v>Resistor, 1%</v>
      </c>
      <c r="M522" s="1" t="str">
        <f t="shared" si="526"/>
        <v/>
      </c>
      <c r="N522" s="1" t="str">
        <f t="shared" si="526"/>
        <v>3.3k</v>
      </c>
      <c r="O522" s="1" t="str">
        <f t="shared" si="526"/>
        <v>0603</v>
      </c>
      <c r="P522" s="1" t="str">
        <f t="shared" si="526"/>
        <v>667-ERJ-3EKF3301V</v>
      </c>
      <c r="Q522" s="1" t="str">
        <f t="shared" si="526"/>
        <v/>
      </c>
    </row>
    <row r="523">
      <c r="D523" s="282"/>
      <c r="F523" s="1">
        <v>15.0</v>
      </c>
      <c r="G523" s="60">
        <f t="shared" si="2"/>
        <v>5</v>
      </c>
      <c r="H523" s="1" t="str">
        <f t="shared" si="3"/>
        <v>Streams v0.5</v>
      </c>
      <c r="I523" t="str">
        <f t="shared" si="4"/>
        <v>S</v>
      </c>
      <c r="J523" s="1" t="str">
        <f t="shared" ref="J523:Q523" si="527">indirect(address($G523+4, column()-9, 4, , $H523))</f>
        <v>R1, R20, R21</v>
      </c>
      <c r="K523" s="1">
        <f t="shared" si="527"/>
        <v>3</v>
      </c>
      <c r="L523" s="1" t="str">
        <f t="shared" si="527"/>
        <v>Resistor, 1%</v>
      </c>
      <c r="M523" s="1" t="str">
        <f t="shared" si="527"/>
        <v/>
      </c>
      <c r="N523" s="1" t="str">
        <f t="shared" si="527"/>
        <v>10k</v>
      </c>
      <c r="O523" s="1" t="str">
        <f t="shared" si="527"/>
        <v>0603</v>
      </c>
      <c r="P523" s="1" t="str">
        <f t="shared" si="527"/>
        <v>667-ERJ-3EKF1002V</v>
      </c>
      <c r="Q523" s="1" t="str">
        <f t="shared" si="527"/>
        <v/>
      </c>
    </row>
    <row r="524">
      <c r="D524" s="282"/>
      <c r="F524" s="1">
        <v>15.0</v>
      </c>
      <c r="G524" s="60">
        <f t="shared" si="2"/>
        <v>6</v>
      </c>
      <c r="H524" s="1" t="str">
        <f t="shared" si="3"/>
        <v>Streams v0.5</v>
      </c>
      <c r="I524" t="str">
        <f t="shared" si="4"/>
        <v>S</v>
      </c>
      <c r="J524" s="1" t="str">
        <f t="shared" ref="J524:Q524" si="528">indirect(address($G524+4, column()-9, 4, , $H524))</f>
        <v>R29, R30</v>
      </c>
      <c r="K524" s="1">
        <f t="shared" si="528"/>
        <v>2</v>
      </c>
      <c r="L524" s="1" t="str">
        <f t="shared" si="528"/>
        <v>Resistor, 1%</v>
      </c>
      <c r="M524" s="1" t="str">
        <f t="shared" si="528"/>
        <v/>
      </c>
      <c r="N524" s="1" t="str">
        <f t="shared" si="528"/>
        <v>14k</v>
      </c>
      <c r="O524" s="1" t="str">
        <f t="shared" si="528"/>
        <v>0603</v>
      </c>
      <c r="P524" s="1" t="str">
        <f t="shared" si="528"/>
        <v>667-ERJ-3EKF1402V</v>
      </c>
      <c r="Q524" s="1" t="str">
        <f t="shared" si="528"/>
        <v/>
      </c>
    </row>
    <row r="525">
      <c r="D525" s="282"/>
      <c r="F525" s="1">
        <v>15.0</v>
      </c>
      <c r="G525" s="60">
        <f t="shared" si="2"/>
        <v>7</v>
      </c>
      <c r="H525" s="1" t="str">
        <f t="shared" si="3"/>
        <v>Streams v0.5</v>
      </c>
      <c r="I525" t="str">
        <f t="shared" si="4"/>
        <v>S</v>
      </c>
      <c r="J525" s="1" t="str">
        <f t="shared" ref="J525:Q525" si="529">indirect(address($G525+4, column()-9, 4, , $H525))</f>
        <v>R18, R19, R22, R23</v>
      </c>
      <c r="K525" s="1">
        <f t="shared" si="529"/>
        <v>4</v>
      </c>
      <c r="L525" s="1" t="str">
        <f t="shared" si="529"/>
        <v>Resistor, 1%</v>
      </c>
      <c r="M525" s="1" t="str">
        <f t="shared" si="529"/>
        <v/>
      </c>
      <c r="N525" s="1" t="str">
        <f t="shared" si="529"/>
        <v>20k</v>
      </c>
      <c r="O525" s="1" t="str">
        <f t="shared" si="529"/>
        <v>0603</v>
      </c>
      <c r="P525" s="1" t="str">
        <f t="shared" si="529"/>
        <v>667-ERJ-3EKF2002V</v>
      </c>
      <c r="Q525" s="1" t="str">
        <f t="shared" si="529"/>
        <v/>
      </c>
    </row>
    <row r="526">
      <c r="D526" s="282"/>
      <c r="F526" s="1">
        <v>15.0</v>
      </c>
      <c r="G526" s="60">
        <f t="shared" si="2"/>
        <v>8</v>
      </c>
      <c r="H526" s="1" t="str">
        <f t="shared" si="3"/>
        <v>Streams v0.5</v>
      </c>
      <c r="I526" t="str">
        <f t="shared" si="4"/>
        <v>S</v>
      </c>
      <c r="J526" s="1" t="str">
        <f t="shared" ref="J526:Q526" si="530">indirect(address($G526+4, column()-9, 4, , $H526))</f>
        <v>R60, R63</v>
      </c>
      <c r="K526" s="1">
        <f t="shared" si="530"/>
        <v>2</v>
      </c>
      <c r="L526" s="1" t="str">
        <f t="shared" si="530"/>
        <v>Resistor, 1%</v>
      </c>
      <c r="M526" s="1" t="str">
        <f t="shared" si="530"/>
        <v/>
      </c>
      <c r="N526" s="1" t="str">
        <f t="shared" si="530"/>
        <v>24.9k</v>
      </c>
      <c r="O526" s="1" t="str">
        <f t="shared" si="530"/>
        <v>0603</v>
      </c>
      <c r="P526" s="1" t="str">
        <f t="shared" si="530"/>
        <v>667-ERJ-3EKF2492V</v>
      </c>
      <c r="Q526" s="1" t="str">
        <f t="shared" si="530"/>
        <v/>
      </c>
    </row>
    <row r="527">
      <c r="D527" s="282"/>
      <c r="F527" s="1">
        <v>15.0</v>
      </c>
      <c r="G527" s="60">
        <f t="shared" si="2"/>
        <v>9</v>
      </c>
      <c r="H527" s="1" t="str">
        <f t="shared" si="3"/>
        <v>Streams v0.5</v>
      </c>
      <c r="I527" t="str">
        <f t="shared" si="4"/>
        <v>S</v>
      </c>
      <c r="J527" s="1" t="str">
        <f t="shared" ref="J527:Q527" si="531">indirect(address($G527+4, column()-9, 4, , $H527))</f>
        <v>R12, R13, R25, R28, R34, R35, R39, R42, R49, R51, R52, R53, R54, R56, R58, R59</v>
      </c>
      <c r="K527" s="1">
        <f t="shared" si="531"/>
        <v>16</v>
      </c>
      <c r="L527" s="1" t="str">
        <f t="shared" si="531"/>
        <v>Resistor, 1%</v>
      </c>
      <c r="M527" s="1" t="str">
        <f t="shared" si="531"/>
        <v/>
      </c>
      <c r="N527" s="1" t="str">
        <f t="shared" si="531"/>
        <v>100k</v>
      </c>
      <c r="O527" s="1" t="str">
        <f t="shared" si="531"/>
        <v>0603</v>
      </c>
      <c r="P527" s="1" t="str">
        <f t="shared" si="531"/>
        <v>667-ERJ-3EKF1003V</v>
      </c>
      <c r="Q527" s="1" t="str">
        <f t="shared" si="531"/>
        <v/>
      </c>
    </row>
    <row r="528">
      <c r="D528" s="282"/>
      <c r="F528" s="1">
        <v>15.0</v>
      </c>
      <c r="G528" s="60">
        <f t="shared" si="2"/>
        <v>10</v>
      </c>
      <c r="H528" s="1" t="str">
        <f t="shared" si="3"/>
        <v>Streams v0.5</v>
      </c>
      <c r="I528" t="str">
        <f t="shared" si="4"/>
        <v>S</v>
      </c>
      <c r="J528" s="1" t="str">
        <f t="shared" ref="J528:Q528" si="532">indirect(address($G528+4, column()-9, 4, , $H528))</f>
        <v>R9, R10, R24, R26</v>
      </c>
      <c r="K528" s="1">
        <f t="shared" si="532"/>
        <v>4</v>
      </c>
      <c r="L528" s="1" t="str">
        <f t="shared" si="532"/>
        <v>Resistor, 1%</v>
      </c>
      <c r="M528" s="1" t="str">
        <f t="shared" si="532"/>
        <v/>
      </c>
      <c r="N528" s="1" t="str">
        <f t="shared" si="532"/>
        <v>120k</v>
      </c>
      <c r="O528" s="1" t="str">
        <f t="shared" si="532"/>
        <v>0603</v>
      </c>
      <c r="P528" s="1" t="str">
        <f t="shared" si="532"/>
        <v>667-ERJ-3EKF1203V</v>
      </c>
      <c r="Q528" s="1" t="str">
        <f t="shared" si="532"/>
        <v/>
      </c>
    </row>
    <row r="529">
      <c r="D529" s="282"/>
      <c r="F529" s="1">
        <v>15.0</v>
      </c>
      <c r="G529" s="60">
        <f t="shared" si="2"/>
        <v>11</v>
      </c>
      <c r="H529" s="1" t="str">
        <f t="shared" si="3"/>
        <v>Streams v0.5</v>
      </c>
      <c r="I529" t="str">
        <f t="shared" si="4"/>
        <v>S</v>
      </c>
      <c r="J529" s="1" t="str">
        <f t="shared" ref="J529:Q529" si="533">indirect(address($G529+4, column()-9, 4, , $H529))</f>
        <v>R37, R44</v>
      </c>
      <c r="K529" s="1">
        <f t="shared" si="533"/>
        <v>2</v>
      </c>
      <c r="L529" s="1" t="str">
        <f t="shared" si="533"/>
        <v>Resistor, 1%</v>
      </c>
      <c r="M529" s="1" t="str">
        <f t="shared" si="533"/>
        <v/>
      </c>
      <c r="N529" s="1" t="str">
        <f t="shared" si="533"/>
        <v>200k</v>
      </c>
      <c r="O529" s="1" t="str">
        <f t="shared" si="533"/>
        <v>0603</v>
      </c>
      <c r="P529" s="1" t="str">
        <f t="shared" si="533"/>
        <v>667-ERJ-3EKF2003V</v>
      </c>
      <c r="Q529" s="1" t="str">
        <f t="shared" si="533"/>
        <v/>
      </c>
    </row>
    <row r="530">
      <c r="D530" s="282"/>
      <c r="F530" s="1">
        <v>15.0</v>
      </c>
      <c r="G530" s="60">
        <f t="shared" si="2"/>
        <v>12</v>
      </c>
      <c r="H530" s="1" t="str">
        <f t="shared" si="3"/>
        <v>Streams v0.5</v>
      </c>
      <c r="I530" t="str">
        <f t="shared" si="4"/>
        <v>S</v>
      </c>
      <c r="J530" s="1" t="str">
        <f t="shared" ref="J530:Q530" si="534">indirect(address($G530+4, column()-9, 4, , $H530))</f>
        <v>R64, R65</v>
      </c>
      <c r="K530" s="1">
        <f t="shared" si="534"/>
        <v>2</v>
      </c>
      <c r="L530" s="1" t="str">
        <f t="shared" si="534"/>
        <v>Resistor, 1%</v>
      </c>
      <c r="M530" s="1" t="str">
        <f t="shared" si="534"/>
        <v/>
      </c>
      <c r="N530" s="1" t="str">
        <f t="shared" si="534"/>
        <v>10M</v>
      </c>
      <c r="O530" s="1" t="str">
        <f t="shared" si="534"/>
        <v>0603</v>
      </c>
      <c r="P530" s="1" t="str">
        <f t="shared" si="534"/>
        <v>71-CRCW0603-10M-E3</v>
      </c>
      <c r="Q530" s="1" t="str">
        <f t="shared" si="534"/>
        <v/>
      </c>
    </row>
    <row r="531">
      <c r="D531" s="282"/>
      <c r="F531" s="1">
        <v>15.0</v>
      </c>
      <c r="G531" s="60">
        <f t="shared" si="2"/>
        <v>13</v>
      </c>
      <c r="H531" s="1" t="str">
        <f t="shared" si="3"/>
        <v>Streams v0.5</v>
      </c>
      <c r="I531" t="str">
        <f t="shared" si="4"/>
        <v>S</v>
      </c>
      <c r="J531" s="1" t="str">
        <f t="shared" ref="J531:Q531" si="535">indirect(address($G531+4, column()-9, 4, , $H531))</f>
        <v>C5, C12</v>
      </c>
      <c r="K531" s="1">
        <f t="shared" si="535"/>
        <v>2</v>
      </c>
      <c r="L531" s="1" t="str">
        <f t="shared" si="535"/>
        <v>Capacitor, ceramic</v>
      </c>
      <c r="M531" s="1" t="str">
        <f t="shared" si="535"/>
        <v/>
      </c>
      <c r="N531" s="1" t="str">
        <f t="shared" si="535"/>
        <v>18p</v>
      </c>
      <c r="O531" s="1" t="str">
        <f t="shared" si="535"/>
        <v>0603</v>
      </c>
      <c r="P531" s="1" t="str">
        <f t="shared" si="535"/>
        <v>81-GRM185C1H180JA01J</v>
      </c>
      <c r="Q531" s="1" t="str">
        <f t="shared" si="535"/>
        <v>Murata GRM1885C1H180JA01J</v>
      </c>
    </row>
    <row r="532">
      <c r="D532" s="282"/>
      <c r="F532" s="1">
        <v>15.0</v>
      </c>
      <c r="G532" s="60">
        <f t="shared" si="2"/>
        <v>14</v>
      </c>
      <c r="H532" s="1" t="str">
        <f t="shared" si="3"/>
        <v>Streams v0.5</v>
      </c>
      <c r="I532" t="str">
        <f t="shared" si="4"/>
        <v>S</v>
      </c>
      <c r="J532" s="1" t="str">
        <f t="shared" ref="J532:Q532" si="536">indirect(address($G532+4, column()-9, 4, , $H532))</f>
        <v>C30, C31, C40, C43, C52, C53</v>
      </c>
      <c r="K532" s="1">
        <f t="shared" si="536"/>
        <v>6</v>
      </c>
      <c r="L532" s="1" t="str">
        <f t="shared" si="536"/>
        <v>Capacitor, ceramic</v>
      </c>
      <c r="M532" s="1" t="str">
        <f t="shared" si="536"/>
        <v>&gt;= 50V, &lt;= 2%</v>
      </c>
      <c r="N532" s="1" t="str">
        <f t="shared" si="536"/>
        <v>33p</v>
      </c>
      <c r="O532" s="1" t="str">
        <f t="shared" si="536"/>
        <v>0603</v>
      </c>
      <c r="P532" s="1" t="str">
        <f t="shared" si="536"/>
        <v>81-GRM39C330G50</v>
      </c>
      <c r="Q532" s="1" t="str">
        <f t="shared" si="536"/>
        <v>Murata GRM1885C1H330GA01D</v>
      </c>
    </row>
    <row r="533">
      <c r="D533" s="282"/>
      <c r="F533" s="1">
        <v>15.0</v>
      </c>
      <c r="G533" s="60">
        <f t="shared" si="2"/>
        <v>15</v>
      </c>
      <c r="H533" s="1" t="str">
        <f t="shared" si="3"/>
        <v>Streams v0.5</v>
      </c>
      <c r="I533" t="str">
        <f t="shared" si="4"/>
        <v>S</v>
      </c>
      <c r="J533" s="1" t="str">
        <f t="shared" ref="J533:Q533" si="537">indirect(address($G533+4, column()-9, 4, , $H533))</f>
        <v>C36, C37, C38, C42, C50, C51, C54, C55</v>
      </c>
      <c r="K533" s="1">
        <f t="shared" si="537"/>
        <v>8</v>
      </c>
      <c r="L533" s="1" t="str">
        <f t="shared" si="537"/>
        <v>Capacitor, ceramic</v>
      </c>
      <c r="M533" s="1" t="str">
        <f t="shared" si="537"/>
        <v>&gt;= 16V</v>
      </c>
      <c r="N533" s="1" t="str">
        <f t="shared" si="537"/>
        <v>560p</v>
      </c>
      <c r="O533" s="1" t="str">
        <f t="shared" si="537"/>
        <v>0603</v>
      </c>
      <c r="P533" s="1" t="str">
        <f t="shared" si="537"/>
        <v>81-GRM185C1E561JA01D</v>
      </c>
      <c r="Q533" s="1" t="str">
        <f t="shared" si="537"/>
        <v>Murata GRM1885C1E561JA01D</v>
      </c>
    </row>
    <row r="534">
      <c r="D534" s="282"/>
      <c r="F534" s="1">
        <v>15.0</v>
      </c>
      <c r="G534" s="60">
        <f t="shared" si="2"/>
        <v>16</v>
      </c>
      <c r="H534" s="1" t="str">
        <f t="shared" si="3"/>
        <v>Streams v0.5</v>
      </c>
      <c r="I534" t="str">
        <f t="shared" si="4"/>
        <v>S</v>
      </c>
      <c r="J534" s="1" t="str">
        <f t="shared" ref="J534:Q534" si="538">indirect(address($G534+4, column()-9, 4, , $H534))</f>
        <v>C18, C19, C22, C23, C26, C27</v>
      </c>
      <c r="K534" s="1">
        <f t="shared" si="538"/>
        <v>6</v>
      </c>
      <c r="L534" s="1" t="str">
        <f t="shared" si="538"/>
        <v>Capacitor, ceramic</v>
      </c>
      <c r="M534" s="1" t="str">
        <f t="shared" si="538"/>
        <v>&gt;= 50V, &lt;= 2%</v>
      </c>
      <c r="N534" s="1" t="str">
        <f t="shared" si="538"/>
        <v>1n</v>
      </c>
      <c r="O534" s="1" t="str">
        <f t="shared" si="538"/>
        <v>0603</v>
      </c>
      <c r="P534" s="1" t="str">
        <f t="shared" si="538"/>
        <v>81-GRM1885C1H102FA1J</v>
      </c>
      <c r="Q534" s="1" t="str">
        <f t="shared" si="538"/>
        <v>Murata GRM1885C1H102FA1J</v>
      </c>
    </row>
    <row r="535">
      <c r="D535" s="282"/>
      <c r="F535" s="1">
        <v>15.0</v>
      </c>
      <c r="G535" s="60">
        <f t="shared" si="2"/>
        <v>17</v>
      </c>
      <c r="H535" s="1" t="str">
        <f t="shared" si="3"/>
        <v>Streams v0.5</v>
      </c>
      <c r="I535" t="str">
        <f t="shared" si="4"/>
        <v>S</v>
      </c>
      <c r="J535" s="1" t="str">
        <f t="shared" ref="J535:Q535" si="539">indirect(address($G535+4, column()-9, 4, , $H535))</f>
        <v>C20, C21</v>
      </c>
      <c r="K535" s="1">
        <f t="shared" si="539"/>
        <v>2</v>
      </c>
      <c r="L535" s="1" t="str">
        <f t="shared" si="539"/>
        <v>Capacitor, ceramic</v>
      </c>
      <c r="M535" s="1" t="str">
        <f t="shared" si="539"/>
        <v>&gt;= 25V, &lt;= 5%</v>
      </c>
      <c r="N535" s="1" t="str">
        <f t="shared" si="539"/>
        <v>10n</v>
      </c>
      <c r="O535" s="1" t="str">
        <f t="shared" si="539"/>
        <v>0603</v>
      </c>
      <c r="P535" s="1" t="str">
        <f t="shared" si="539"/>
        <v>81-GRM18R71E103JA01D</v>
      </c>
      <c r="Q535" s="1" t="str">
        <f t="shared" si="539"/>
        <v>Murata GRM18R71E103JA01D</v>
      </c>
    </row>
    <row r="536">
      <c r="D536" s="282"/>
      <c r="F536" s="1">
        <v>15.0</v>
      </c>
      <c r="G536" s="60">
        <f t="shared" si="2"/>
        <v>18</v>
      </c>
      <c r="H536" s="1" t="str">
        <f t="shared" si="3"/>
        <v>Streams v0.5</v>
      </c>
      <c r="I536" t="str">
        <f t="shared" si="4"/>
        <v>S</v>
      </c>
      <c r="J536" s="1" t="str">
        <f t="shared" ref="J536:Q536" si="540">indirect(address($G536+4, column()-9, 4, , $H536))</f>
        <v>C1, C3, C4, C8, C10, C13, C14, C17, C25, C29, C32, C33, C34, C35, C39, C41, C44, C45, C46, C47, C48, C49, C56</v>
      </c>
      <c r="K536" s="1">
        <f t="shared" si="540"/>
        <v>23</v>
      </c>
      <c r="L536" s="1" t="str">
        <f t="shared" si="540"/>
        <v>Capacitor, ceramic</v>
      </c>
      <c r="M536" s="1" t="str">
        <f t="shared" si="540"/>
        <v>&gt;= 16V</v>
      </c>
      <c r="N536" s="1" t="str">
        <f t="shared" si="540"/>
        <v>100n</v>
      </c>
      <c r="O536" s="1" t="str">
        <f t="shared" si="540"/>
        <v>0603</v>
      </c>
      <c r="P536" s="1" t="str">
        <f t="shared" si="540"/>
        <v>81-GRM188R71E104JA1J</v>
      </c>
      <c r="Q536" s="1" t="str">
        <f t="shared" si="540"/>
        <v>Murata GRM188R71E104JA01J</v>
      </c>
    </row>
    <row r="537">
      <c r="D537" s="282"/>
      <c r="F537" s="1">
        <v>15.0</v>
      </c>
      <c r="G537" s="60">
        <f t="shared" si="2"/>
        <v>19</v>
      </c>
      <c r="H537" s="1" t="str">
        <f t="shared" si="3"/>
        <v>Streams v0.5</v>
      </c>
      <c r="I537" t="str">
        <f t="shared" si="4"/>
        <v>S</v>
      </c>
      <c r="J537" s="1" t="str">
        <f t="shared" ref="J537:Q537" si="541">indirect(address($G537+4, column()-9, 4, , $H537))</f>
        <v>C6, C7</v>
      </c>
      <c r="K537" s="1">
        <f t="shared" si="541"/>
        <v>2</v>
      </c>
      <c r="L537" s="1" t="str">
        <f t="shared" si="541"/>
        <v>Capacitor, ceramic</v>
      </c>
      <c r="M537" s="1" t="str">
        <f t="shared" si="541"/>
        <v>&lt;= 10%, X5R</v>
      </c>
      <c r="N537" s="1" t="str">
        <f t="shared" si="541"/>
        <v>680n</v>
      </c>
      <c r="O537" s="1" t="str">
        <f t="shared" si="541"/>
        <v>0603</v>
      </c>
      <c r="P537" s="1" t="str">
        <f t="shared" si="541"/>
        <v>81-GRM188R71A684KA1D</v>
      </c>
      <c r="Q537" s="1" t="str">
        <f t="shared" si="541"/>
        <v>Murata GRM188R71A684KA61D</v>
      </c>
    </row>
    <row r="538">
      <c r="D538" s="282"/>
      <c r="F538" s="1">
        <v>15.0</v>
      </c>
      <c r="G538" s="60">
        <f t="shared" si="2"/>
        <v>20</v>
      </c>
      <c r="H538" s="1" t="str">
        <f t="shared" si="3"/>
        <v>Streams v0.5</v>
      </c>
      <c r="I538" t="str">
        <f t="shared" si="4"/>
        <v>S</v>
      </c>
      <c r="J538" s="1" t="str">
        <f t="shared" ref="J538:Q538" si="542">indirect(address($G538+4, column()-9, 4, , $H538))</f>
        <v>C9, C15</v>
      </c>
      <c r="K538" s="1">
        <f t="shared" si="542"/>
        <v>2</v>
      </c>
      <c r="L538" s="1" t="str">
        <f t="shared" si="542"/>
        <v>Capacitor, ceramic</v>
      </c>
      <c r="M538" s="1" t="str">
        <f t="shared" si="542"/>
        <v>&gt;= 6.3V</v>
      </c>
      <c r="N538" s="1" t="str">
        <f t="shared" si="542"/>
        <v>3.3u</v>
      </c>
      <c r="O538" s="1" t="str">
        <f t="shared" si="542"/>
        <v>0603</v>
      </c>
      <c r="P538" s="1" t="str">
        <f t="shared" si="542"/>
        <v>81-GRM188R61A335KE5D</v>
      </c>
      <c r="Q538" s="1" t="str">
        <f t="shared" si="542"/>
        <v/>
      </c>
    </row>
    <row r="539">
      <c r="D539" s="282"/>
      <c r="F539" s="1">
        <v>15.0</v>
      </c>
      <c r="G539" s="60">
        <f t="shared" si="2"/>
        <v>21</v>
      </c>
      <c r="H539" s="1" t="str">
        <f t="shared" si="3"/>
        <v>Streams v0.5</v>
      </c>
      <c r="I539" t="str">
        <f t="shared" si="4"/>
        <v>S</v>
      </c>
      <c r="J539" s="1" t="str">
        <f t="shared" ref="J539:Q539" si="543">indirect(address($G539+4, column()-9, 4, , $H539))</f>
        <v>C2, C24, C28</v>
      </c>
      <c r="K539" s="1">
        <f t="shared" si="543"/>
        <v>3</v>
      </c>
      <c r="L539" s="1" t="str">
        <f t="shared" si="543"/>
        <v>Capacitor, electrolytic</v>
      </c>
      <c r="M539" s="1" t="str">
        <f t="shared" si="543"/>
        <v>&gt;= 25V</v>
      </c>
      <c r="N539" s="1" t="str">
        <f t="shared" si="543"/>
        <v>10u</v>
      </c>
      <c r="O539" s="1" t="str">
        <f t="shared" si="543"/>
        <v>Panasonic B</v>
      </c>
      <c r="P539" s="1" t="str">
        <f t="shared" si="543"/>
        <v>667-EEE-1EA100WR</v>
      </c>
      <c r="Q539" s="1" t="str">
        <f t="shared" si="543"/>
        <v>EEE-1EA100WR</v>
      </c>
    </row>
    <row r="540">
      <c r="D540" s="282"/>
      <c r="F540" s="1">
        <v>15.0</v>
      </c>
      <c r="G540" s="60">
        <f t="shared" si="2"/>
        <v>22</v>
      </c>
      <c r="H540" s="1" t="str">
        <f t="shared" si="3"/>
        <v>Streams v0.5</v>
      </c>
      <c r="I540" t="str">
        <f t="shared" si="4"/>
        <v>S</v>
      </c>
      <c r="J540" s="1" t="str">
        <f t="shared" ref="J540:Q540" si="544">indirect(address($G540+4, column()-9, 4, , $H540))</f>
        <v>C11</v>
      </c>
      <c r="K540" s="1">
        <f t="shared" si="544"/>
        <v>1</v>
      </c>
      <c r="L540" s="1" t="str">
        <f t="shared" si="544"/>
        <v>Capacitor, electrolytic</v>
      </c>
      <c r="M540" s="1" t="str">
        <f t="shared" si="544"/>
        <v>&gt;= 16V</v>
      </c>
      <c r="N540" s="1" t="str">
        <f t="shared" si="544"/>
        <v>22u</v>
      </c>
      <c r="O540" s="1" t="str">
        <f t="shared" si="544"/>
        <v>Panasonic B</v>
      </c>
      <c r="P540" s="1" t="str">
        <f t="shared" si="544"/>
        <v>667-EEE-HA1C220WR</v>
      </c>
      <c r="Q540" s="1" t="str">
        <f t="shared" si="544"/>
        <v>EEE-HA1C220WR</v>
      </c>
    </row>
    <row r="541">
      <c r="D541" s="282"/>
      <c r="F541" s="1">
        <v>15.0</v>
      </c>
      <c r="G541" s="60">
        <f t="shared" si="2"/>
        <v>23</v>
      </c>
      <c r="H541" s="1" t="str">
        <f t="shared" si="3"/>
        <v>Streams v0.5</v>
      </c>
      <c r="I541" t="str">
        <f t="shared" si="4"/>
        <v>S</v>
      </c>
      <c r="J541" s="1" t="str">
        <f t="shared" ref="J541:Q541" si="545">indirect(address($G541+4, column()-9, 4, , $H541))</f>
        <v>C16</v>
      </c>
      <c r="K541" s="1">
        <f t="shared" si="545"/>
        <v>1</v>
      </c>
      <c r="L541" s="1" t="str">
        <f t="shared" si="545"/>
        <v>Capacitor, electrolytic</v>
      </c>
      <c r="M541" s="1" t="str">
        <f t="shared" si="545"/>
        <v>&gt;= 25V</v>
      </c>
      <c r="N541" s="1" t="str">
        <f t="shared" si="545"/>
        <v>22u</v>
      </c>
      <c r="O541" s="1" t="str">
        <f t="shared" si="545"/>
        <v>Panasonic C</v>
      </c>
      <c r="P541" s="1" t="str">
        <f t="shared" si="545"/>
        <v>667-EEE-FP1E220AR</v>
      </c>
      <c r="Q541" s="1" t="str">
        <f t="shared" si="545"/>
        <v>EEE-FP1E220AR</v>
      </c>
    </row>
    <row r="542">
      <c r="D542" s="282"/>
      <c r="F542" s="1">
        <v>15.0</v>
      </c>
      <c r="G542" s="60">
        <f t="shared" si="2"/>
        <v>24</v>
      </c>
      <c r="H542" s="1" t="str">
        <f t="shared" si="3"/>
        <v>Streams v0.5</v>
      </c>
      <c r="I542" t="str">
        <f t="shared" si="4"/>
        <v>S</v>
      </c>
      <c r="J542" s="1" t="str">
        <f t="shared" ref="J542:Q542" si="546">indirect(address($G542+4, column()-9, 4, , $H542))</f>
        <v>D1, D2</v>
      </c>
      <c r="K542" s="1">
        <f t="shared" si="546"/>
        <v>2</v>
      </c>
      <c r="L542" s="1" t="str">
        <f t="shared" si="546"/>
        <v>BAT54S diode</v>
      </c>
      <c r="M542" s="1" t="str">
        <f t="shared" si="546"/>
        <v/>
      </c>
      <c r="N542" s="1" t="str">
        <f t="shared" si="546"/>
        <v/>
      </c>
      <c r="O542" s="1" t="str">
        <f t="shared" si="546"/>
        <v>SOT23</v>
      </c>
      <c r="P542" s="1" t="str">
        <f t="shared" si="546"/>
        <v>512-BAT54S</v>
      </c>
      <c r="Q542" s="1" t="str">
        <f t="shared" si="546"/>
        <v>BAT54S</v>
      </c>
    </row>
    <row r="543">
      <c r="D543" s="282"/>
      <c r="F543" s="1">
        <v>15.0</v>
      </c>
      <c r="G543" s="60">
        <f t="shared" si="2"/>
        <v>25</v>
      </c>
      <c r="H543" s="1" t="str">
        <f t="shared" si="3"/>
        <v>Streams v0.5</v>
      </c>
      <c r="I543" t="str">
        <f t="shared" si="4"/>
        <v>S</v>
      </c>
      <c r="J543" s="1" t="str">
        <f t="shared" ref="J543:Q543" si="547">indirect(address($G543+4, column()-9, 4, , $H543))</f>
        <v>D3, D6</v>
      </c>
      <c r="K543" s="1">
        <f t="shared" si="547"/>
        <v>2</v>
      </c>
      <c r="L543" s="1" t="str">
        <f t="shared" si="547"/>
        <v>1N5819HW diode</v>
      </c>
      <c r="M543" s="1" t="str">
        <f t="shared" si="547"/>
        <v/>
      </c>
      <c r="N543" s="1" t="str">
        <f t="shared" si="547"/>
        <v/>
      </c>
      <c r="O543" s="1" t="str">
        <f t="shared" si="547"/>
        <v>SOD123</v>
      </c>
      <c r="P543" s="1" t="str">
        <f t="shared" si="547"/>
        <v>621-1N5819HW-F</v>
      </c>
      <c r="Q543" s="1" t="str">
        <f t="shared" si="547"/>
        <v>Diodes Inc 1N5819HW-7-F</v>
      </c>
    </row>
    <row r="544">
      <c r="D544" s="282"/>
      <c r="F544" s="1">
        <v>15.0</v>
      </c>
      <c r="G544" s="60">
        <f t="shared" si="2"/>
        <v>26</v>
      </c>
      <c r="H544" s="1" t="str">
        <f t="shared" si="3"/>
        <v>Streams v0.5</v>
      </c>
      <c r="I544" t="str">
        <f t="shared" si="4"/>
        <v>S</v>
      </c>
      <c r="J544" s="1" t="str">
        <f t="shared" ref="J544:Q544" si="548">indirect(address($G544+4, column()-9, 4, , $H544))</f>
        <v>D4, D5</v>
      </c>
      <c r="K544" s="1">
        <f t="shared" si="548"/>
        <v>2</v>
      </c>
      <c r="L544" s="1" t="str">
        <f t="shared" si="548"/>
        <v>1N4148 diode</v>
      </c>
      <c r="M544" s="1" t="str">
        <f t="shared" si="548"/>
        <v/>
      </c>
      <c r="N544" s="1" t="str">
        <f t="shared" si="548"/>
        <v/>
      </c>
      <c r="O544" s="1" t="str">
        <f t="shared" si="548"/>
        <v>SOD323</v>
      </c>
      <c r="P544" s="1" t="str">
        <f t="shared" si="548"/>
        <v>512-1N4148WS</v>
      </c>
      <c r="Q544" s="1" t="str">
        <f t="shared" si="548"/>
        <v>Fairchild 1N4148WS</v>
      </c>
    </row>
    <row r="545">
      <c r="D545" s="282"/>
      <c r="F545" s="1">
        <v>15.0</v>
      </c>
      <c r="G545" s="60">
        <f t="shared" si="2"/>
        <v>27</v>
      </c>
      <c r="H545" s="1" t="str">
        <f t="shared" si="3"/>
        <v>Streams v0.5</v>
      </c>
      <c r="I545" t="str">
        <f t="shared" si="4"/>
        <v>S</v>
      </c>
      <c r="J545" s="1" t="str">
        <f t="shared" ref="J545:Q545" si="549">indirect(address($G545+4, column()-9, 4, , $H545))</f>
        <v>IC1</v>
      </c>
      <c r="K545" s="1">
        <f t="shared" si="549"/>
        <v>1</v>
      </c>
      <c r="L545" s="1" t="str">
        <f t="shared" si="549"/>
        <v>DAC8552 dual 16-bit DAC</v>
      </c>
      <c r="M545" s="1" t="str">
        <f t="shared" si="549"/>
        <v/>
      </c>
      <c r="N545" s="1" t="str">
        <f t="shared" si="549"/>
        <v/>
      </c>
      <c r="O545" s="1" t="str">
        <f t="shared" si="549"/>
        <v>MSOP8</v>
      </c>
      <c r="P545" s="1" t="str">
        <f t="shared" si="549"/>
        <v>595-DAC8552IDGKT</v>
      </c>
      <c r="Q545" s="1" t="str">
        <f t="shared" si="549"/>
        <v>Texas Instruments DAC8552IDGKT</v>
      </c>
    </row>
    <row r="546">
      <c r="D546" s="282"/>
      <c r="F546" s="1">
        <v>15.0</v>
      </c>
      <c r="G546" s="60">
        <f t="shared" si="2"/>
        <v>28</v>
      </c>
      <c r="H546" s="1" t="str">
        <f t="shared" si="3"/>
        <v>Streams v0.5</v>
      </c>
      <c r="I546" t="str">
        <f t="shared" si="4"/>
        <v>S</v>
      </c>
      <c r="J546" s="1" t="str">
        <f t="shared" ref="J546:Q546" si="550">indirect(address($G546+4, column()-9, 4, , $H546))</f>
        <v>IC2</v>
      </c>
      <c r="K546" s="1">
        <f t="shared" si="550"/>
        <v>1</v>
      </c>
      <c r="L546" s="1" t="str">
        <f t="shared" si="550"/>
        <v>LM1117-3.3V LDO Vreg</v>
      </c>
      <c r="M546" s="1" t="str">
        <f t="shared" si="550"/>
        <v/>
      </c>
      <c r="N546" s="1" t="str">
        <f t="shared" si="550"/>
        <v>3.3V</v>
      </c>
      <c r="O546" s="1" t="str">
        <f t="shared" si="550"/>
        <v>SOT223</v>
      </c>
      <c r="P546" s="1" t="str">
        <f t="shared" si="550"/>
        <v>926-LM1117MPX3.3NOPB</v>
      </c>
      <c r="Q546" s="1" t="str">
        <f t="shared" si="550"/>
        <v>National LM1117MPX3.3/NOPB</v>
      </c>
    </row>
    <row r="547">
      <c r="D547" s="282"/>
      <c r="F547" s="1">
        <v>15.0</v>
      </c>
      <c r="G547" s="60">
        <f t="shared" si="2"/>
        <v>29</v>
      </c>
      <c r="H547" s="1" t="str">
        <f t="shared" si="3"/>
        <v>Streams v0.5</v>
      </c>
      <c r="I547" t="str">
        <f t="shared" si="4"/>
        <v>S</v>
      </c>
      <c r="J547" s="1" t="str">
        <f t="shared" ref="J547:Q547" si="551">indirect(address($G547+4, column()-9, 4, , $H547))</f>
        <v>IC4</v>
      </c>
      <c r="K547" s="1">
        <f t="shared" si="551"/>
        <v>1</v>
      </c>
      <c r="L547" s="1" t="str">
        <f t="shared" si="551"/>
        <v>MCP6004 quad op-amp R2R IO</v>
      </c>
      <c r="M547" s="1" t="str">
        <f t="shared" si="551"/>
        <v/>
      </c>
      <c r="N547" s="1" t="str">
        <f t="shared" si="551"/>
        <v/>
      </c>
      <c r="O547" s="1" t="str">
        <f t="shared" si="551"/>
        <v>SOIC14</v>
      </c>
      <c r="P547" s="1" t="str">
        <f t="shared" si="551"/>
        <v>579-MCP6004-I/SL</v>
      </c>
      <c r="Q547" s="1" t="str">
        <f t="shared" si="551"/>
        <v>MCP6004-I/SL</v>
      </c>
    </row>
    <row r="548">
      <c r="D548" s="282"/>
      <c r="F548" s="1">
        <v>15.0</v>
      </c>
      <c r="G548" s="60">
        <f t="shared" si="2"/>
        <v>30</v>
      </c>
      <c r="H548" s="1" t="str">
        <f t="shared" si="3"/>
        <v>Streams v0.5</v>
      </c>
      <c r="I548" t="str">
        <f t="shared" si="4"/>
        <v>S</v>
      </c>
      <c r="J548" s="1" t="str">
        <f t="shared" ref="J548:Q548" si="552">indirect(address($G548+4, column()-9, 4, , $H548))</f>
        <v>IC3</v>
      </c>
      <c r="K548" s="1">
        <f t="shared" si="552"/>
        <v>1</v>
      </c>
      <c r="L548" s="1" t="str">
        <f t="shared" si="552"/>
        <v>LM4040 Shunt Vref</v>
      </c>
      <c r="M548" s="1" t="str">
        <f t="shared" si="552"/>
        <v>A, B or C grade</v>
      </c>
      <c r="N548" s="1" t="str">
        <f t="shared" si="552"/>
        <v>2.5V</v>
      </c>
      <c r="O548" s="1" t="str">
        <f t="shared" si="552"/>
        <v>SOT23</v>
      </c>
      <c r="P548" s="1" t="str">
        <f t="shared" si="552"/>
        <v>595-LM4040C25IDBZR</v>
      </c>
      <c r="Q548" s="1" t="str">
        <f t="shared" si="552"/>
        <v>Texas Instruments LM4040C25IDBZ</v>
      </c>
    </row>
    <row r="549">
      <c r="D549" s="282"/>
      <c r="F549" s="1">
        <v>15.0</v>
      </c>
      <c r="G549" s="60">
        <f t="shared" si="2"/>
        <v>31</v>
      </c>
      <c r="H549" s="1" t="str">
        <f t="shared" si="3"/>
        <v>Streams v0.5</v>
      </c>
      <c r="I549" t="str">
        <f t="shared" si="4"/>
        <v>S</v>
      </c>
      <c r="J549" s="1" t="str">
        <f t="shared" ref="J549:Q549" si="553">indirect(address($G549+4, column()-9, 4, , $H549))</f>
        <v>IC5, IC6</v>
      </c>
      <c r="K549" s="1">
        <f t="shared" si="553"/>
        <v>2</v>
      </c>
      <c r="L549" s="1" t="str">
        <f t="shared" si="553"/>
        <v>TL072 dual op-amp</v>
      </c>
      <c r="M549" s="1" t="str">
        <f t="shared" si="553"/>
        <v/>
      </c>
      <c r="N549" s="1" t="str">
        <f t="shared" si="553"/>
        <v/>
      </c>
      <c r="O549" s="1" t="str">
        <f t="shared" si="553"/>
        <v>SOIC8</v>
      </c>
      <c r="P549" s="1" t="str">
        <f t="shared" si="553"/>
        <v>595-TL072CD</v>
      </c>
      <c r="Q549" s="1" t="str">
        <f t="shared" si="553"/>
        <v>TI TL072CD</v>
      </c>
    </row>
    <row r="550">
      <c r="D550" s="282"/>
      <c r="F550" s="1">
        <v>15.0</v>
      </c>
      <c r="G550" s="60">
        <f t="shared" si="2"/>
        <v>32</v>
      </c>
      <c r="H550" s="1" t="str">
        <f t="shared" si="3"/>
        <v>Streams v0.5</v>
      </c>
      <c r="I550" t="str">
        <f t="shared" si="4"/>
        <v>S</v>
      </c>
      <c r="J550" s="1" t="str">
        <f t="shared" ref="J550:Q550" si="554">indirect(address($G550+4, column()-9, 4, , $H550))</f>
        <v>IC7, IC10</v>
      </c>
      <c r="K550" s="1">
        <f t="shared" si="554"/>
        <v>2</v>
      </c>
      <c r="L550" s="1" t="str">
        <f t="shared" si="554"/>
        <v>TL072 dual op-amp</v>
      </c>
      <c r="M550" s="1" t="str">
        <f t="shared" si="554"/>
        <v/>
      </c>
      <c r="N550" s="1" t="str">
        <f t="shared" si="554"/>
        <v/>
      </c>
      <c r="O550" s="1" t="str">
        <f t="shared" si="554"/>
        <v>SOIC8</v>
      </c>
      <c r="P550" s="1" t="str">
        <f t="shared" si="554"/>
        <v>595-TL072CD</v>
      </c>
      <c r="Q550" s="1" t="str">
        <f t="shared" si="554"/>
        <v>TI TL072CD</v>
      </c>
    </row>
    <row r="551">
      <c r="D551" s="282"/>
      <c r="F551" s="1">
        <v>15.0</v>
      </c>
      <c r="G551" s="60">
        <f t="shared" si="2"/>
        <v>33</v>
      </c>
      <c r="H551" s="1" t="str">
        <f t="shared" si="3"/>
        <v>Streams v0.5</v>
      </c>
      <c r="I551" t="str">
        <f t="shared" si="4"/>
        <v>S</v>
      </c>
      <c r="J551" s="1" t="str">
        <f t="shared" ref="J551:Q551" si="555">indirect(address($G551+4, column()-9, 4, , $H551))</f>
        <v>IC8, IC9</v>
      </c>
      <c r="K551" s="1">
        <f t="shared" si="555"/>
        <v>2</v>
      </c>
      <c r="L551" s="1" t="str">
        <f t="shared" si="555"/>
        <v>V2164 quad VCA</v>
      </c>
      <c r="M551" s="1" t="str">
        <f t="shared" si="555"/>
        <v/>
      </c>
      <c r="N551" s="1" t="str">
        <f t="shared" si="555"/>
        <v/>
      </c>
      <c r="O551" s="1" t="str">
        <f t="shared" si="555"/>
        <v>SOIC16</v>
      </c>
      <c r="P551" s="288" t="str">
        <f t="shared" si="555"/>
        <v>V2164M @ CabinTech</v>
      </c>
      <c r="Q551" s="1" t="str">
        <f t="shared" si="555"/>
        <v>CoolAudio V2164M</v>
      </c>
    </row>
    <row r="552">
      <c r="D552" s="282"/>
      <c r="F552" s="1">
        <v>15.0</v>
      </c>
      <c r="G552" s="60">
        <f t="shared" si="2"/>
        <v>34</v>
      </c>
      <c r="H552" s="1" t="str">
        <f t="shared" si="3"/>
        <v>Streams v0.5</v>
      </c>
      <c r="I552" t="str">
        <f t="shared" si="4"/>
        <v>S</v>
      </c>
      <c r="J552" s="1" t="str">
        <f t="shared" ref="J552:Q552" si="556">indirect(address($G552+4, column()-9, 4, , $H552))</f>
        <v>IC11, IC12</v>
      </c>
      <c r="K552" s="1">
        <f t="shared" si="556"/>
        <v>2</v>
      </c>
      <c r="L552" s="1" t="str">
        <f t="shared" si="556"/>
        <v>LM4040 Shunt Vref</v>
      </c>
      <c r="M552" s="1" t="str">
        <f t="shared" si="556"/>
        <v>A, B or C grade</v>
      </c>
      <c r="N552" s="1" t="str">
        <f t="shared" si="556"/>
        <v>10V</v>
      </c>
      <c r="O552" s="1" t="str">
        <f t="shared" si="556"/>
        <v>SOT23</v>
      </c>
      <c r="P552" s="1" t="str">
        <f t="shared" si="556"/>
        <v>595-LM4040C10IDBZR</v>
      </c>
      <c r="Q552" s="1" t="str">
        <f t="shared" si="556"/>
        <v>Texas Instruments LM4040C10IDBZ</v>
      </c>
    </row>
    <row r="553">
      <c r="D553" s="282"/>
      <c r="F553" s="1">
        <v>15.0</v>
      </c>
      <c r="G553" s="60">
        <f t="shared" si="2"/>
        <v>35</v>
      </c>
      <c r="H553" s="1" t="str">
        <f t="shared" si="3"/>
        <v>Streams v0.5</v>
      </c>
      <c r="I553" t="str">
        <f t="shared" si="4"/>
        <v>S</v>
      </c>
      <c r="J553" s="1" t="str">
        <f t="shared" ref="J553:Q553" si="557">indirect(address($G553+4, column()-9, 4, , $H553))</f>
        <v>L1</v>
      </c>
      <c r="K553" s="1">
        <f t="shared" si="557"/>
        <v>1</v>
      </c>
      <c r="L553" s="1" t="str">
        <f t="shared" si="557"/>
        <v>EMI Filter Bead</v>
      </c>
      <c r="M553" s="1" t="str">
        <f t="shared" si="557"/>
        <v>&gt;= 2200 ohm</v>
      </c>
      <c r="N553" s="1" t="str">
        <f t="shared" si="557"/>
        <v/>
      </c>
      <c r="O553" s="1" t="str">
        <f t="shared" si="557"/>
        <v>0603</v>
      </c>
      <c r="P553" s="1" t="str">
        <f t="shared" si="557"/>
        <v>710-742792693</v>
      </c>
      <c r="Q553" s="1" t="str">
        <f t="shared" si="557"/>
        <v>Wurth Electronics 742792693</v>
      </c>
    </row>
    <row r="554">
      <c r="D554" s="282"/>
      <c r="F554" s="1">
        <v>15.0</v>
      </c>
      <c r="G554" s="60">
        <f t="shared" si="2"/>
        <v>36</v>
      </c>
      <c r="H554" s="1" t="str">
        <f t="shared" si="3"/>
        <v>Streams v0.5</v>
      </c>
      <c r="I554" t="str">
        <f t="shared" si="4"/>
        <v>S</v>
      </c>
      <c r="J554" s="1" t="str">
        <f t="shared" ref="J554:Q554" si="558">indirect(address($G554+4, column()-9, 4, , $H554))</f>
        <v>P1</v>
      </c>
      <c r="K554" s="1">
        <f t="shared" si="558"/>
        <v>1</v>
      </c>
      <c r="L554" s="1" t="str">
        <f t="shared" si="558"/>
        <v>Resettable fuse</v>
      </c>
      <c r="M554" s="1" t="str">
        <f t="shared" si="558"/>
        <v>&gt;= 15V</v>
      </c>
      <c r="N554" s="1" t="str">
        <f t="shared" si="558"/>
        <v>&gt;0.1A</v>
      </c>
      <c r="O554" s="1" t="str">
        <f t="shared" si="558"/>
        <v>1206</v>
      </c>
      <c r="P554" s="1" t="str">
        <f t="shared" si="558"/>
        <v>576-1206L035/16YR</v>
      </c>
      <c r="Q554" s="1" t="str">
        <f t="shared" si="558"/>
        <v>Littelfuse 1206L035/16YR</v>
      </c>
    </row>
    <row r="555">
      <c r="D555" s="282"/>
      <c r="F555" s="1">
        <v>15.0</v>
      </c>
      <c r="G555" s="60">
        <f t="shared" si="2"/>
        <v>37</v>
      </c>
      <c r="H555" s="1" t="str">
        <f t="shared" si="3"/>
        <v>Streams v0.5</v>
      </c>
      <c r="I555" t="str">
        <f t="shared" si="4"/>
        <v>S</v>
      </c>
      <c r="J555" s="1" t="str">
        <f t="shared" ref="J555:Q555" si="559">indirect(address($G555+4, column()-9, 4, , $H555))</f>
        <v>Q1</v>
      </c>
      <c r="K555" s="1">
        <f t="shared" si="559"/>
        <v>1</v>
      </c>
      <c r="L555" s="1" t="str">
        <f t="shared" si="559"/>
        <v>8 MHz quartz</v>
      </c>
      <c r="M555" s="1" t="str">
        <f t="shared" si="559"/>
        <v/>
      </c>
      <c r="N555" s="1" t="str">
        <f t="shared" si="559"/>
        <v/>
      </c>
      <c r="O555" s="1" t="str">
        <f t="shared" si="559"/>
        <v>HC49</v>
      </c>
      <c r="P555" s="1" t="str">
        <f t="shared" si="559"/>
        <v>815-ABLS2-8-D4Y-T</v>
      </c>
      <c r="Q555" s="1" t="str">
        <f t="shared" si="559"/>
        <v>Abracon ABLS2-8.000MHZ-D4Y-T</v>
      </c>
    </row>
    <row r="556">
      <c r="D556" s="282"/>
      <c r="F556" s="1">
        <v>15.0</v>
      </c>
      <c r="G556" s="60">
        <f t="shared" si="2"/>
        <v>38</v>
      </c>
      <c r="H556" s="1" t="str">
        <f t="shared" si="3"/>
        <v>Streams v0.5</v>
      </c>
      <c r="I556" t="str">
        <f t="shared" si="4"/>
        <v>S</v>
      </c>
      <c r="J556" s="1" t="str">
        <f t="shared" ref="J556:Q556" si="560">indirect(address($G556+4, column()-9, 4, , $H556))</f>
        <v>UC1</v>
      </c>
      <c r="K556" s="1">
        <f t="shared" si="560"/>
        <v>1</v>
      </c>
      <c r="L556" s="1" t="str">
        <f t="shared" si="560"/>
        <v>STM32F103CBT6 MCU</v>
      </c>
      <c r="M556" s="1" t="str">
        <f t="shared" si="560"/>
        <v/>
      </c>
      <c r="N556" s="1" t="str">
        <f t="shared" si="560"/>
        <v/>
      </c>
      <c r="O556" s="1" t="str">
        <f t="shared" si="560"/>
        <v>LQFP48</v>
      </c>
      <c r="P556" s="1" t="str">
        <f t="shared" si="560"/>
        <v>511-STM32F103CBT6</v>
      </c>
      <c r="Q556" s="1" t="str">
        <f t="shared" si="560"/>
        <v>ST STM32F103CBT6</v>
      </c>
    </row>
    <row r="557">
      <c r="D557" s="282"/>
      <c r="F557" s="1">
        <v>15.0</v>
      </c>
      <c r="G557" s="60">
        <f t="shared" si="2"/>
        <v>39</v>
      </c>
      <c r="H557" s="1" t="str">
        <f t="shared" si="3"/>
        <v>Streams v0.5</v>
      </c>
      <c r="I557" t="str">
        <f t="shared" si="4"/>
        <v>S</v>
      </c>
      <c r="J557" s="1" t="str">
        <f t="shared" ref="J557:Q557" si="561">indirect(address($G557+4, column()-9, 4, , $H557))</f>
        <v>JP3</v>
      </c>
      <c r="K557" s="1">
        <f t="shared" si="561"/>
        <v>1</v>
      </c>
      <c r="L557" s="1" t="str">
        <f t="shared" si="561"/>
        <v>2x3 female header, 2.54mm pitch, bottom entry</v>
      </c>
      <c r="M557" s="1" t="str">
        <f t="shared" si="561"/>
        <v/>
      </c>
      <c r="N557" s="1" t="str">
        <f t="shared" si="561"/>
        <v/>
      </c>
      <c r="O557" s="1" t="str">
        <f t="shared" si="561"/>
        <v/>
      </c>
      <c r="P557" s="1" t="str">
        <f t="shared" si="561"/>
        <v>517-9662062000ARPR</v>
      </c>
      <c r="Q557" s="1" t="str">
        <f t="shared" si="561"/>
        <v>4UCON 13102</v>
      </c>
    </row>
    <row r="558">
      <c r="D558" s="282"/>
      <c r="F558" s="1">
        <v>15.0</v>
      </c>
      <c r="G558" s="60">
        <f t="shared" si="2"/>
        <v>40</v>
      </c>
      <c r="H558" s="1" t="str">
        <f t="shared" si="3"/>
        <v>Streams v0.5</v>
      </c>
      <c r="I558" t="str">
        <f t="shared" si="4"/>
        <v/>
      </c>
      <c r="J558" s="1" t="str">
        <f t="shared" ref="J558:Q558" si="562">indirect(address($G558+4, column()-9, 4, , $H558))</f>
        <v>PTH parts, top side</v>
      </c>
      <c r="K558" s="1" t="str">
        <f t="shared" si="562"/>
        <v/>
      </c>
      <c r="L558" s="1" t="str">
        <f t="shared" si="562"/>
        <v/>
      </c>
      <c r="M558" s="1" t="str">
        <f t="shared" si="562"/>
        <v/>
      </c>
      <c r="N558" s="1" t="str">
        <f t="shared" si="562"/>
        <v/>
      </c>
      <c r="O558" s="1" t="str">
        <f t="shared" si="562"/>
        <v/>
      </c>
      <c r="P558" s="1" t="str">
        <f t="shared" si="562"/>
        <v/>
      </c>
      <c r="Q558" s="1" t="str">
        <f t="shared" si="562"/>
        <v/>
      </c>
    </row>
    <row r="559">
      <c r="D559" s="282"/>
      <c r="F559" s="1">
        <v>15.0</v>
      </c>
      <c r="G559" s="60">
        <f t="shared" si="2"/>
        <v>41</v>
      </c>
      <c r="H559" s="1" t="str">
        <f t="shared" si="3"/>
        <v>Streams v0.5</v>
      </c>
      <c r="I559" t="str">
        <f t="shared" si="4"/>
        <v>U</v>
      </c>
      <c r="J559" s="1" t="str">
        <f t="shared" ref="J559:Q559" si="563">indirect(address($G559+4, column()-9, 4, , $H559))</f>
        <v>J1, J2, J3, J4, J5, J6, J7, J8</v>
      </c>
      <c r="K559" s="1">
        <f t="shared" si="563"/>
        <v>8</v>
      </c>
      <c r="L559" s="1" t="str">
        <f t="shared" si="563"/>
        <v>Vertical jack connector</v>
      </c>
      <c r="M559" s="1" t="str">
        <f t="shared" si="563"/>
        <v/>
      </c>
      <c r="N559" s="1" t="str">
        <f t="shared" si="563"/>
        <v/>
      </c>
      <c r="O559" s="1" t="str">
        <f t="shared" si="563"/>
        <v/>
      </c>
      <c r="P559" s="1" t="str">
        <f t="shared" si="563"/>
        <v/>
      </c>
      <c r="Q559" s="1" t="str">
        <f t="shared" si="563"/>
        <v>PJ-301-B</v>
      </c>
    </row>
    <row r="560">
      <c r="D560" s="282"/>
      <c r="F560" s="1">
        <v>15.0</v>
      </c>
      <c r="G560" s="60">
        <f t="shared" si="2"/>
        <v>42</v>
      </c>
      <c r="H560" s="1" t="str">
        <f t="shared" si="3"/>
        <v>Streams v0.5</v>
      </c>
      <c r="I560" t="str">
        <f t="shared" si="4"/>
        <v>U</v>
      </c>
      <c r="J560" s="1" t="str">
        <f t="shared" ref="J560:Q560" si="564">indirect(address($G560+4, column()-9, 4, , $H560))</f>
        <v>R27, R36</v>
      </c>
      <c r="K560" s="1">
        <f t="shared" si="564"/>
        <v>2</v>
      </c>
      <c r="L560" s="1" t="str">
        <f t="shared" si="564"/>
        <v>10k linear pot, 25mm shaft with marker</v>
      </c>
      <c r="M560" s="1" t="str">
        <f t="shared" si="564"/>
        <v/>
      </c>
      <c r="N560" s="1" t="str">
        <f t="shared" si="564"/>
        <v/>
      </c>
      <c r="O560" s="1" t="str">
        <f t="shared" si="564"/>
        <v/>
      </c>
      <c r="P560" s="1" t="str">
        <f t="shared" si="564"/>
        <v/>
      </c>
      <c r="Q560" s="288" t="str">
        <f t="shared" si="564"/>
        <v>https://www.thonk.co.uk/shop/ttpots/</v>
      </c>
    </row>
    <row r="561">
      <c r="D561" s="282"/>
      <c r="F561" s="1">
        <v>15.0</v>
      </c>
      <c r="G561" s="60">
        <f t="shared" si="2"/>
        <v>43</v>
      </c>
      <c r="H561" s="1" t="str">
        <f t="shared" si="3"/>
        <v>Streams v0.5</v>
      </c>
      <c r="I561" t="str">
        <f t="shared" si="4"/>
        <v>U</v>
      </c>
      <c r="J561" s="1" t="str">
        <f t="shared" ref="J561:Q561" si="565">indirect(address($G561+4, column()-9, 4, , $H561))</f>
        <v>R2, R3, R14, R15</v>
      </c>
      <c r="K561" s="1">
        <f t="shared" si="565"/>
        <v>4</v>
      </c>
      <c r="L561" s="1" t="str">
        <f t="shared" si="565"/>
        <v>10k linear pot, 15mm shaft</v>
      </c>
      <c r="M561" s="1" t="str">
        <f t="shared" si="565"/>
        <v/>
      </c>
      <c r="N561" s="1" t="str">
        <f t="shared" si="565"/>
        <v/>
      </c>
      <c r="O561" s="1" t="str">
        <f t="shared" si="565"/>
        <v/>
      </c>
      <c r="P561" s="1" t="str">
        <f t="shared" si="565"/>
        <v/>
      </c>
      <c r="Q561" s="288" t="str">
        <f t="shared" si="565"/>
        <v>https://www.thonk.co.uk/shop/alpha-9mm-pots/</v>
      </c>
    </row>
    <row r="562">
      <c r="D562" s="282"/>
      <c r="F562" s="1">
        <v>15.0</v>
      </c>
      <c r="G562" s="60">
        <f t="shared" si="2"/>
        <v>44</v>
      </c>
      <c r="H562" s="1" t="str">
        <f t="shared" si="3"/>
        <v>Streams v0.5</v>
      </c>
      <c r="I562" t="str">
        <f t="shared" si="4"/>
        <v>U</v>
      </c>
      <c r="J562" s="1" t="str">
        <f t="shared" ref="J562:Q562" si="566">indirect(address($G562+4, column()-9, 4, , $H562))</f>
        <v>R32, R33</v>
      </c>
      <c r="K562" s="1">
        <f t="shared" si="566"/>
        <v>2</v>
      </c>
      <c r="L562" s="1" t="str">
        <f t="shared" si="566"/>
        <v>50k linear pot, 15mm shaft</v>
      </c>
      <c r="M562" s="1" t="str">
        <f t="shared" si="566"/>
        <v/>
      </c>
      <c r="N562" s="1" t="str">
        <f t="shared" si="566"/>
        <v/>
      </c>
      <c r="O562" s="1" t="str">
        <f t="shared" si="566"/>
        <v/>
      </c>
      <c r="P562" s="1" t="str">
        <f t="shared" si="566"/>
        <v/>
      </c>
      <c r="Q562" s="288" t="str">
        <f t="shared" si="566"/>
        <v>https://www.thonk.co.uk/shop/alpha-9mm-pots/</v>
      </c>
    </row>
    <row r="563">
      <c r="D563" s="282"/>
      <c r="F563" s="1">
        <v>15.0</v>
      </c>
      <c r="G563" s="60">
        <f t="shared" si="2"/>
        <v>45</v>
      </c>
      <c r="H563" s="1" t="str">
        <f t="shared" si="3"/>
        <v>Streams v0.5</v>
      </c>
      <c r="I563" t="str">
        <f t="shared" si="4"/>
        <v>U</v>
      </c>
      <c r="J563" s="1" t="str">
        <f t="shared" ref="J563:Q563" si="567">indirect(address($G563+4, column()-9, 4, , $H563))</f>
        <v>SW1, SW2, SW3</v>
      </c>
      <c r="K563" s="1">
        <f t="shared" si="567"/>
        <v>3</v>
      </c>
      <c r="L563" s="1" t="str">
        <f t="shared" si="567"/>
        <v>Switch, 6mm</v>
      </c>
      <c r="M563" s="1" t="str">
        <f t="shared" si="567"/>
        <v/>
      </c>
      <c r="N563" s="1" t="str">
        <f t="shared" si="567"/>
        <v/>
      </c>
      <c r="O563" s="1" t="str">
        <f t="shared" si="567"/>
        <v/>
      </c>
      <c r="P563" s="1" t="str">
        <f t="shared" si="567"/>
        <v>612-TL1105SP-250</v>
      </c>
      <c r="Q563" s="1" t="str">
        <f t="shared" si="567"/>
        <v>E-switch TL1105SPF250Q</v>
      </c>
    </row>
    <row r="564">
      <c r="D564" s="282"/>
      <c r="F564" s="1">
        <v>15.0</v>
      </c>
      <c r="G564" s="60">
        <f t="shared" si="2"/>
        <v>46</v>
      </c>
      <c r="H564" s="1" t="str">
        <f t="shared" si="3"/>
        <v>Streams v0.5</v>
      </c>
      <c r="I564" t="str">
        <f t="shared" si="4"/>
        <v>U</v>
      </c>
      <c r="J564" s="1" t="str">
        <f t="shared" ref="J564:Q564" si="568">indirect(address($G564+4, column()-9, 4, , $H564))</f>
        <v>- SW1, SW2, SW3</v>
      </c>
      <c r="K564" s="1">
        <f t="shared" si="568"/>
        <v>3</v>
      </c>
      <c r="L564" s="1" t="str">
        <f t="shared" si="568"/>
        <v>Cap for switch, black</v>
      </c>
      <c r="M564" s="1" t="str">
        <f t="shared" si="568"/>
        <v/>
      </c>
      <c r="N564" s="1" t="str">
        <f t="shared" si="568"/>
        <v/>
      </c>
      <c r="O564" s="1" t="str">
        <f t="shared" si="568"/>
        <v/>
      </c>
      <c r="P564" s="1" t="str">
        <f t="shared" si="568"/>
        <v>612-1R-BK</v>
      </c>
      <c r="Q564" s="1" t="str">
        <f t="shared" si="568"/>
        <v>E-switch 1RBLK</v>
      </c>
    </row>
    <row r="565">
      <c r="D565" s="282"/>
      <c r="F565" s="1">
        <v>15.0</v>
      </c>
      <c r="G565" s="60">
        <f t="shared" si="2"/>
        <v>47</v>
      </c>
      <c r="H565" s="1" t="str">
        <f t="shared" si="3"/>
        <v>Streams v0.5</v>
      </c>
      <c r="I565" t="str">
        <f t="shared" si="4"/>
        <v/>
      </c>
      <c r="J565" s="1" t="str">
        <f t="shared" ref="J565:Q565" si="569">indirect(address($G565+4, column()-9, 4, , $H565))</f>
        <v>PTH parts, bottom side</v>
      </c>
      <c r="K565" s="290" t="str">
        <f t="shared" si="569"/>
        <v/>
      </c>
      <c r="L565" s="1" t="str">
        <f t="shared" si="569"/>
        <v/>
      </c>
      <c r="M565" s="1" t="str">
        <f t="shared" si="569"/>
        <v/>
      </c>
      <c r="N565" s="289" t="str">
        <f t="shared" si="569"/>
        <v/>
      </c>
      <c r="O565" s="289" t="str">
        <f t="shared" si="569"/>
        <v/>
      </c>
      <c r="P565" s="290" t="str">
        <f t="shared" si="569"/>
        <v/>
      </c>
      <c r="Q565" s="1" t="str">
        <f t="shared" si="569"/>
        <v/>
      </c>
    </row>
    <row r="566">
      <c r="D566" s="282"/>
      <c r="F566" s="1">
        <v>15.0</v>
      </c>
      <c r="G566" s="60">
        <f t="shared" si="2"/>
        <v>48</v>
      </c>
      <c r="H566" s="1" t="str">
        <f t="shared" si="3"/>
        <v>Streams v0.5</v>
      </c>
      <c r="I566" t="str">
        <f t="shared" si="4"/>
        <v>D</v>
      </c>
      <c r="J566" s="1" t="str">
        <f t="shared" ref="J566:Q566" si="570">indirect(address($G566+4, column()-9, 4, , $H566))</f>
        <v>JP6</v>
      </c>
      <c r="K566" s="1">
        <f t="shared" si="570"/>
        <v>1</v>
      </c>
      <c r="L566" s="1" t="str">
        <f t="shared" si="570"/>
        <v>2x5 male header, 2.54mm pitch</v>
      </c>
      <c r="M566" s="1" t="str">
        <f t="shared" si="570"/>
        <v/>
      </c>
      <c r="N566" s="1" t="str">
        <f t="shared" si="570"/>
        <v/>
      </c>
      <c r="O566" s="1" t="str">
        <f t="shared" si="570"/>
        <v/>
      </c>
      <c r="P566" s="1" t="str">
        <f t="shared" si="570"/>
        <v>649-67996-410HLF</v>
      </c>
      <c r="Q566" s="1" t="str">
        <f t="shared" si="570"/>
        <v/>
      </c>
    </row>
    <row r="567">
      <c r="D567" s="282"/>
      <c r="F567" s="1">
        <v>15.0</v>
      </c>
      <c r="G567" s="60">
        <f t="shared" si="2"/>
        <v>49</v>
      </c>
      <c r="H567" s="1" t="str">
        <f t="shared" si="3"/>
        <v>Streams v0.5</v>
      </c>
      <c r="I567" t="str">
        <f t="shared" si="4"/>
        <v>D</v>
      </c>
      <c r="J567" s="1" t="str">
        <f t="shared" ref="J567:Q567" si="571">indirect(address($G567+4, column()-9, 4, , $H567))</f>
        <v>JP7</v>
      </c>
      <c r="K567" s="1">
        <f t="shared" si="571"/>
        <v>1</v>
      </c>
      <c r="L567" s="1" t="str">
        <f t="shared" si="571"/>
        <v>2x5 male header, 1.27mm pitch</v>
      </c>
      <c r="M567" s="1" t="str">
        <f t="shared" si="571"/>
        <v/>
      </c>
      <c r="N567" s="1" t="str">
        <f t="shared" si="571"/>
        <v/>
      </c>
      <c r="O567" s="1" t="str">
        <f t="shared" si="571"/>
        <v/>
      </c>
      <c r="P567" s="1" t="str">
        <f t="shared" si="571"/>
        <v>649-221111-00010T4LF</v>
      </c>
      <c r="Q567" s="1" t="str">
        <f t="shared" si="571"/>
        <v/>
      </c>
    </row>
    <row r="568">
      <c r="D568" s="282"/>
      <c r="F568" s="1">
        <v>15.0</v>
      </c>
      <c r="G568" s="60">
        <f t="shared" si="2"/>
        <v>50</v>
      </c>
      <c r="H568" s="1" t="str">
        <f t="shared" si="3"/>
        <v>Streams v0.5</v>
      </c>
      <c r="I568" t="str">
        <f t="shared" si="4"/>
        <v/>
      </c>
      <c r="J568" s="1" t="str">
        <f t="shared" ref="J568:Q568" si="572">indirect(address($G568+4, column()-9, 4, , $H568))</f>
        <v>PCB specifications</v>
      </c>
      <c r="K568" s="1" t="str">
        <f t="shared" si="572"/>
        <v/>
      </c>
      <c r="L568" s="1" t="str">
        <f t="shared" si="572"/>
        <v/>
      </c>
      <c r="M568" s="1" t="str">
        <f t="shared" si="572"/>
        <v/>
      </c>
      <c r="N568" s="289" t="str">
        <f t="shared" si="572"/>
        <v/>
      </c>
      <c r="O568" s="1" t="str">
        <f t="shared" si="572"/>
        <v/>
      </c>
      <c r="P568" s="292" t="str">
        <f t="shared" si="572"/>
        <v/>
      </c>
      <c r="Q568" s="1" t="str">
        <f t="shared" si="572"/>
        <v/>
      </c>
    </row>
    <row r="569">
      <c r="D569" s="282"/>
      <c r="F569" s="1">
        <v>15.0</v>
      </c>
      <c r="G569" s="60">
        <f t="shared" si="2"/>
        <v>51</v>
      </c>
      <c r="H569" s="1" t="str">
        <f t="shared" si="3"/>
        <v>Streams v0.5</v>
      </c>
      <c r="I569" t="str">
        <f t="shared" si="4"/>
        <v>P</v>
      </c>
      <c r="J569" s="1" t="str">
        <f t="shared" ref="J569:Q569" si="573">indirect(address($G569+4, column()-9, 4, , $H569))</f>
        <v>PCB</v>
      </c>
      <c r="K569" s="290" t="str">
        <f t="shared" si="573"/>
        <v/>
      </c>
      <c r="L569" s="1" t="str">
        <f t="shared" si="573"/>
        <v>107.6 x 58.7 ; 2 layers</v>
      </c>
      <c r="M569" s="1" t="str">
        <f t="shared" si="573"/>
        <v/>
      </c>
      <c r="N569" s="289" t="str">
        <f t="shared" si="573"/>
        <v/>
      </c>
      <c r="O569" s="289" t="str">
        <f t="shared" si="573"/>
        <v/>
      </c>
      <c r="P569" s="290" t="str">
        <f t="shared" si="573"/>
        <v/>
      </c>
      <c r="Q569" s="1" t="str">
        <f t="shared" si="573"/>
        <v/>
      </c>
    </row>
    <row r="570">
      <c r="D570" s="282"/>
      <c r="F570" s="1">
        <v>16.0</v>
      </c>
      <c r="G570" s="60">
        <f t="shared" si="2"/>
        <v>0</v>
      </c>
      <c r="H570" s="1" t="str">
        <f t="shared" si="3"/>
        <v>Streams Bargraph v0.2</v>
      </c>
      <c r="I570" t="str">
        <f t="shared" si="4"/>
        <v>S</v>
      </c>
      <c r="J570" s="1" t="str">
        <f t="shared" ref="J570:Q570" si="574">indirect(address($G570+4, column()-9, 4, , $H570))</f>
        <v>R1, R2, R3, R4, R5, R6, R7, R8, R9, R10, R11, R12, R13, R14, R15, R16</v>
      </c>
      <c r="K570" s="1">
        <f t="shared" si="574"/>
        <v>16</v>
      </c>
      <c r="L570" s="1" t="str">
        <f t="shared" si="574"/>
        <v>Resistor, 1%</v>
      </c>
      <c r="M570" s="1" t="str">
        <f t="shared" si="574"/>
        <v/>
      </c>
      <c r="N570" s="1">
        <f t="shared" si="574"/>
        <v>150</v>
      </c>
      <c r="O570" s="1" t="str">
        <f t="shared" si="574"/>
        <v>0603</v>
      </c>
      <c r="P570" s="1" t="str">
        <f t="shared" si="574"/>
        <v>667-ERJ3EKF1500V</v>
      </c>
      <c r="Q570" s="1" t="str">
        <f t="shared" si="574"/>
        <v/>
      </c>
    </row>
    <row r="571">
      <c r="D571" s="282"/>
      <c r="F571" s="1">
        <v>16.0</v>
      </c>
      <c r="G571" s="60">
        <f t="shared" si="2"/>
        <v>1</v>
      </c>
      <c r="H571" s="1" t="str">
        <f t="shared" si="3"/>
        <v>Streams Bargraph v0.2</v>
      </c>
      <c r="I571" t="str">
        <f t="shared" si="4"/>
        <v>S</v>
      </c>
      <c r="J571" s="1" t="str">
        <f t="shared" ref="J571:Q571" si="575">indirect(address($G571+4, column()-9, 4, , $H571))</f>
        <v>IC1</v>
      </c>
      <c r="K571" s="1">
        <f t="shared" si="575"/>
        <v>1</v>
      </c>
      <c r="L571" s="1" t="str">
        <f t="shared" si="575"/>
        <v>MCP23S17E/SS I/O expander</v>
      </c>
      <c r="M571" s="1" t="str">
        <f t="shared" si="575"/>
        <v/>
      </c>
      <c r="N571" s="1" t="str">
        <f t="shared" si="575"/>
        <v/>
      </c>
      <c r="O571" s="1" t="str">
        <f t="shared" si="575"/>
        <v>SSOP28</v>
      </c>
      <c r="P571" s="1" t="str">
        <f t="shared" si="575"/>
        <v>579-MCP23S17-E/SS</v>
      </c>
      <c r="Q571" s="1" t="str">
        <f t="shared" si="575"/>
        <v/>
      </c>
    </row>
    <row r="572">
      <c r="D572" s="282"/>
      <c r="F572" s="1">
        <v>16.0</v>
      </c>
      <c r="G572" s="60">
        <f t="shared" si="2"/>
        <v>2</v>
      </c>
      <c r="H572" s="1" t="str">
        <f t="shared" si="3"/>
        <v>Streams Bargraph v0.2</v>
      </c>
      <c r="I572" t="str">
        <f t="shared" si="4"/>
        <v>S</v>
      </c>
      <c r="J572" s="1" t="str">
        <f t="shared" ref="J572:Q572" si="576">indirect(address($G572+4, column()-9, 4, , $H572))</f>
        <v>C1</v>
      </c>
      <c r="K572" s="1">
        <f t="shared" si="576"/>
        <v>1</v>
      </c>
      <c r="L572" s="1" t="str">
        <f t="shared" si="576"/>
        <v>Capacitor, ceramic</v>
      </c>
      <c r="M572" s="1" t="str">
        <f t="shared" si="576"/>
        <v>&gt;= 16V</v>
      </c>
      <c r="N572" s="1" t="str">
        <f t="shared" si="576"/>
        <v>100n</v>
      </c>
      <c r="O572" s="1" t="str">
        <f t="shared" si="576"/>
        <v>0603</v>
      </c>
      <c r="P572" s="1" t="str">
        <f t="shared" si="576"/>
        <v>81-GRM188R71E104JA1J</v>
      </c>
      <c r="Q572" s="1" t="str">
        <f t="shared" si="576"/>
        <v/>
      </c>
    </row>
    <row r="573">
      <c r="D573" s="282"/>
      <c r="F573" s="1">
        <v>16.0</v>
      </c>
      <c r="G573" s="60">
        <f t="shared" si="2"/>
        <v>3</v>
      </c>
      <c r="H573" s="1" t="str">
        <f t="shared" si="3"/>
        <v>Streams Bargraph v0.2</v>
      </c>
      <c r="I573" t="str">
        <f t="shared" si="4"/>
        <v>S</v>
      </c>
      <c r="J573" s="1" t="str">
        <f t="shared" ref="J573:Q573" si="577">indirect(address($G573+4, column()-9, 4, , $H573))</f>
        <v>C2, C3, C4</v>
      </c>
      <c r="K573" s="1">
        <f t="shared" si="577"/>
        <v>3</v>
      </c>
      <c r="L573" s="1" t="str">
        <f t="shared" si="577"/>
        <v>Capacitor, ceramic</v>
      </c>
      <c r="M573" s="1" t="str">
        <f t="shared" si="577"/>
        <v>&gt;= 6.3V</v>
      </c>
      <c r="N573" s="1" t="str">
        <f t="shared" si="577"/>
        <v>3.3u</v>
      </c>
      <c r="O573" s="1" t="str">
        <f t="shared" si="577"/>
        <v>0603</v>
      </c>
      <c r="P573" s="1" t="str">
        <f t="shared" si="577"/>
        <v>81-GRM188R61A335KE5D</v>
      </c>
      <c r="Q573" s="1" t="str">
        <f t="shared" si="577"/>
        <v/>
      </c>
    </row>
    <row r="574">
      <c r="D574" s="282"/>
      <c r="F574" s="1">
        <v>16.0</v>
      </c>
      <c r="G574" s="60">
        <f t="shared" si="2"/>
        <v>4</v>
      </c>
      <c r="H574" s="1" t="str">
        <f t="shared" si="3"/>
        <v>Streams Bargraph v0.2</v>
      </c>
      <c r="I574" t="str">
        <f t="shared" si="4"/>
        <v/>
      </c>
      <c r="J574" s="1" t="str">
        <f t="shared" ref="J574:Q574" si="578">indirect(address($G574+4, column()-9, 4, , $H574))</f>
        <v>PTH parts, top side</v>
      </c>
      <c r="K574" s="1" t="str">
        <f t="shared" si="578"/>
        <v/>
      </c>
      <c r="L574" s="1" t="str">
        <f t="shared" si="578"/>
        <v/>
      </c>
      <c r="M574" s="1" t="str">
        <f t="shared" si="578"/>
        <v/>
      </c>
      <c r="N574" s="1" t="str">
        <f t="shared" si="578"/>
        <v/>
      </c>
      <c r="O574" s="1" t="str">
        <f t="shared" si="578"/>
        <v/>
      </c>
      <c r="P574" s="1" t="str">
        <f t="shared" si="578"/>
        <v/>
      </c>
      <c r="Q574" s="1" t="str">
        <f t="shared" si="578"/>
        <v/>
      </c>
    </row>
    <row r="575">
      <c r="D575" s="282"/>
      <c r="F575" s="1">
        <v>16.0</v>
      </c>
      <c r="G575" s="60">
        <f t="shared" si="2"/>
        <v>5</v>
      </c>
      <c r="H575" s="1" t="str">
        <f t="shared" si="3"/>
        <v>Streams Bargraph v0.2</v>
      </c>
      <c r="I575" t="str">
        <f t="shared" si="4"/>
        <v>U</v>
      </c>
      <c r="J575" s="1" t="str">
        <f t="shared" ref="J575:Q575" si="579">indirect(address($G575+4, column()-9, 4, , $H575))</f>
        <v>LED1, LED2, LED3, LED4, LED5, LED6, LED7, LED8</v>
      </c>
      <c r="K575" s="1">
        <f t="shared" si="579"/>
        <v>8</v>
      </c>
      <c r="L575" s="1" t="str">
        <f t="shared" si="579"/>
        <v>LED, Red/Green, 3 terminals, common K</v>
      </c>
      <c r="M575" s="1" t="str">
        <f t="shared" si="579"/>
        <v/>
      </c>
      <c r="N575" s="1" t="str">
        <f t="shared" si="579"/>
        <v/>
      </c>
      <c r="O575" s="1" t="str">
        <f t="shared" si="579"/>
        <v>3 terminals</v>
      </c>
      <c r="P575" s="1" t="str">
        <f t="shared" si="579"/>
        <v>604-WP115VEGW</v>
      </c>
      <c r="Q575" s="1" t="str">
        <f t="shared" si="579"/>
        <v>Kingbright WP115VEGW</v>
      </c>
    </row>
    <row r="576">
      <c r="D576" s="282"/>
      <c r="F576" s="1">
        <v>16.0</v>
      </c>
      <c r="G576" s="60">
        <f t="shared" si="2"/>
        <v>6</v>
      </c>
      <c r="H576" s="1" t="str">
        <f t="shared" si="3"/>
        <v>Streams Bargraph v0.2</v>
      </c>
      <c r="I576" t="str">
        <f t="shared" si="4"/>
        <v/>
      </c>
      <c r="J576" s="1" t="str">
        <f t="shared" ref="J576:Q576" si="580">indirect(address($G576+4, column()-9, 4, , $H576))</f>
        <v>PTH parts, bottom side</v>
      </c>
      <c r="K576" s="290" t="str">
        <f t="shared" si="580"/>
        <v/>
      </c>
      <c r="L576" s="1" t="str">
        <f t="shared" si="580"/>
        <v/>
      </c>
      <c r="M576" s="1" t="str">
        <f t="shared" si="580"/>
        <v/>
      </c>
      <c r="N576" s="289" t="str">
        <f t="shared" si="580"/>
        <v/>
      </c>
      <c r="O576" s="289" t="str">
        <f t="shared" si="580"/>
        <v/>
      </c>
      <c r="P576" s="290" t="str">
        <f t="shared" si="580"/>
        <v/>
      </c>
      <c r="Q576" s="1" t="str">
        <f t="shared" si="580"/>
        <v/>
      </c>
    </row>
    <row r="577">
      <c r="D577" s="282"/>
      <c r="F577" s="1">
        <v>16.0</v>
      </c>
      <c r="G577" s="60">
        <f t="shared" si="2"/>
        <v>7</v>
      </c>
      <c r="H577" s="1" t="str">
        <f t="shared" si="3"/>
        <v>Streams Bargraph v0.2</v>
      </c>
      <c r="I577" t="str">
        <f t="shared" si="4"/>
        <v>D</v>
      </c>
      <c r="J577" s="1" t="str">
        <f t="shared" ref="J577:Q577" si="581">indirect(address($G577+4, column()-9, 4, , $H577))</f>
        <v>JP1</v>
      </c>
      <c r="K577" s="1">
        <f t="shared" si="581"/>
        <v>1</v>
      </c>
      <c r="L577" s="1" t="str">
        <f t="shared" si="581"/>
        <v>2x3 male header, 2.54mm pitch</v>
      </c>
      <c r="M577" s="1" t="str">
        <f t="shared" si="581"/>
        <v/>
      </c>
      <c r="N577" s="1" t="str">
        <f t="shared" si="581"/>
        <v/>
      </c>
      <c r="O577" s="1" t="str">
        <f t="shared" si="581"/>
        <v/>
      </c>
      <c r="P577" s="1" t="str">
        <f t="shared" si="581"/>
        <v>649-67996-406HLF</v>
      </c>
      <c r="Q577" s="1" t="str">
        <f t="shared" si="581"/>
        <v/>
      </c>
    </row>
    <row r="578">
      <c r="D578" s="282"/>
      <c r="F578" s="1">
        <v>16.0</v>
      </c>
      <c r="G578" s="60">
        <f t="shared" si="2"/>
        <v>8</v>
      </c>
      <c r="H578" s="1" t="str">
        <f t="shared" si="3"/>
        <v>Streams Bargraph v0.2</v>
      </c>
      <c r="I578" t="str">
        <f t="shared" si="4"/>
        <v/>
      </c>
      <c r="J578" s="1" t="str">
        <f t="shared" ref="J578:Q578" si="582">indirect(address($G578+4, column()-9, 4, , $H578))</f>
        <v>PCB specifications</v>
      </c>
      <c r="K578" s="1" t="str">
        <f t="shared" si="582"/>
        <v/>
      </c>
      <c r="L578" s="1" t="str">
        <f t="shared" si="582"/>
        <v/>
      </c>
      <c r="M578" s="1" t="str">
        <f t="shared" si="582"/>
        <v/>
      </c>
      <c r="N578" s="289" t="str">
        <f t="shared" si="582"/>
        <v/>
      </c>
      <c r="O578" s="1" t="str">
        <f t="shared" si="582"/>
        <v/>
      </c>
      <c r="P578" s="292" t="str">
        <f t="shared" si="582"/>
        <v/>
      </c>
      <c r="Q578" s="1" t="str">
        <f t="shared" si="582"/>
        <v/>
      </c>
    </row>
    <row r="579">
      <c r="D579" s="282"/>
      <c r="F579" s="1">
        <v>16.0</v>
      </c>
      <c r="G579" s="60">
        <f t="shared" si="2"/>
        <v>9</v>
      </c>
      <c r="H579" s="1" t="str">
        <f t="shared" si="3"/>
        <v>Streams Bargraph v0.2</v>
      </c>
      <c r="I579" t="str">
        <f t="shared" si="4"/>
        <v>P</v>
      </c>
      <c r="J579" s="1" t="str">
        <f t="shared" ref="J579:Q579" si="583">indirect(address($G579+4, column()-9, 4, , $H579))</f>
        <v>PCB</v>
      </c>
      <c r="K579" s="290" t="str">
        <f t="shared" si="583"/>
        <v/>
      </c>
      <c r="L579" s="1" t="str">
        <f t="shared" si="583"/>
        <v>24.8 x 25.1 ; 2 layers</v>
      </c>
      <c r="M579" s="1" t="str">
        <f t="shared" si="583"/>
        <v/>
      </c>
      <c r="N579" s="289" t="str">
        <f t="shared" si="583"/>
        <v/>
      </c>
      <c r="O579" s="289" t="str">
        <f t="shared" si="583"/>
        <v/>
      </c>
      <c r="P579" s="290" t="str">
        <f t="shared" si="583"/>
        <v/>
      </c>
      <c r="Q579" s="1" t="str">
        <f t="shared" si="583"/>
        <v/>
      </c>
    </row>
    <row r="580">
      <c r="D580" s="282"/>
      <c r="F580" s="1">
        <v>17.0</v>
      </c>
      <c r="G580" s="60">
        <f t="shared" si="2"/>
        <v>0</v>
      </c>
      <c r="H580" s="1" t="str">
        <f t="shared" si="3"/>
        <v>Tides v4.0</v>
      </c>
      <c r="I580" t="str">
        <f t="shared" si="4"/>
        <v>S</v>
      </c>
      <c r="J580" s="1" t="str">
        <f t="shared" ref="J580:Q580" si="584">indirect(address($G580+4, column()-9, 4, , $H580))</f>
        <v>R2, R3, R4, R7, R9, R10, R22, R24</v>
      </c>
      <c r="K580" s="1">
        <f t="shared" si="584"/>
        <v>8</v>
      </c>
      <c r="L580" s="1" t="str">
        <f t="shared" si="584"/>
        <v>Resistor, 1%</v>
      </c>
      <c r="M580" s="1" t="str">
        <f t="shared" si="584"/>
        <v/>
      </c>
      <c r="N580" s="1">
        <f t="shared" si="584"/>
        <v>100</v>
      </c>
      <c r="O580" s="289" t="str">
        <f t="shared" si="584"/>
        <v>0603</v>
      </c>
      <c r="P580" s="290" t="str">
        <f t="shared" si="584"/>
        <v>652-CR0603FX-1000ELF</v>
      </c>
      <c r="Q580" s="1" t="str">
        <f t="shared" si="584"/>
        <v/>
      </c>
    </row>
    <row r="581">
      <c r="D581" s="282"/>
      <c r="F581" s="1">
        <v>17.0</v>
      </c>
      <c r="G581" s="60">
        <f t="shared" si="2"/>
        <v>1</v>
      </c>
      <c r="H581" s="1" t="str">
        <f t="shared" si="3"/>
        <v>Tides v4.0</v>
      </c>
      <c r="I581" t="str">
        <f t="shared" si="4"/>
        <v>S</v>
      </c>
      <c r="J581" s="1" t="str">
        <f t="shared" ref="J581:Q581" si="585">indirect(address($G581+4, column()-9, 4, , $H581))</f>
        <v>R27</v>
      </c>
      <c r="K581" s="1">
        <f t="shared" si="585"/>
        <v>1</v>
      </c>
      <c r="L581" s="1" t="str">
        <f t="shared" si="585"/>
        <v>Resistor, 1%</v>
      </c>
      <c r="M581" s="1" t="str">
        <f t="shared" si="585"/>
        <v/>
      </c>
      <c r="N581" s="1">
        <f t="shared" si="585"/>
        <v>270</v>
      </c>
      <c r="O581" s="289" t="str">
        <f t="shared" si="585"/>
        <v>0603</v>
      </c>
      <c r="P581" s="290" t="str">
        <f t="shared" si="585"/>
        <v>652-CR0603FX-2700ELF</v>
      </c>
      <c r="Q581" s="1" t="str">
        <f t="shared" si="585"/>
        <v/>
      </c>
    </row>
    <row r="582">
      <c r="D582" s="282"/>
      <c r="F582" s="1">
        <v>17.0</v>
      </c>
      <c r="G582" s="60">
        <f t="shared" si="2"/>
        <v>2</v>
      </c>
      <c r="H582" s="1" t="str">
        <f t="shared" si="3"/>
        <v>Tides v4.0</v>
      </c>
      <c r="I582" t="str">
        <f t="shared" si="4"/>
        <v>S</v>
      </c>
      <c r="J582" s="1" t="str">
        <f t="shared" ref="J582:Q582" si="586">indirect(address($G582+4, column()-9, 4, , $H582))</f>
        <v>R8</v>
      </c>
      <c r="K582" s="1">
        <f t="shared" si="586"/>
        <v>1</v>
      </c>
      <c r="L582" s="1" t="str">
        <f t="shared" si="586"/>
        <v>Resistor, 1%</v>
      </c>
      <c r="M582" s="1" t="str">
        <f t="shared" si="586"/>
        <v/>
      </c>
      <c r="N582" s="289" t="str">
        <f t="shared" si="586"/>
        <v>2.49k</v>
      </c>
      <c r="O582" s="289" t="str">
        <f t="shared" si="586"/>
        <v>0603</v>
      </c>
      <c r="P582" s="290" t="str">
        <f t="shared" si="586"/>
        <v>652-CR0603FX-2491ELF</v>
      </c>
      <c r="Q582" s="1" t="str">
        <f t="shared" si="586"/>
        <v/>
      </c>
    </row>
    <row r="583">
      <c r="D583" s="282"/>
      <c r="F583" s="1">
        <v>17.0</v>
      </c>
      <c r="G583" s="60">
        <f t="shared" si="2"/>
        <v>3</v>
      </c>
      <c r="H583" s="1" t="str">
        <f t="shared" si="3"/>
        <v>Tides v4.0</v>
      </c>
      <c r="I583" t="str">
        <f t="shared" si="4"/>
        <v>S</v>
      </c>
      <c r="J583" s="1" t="str">
        <f t="shared" ref="J583:Q583" si="587">indirect(address($G583+4, column()-9, 4, , $H583))</f>
        <v>R60</v>
      </c>
      <c r="K583" s="1">
        <f t="shared" si="587"/>
        <v>1</v>
      </c>
      <c r="L583" s="1" t="str">
        <f t="shared" si="587"/>
        <v>Resistor, 1%</v>
      </c>
      <c r="M583" s="1" t="str">
        <f t="shared" si="587"/>
        <v/>
      </c>
      <c r="N583" s="289" t="str">
        <f t="shared" si="587"/>
        <v>2.49k</v>
      </c>
      <c r="O583" s="289" t="str">
        <f t="shared" si="587"/>
        <v>0805</v>
      </c>
      <c r="P583" s="1" t="str">
        <f t="shared" si="587"/>
        <v>652-CR0805FX-2491ELF</v>
      </c>
      <c r="Q583" s="1" t="str">
        <f t="shared" si="587"/>
        <v/>
      </c>
    </row>
    <row r="584">
      <c r="D584" s="282"/>
      <c r="F584" s="1">
        <v>17.0</v>
      </c>
      <c r="G584" s="60">
        <f t="shared" si="2"/>
        <v>4</v>
      </c>
      <c r="H584" s="1" t="str">
        <f t="shared" si="3"/>
        <v>Tides v4.0</v>
      </c>
      <c r="I584" t="str">
        <f t="shared" si="4"/>
        <v>S</v>
      </c>
      <c r="J584" s="1" t="str">
        <f t="shared" ref="J584:Q584" si="588">indirect(address($G584+4, column()-9, 4, , $H584))</f>
        <v>R12, R50, R52</v>
      </c>
      <c r="K584" s="1">
        <f t="shared" si="588"/>
        <v>3</v>
      </c>
      <c r="L584" s="1" t="str">
        <f t="shared" si="588"/>
        <v>Resistor, 1%</v>
      </c>
      <c r="M584" s="1" t="str">
        <f t="shared" si="588"/>
        <v/>
      </c>
      <c r="N584" s="1" t="str">
        <f t="shared" si="588"/>
        <v>3.3k</v>
      </c>
      <c r="O584" s="289" t="str">
        <f t="shared" si="588"/>
        <v>0603</v>
      </c>
      <c r="P584" s="290" t="str">
        <f t="shared" si="588"/>
        <v>652-CR0603-FX3301ELF</v>
      </c>
      <c r="Q584" s="1" t="str">
        <f t="shared" si="588"/>
        <v/>
      </c>
    </row>
    <row r="585">
      <c r="D585" s="282"/>
      <c r="F585" s="1">
        <v>17.0</v>
      </c>
      <c r="G585" s="60">
        <f t="shared" si="2"/>
        <v>5</v>
      </c>
      <c r="H585" s="1" t="str">
        <f t="shared" si="3"/>
        <v>Tides v4.0</v>
      </c>
      <c r="I585" t="str">
        <f t="shared" si="4"/>
        <v>S</v>
      </c>
      <c r="J585" s="1" t="str">
        <f t="shared" ref="J585:Q585" si="589">indirect(address($G585+4, column()-9, 4, , $H585))</f>
        <v>R51, R53</v>
      </c>
      <c r="K585" s="1">
        <f t="shared" si="589"/>
        <v>2</v>
      </c>
      <c r="L585" s="1" t="str">
        <f t="shared" si="589"/>
        <v>Resistor, 1%</v>
      </c>
      <c r="M585" s="1" t="str">
        <f t="shared" si="589"/>
        <v/>
      </c>
      <c r="N585" s="1" t="str">
        <f t="shared" si="589"/>
        <v>4.7k</v>
      </c>
      <c r="O585" s="289" t="str">
        <f t="shared" si="589"/>
        <v>0603</v>
      </c>
      <c r="P585" s="290" t="str">
        <f t="shared" si="589"/>
        <v>652-CR0603FX-4701ELF</v>
      </c>
      <c r="Q585" s="1" t="str">
        <f t="shared" si="589"/>
        <v/>
      </c>
    </row>
    <row r="586">
      <c r="D586" s="282"/>
      <c r="F586" s="1">
        <v>17.0</v>
      </c>
      <c r="G586" s="60">
        <f t="shared" si="2"/>
        <v>6</v>
      </c>
      <c r="H586" s="1" t="str">
        <f t="shared" si="3"/>
        <v>Tides v4.0</v>
      </c>
      <c r="I586" t="str">
        <f t="shared" si="4"/>
        <v>S</v>
      </c>
      <c r="J586" s="1" t="str">
        <f t="shared" ref="J586:Q586" si="590">indirect(address($G586+4, column()-9, 4, , $H586))</f>
        <v>R1, R11, R47, R48, R49, R57, R58</v>
      </c>
      <c r="K586" s="1">
        <f t="shared" si="590"/>
        <v>7</v>
      </c>
      <c r="L586" s="1" t="str">
        <f t="shared" si="590"/>
        <v>Resistor, 1%</v>
      </c>
      <c r="M586" s="1" t="str">
        <f t="shared" si="590"/>
        <v/>
      </c>
      <c r="N586" s="289" t="str">
        <f t="shared" si="590"/>
        <v>10k</v>
      </c>
      <c r="O586" s="289" t="str">
        <f t="shared" si="590"/>
        <v>0603</v>
      </c>
      <c r="P586" s="290" t="str">
        <f t="shared" si="590"/>
        <v>652-CR0603-FX-1002GLF</v>
      </c>
      <c r="Q586" s="1" t="str">
        <f t="shared" si="590"/>
        <v/>
      </c>
    </row>
    <row r="587">
      <c r="D587" s="282"/>
      <c r="F587" s="1">
        <v>17.0</v>
      </c>
      <c r="G587" s="60">
        <f t="shared" si="2"/>
        <v>7</v>
      </c>
      <c r="H587" s="1" t="str">
        <f t="shared" si="3"/>
        <v>Tides v4.0</v>
      </c>
      <c r="I587" t="str">
        <f t="shared" si="4"/>
        <v>S</v>
      </c>
      <c r="J587" s="1" t="str">
        <f t="shared" ref="J587:Q587" si="591">indirect(address($G587+4, column()-9, 4, , $H587))</f>
        <v>R34</v>
      </c>
      <c r="K587" s="1">
        <f t="shared" si="591"/>
        <v>1</v>
      </c>
      <c r="L587" s="1" t="str">
        <f t="shared" si="591"/>
        <v>Resistor, 1%</v>
      </c>
      <c r="M587" s="1" t="str">
        <f t="shared" si="591"/>
        <v/>
      </c>
      <c r="N587" s="1" t="str">
        <f t="shared" si="591"/>
        <v>20k</v>
      </c>
      <c r="O587" s="289" t="str">
        <f t="shared" si="591"/>
        <v>0603</v>
      </c>
      <c r="P587" s="290" t="str">
        <f t="shared" si="591"/>
        <v>652-CR0603FX-2002ELF</v>
      </c>
      <c r="Q587" s="1" t="str">
        <f t="shared" si="591"/>
        <v/>
      </c>
    </row>
    <row r="588">
      <c r="D588" s="282"/>
      <c r="F588" s="1">
        <v>17.0</v>
      </c>
      <c r="G588" s="60">
        <f t="shared" si="2"/>
        <v>8</v>
      </c>
      <c r="H588" s="1" t="str">
        <f t="shared" si="3"/>
        <v>Tides v4.0</v>
      </c>
      <c r="I588" t="str">
        <f t="shared" si="4"/>
        <v>S</v>
      </c>
      <c r="J588" s="1" t="str">
        <f t="shared" ref="J588:Q588" si="592">indirect(address($G588+4, column()-9, 4, , $H588))</f>
        <v>R37</v>
      </c>
      <c r="K588" s="1">
        <f t="shared" si="592"/>
        <v>1</v>
      </c>
      <c r="L588" s="1" t="str">
        <f t="shared" si="592"/>
        <v>Resistor, 1%</v>
      </c>
      <c r="M588" s="1" t="str">
        <f t="shared" si="592"/>
        <v/>
      </c>
      <c r="N588" s="1" t="str">
        <f t="shared" si="592"/>
        <v>27k</v>
      </c>
      <c r="O588" s="289" t="str">
        <f t="shared" si="592"/>
        <v>0603</v>
      </c>
      <c r="P588" s="1" t="str">
        <f t="shared" si="592"/>
        <v>652-CR0603FX-2702ELF</v>
      </c>
      <c r="Q588" s="1" t="str">
        <f t="shared" si="592"/>
        <v/>
      </c>
    </row>
    <row r="589">
      <c r="D589" s="282"/>
      <c r="F589" s="1">
        <v>17.0</v>
      </c>
      <c r="G589" s="60">
        <f t="shared" si="2"/>
        <v>9</v>
      </c>
      <c r="H589" s="1" t="str">
        <f t="shared" si="3"/>
        <v>Tides v4.0</v>
      </c>
      <c r="I589" t="str">
        <f t="shared" si="4"/>
        <v>S</v>
      </c>
      <c r="J589" s="1" t="str">
        <f t="shared" ref="J589:Q589" si="593">indirect(address($G589+4, column()-9, 4, , $H589))</f>
        <v>R20</v>
      </c>
      <c r="K589" s="1">
        <f t="shared" si="593"/>
        <v>1</v>
      </c>
      <c r="L589" s="1" t="str">
        <f t="shared" si="593"/>
        <v>Resistor, 1%</v>
      </c>
      <c r="M589" s="1" t="str">
        <f t="shared" si="593"/>
        <v/>
      </c>
      <c r="N589" s="1" t="str">
        <f t="shared" si="593"/>
        <v>30k</v>
      </c>
      <c r="O589" s="289" t="str">
        <f t="shared" si="593"/>
        <v>0603</v>
      </c>
      <c r="P589" s="1" t="str">
        <f t="shared" si="593"/>
        <v>652-CR0603FX-3002ELF</v>
      </c>
      <c r="Q589" s="1" t="str">
        <f t="shared" si="593"/>
        <v/>
      </c>
    </row>
    <row r="590">
      <c r="D590" s="282"/>
      <c r="F590" s="1">
        <v>17.0</v>
      </c>
      <c r="G590" s="60">
        <f t="shared" si="2"/>
        <v>10</v>
      </c>
      <c r="H590" s="1" t="str">
        <f t="shared" si="3"/>
        <v>Tides v4.0</v>
      </c>
      <c r="I590" t="str">
        <f t="shared" si="4"/>
        <v>S</v>
      </c>
      <c r="J590" s="1" t="str">
        <f t="shared" ref="J590:Q590" si="594">indirect(address($G590+4, column()-9, 4, , $H590))</f>
        <v>R13, R15, R28, R33, R40</v>
      </c>
      <c r="K590" s="1">
        <f t="shared" si="594"/>
        <v>5</v>
      </c>
      <c r="L590" s="1" t="str">
        <f t="shared" si="594"/>
        <v>Resistor, 1%</v>
      </c>
      <c r="M590" s="1" t="str">
        <f t="shared" si="594"/>
        <v/>
      </c>
      <c r="N590" s="289" t="str">
        <f t="shared" si="594"/>
        <v>33k</v>
      </c>
      <c r="O590" s="289" t="str">
        <f t="shared" si="594"/>
        <v>0603</v>
      </c>
      <c r="P590" s="1" t="str">
        <f t="shared" si="594"/>
        <v>652-CR0603FX-3302ELF</v>
      </c>
      <c r="Q590" s="1" t="str">
        <f t="shared" si="594"/>
        <v/>
      </c>
    </row>
    <row r="591">
      <c r="D591" s="282"/>
      <c r="F591" s="1">
        <v>17.0</v>
      </c>
      <c r="G591" s="60">
        <f t="shared" si="2"/>
        <v>11</v>
      </c>
      <c r="H591" s="1" t="str">
        <f t="shared" si="3"/>
        <v>Tides v4.0</v>
      </c>
      <c r="I591" t="str">
        <f t="shared" si="4"/>
        <v>S</v>
      </c>
      <c r="J591" s="1" t="str">
        <f t="shared" ref="J591:Q591" si="595">indirect(address($G591+4, column()-9, 4, , $H591))</f>
        <v>R45</v>
      </c>
      <c r="K591" s="1">
        <f t="shared" si="595"/>
        <v>1</v>
      </c>
      <c r="L591" s="1" t="str">
        <f t="shared" si="595"/>
        <v>Resistor, 1%</v>
      </c>
      <c r="M591" s="1" t="str">
        <f t="shared" si="595"/>
        <v/>
      </c>
      <c r="N591" s="1" t="str">
        <f t="shared" si="595"/>
        <v>39k</v>
      </c>
      <c r="O591" s="289" t="str">
        <f t="shared" si="595"/>
        <v>0603</v>
      </c>
      <c r="P591" s="1" t="str">
        <f t="shared" si="595"/>
        <v>652-CR0603FX-3902ELF</v>
      </c>
      <c r="Q591" s="1" t="str">
        <f t="shared" si="595"/>
        <v/>
      </c>
    </row>
    <row r="592">
      <c r="D592" s="282"/>
      <c r="F592" s="1">
        <v>17.0</v>
      </c>
      <c r="G592" s="60">
        <f t="shared" si="2"/>
        <v>12</v>
      </c>
      <c r="H592" s="1" t="str">
        <f t="shared" si="3"/>
        <v>Tides v4.0</v>
      </c>
      <c r="I592" t="str">
        <f t="shared" si="4"/>
        <v>S</v>
      </c>
      <c r="J592" s="1" t="str">
        <f t="shared" ref="J592:Q592" si="596">indirect(address($G592+4, column()-9, 4, , $H592))</f>
        <v>R14, R16, R26, R29, R30, R31, R32, R36, R38, R39, R41, R42, R44, R54, R55, R56</v>
      </c>
      <c r="K592" s="1">
        <f t="shared" si="596"/>
        <v>16</v>
      </c>
      <c r="L592" s="1" t="str">
        <f t="shared" si="596"/>
        <v>Resistor, 1%</v>
      </c>
      <c r="M592" s="1" t="str">
        <f t="shared" si="596"/>
        <v/>
      </c>
      <c r="N592" s="1" t="str">
        <f t="shared" si="596"/>
        <v>100k</v>
      </c>
      <c r="O592" s="289" t="str">
        <f t="shared" si="596"/>
        <v>0603</v>
      </c>
      <c r="P592" s="1" t="str">
        <f t="shared" si="596"/>
        <v>652-CR0603-FX-1003GLF</v>
      </c>
      <c r="Q592" s="1" t="str">
        <f t="shared" si="596"/>
        <v/>
      </c>
    </row>
    <row r="593">
      <c r="D593" s="282"/>
      <c r="F593" s="1">
        <v>17.0</v>
      </c>
      <c r="G593" s="60">
        <f t="shared" si="2"/>
        <v>13</v>
      </c>
      <c r="H593" s="1" t="str">
        <f t="shared" si="3"/>
        <v>Tides v4.0</v>
      </c>
      <c r="I593" t="str">
        <f t="shared" si="4"/>
        <v>S</v>
      </c>
      <c r="J593" s="1" t="str">
        <f t="shared" ref="J593:Q593" si="597">indirect(address($G593+4, column()-9, 4, , $H593))</f>
        <v>R23, R35, R43</v>
      </c>
      <c r="K593" s="1">
        <f t="shared" si="597"/>
        <v>3</v>
      </c>
      <c r="L593" s="1" t="str">
        <f t="shared" si="597"/>
        <v>Resistor, 1%</v>
      </c>
      <c r="M593" s="1" t="str">
        <f t="shared" si="597"/>
        <v/>
      </c>
      <c r="N593" s="1" t="str">
        <f t="shared" si="597"/>
        <v>120k</v>
      </c>
      <c r="O593" s="289" t="str">
        <f t="shared" si="597"/>
        <v>0603</v>
      </c>
      <c r="P593" s="1" t="str">
        <f t="shared" si="597"/>
        <v>652-CR0603FX-1203ELF</v>
      </c>
      <c r="Q593" s="1" t="str">
        <f t="shared" si="597"/>
        <v/>
      </c>
    </row>
    <row r="594">
      <c r="D594" s="282"/>
      <c r="F594" s="1">
        <v>17.0</v>
      </c>
      <c r="G594" s="60">
        <f t="shared" si="2"/>
        <v>14</v>
      </c>
      <c r="H594" s="1" t="str">
        <f t="shared" si="3"/>
        <v>Tides v4.0</v>
      </c>
      <c r="I594" t="str">
        <f t="shared" si="4"/>
        <v>S</v>
      </c>
      <c r="J594" s="1" t="str">
        <f t="shared" ref="J594:Q594" si="598">indirect(address($G594+4, column()-9, 4, , $H594))</f>
        <v>R21, R25</v>
      </c>
      <c r="K594" s="1">
        <f t="shared" si="598"/>
        <v>2</v>
      </c>
      <c r="L594" s="1" t="str">
        <f t="shared" si="598"/>
        <v>Resistor, 1%</v>
      </c>
      <c r="M594" s="1" t="str">
        <f t="shared" si="598"/>
        <v/>
      </c>
      <c r="N594" s="289" t="str">
        <f t="shared" si="598"/>
        <v>220k</v>
      </c>
      <c r="O594" s="289" t="str">
        <f t="shared" si="598"/>
        <v>0603</v>
      </c>
      <c r="P594" s="1" t="str">
        <f t="shared" si="598"/>
        <v>652-CR0603FX-2203ELF</v>
      </c>
      <c r="Q594" s="1" t="str">
        <f t="shared" si="598"/>
        <v/>
      </c>
    </row>
    <row r="595">
      <c r="D595" s="282"/>
      <c r="F595" s="1">
        <v>17.0</v>
      </c>
      <c r="G595" s="60">
        <f t="shared" si="2"/>
        <v>15</v>
      </c>
      <c r="H595" s="1" t="str">
        <f t="shared" si="3"/>
        <v>Tides v4.0</v>
      </c>
      <c r="I595" t="str">
        <f t="shared" si="4"/>
        <v>S</v>
      </c>
      <c r="J595" s="1" t="str">
        <f t="shared" ref="J595:Q595" si="599">indirect(address($G595+4, column()-9, 4, , $H595))</f>
        <v>R46</v>
      </c>
      <c r="K595" s="1">
        <f t="shared" si="599"/>
        <v>1</v>
      </c>
      <c r="L595" s="1" t="str">
        <f t="shared" si="599"/>
        <v>Resistor, 1%</v>
      </c>
      <c r="M595" s="1" t="str">
        <f t="shared" si="599"/>
        <v/>
      </c>
      <c r="N595" s="289" t="str">
        <f t="shared" si="599"/>
        <v>3.3M</v>
      </c>
      <c r="O595" s="289" t="str">
        <f t="shared" si="599"/>
        <v>0603</v>
      </c>
      <c r="P595" s="1" t="str">
        <f t="shared" si="599"/>
        <v>71-CRCW06033M30FKEA</v>
      </c>
      <c r="Q595" s="1" t="str">
        <f t="shared" si="599"/>
        <v/>
      </c>
    </row>
    <row r="596">
      <c r="D596" s="282"/>
      <c r="F596" s="1">
        <v>17.0</v>
      </c>
      <c r="G596" s="60">
        <f t="shared" si="2"/>
        <v>16</v>
      </c>
      <c r="H596" s="1" t="str">
        <f t="shared" si="3"/>
        <v>Tides v4.0</v>
      </c>
      <c r="I596" t="str">
        <f t="shared" si="4"/>
        <v>S</v>
      </c>
      <c r="J596" s="1" t="str">
        <f t="shared" ref="J596:Q596" si="600">indirect(address($G596+4, column()-9, 4, , $H596))</f>
        <v>C2, C17</v>
      </c>
      <c r="K596" s="1">
        <f t="shared" si="600"/>
        <v>2</v>
      </c>
      <c r="L596" s="1" t="str">
        <f t="shared" si="600"/>
        <v>Capacitor, ceramic</v>
      </c>
      <c r="M596" s="1" t="str">
        <f t="shared" si="600"/>
        <v/>
      </c>
      <c r="N596" s="289" t="str">
        <f t="shared" si="600"/>
        <v>18p</v>
      </c>
      <c r="O596" s="289" t="str">
        <f t="shared" si="600"/>
        <v>0603</v>
      </c>
      <c r="P596" s="290" t="str">
        <f t="shared" si="600"/>
        <v>81-GRM185C1H180JA01J</v>
      </c>
      <c r="Q596" s="1" t="str">
        <f t="shared" si="600"/>
        <v/>
      </c>
    </row>
    <row r="597">
      <c r="D597" s="282"/>
      <c r="F597" s="1">
        <v>17.0</v>
      </c>
      <c r="G597" s="60">
        <f t="shared" si="2"/>
        <v>17</v>
      </c>
      <c r="H597" s="1" t="str">
        <f t="shared" si="3"/>
        <v>Tides v4.0</v>
      </c>
      <c r="I597" t="str">
        <f t="shared" si="4"/>
        <v>S</v>
      </c>
      <c r="J597" s="1" t="str">
        <f t="shared" ref="J597:Q597" si="601">indirect(address($G597+4, column()-9, 4, , $H597))</f>
        <v>C19, C21, C22, C23</v>
      </c>
      <c r="K597" s="1">
        <f t="shared" si="601"/>
        <v>4</v>
      </c>
      <c r="L597" s="1" t="str">
        <f t="shared" si="601"/>
        <v>Capacitor, ceramic</v>
      </c>
      <c r="M597" s="1" t="str">
        <f t="shared" si="601"/>
        <v>&gt;= 16V, &lt;= 2%, C0G</v>
      </c>
      <c r="N597" s="289" t="str">
        <f t="shared" si="601"/>
        <v>220p</v>
      </c>
      <c r="O597" s="289" t="str">
        <f t="shared" si="601"/>
        <v>0603</v>
      </c>
      <c r="P597" s="1" t="str">
        <f t="shared" si="601"/>
        <v>81-GRM185C1H221GA01D</v>
      </c>
      <c r="Q597" s="1" t="str">
        <f t="shared" si="601"/>
        <v/>
      </c>
    </row>
    <row r="598">
      <c r="D598" s="282"/>
      <c r="F598" s="1">
        <v>17.0</v>
      </c>
      <c r="G598" s="60">
        <f t="shared" si="2"/>
        <v>18</v>
      </c>
      <c r="H598" s="1" t="str">
        <f t="shared" si="3"/>
        <v>Tides v4.0</v>
      </c>
      <c r="I598" t="str">
        <f t="shared" si="4"/>
        <v>S</v>
      </c>
      <c r="J598" s="1" t="str">
        <f t="shared" ref="J598:Q598" si="602">indirect(address($G598+4, column()-9, 4, , $H598))</f>
        <v>C27, C31, C34</v>
      </c>
      <c r="K598" s="1">
        <f t="shared" si="602"/>
        <v>3</v>
      </c>
      <c r="L598" s="1" t="str">
        <f t="shared" si="602"/>
        <v>Capacitor, ceramic</v>
      </c>
      <c r="M598" s="1" t="str">
        <f t="shared" si="602"/>
        <v>&gt;= 50V, &lt;= 2%, C0G</v>
      </c>
      <c r="N598" s="289" t="str">
        <f t="shared" si="602"/>
        <v>1n</v>
      </c>
      <c r="O598" s="289" t="str">
        <f t="shared" si="602"/>
        <v>0603</v>
      </c>
      <c r="P598" s="290" t="str">
        <f t="shared" si="602"/>
        <v>81-GRM1885C1H102FA1J</v>
      </c>
      <c r="Q598" s="1" t="str">
        <f t="shared" si="602"/>
        <v/>
      </c>
    </row>
    <row r="599">
      <c r="D599" s="282"/>
      <c r="F599" s="1">
        <v>17.0</v>
      </c>
      <c r="G599" s="60">
        <f t="shared" si="2"/>
        <v>19</v>
      </c>
      <c r="H599" s="1" t="str">
        <f t="shared" si="3"/>
        <v>Tides v4.0</v>
      </c>
      <c r="I599" t="str">
        <f t="shared" si="4"/>
        <v>S</v>
      </c>
      <c r="J599" s="1" t="str">
        <f t="shared" ref="J599:Q599" si="603">indirect(address($G599+4, column()-9, 4, , $H599))</f>
        <v>C28, C29, C32</v>
      </c>
      <c r="K599" s="1">
        <f t="shared" si="603"/>
        <v>3</v>
      </c>
      <c r="L599" s="1" t="str">
        <f t="shared" si="603"/>
        <v>Capacitor, ceramic</v>
      </c>
      <c r="M599" s="1" t="str">
        <f t="shared" si="603"/>
        <v>&gt;= 50V, &lt;= 5%</v>
      </c>
      <c r="N599" s="289" t="str">
        <f t="shared" si="603"/>
        <v>10n</v>
      </c>
      <c r="O599" s="289" t="str">
        <f t="shared" si="603"/>
        <v>0603</v>
      </c>
      <c r="P599" s="290" t="str">
        <f t="shared" si="603"/>
        <v>81-GRM18R71H103JA01D</v>
      </c>
      <c r="Q599" s="1" t="str">
        <f t="shared" si="603"/>
        <v/>
      </c>
    </row>
    <row r="600">
      <c r="D600" s="282"/>
      <c r="F600" s="1">
        <v>17.0</v>
      </c>
      <c r="G600" s="60">
        <f t="shared" si="2"/>
        <v>20</v>
      </c>
      <c r="H600" s="1" t="str">
        <f t="shared" si="3"/>
        <v>Tides v4.0</v>
      </c>
      <c r="I600" t="str">
        <f t="shared" si="4"/>
        <v>S</v>
      </c>
      <c r="J600" s="1" t="str">
        <f t="shared" ref="J600:Q600" si="604">indirect(address($G600+4, column()-9, 4, , $H600))</f>
        <v>C4, C5, C6, C7, C12, C14, C16, C18, C20, C24, C25, C30, C33</v>
      </c>
      <c r="K600" s="1">
        <f t="shared" si="604"/>
        <v>13</v>
      </c>
      <c r="L600" s="1" t="str">
        <f t="shared" si="604"/>
        <v>Capacitor, ceramic</v>
      </c>
      <c r="M600" s="1" t="str">
        <f t="shared" si="604"/>
        <v>&gt;= 16V</v>
      </c>
      <c r="N600" s="1" t="str">
        <f t="shared" si="604"/>
        <v>100n</v>
      </c>
      <c r="O600" s="289" t="str">
        <f t="shared" si="604"/>
        <v>0603</v>
      </c>
      <c r="P600" s="1" t="str">
        <f t="shared" si="604"/>
        <v>81-GRM188R71E104JA1J</v>
      </c>
      <c r="Q600" s="1" t="str">
        <f t="shared" si="604"/>
        <v/>
      </c>
    </row>
    <row r="601">
      <c r="D601" s="282"/>
      <c r="F601" s="1">
        <v>17.0</v>
      </c>
      <c r="G601" s="60">
        <f t="shared" si="2"/>
        <v>21</v>
      </c>
      <c r="H601" s="1" t="str">
        <f t="shared" si="3"/>
        <v>Tides v4.0</v>
      </c>
      <c r="I601" t="str">
        <f t="shared" si="4"/>
        <v>S</v>
      </c>
      <c r="J601" s="1" t="str">
        <f t="shared" ref="J601:Q601" si="605">indirect(address($G601+4, column()-9, 4, , $H601))</f>
        <v>C13, C26</v>
      </c>
      <c r="K601" s="1">
        <f t="shared" si="605"/>
        <v>2</v>
      </c>
      <c r="L601" s="1" t="str">
        <f t="shared" si="605"/>
        <v>Capacitor, ceramic</v>
      </c>
      <c r="M601" s="1" t="str">
        <f t="shared" si="605"/>
        <v>&gt;= 16V</v>
      </c>
      <c r="N601" s="1" t="str">
        <f t="shared" si="605"/>
        <v>470n</v>
      </c>
      <c r="O601" s="289" t="str">
        <f t="shared" si="605"/>
        <v>0603</v>
      </c>
      <c r="P601" s="1" t="str">
        <f t="shared" si="605"/>
        <v>81-GRM18F51C474ZA01J</v>
      </c>
      <c r="Q601" s="1" t="str">
        <f t="shared" si="605"/>
        <v/>
      </c>
    </row>
    <row r="602">
      <c r="D602" s="282"/>
      <c r="F602" s="1">
        <v>17.0</v>
      </c>
      <c r="G602" s="60">
        <f t="shared" si="2"/>
        <v>22</v>
      </c>
      <c r="H602" s="1" t="str">
        <f t="shared" si="3"/>
        <v>Tides v4.0</v>
      </c>
      <c r="I602" t="str">
        <f t="shared" si="4"/>
        <v>S</v>
      </c>
      <c r="J602" s="1" t="str">
        <f t="shared" ref="J602:Q602" si="606">indirect(address($G602+4, column()-9, 4, , $H602))</f>
        <v>C11, C15</v>
      </c>
      <c r="K602" s="1">
        <f t="shared" si="606"/>
        <v>2</v>
      </c>
      <c r="L602" s="1" t="str">
        <f t="shared" si="606"/>
        <v>Capacitor, ceramic</v>
      </c>
      <c r="M602" s="1" t="str">
        <f t="shared" si="606"/>
        <v>&gt;= 6.3V</v>
      </c>
      <c r="N602" s="1" t="str">
        <f t="shared" si="606"/>
        <v>3.3u</v>
      </c>
      <c r="O602" s="289" t="str">
        <f t="shared" si="606"/>
        <v>0603</v>
      </c>
      <c r="P602" s="1" t="str">
        <f t="shared" si="606"/>
        <v>81-GRM188R61A335KE5D</v>
      </c>
      <c r="Q602" s="1" t="str">
        <f t="shared" si="606"/>
        <v/>
      </c>
    </row>
    <row r="603">
      <c r="D603" s="282"/>
      <c r="F603" s="1">
        <v>17.0</v>
      </c>
      <c r="G603" s="60">
        <f t="shared" si="2"/>
        <v>23</v>
      </c>
      <c r="H603" s="1" t="str">
        <f t="shared" si="3"/>
        <v>Tides v4.0</v>
      </c>
      <c r="I603" t="str">
        <f t="shared" si="4"/>
        <v>S</v>
      </c>
      <c r="J603" s="1" t="str">
        <f t="shared" ref="J603:Q603" si="607">indirect(address($G603+4, column()-9, 4, , $H603))</f>
        <v>C1, C8, C9</v>
      </c>
      <c r="K603" s="1">
        <f t="shared" si="607"/>
        <v>3</v>
      </c>
      <c r="L603" s="1" t="str">
        <f t="shared" si="607"/>
        <v>Capacitor, electrolytic</v>
      </c>
      <c r="M603" s="1" t="str">
        <f t="shared" si="607"/>
        <v>&gt;= 25V</v>
      </c>
      <c r="N603" s="289" t="str">
        <f t="shared" si="607"/>
        <v>22u</v>
      </c>
      <c r="O603" s="289" t="str">
        <f t="shared" si="607"/>
        <v>Panasonic C</v>
      </c>
      <c r="P603" s="290" t="str">
        <f t="shared" si="607"/>
        <v>667-EEE-FP1E220AR</v>
      </c>
      <c r="Q603" s="1" t="str">
        <f t="shared" si="607"/>
        <v>EEE-FP1E220AR</v>
      </c>
    </row>
    <row r="604">
      <c r="D604" s="282"/>
      <c r="F604" s="1">
        <v>17.0</v>
      </c>
      <c r="G604" s="60">
        <f t="shared" si="2"/>
        <v>24</v>
      </c>
      <c r="H604" s="1" t="str">
        <f t="shared" si="3"/>
        <v>Tides v4.0</v>
      </c>
      <c r="I604" t="str">
        <f t="shared" si="4"/>
        <v>S</v>
      </c>
      <c r="J604" s="1" t="str">
        <f t="shared" ref="J604:Q604" si="608">indirect(address($G604+4, column()-9, 4, , $H604))</f>
        <v>C3, C10</v>
      </c>
      <c r="K604" s="1">
        <f t="shared" si="608"/>
        <v>2</v>
      </c>
      <c r="L604" s="1" t="str">
        <f t="shared" si="608"/>
        <v>Capacitor, electrolytic</v>
      </c>
      <c r="M604" s="1" t="str">
        <f t="shared" si="608"/>
        <v>&gt;= 25V</v>
      </c>
      <c r="N604" s="289" t="str">
        <f t="shared" si="608"/>
        <v>47u</v>
      </c>
      <c r="O604" s="289" t="str">
        <f t="shared" si="608"/>
        <v>Panasonic D</v>
      </c>
      <c r="P604" s="290" t="str">
        <f t="shared" si="608"/>
        <v>667-EEE-FK1V470P</v>
      </c>
      <c r="Q604" s="1" t="str">
        <f t="shared" si="608"/>
        <v>EEEFK1V470P</v>
      </c>
    </row>
    <row r="605">
      <c r="D605" s="282"/>
      <c r="F605" s="1">
        <v>17.0</v>
      </c>
      <c r="G605" s="60">
        <f t="shared" si="2"/>
        <v>25</v>
      </c>
      <c r="H605" s="1" t="str">
        <f t="shared" si="3"/>
        <v>Tides v4.0</v>
      </c>
      <c r="I605" t="str">
        <f t="shared" si="4"/>
        <v>S</v>
      </c>
      <c r="J605" s="1" t="str">
        <f t="shared" ref="J605:Q605" si="609">indirect(address($G605+4, column()-9, 4, , $H605))</f>
        <v>D1, D2</v>
      </c>
      <c r="K605" s="1">
        <f t="shared" si="609"/>
        <v>2</v>
      </c>
      <c r="L605" s="1" t="str">
        <f t="shared" si="609"/>
        <v>1N5819HW diode</v>
      </c>
      <c r="M605" s="1" t="str">
        <f t="shared" si="609"/>
        <v/>
      </c>
      <c r="N605" s="289" t="str">
        <f t="shared" si="609"/>
        <v/>
      </c>
      <c r="O605" s="1" t="str">
        <f t="shared" si="609"/>
        <v>SOD123</v>
      </c>
      <c r="P605" s="1" t="str">
        <f t="shared" si="609"/>
        <v>621-1N5819HW-F</v>
      </c>
      <c r="Q605" s="1" t="str">
        <f t="shared" si="609"/>
        <v>Diodes Inc 1N5819HW-7-F</v>
      </c>
    </row>
    <row r="606">
      <c r="D606" s="282"/>
      <c r="F606" s="1">
        <v>17.0</v>
      </c>
      <c r="G606" s="60">
        <f t="shared" si="2"/>
        <v>26</v>
      </c>
      <c r="H606" s="1" t="str">
        <f t="shared" si="3"/>
        <v>Tides v4.0</v>
      </c>
      <c r="I606" t="str">
        <f t="shared" si="4"/>
        <v>S</v>
      </c>
      <c r="J606" s="1" t="str">
        <f t="shared" ref="J606:Q606" si="610">indirect(address($G606+4, column()-9, 4, , $H606))</f>
        <v>IC1, IC3</v>
      </c>
      <c r="K606" s="1">
        <f t="shared" si="610"/>
        <v>2</v>
      </c>
      <c r="L606" s="1" t="str">
        <f t="shared" si="610"/>
        <v>LM1117-3.3V LDO Vreg</v>
      </c>
      <c r="M606" s="1" t="str">
        <f t="shared" si="610"/>
        <v/>
      </c>
      <c r="N606" s="289" t="str">
        <f t="shared" si="610"/>
        <v>3.3V</v>
      </c>
      <c r="O606" s="289" t="str">
        <f t="shared" si="610"/>
        <v>SO223</v>
      </c>
      <c r="P606" s="290" t="str">
        <f t="shared" si="610"/>
        <v>926-LM1117MPX3.3NOPB</v>
      </c>
      <c r="Q606" s="1" t="str">
        <f t="shared" si="610"/>
        <v>National LM1117MPX3.3NOPB</v>
      </c>
    </row>
    <row r="607">
      <c r="D607" s="282"/>
      <c r="F607" s="1">
        <v>17.0</v>
      </c>
      <c r="G607" s="60">
        <f t="shared" si="2"/>
        <v>27</v>
      </c>
      <c r="H607" s="1" t="str">
        <f t="shared" si="3"/>
        <v>Tides v4.0</v>
      </c>
      <c r="I607" t="str">
        <f t="shared" si="4"/>
        <v>S</v>
      </c>
      <c r="J607" s="1" t="str">
        <f t="shared" ref="J607:Q607" si="611">indirect(address($G607+4, column()-9, 4, , $H607))</f>
        <v>IC2</v>
      </c>
      <c r="K607" s="1">
        <f t="shared" si="611"/>
        <v>1</v>
      </c>
      <c r="L607" s="1" t="str">
        <f t="shared" si="611"/>
        <v>LM4040 Shunt Vref</v>
      </c>
      <c r="M607" s="1" t="str">
        <f t="shared" si="611"/>
        <v>A, B or C grade</v>
      </c>
      <c r="N607" s="289" t="str">
        <f t="shared" si="611"/>
        <v>2.5V</v>
      </c>
      <c r="O607" s="289" t="str">
        <f t="shared" si="611"/>
        <v>SOT23</v>
      </c>
      <c r="P607" s="290" t="str">
        <f t="shared" si="611"/>
        <v>595-LM4040C25IDBZR</v>
      </c>
      <c r="Q607" s="1" t="str">
        <f t="shared" si="611"/>
        <v>Texas Instruments LM4040C25IDBZ</v>
      </c>
    </row>
    <row r="608">
      <c r="D608" s="282"/>
      <c r="F608" s="1">
        <v>17.0</v>
      </c>
      <c r="G608" s="60">
        <f t="shared" si="2"/>
        <v>28</v>
      </c>
      <c r="H608" s="1" t="str">
        <f t="shared" si="3"/>
        <v>Tides v4.0</v>
      </c>
      <c r="I608" t="str">
        <f t="shared" si="4"/>
        <v>S</v>
      </c>
      <c r="J608" s="1" t="str">
        <f t="shared" ref="J608:Q608" si="612">indirect(address($G608+4, column()-9, 4, , $H608))</f>
        <v>IC7</v>
      </c>
      <c r="K608" s="1">
        <f t="shared" si="612"/>
        <v>1</v>
      </c>
      <c r="L608" s="1" t="str">
        <f t="shared" si="612"/>
        <v>LM4040 Shunt Vref</v>
      </c>
      <c r="M608" s="1" t="str">
        <f t="shared" si="612"/>
        <v>A, B or C grade</v>
      </c>
      <c r="N608" s="289" t="str">
        <f t="shared" si="612"/>
        <v>10V</v>
      </c>
      <c r="O608" s="289" t="str">
        <f t="shared" si="612"/>
        <v>SOT23</v>
      </c>
      <c r="P608" s="290" t="str">
        <f t="shared" si="612"/>
        <v>595-LM4040C10IDBZR</v>
      </c>
      <c r="Q608" s="1" t="str">
        <f t="shared" si="612"/>
        <v>Texas Instruments LM4040C10IDBZ</v>
      </c>
    </row>
    <row r="609">
      <c r="D609" s="282"/>
      <c r="F609" s="1">
        <v>17.0</v>
      </c>
      <c r="G609" s="60">
        <f t="shared" si="2"/>
        <v>29</v>
      </c>
      <c r="H609" s="1" t="str">
        <f t="shared" si="3"/>
        <v>Tides v4.0</v>
      </c>
      <c r="I609" t="str">
        <f t="shared" si="4"/>
        <v>S</v>
      </c>
      <c r="J609" s="1" t="str">
        <f t="shared" ref="J609:Q609" si="613">indirect(address($G609+4, column()-9, 4, , $H609))</f>
        <v>IC4</v>
      </c>
      <c r="K609" s="1">
        <f t="shared" si="613"/>
        <v>1</v>
      </c>
      <c r="L609" s="1" t="str">
        <f t="shared" si="613"/>
        <v>DAC8552 dual 16-bit DAC</v>
      </c>
      <c r="M609" s="1" t="str">
        <f t="shared" si="613"/>
        <v/>
      </c>
      <c r="N609" s="289" t="str">
        <f t="shared" si="613"/>
        <v/>
      </c>
      <c r="O609" s="289" t="str">
        <f t="shared" si="613"/>
        <v>MSOP8</v>
      </c>
      <c r="P609" s="290" t="str">
        <f t="shared" si="613"/>
        <v>595-DAC8552IDGKT</v>
      </c>
      <c r="Q609" s="1" t="str">
        <f t="shared" si="613"/>
        <v>Texas Instruments DAC8552IDGKT</v>
      </c>
    </row>
    <row r="610">
      <c r="D610" s="282"/>
      <c r="F610" s="1">
        <v>17.0</v>
      </c>
      <c r="G610" s="60">
        <f t="shared" si="2"/>
        <v>30</v>
      </c>
      <c r="H610" s="1" t="str">
        <f t="shared" si="3"/>
        <v>Tides v4.0</v>
      </c>
      <c r="I610" t="str">
        <f t="shared" si="4"/>
        <v>S</v>
      </c>
      <c r="J610" s="1" t="str">
        <f t="shared" ref="J610:Q610" si="614">indirect(address($G610+4, column()-9, 4, , $H610))</f>
        <v>IC5, IC6</v>
      </c>
      <c r="K610" s="1">
        <f t="shared" si="614"/>
        <v>2</v>
      </c>
      <c r="L610" s="1" t="str">
        <f t="shared" si="614"/>
        <v>TL072 dual op-amp</v>
      </c>
      <c r="M610" s="1" t="str">
        <f t="shared" si="614"/>
        <v/>
      </c>
      <c r="N610" s="1" t="str">
        <f t="shared" si="614"/>
        <v/>
      </c>
      <c r="O610" s="1" t="str">
        <f t="shared" si="614"/>
        <v>SOIC8</v>
      </c>
      <c r="P610" s="1" t="str">
        <f t="shared" si="614"/>
        <v>595-TL072CD</v>
      </c>
      <c r="Q610" s="1" t="str">
        <f t="shared" si="614"/>
        <v>TI TL072CD</v>
      </c>
    </row>
    <row r="611">
      <c r="D611" s="282"/>
      <c r="F611" s="1">
        <v>17.0</v>
      </c>
      <c r="G611" s="60">
        <f t="shared" si="2"/>
        <v>31</v>
      </c>
      <c r="H611" s="1" t="str">
        <f t="shared" si="3"/>
        <v>Tides v4.0</v>
      </c>
      <c r="I611" t="str">
        <f t="shared" si="4"/>
        <v>S</v>
      </c>
      <c r="J611" s="1" t="str">
        <f t="shared" ref="J611:Q611" si="615">indirect(address($G611+4, column()-9, 4, , $H611))</f>
        <v>IC8</v>
      </c>
      <c r="K611" s="1">
        <f t="shared" si="615"/>
        <v>1</v>
      </c>
      <c r="L611" s="1" t="str">
        <f t="shared" si="615"/>
        <v>MCP6002 dual op-amp R2R IO</v>
      </c>
      <c r="M611" s="1" t="str">
        <f t="shared" si="615"/>
        <v/>
      </c>
      <c r="N611" s="1" t="str">
        <f t="shared" si="615"/>
        <v/>
      </c>
      <c r="O611" s="1" t="str">
        <f t="shared" si="615"/>
        <v>SOIC8</v>
      </c>
      <c r="P611" s="1" t="str">
        <f t="shared" si="615"/>
        <v>579-MCP6002-I/SN</v>
      </c>
      <c r="Q611" s="1" t="str">
        <f t="shared" si="615"/>
        <v>MCP6002-I/SN</v>
      </c>
    </row>
    <row r="612">
      <c r="D612" s="282"/>
      <c r="F612" s="1">
        <v>17.0</v>
      </c>
      <c r="G612" s="60">
        <f t="shared" si="2"/>
        <v>32</v>
      </c>
      <c r="H612" s="1" t="str">
        <f t="shared" si="3"/>
        <v>Tides v4.0</v>
      </c>
      <c r="I612" t="str">
        <f t="shared" si="4"/>
        <v>S</v>
      </c>
      <c r="J612" s="1" t="str">
        <f t="shared" ref="J612:Q612" si="616">indirect(address($G612+4, column()-9, 4, , $H612))</f>
        <v>IC9</v>
      </c>
      <c r="K612" s="1">
        <f t="shared" si="616"/>
        <v>1</v>
      </c>
      <c r="L612" s="1" t="str">
        <f t="shared" si="616"/>
        <v>MCP6004 quad op-amp R2R IO</v>
      </c>
      <c r="M612" s="1" t="str">
        <f t="shared" si="616"/>
        <v/>
      </c>
      <c r="N612" s="1" t="str">
        <f t="shared" si="616"/>
        <v/>
      </c>
      <c r="O612" s="1" t="str">
        <f t="shared" si="616"/>
        <v>SOIC14</v>
      </c>
      <c r="P612" s="1" t="str">
        <f t="shared" si="616"/>
        <v>579-MCP6004-I/SL</v>
      </c>
      <c r="Q612" s="1" t="str">
        <f t="shared" si="616"/>
        <v>MCP6004-I/SL</v>
      </c>
    </row>
    <row r="613">
      <c r="D613" s="282"/>
      <c r="F613" s="1">
        <v>17.0</v>
      </c>
      <c r="G613" s="60">
        <f t="shared" si="2"/>
        <v>33</v>
      </c>
      <c r="H613" s="1" t="str">
        <f t="shared" si="3"/>
        <v>Tides v4.0</v>
      </c>
      <c r="I613" t="str">
        <f t="shared" si="4"/>
        <v>S</v>
      </c>
      <c r="J613" s="1" t="str">
        <f t="shared" ref="J613:Q613" si="617">indirect(address($G613+4, column()-9, 4, , $H613))</f>
        <v>Q2, Q3, Q4, Q5, Q6</v>
      </c>
      <c r="K613" s="1">
        <f t="shared" si="617"/>
        <v>5</v>
      </c>
      <c r="L613" s="1" t="str">
        <f t="shared" si="617"/>
        <v>NPN transistor MMBT3904</v>
      </c>
      <c r="M613" s="1" t="str">
        <f t="shared" si="617"/>
        <v/>
      </c>
      <c r="N613" s="289" t="str">
        <f t="shared" si="617"/>
        <v/>
      </c>
      <c r="O613" s="289" t="str">
        <f t="shared" si="617"/>
        <v>SOT23</v>
      </c>
      <c r="P613" s="290" t="str">
        <f t="shared" si="617"/>
        <v>863-MMBT3904LT1G</v>
      </c>
      <c r="Q613" s="1" t="str">
        <f t="shared" si="617"/>
        <v>On Semi MMBT3904LT1G</v>
      </c>
    </row>
    <row r="614">
      <c r="D614" s="282"/>
      <c r="F614" s="1">
        <v>17.0</v>
      </c>
      <c r="G614" s="60">
        <f t="shared" si="2"/>
        <v>34</v>
      </c>
      <c r="H614" s="1" t="str">
        <f t="shared" si="3"/>
        <v>Tides v4.0</v>
      </c>
      <c r="I614" t="str">
        <f t="shared" si="4"/>
        <v>S</v>
      </c>
      <c r="J614" s="1" t="str">
        <f t="shared" ref="J614:Q614" si="618">indirect(address($G614+4, column()-9, 4, , $H614))</f>
        <v>Q1</v>
      </c>
      <c r="K614" s="1">
        <f t="shared" si="618"/>
        <v>1</v>
      </c>
      <c r="L614" s="1" t="str">
        <f t="shared" si="618"/>
        <v>8 MHz quartz</v>
      </c>
      <c r="M614" s="1" t="str">
        <f t="shared" si="618"/>
        <v/>
      </c>
      <c r="N614" s="289" t="str">
        <f t="shared" si="618"/>
        <v/>
      </c>
      <c r="O614" s="1" t="str">
        <f t="shared" si="618"/>
        <v>HC49</v>
      </c>
      <c r="P614" s="290" t="str">
        <f t="shared" si="618"/>
        <v>815-ABLS2-8-D4Y-T</v>
      </c>
      <c r="Q614" s="1" t="str">
        <f t="shared" si="618"/>
        <v>Abracon ABLS2-8.000MHZ-D4Y-T</v>
      </c>
    </row>
    <row r="615">
      <c r="D615" s="282"/>
      <c r="F615" s="1">
        <v>17.0</v>
      </c>
      <c r="G615" s="60">
        <f t="shared" si="2"/>
        <v>35</v>
      </c>
      <c r="H615" s="1" t="str">
        <f t="shared" si="3"/>
        <v>Tides v4.0</v>
      </c>
      <c r="I615" t="str">
        <f t="shared" si="4"/>
        <v>S</v>
      </c>
      <c r="J615" s="1" t="str">
        <f t="shared" ref="J615:Q615" si="619">indirect(address($G615+4, column()-9, 4, , $H615))</f>
        <v>SW1, SW2</v>
      </c>
      <c r="K615" s="1">
        <f t="shared" si="619"/>
        <v>2</v>
      </c>
      <c r="L615" s="1" t="str">
        <f t="shared" si="619"/>
        <v>Switch, 6mm, SMT</v>
      </c>
      <c r="M615" s="1" t="str">
        <f t="shared" si="619"/>
        <v/>
      </c>
      <c r="N615" s="289" t="str">
        <f t="shared" si="619"/>
        <v/>
      </c>
      <c r="O615" s="289" t="str">
        <f t="shared" si="619"/>
        <v>6mm x 6mm</v>
      </c>
      <c r="P615" s="290" t="str">
        <f t="shared" si="619"/>
        <v>667-EVQ-Q2K01W</v>
      </c>
      <c r="Q615" s="1" t="str">
        <f t="shared" si="619"/>
        <v>Panasonic EVQ-Q2K01W</v>
      </c>
    </row>
    <row r="616">
      <c r="D616" s="282"/>
      <c r="F616" s="1">
        <v>17.0</v>
      </c>
      <c r="G616" s="60">
        <f t="shared" si="2"/>
        <v>36</v>
      </c>
      <c r="H616" s="1" t="str">
        <f t="shared" si="3"/>
        <v>Tides v4.0</v>
      </c>
      <c r="I616" t="str">
        <f t="shared" si="4"/>
        <v>S</v>
      </c>
      <c r="J616" s="1" t="str">
        <f t="shared" ref="J616:Q616" si="620">indirect(address($G616+4, column()-9, 4, , $H616))</f>
        <v>UC1</v>
      </c>
      <c r="K616" s="1">
        <f t="shared" si="620"/>
        <v>1</v>
      </c>
      <c r="L616" s="1" t="str">
        <f t="shared" si="620"/>
        <v>STM32F103CBT6 MCU</v>
      </c>
      <c r="M616" s="1" t="str">
        <f t="shared" si="620"/>
        <v/>
      </c>
      <c r="N616" s="289" t="str">
        <f t="shared" si="620"/>
        <v/>
      </c>
      <c r="O616" s="289" t="str">
        <f t="shared" si="620"/>
        <v>LQFP48</v>
      </c>
      <c r="P616" s="290" t="str">
        <f t="shared" si="620"/>
        <v>511-STM32F103CBT6</v>
      </c>
      <c r="Q616" s="1" t="str">
        <f t="shared" si="620"/>
        <v>ST STM32F103CBT6</v>
      </c>
    </row>
    <row r="617">
      <c r="D617" s="282"/>
      <c r="F617" s="1">
        <v>17.0</v>
      </c>
      <c r="G617" s="60">
        <f t="shared" si="2"/>
        <v>37</v>
      </c>
      <c r="H617" s="1" t="str">
        <f t="shared" si="3"/>
        <v>Tides v4.0</v>
      </c>
      <c r="I617" t="str">
        <f t="shared" si="4"/>
        <v/>
      </c>
      <c r="J617" s="1" t="str">
        <f t="shared" ref="J617:Q617" si="621">indirect(address($G617+4, column()-9, 4, , $H617))</f>
        <v>PTH parts, top side</v>
      </c>
      <c r="K617" s="1" t="str">
        <f t="shared" si="621"/>
        <v/>
      </c>
      <c r="L617" s="1" t="str">
        <f t="shared" si="621"/>
        <v/>
      </c>
      <c r="M617" s="1" t="str">
        <f t="shared" si="621"/>
        <v/>
      </c>
      <c r="N617" s="1" t="str">
        <f t="shared" si="621"/>
        <v/>
      </c>
      <c r="O617" s="1" t="str">
        <f t="shared" si="621"/>
        <v/>
      </c>
      <c r="P617" s="1" t="str">
        <f t="shared" si="621"/>
        <v/>
      </c>
      <c r="Q617" s="1" t="str">
        <f t="shared" si="621"/>
        <v/>
      </c>
    </row>
    <row r="618">
      <c r="D618" s="282"/>
      <c r="F618" s="1">
        <v>17.0</v>
      </c>
      <c r="G618" s="60">
        <f t="shared" si="2"/>
        <v>38</v>
      </c>
      <c r="H618" s="1" t="str">
        <f t="shared" si="3"/>
        <v>Tides v4.0</v>
      </c>
      <c r="I618" t="str">
        <f t="shared" si="4"/>
        <v>U</v>
      </c>
      <c r="J618" s="1" t="str">
        <f t="shared" ref="J618:Q618" si="622">indirect(address($G618+4, column()-9, 4, , $H618))</f>
        <v>J1, J2, J3, J4, J5, J6, J7, J8, J9, J10, J11, J12, J13</v>
      </c>
      <c r="K618" s="1">
        <f t="shared" si="622"/>
        <v>13</v>
      </c>
      <c r="L618" s="1" t="str">
        <f t="shared" si="622"/>
        <v>Vertical jack connector</v>
      </c>
      <c r="M618" s="1" t="str">
        <f t="shared" si="622"/>
        <v/>
      </c>
      <c r="N618" s="289" t="str">
        <f t="shared" si="622"/>
        <v/>
      </c>
      <c r="O618" s="289" t="str">
        <f t="shared" si="622"/>
        <v/>
      </c>
      <c r="P618" s="290" t="str">
        <f t="shared" si="622"/>
        <v/>
      </c>
      <c r="Q618" s="1" t="str">
        <f t="shared" si="622"/>
        <v>PJ-301-M-12</v>
      </c>
    </row>
    <row r="619">
      <c r="D619" s="282"/>
      <c r="F619" s="1">
        <v>17.0</v>
      </c>
      <c r="G619" s="60">
        <f t="shared" si="2"/>
        <v>39</v>
      </c>
      <c r="H619" s="1" t="str">
        <f t="shared" si="3"/>
        <v>Tides v4.0</v>
      </c>
      <c r="I619" t="str">
        <f t="shared" si="4"/>
        <v>U</v>
      </c>
      <c r="J619" s="1" t="str">
        <f t="shared" ref="J619:Q619" si="623">indirect(address($G619+4, column()-9, 4, , $H619))</f>
        <v>LED1, LED2, LED3</v>
      </c>
      <c r="K619" s="1">
        <f t="shared" si="623"/>
        <v>3</v>
      </c>
      <c r="L619" s="1" t="str">
        <f t="shared" si="623"/>
        <v>LED, Red/Green, 3 terminals, common K</v>
      </c>
      <c r="M619" s="1" t="str">
        <f t="shared" si="623"/>
        <v/>
      </c>
      <c r="N619" s="1" t="str">
        <f t="shared" si="623"/>
        <v/>
      </c>
      <c r="O619" s="1" t="str">
        <f t="shared" si="623"/>
        <v>3 terminals</v>
      </c>
      <c r="P619" s="1" t="str">
        <f t="shared" si="623"/>
        <v>604-WP115VEGW</v>
      </c>
      <c r="Q619" s="1" t="str">
        <f t="shared" si="623"/>
        <v>Kingbright WP115VEGW</v>
      </c>
    </row>
    <row r="620">
      <c r="D620" s="282"/>
      <c r="F620" s="1">
        <v>17.0</v>
      </c>
      <c r="G620" s="60">
        <f t="shared" si="2"/>
        <v>40</v>
      </c>
      <c r="H620" s="1" t="str">
        <f t="shared" si="3"/>
        <v>Tides v4.0</v>
      </c>
      <c r="I620" t="str">
        <f t="shared" si="4"/>
        <v>U</v>
      </c>
      <c r="J620" s="1" t="str">
        <f t="shared" ref="J620:Q620" si="624">indirect(address($G620+4, column()-9, 4, , $H620))</f>
        <v>SW3, SW4</v>
      </c>
      <c r="K620" s="1">
        <f t="shared" si="624"/>
        <v>2</v>
      </c>
      <c r="L620" s="1" t="str">
        <f t="shared" si="624"/>
        <v>Push-button, round cap, black</v>
      </c>
      <c r="M620" s="1" t="str">
        <f t="shared" si="624"/>
        <v/>
      </c>
      <c r="N620" s="289" t="str">
        <f t="shared" si="624"/>
        <v/>
      </c>
      <c r="O620" s="289" t="str">
        <f t="shared" si="624"/>
        <v/>
      </c>
      <c r="P620" s="290" t="str">
        <f t="shared" si="624"/>
        <v>611-D6R90LFS</v>
      </c>
      <c r="Q620" s="1" t="str">
        <f t="shared" si="624"/>
        <v>C&amp;K D6R90 F1 LFS</v>
      </c>
    </row>
    <row r="621">
      <c r="D621" s="282"/>
      <c r="F621" s="1">
        <v>17.0</v>
      </c>
      <c r="G621" s="60">
        <f t="shared" si="2"/>
        <v>41</v>
      </c>
      <c r="H621" s="1" t="str">
        <f t="shared" si="3"/>
        <v>Tides v4.0</v>
      </c>
      <c r="I621" t="str">
        <f t="shared" si="4"/>
        <v>U</v>
      </c>
      <c r="J621" s="1" t="str">
        <f t="shared" ref="J621:Q621" si="625">indirect(address($G621+4, column()-9, 4, , $H621))</f>
        <v>R5, R17, R18, R19</v>
      </c>
      <c r="K621" s="1">
        <f t="shared" si="625"/>
        <v>4</v>
      </c>
      <c r="L621" s="1" t="str">
        <f t="shared" si="625"/>
        <v>10k linear pot, 15mm shaft</v>
      </c>
      <c r="M621" s="1" t="str">
        <f t="shared" si="625"/>
        <v/>
      </c>
      <c r="N621" s="289" t="str">
        <f t="shared" si="625"/>
        <v/>
      </c>
      <c r="O621" s="289" t="str">
        <f t="shared" si="625"/>
        <v/>
      </c>
      <c r="P621" s="290" t="str">
        <f t="shared" si="625"/>
        <v/>
      </c>
      <c r="Q621" s="288" t="str">
        <f t="shared" si="625"/>
        <v>https://www.thonk.co.uk/shop/alpha-9mm-pots/</v>
      </c>
    </row>
    <row r="622">
      <c r="D622" s="282"/>
      <c r="F622" s="1">
        <v>17.0</v>
      </c>
      <c r="G622" s="60">
        <f t="shared" si="2"/>
        <v>42</v>
      </c>
      <c r="H622" s="1" t="str">
        <f t="shared" si="3"/>
        <v>Tides v4.0</v>
      </c>
      <c r="I622" t="str">
        <f t="shared" si="4"/>
        <v>U</v>
      </c>
      <c r="J622" s="1" t="str">
        <f t="shared" ref="J622:Q622" si="626">indirect(address($G622+4, column()-9, 4, , $H622))</f>
        <v>R6</v>
      </c>
      <c r="K622" s="1">
        <f t="shared" si="626"/>
        <v>1</v>
      </c>
      <c r="L622" s="1" t="str">
        <f t="shared" si="626"/>
        <v>10k linear pot, 15mm shaft, center detent</v>
      </c>
      <c r="M622" s="1" t="str">
        <f t="shared" si="626"/>
        <v/>
      </c>
      <c r="N622" s="289" t="str">
        <f t="shared" si="626"/>
        <v/>
      </c>
      <c r="O622" s="289" t="str">
        <f t="shared" si="626"/>
        <v/>
      </c>
      <c r="P622" s="290" t="str">
        <f t="shared" si="626"/>
        <v/>
      </c>
      <c r="Q622" s="288" t="str">
        <f t="shared" si="626"/>
        <v>https://www.thonk.co.uk/shop/alpha-9mm-pots/</v>
      </c>
    </row>
    <row r="623">
      <c r="D623" s="282"/>
      <c r="F623" s="1">
        <v>17.0</v>
      </c>
      <c r="G623" s="60">
        <f t="shared" si="2"/>
        <v>43</v>
      </c>
      <c r="H623" s="1" t="str">
        <f t="shared" si="3"/>
        <v>Tides v4.0</v>
      </c>
      <c r="I623" t="str">
        <f t="shared" si="4"/>
        <v>U</v>
      </c>
      <c r="J623" s="1" t="str">
        <f t="shared" ref="J623:Q623" si="627">indirect(address($G623+4, column()-9, 4, , $H623))</f>
        <v>R59</v>
      </c>
      <c r="K623" s="1">
        <f t="shared" si="627"/>
        <v>1</v>
      </c>
      <c r="L623" s="1" t="str">
        <f t="shared" si="627"/>
        <v>Trimmer resistor, 25 turns, side adjust.</v>
      </c>
      <c r="M623" s="1" t="str">
        <f t="shared" si="627"/>
        <v/>
      </c>
      <c r="N623" s="289" t="str">
        <f t="shared" si="627"/>
        <v>50k</v>
      </c>
      <c r="O623" s="289" t="str">
        <f t="shared" si="627"/>
        <v/>
      </c>
      <c r="P623" s="290" t="str">
        <f t="shared" si="627"/>
        <v>81-PV36X503C01B00</v>
      </c>
      <c r="Q623" s="1" t="str">
        <f t="shared" si="627"/>
        <v>Murata PV36X503C01B00</v>
      </c>
    </row>
    <row r="624">
      <c r="D624" s="282"/>
      <c r="F624" s="1">
        <v>17.0</v>
      </c>
      <c r="G624" s="60">
        <f t="shared" si="2"/>
        <v>44</v>
      </c>
      <c r="H624" s="1" t="str">
        <f t="shared" si="3"/>
        <v>Tides v4.0</v>
      </c>
      <c r="I624" t="str">
        <f t="shared" si="4"/>
        <v/>
      </c>
      <c r="J624" s="1" t="str">
        <f t="shared" ref="J624:Q624" si="628">indirect(address($G624+4, column()-9, 4, , $H624))</f>
        <v>PTH parts, bottom side</v>
      </c>
      <c r="K624" s="290" t="str">
        <f t="shared" si="628"/>
        <v/>
      </c>
      <c r="L624" s="1" t="str">
        <f t="shared" si="628"/>
        <v/>
      </c>
      <c r="M624" s="1" t="str">
        <f t="shared" si="628"/>
        <v/>
      </c>
      <c r="N624" s="289" t="str">
        <f t="shared" si="628"/>
        <v/>
      </c>
      <c r="O624" s="289" t="str">
        <f t="shared" si="628"/>
        <v/>
      </c>
      <c r="P624" s="290" t="str">
        <f t="shared" si="628"/>
        <v/>
      </c>
      <c r="Q624" s="1" t="str">
        <f t="shared" si="628"/>
        <v/>
      </c>
    </row>
    <row r="625">
      <c r="D625" s="282"/>
      <c r="F625" s="1">
        <v>17.0</v>
      </c>
      <c r="G625" s="60">
        <f t="shared" si="2"/>
        <v>45</v>
      </c>
      <c r="H625" s="1" t="str">
        <f t="shared" si="3"/>
        <v>Tides v4.0</v>
      </c>
      <c r="I625" t="str">
        <f t="shared" si="4"/>
        <v>D</v>
      </c>
      <c r="J625" s="1" t="str">
        <f t="shared" ref="J625:Q625" si="629">indirect(address($G625+4, column()-9, 4, , $H625))</f>
        <v>JP1</v>
      </c>
      <c r="K625" s="1">
        <f t="shared" si="629"/>
        <v>1</v>
      </c>
      <c r="L625" s="1" t="str">
        <f t="shared" si="629"/>
        <v>2x5 male header, 2.54mm pitch</v>
      </c>
      <c r="M625" s="1" t="str">
        <f t="shared" si="629"/>
        <v/>
      </c>
      <c r="N625" s="1" t="str">
        <f t="shared" si="629"/>
        <v/>
      </c>
      <c r="O625" s="1" t="str">
        <f t="shared" si="629"/>
        <v/>
      </c>
      <c r="P625" s="1" t="str">
        <f t="shared" si="629"/>
        <v>649-67996-410HLF</v>
      </c>
      <c r="Q625" s="1" t="str">
        <f t="shared" si="629"/>
        <v/>
      </c>
    </row>
    <row r="626">
      <c r="D626" s="282"/>
      <c r="F626" s="1">
        <v>17.0</v>
      </c>
      <c r="G626" s="60">
        <f t="shared" si="2"/>
        <v>46</v>
      </c>
      <c r="H626" s="1" t="str">
        <f t="shared" si="3"/>
        <v>Tides v4.0</v>
      </c>
      <c r="I626" t="str">
        <f t="shared" si="4"/>
        <v>D</v>
      </c>
      <c r="J626" s="1" t="str">
        <f t="shared" ref="J626:Q626" si="630">indirect(address($G626+4, column()-9, 4, , $H626))</f>
        <v>JP2</v>
      </c>
      <c r="K626" s="1">
        <f t="shared" si="630"/>
        <v>1</v>
      </c>
      <c r="L626" s="1" t="str">
        <f t="shared" si="630"/>
        <v>2x5, 1.27mm pitch male header</v>
      </c>
      <c r="M626" s="1" t="str">
        <f t="shared" si="630"/>
        <v/>
      </c>
      <c r="N626" s="289" t="str">
        <f t="shared" si="630"/>
        <v/>
      </c>
      <c r="O626" s="289" t="str">
        <f t="shared" si="630"/>
        <v/>
      </c>
      <c r="P626" s="290" t="str">
        <f t="shared" si="630"/>
        <v>649-221111-00010T4LF</v>
      </c>
      <c r="Q626" s="1" t="str">
        <f t="shared" si="630"/>
        <v/>
      </c>
    </row>
    <row r="627">
      <c r="D627" s="282"/>
      <c r="F627" s="1">
        <v>17.0</v>
      </c>
      <c r="G627" s="60">
        <f t="shared" si="2"/>
        <v>47</v>
      </c>
      <c r="H627" s="1" t="str">
        <f t="shared" si="3"/>
        <v>Tides v4.0</v>
      </c>
      <c r="I627" t="str">
        <f t="shared" si="4"/>
        <v>D</v>
      </c>
      <c r="J627" s="1" t="str">
        <f t="shared" ref="J627:Q627" si="631">indirect(address($G627+4, column()-9, 4, , $H627))</f>
        <v>JP3</v>
      </c>
      <c r="K627" s="1">
        <f t="shared" si="631"/>
        <v>1</v>
      </c>
      <c r="L627" s="1" t="str">
        <f t="shared" si="631"/>
        <v>1x6 male header, 2.54mm pitch</v>
      </c>
      <c r="M627" s="1" t="str">
        <f t="shared" si="631"/>
        <v/>
      </c>
      <c r="N627" s="289" t="str">
        <f t="shared" si="631"/>
        <v/>
      </c>
      <c r="O627" s="289" t="str">
        <f t="shared" si="631"/>
        <v/>
      </c>
      <c r="P627" s="290" t="str">
        <f t="shared" si="631"/>
        <v>649-68002-106HLF</v>
      </c>
      <c r="Q627" s="1" t="str">
        <f t="shared" si="631"/>
        <v/>
      </c>
    </row>
    <row r="628">
      <c r="D628" s="282"/>
      <c r="F628" s="1">
        <v>17.0</v>
      </c>
      <c r="G628" s="60">
        <f t="shared" si="2"/>
        <v>48</v>
      </c>
      <c r="H628" s="1" t="str">
        <f t="shared" si="3"/>
        <v>Tides v4.0</v>
      </c>
      <c r="I628" t="str">
        <f t="shared" si="4"/>
        <v/>
      </c>
      <c r="J628" s="1" t="str">
        <f t="shared" ref="J628:Q628" si="632">indirect(address($G628+4, column()-9, 4, , $H628))</f>
        <v>PCB specifications</v>
      </c>
      <c r="K628" s="1" t="str">
        <f t="shared" si="632"/>
        <v/>
      </c>
      <c r="L628" s="1" t="str">
        <f t="shared" si="632"/>
        <v/>
      </c>
      <c r="M628" s="1" t="str">
        <f t="shared" si="632"/>
        <v/>
      </c>
      <c r="N628" s="289" t="str">
        <f t="shared" si="632"/>
        <v/>
      </c>
      <c r="O628" s="1" t="str">
        <f t="shared" si="632"/>
        <v/>
      </c>
      <c r="P628" s="292" t="str">
        <f t="shared" si="632"/>
        <v/>
      </c>
      <c r="Q628" s="1" t="str">
        <f t="shared" si="632"/>
        <v/>
      </c>
    </row>
    <row r="629">
      <c r="D629" s="282"/>
      <c r="F629" s="1">
        <v>17.0</v>
      </c>
      <c r="G629" s="60">
        <f t="shared" si="2"/>
        <v>49</v>
      </c>
      <c r="H629" s="1" t="str">
        <f t="shared" si="3"/>
        <v>Tides v4.0</v>
      </c>
      <c r="I629" t="str">
        <f t="shared" si="4"/>
        <v>P</v>
      </c>
      <c r="J629" s="1" t="str">
        <f t="shared" ref="J629:Q629" si="633">indirect(address($G629+4, column()-9, 4, , $H629))</f>
        <v>PCB</v>
      </c>
      <c r="K629" s="1" t="str">
        <f t="shared" si="633"/>
        <v/>
      </c>
      <c r="L629" s="1" t="str">
        <f t="shared" si="633"/>
        <v>69.2 x 106.7 ; 2 layers</v>
      </c>
      <c r="M629" s="1" t="str">
        <f t="shared" si="633"/>
        <v/>
      </c>
      <c r="N629" s="1" t="str">
        <f t="shared" si="633"/>
        <v/>
      </c>
      <c r="O629" s="1" t="str">
        <f t="shared" si="633"/>
        <v/>
      </c>
      <c r="P629" s="1" t="str">
        <f t="shared" si="633"/>
        <v/>
      </c>
      <c r="Q629" s="1" t="str">
        <f t="shared" si="633"/>
        <v/>
      </c>
    </row>
    <row r="630">
      <c r="D630" s="282"/>
      <c r="F630" s="1">
        <v>18.0</v>
      </c>
      <c r="G630" s="60">
        <f t="shared" si="2"/>
        <v>0</v>
      </c>
      <c r="H630" s="1" t="str">
        <f t="shared" si="3"/>
        <v>Warps v3.0</v>
      </c>
      <c r="I630" t="str">
        <f t="shared" si="4"/>
        <v>S</v>
      </c>
      <c r="J630" s="1" t="str">
        <f t="shared" ref="J630:Q630" si="634">indirect(address($G630+4, column()-9, 4, , $H630))</f>
        <v>R1</v>
      </c>
      <c r="K630" s="1">
        <f t="shared" si="634"/>
        <v>1</v>
      </c>
      <c r="L630" s="1" t="str">
        <f t="shared" si="634"/>
        <v>Resistor, 5%, 250mW</v>
      </c>
      <c r="M630" s="1" t="str">
        <f t="shared" si="634"/>
        <v/>
      </c>
      <c r="N630" s="1">
        <f t="shared" si="634"/>
        <v>4.7</v>
      </c>
      <c r="O630" s="1" t="str">
        <f t="shared" si="634"/>
        <v>1206</v>
      </c>
      <c r="P630" s="1" t="str">
        <f t="shared" si="634"/>
        <v>667-ERJ-8GEYJ4R7V</v>
      </c>
      <c r="Q630" s="1" t="str">
        <f t="shared" si="634"/>
        <v/>
      </c>
    </row>
    <row r="631">
      <c r="D631" s="282"/>
      <c r="F631" s="1">
        <v>18.0</v>
      </c>
      <c r="G631" s="60">
        <f t="shared" si="2"/>
        <v>1</v>
      </c>
      <c r="H631" s="1" t="str">
        <f t="shared" si="3"/>
        <v>Warps v3.0</v>
      </c>
      <c r="I631" t="str">
        <f t="shared" si="4"/>
        <v>S</v>
      </c>
      <c r="J631" s="1" t="str">
        <f t="shared" ref="J631:Q631" si="635">indirect(address($G631+4, column()-9, 4, , $H631))</f>
        <v>R3, R4, R5</v>
      </c>
      <c r="K631" s="1">
        <f t="shared" si="635"/>
        <v>3</v>
      </c>
      <c r="L631" s="1" t="str">
        <f t="shared" si="635"/>
        <v>Resistor, 1%</v>
      </c>
      <c r="M631" s="1" t="str">
        <f t="shared" si="635"/>
        <v/>
      </c>
      <c r="N631" s="1">
        <f t="shared" si="635"/>
        <v>100</v>
      </c>
      <c r="O631" s="1" t="str">
        <f t="shared" si="635"/>
        <v>0603</v>
      </c>
      <c r="P631" s="1" t="str">
        <f t="shared" si="635"/>
        <v>667-ERJ-3EKF1000V</v>
      </c>
      <c r="Q631" s="1" t="str">
        <f t="shared" si="635"/>
        <v/>
      </c>
    </row>
    <row r="632">
      <c r="D632" s="282"/>
      <c r="F632" s="1">
        <v>18.0</v>
      </c>
      <c r="G632" s="60">
        <f t="shared" si="2"/>
        <v>2</v>
      </c>
      <c r="H632" s="1" t="str">
        <f t="shared" si="3"/>
        <v>Warps v3.0</v>
      </c>
      <c r="I632" t="str">
        <f t="shared" si="4"/>
        <v>S</v>
      </c>
      <c r="J632" s="1" t="str">
        <f t="shared" ref="J632:Q632" si="636">indirect(address($G632+4, column()-9, 4, , $H632))</f>
        <v>R21, R22</v>
      </c>
      <c r="K632" s="1">
        <f t="shared" si="636"/>
        <v>2</v>
      </c>
      <c r="L632" s="1" t="str">
        <f t="shared" si="636"/>
        <v>Resistor, 1%</v>
      </c>
      <c r="M632" s="1" t="str">
        <f t="shared" si="636"/>
        <v/>
      </c>
      <c r="N632" s="1">
        <f t="shared" si="636"/>
        <v>180</v>
      </c>
      <c r="O632" s="1" t="str">
        <f t="shared" si="636"/>
        <v>0603</v>
      </c>
      <c r="P632" s="1" t="str">
        <f t="shared" si="636"/>
        <v>667-ERJ-3EKF1800V</v>
      </c>
      <c r="Q632" s="1" t="str">
        <f t="shared" si="636"/>
        <v/>
      </c>
    </row>
    <row r="633">
      <c r="D633" s="282"/>
      <c r="F633" s="1">
        <v>18.0</v>
      </c>
      <c r="G633" s="60">
        <f t="shared" si="2"/>
        <v>3</v>
      </c>
      <c r="H633" s="1" t="str">
        <f t="shared" si="3"/>
        <v>Warps v3.0</v>
      </c>
      <c r="I633" t="str">
        <f t="shared" si="4"/>
        <v>S</v>
      </c>
      <c r="J633" s="1" t="str">
        <f t="shared" ref="J633:Q633" si="637">indirect(address($G633+4, column()-9, 4, , $H633))</f>
        <v>R42, R43</v>
      </c>
      <c r="K633" s="1">
        <f t="shared" si="637"/>
        <v>2</v>
      </c>
      <c r="L633" s="1" t="str">
        <f t="shared" si="637"/>
        <v>Resistor, 1%</v>
      </c>
      <c r="M633" s="1" t="str">
        <f t="shared" si="637"/>
        <v/>
      </c>
      <c r="N633" s="1" t="str">
        <f t="shared" si="637"/>
        <v>1.0k</v>
      </c>
      <c r="O633" s="1" t="str">
        <f t="shared" si="637"/>
        <v>0603</v>
      </c>
      <c r="P633" s="1" t="str">
        <f t="shared" si="637"/>
        <v>667-ERJ-3EKF1001V</v>
      </c>
      <c r="Q633" s="1" t="str">
        <f t="shared" si="637"/>
        <v/>
      </c>
    </row>
    <row r="634">
      <c r="D634" s="282"/>
      <c r="F634" s="1">
        <v>18.0</v>
      </c>
      <c r="G634" s="60">
        <f t="shared" si="2"/>
        <v>4</v>
      </c>
      <c r="H634" s="1" t="str">
        <f t="shared" si="3"/>
        <v>Warps v3.0</v>
      </c>
      <c r="I634" t="str">
        <f t="shared" si="4"/>
        <v>S</v>
      </c>
      <c r="J634" s="1" t="str">
        <f t="shared" ref="J634:Q634" si="638">indirect(address($G634+4, column()-9, 4, , $H634))</f>
        <v>R24, R25</v>
      </c>
      <c r="K634" s="1">
        <f t="shared" si="638"/>
        <v>2</v>
      </c>
      <c r="L634" s="1" t="str">
        <f t="shared" si="638"/>
        <v>Resistor, 1%</v>
      </c>
      <c r="M634" s="1" t="str">
        <f t="shared" si="638"/>
        <v/>
      </c>
      <c r="N634" s="1" t="str">
        <f t="shared" si="638"/>
        <v>2.2k</v>
      </c>
      <c r="O634" s="1" t="str">
        <f t="shared" si="638"/>
        <v>0603</v>
      </c>
      <c r="P634" s="1" t="str">
        <f t="shared" si="638"/>
        <v>667-ERJ-3EKF2201V</v>
      </c>
      <c r="Q634" s="1" t="str">
        <f t="shared" si="638"/>
        <v/>
      </c>
    </row>
    <row r="635">
      <c r="D635" s="282"/>
      <c r="F635" s="1">
        <v>18.0</v>
      </c>
      <c r="G635" s="60">
        <f t="shared" si="2"/>
        <v>5</v>
      </c>
      <c r="H635" s="1" t="str">
        <f t="shared" si="3"/>
        <v>Warps v3.0</v>
      </c>
      <c r="I635" t="str">
        <f t="shared" si="4"/>
        <v>S</v>
      </c>
      <c r="J635" s="1" t="str">
        <f t="shared" ref="J635:Q635" si="639">indirect(address($G635+4, column()-9, 4, , $H635))</f>
        <v>R6</v>
      </c>
      <c r="K635" s="1">
        <f t="shared" si="639"/>
        <v>1</v>
      </c>
      <c r="L635" s="1" t="str">
        <f t="shared" si="639"/>
        <v>Resistor, 1%</v>
      </c>
      <c r="M635" s="1" t="str">
        <f t="shared" si="639"/>
        <v/>
      </c>
      <c r="N635" s="1" t="str">
        <f t="shared" si="639"/>
        <v>4.7k</v>
      </c>
      <c r="O635" s="1" t="str">
        <f t="shared" si="639"/>
        <v>0603</v>
      </c>
      <c r="P635" s="1" t="str">
        <f t="shared" si="639"/>
        <v>667-ERJ-3EKF4701V</v>
      </c>
      <c r="Q635" s="1" t="str">
        <f t="shared" si="639"/>
        <v/>
      </c>
    </row>
    <row r="636">
      <c r="D636" s="282"/>
      <c r="F636" s="1">
        <v>18.0</v>
      </c>
      <c r="G636" s="60">
        <f t="shared" si="2"/>
        <v>6</v>
      </c>
      <c r="H636" s="1" t="str">
        <f t="shared" si="3"/>
        <v>Warps v3.0</v>
      </c>
      <c r="I636" t="str">
        <f t="shared" si="4"/>
        <v>S</v>
      </c>
      <c r="J636" s="1" t="str">
        <f t="shared" ref="J636:Q636" si="640">indirect(address($G636+4, column()-9, 4, , $H636))</f>
        <v>R29, R34, R36, R39</v>
      </c>
      <c r="K636" s="1">
        <f t="shared" si="640"/>
        <v>4</v>
      </c>
      <c r="L636" s="1" t="str">
        <f t="shared" si="640"/>
        <v>Resistor, 1%</v>
      </c>
      <c r="M636" s="1" t="str">
        <f t="shared" si="640"/>
        <v/>
      </c>
      <c r="N636" s="1" t="str">
        <f t="shared" si="640"/>
        <v>6.8k</v>
      </c>
      <c r="O636" s="1" t="str">
        <f t="shared" si="640"/>
        <v>0603</v>
      </c>
      <c r="P636" s="1" t="str">
        <f t="shared" si="640"/>
        <v>667-ERJ-3EKF6801V</v>
      </c>
      <c r="Q636" s="1" t="str">
        <f t="shared" si="640"/>
        <v/>
      </c>
    </row>
    <row r="637">
      <c r="D637" s="282"/>
      <c r="F637" s="1">
        <v>18.0</v>
      </c>
      <c r="G637" s="60">
        <f t="shared" si="2"/>
        <v>7</v>
      </c>
      <c r="H637" s="1" t="str">
        <f t="shared" si="3"/>
        <v>Warps v3.0</v>
      </c>
      <c r="I637" t="str">
        <f t="shared" si="4"/>
        <v>S</v>
      </c>
      <c r="J637" s="1" t="str">
        <f t="shared" ref="J637:Q637" si="641">indirect(address($G637+4, column()-9, 4, , $H637))</f>
        <v>R2, R14</v>
      </c>
      <c r="K637" s="1">
        <f t="shared" si="641"/>
        <v>2</v>
      </c>
      <c r="L637" s="1" t="str">
        <f t="shared" si="641"/>
        <v>Resistor, 1%</v>
      </c>
      <c r="M637" s="1" t="str">
        <f t="shared" si="641"/>
        <v/>
      </c>
      <c r="N637" s="1" t="str">
        <f t="shared" si="641"/>
        <v>10k</v>
      </c>
      <c r="O637" s="1" t="str">
        <f t="shared" si="641"/>
        <v>0603</v>
      </c>
      <c r="P637" s="1" t="str">
        <f t="shared" si="641"/>
        <v>667-ERJ-3EKF1002V</v>
      </c>
      <c r="Q637" s="1" t="str">
        <f t="shared" si="641"/>
        <v/>
      </c>
    </row>
    <row r="638">
      <c r="D638" s="282"/>
      <c r="F638" s="1">
        <v>18.0</v>
      </c>
      <c r="G638" s="60">
        <f t="shared" si="2"/>
        <v>8</v>
      </c>
      <c r="H638" s="1" t="str">
        <f t="shared" si="3"/>
        <v>Warps v3.0</v>
      </c>
      <c r="I638" t="str">
        <f t="shared" si="4"/>
        <v>S</v>
      </c>
      <c r="J638" s="1" t="str">
        <f t="shared" ref="J638:Q638" si="642">indirect(address($G638+4, column()-9, 4, , $H638))</f>
        <v>R15, R16</v>
      </c>
      <c r="K638" s="1">
        <f t="shared" si="642"/>
        <v>2</v>
      </c>
      <c r="L638" s="1" t="str">
        <f t="shared" si="642"/>
        <v>Resistor, 1%</v>
      </c>
      <c r="M638" s="1" t="str">
        <f t="shared" si="642"/>
        <v/>
      </c>
      <c r="N638" s="1" t="str">
        <f t="shared" si="642"/>
        <v>33k</v>
      </c>
      <c r="O638" s="1" t="str">
        <f t="shared" si="642"/>
        <v>0603</v>
      </c>
      <c r="P638" s="1" t="str">
        <f t="shared" si="642"/>
        <v>667-ERJ-3EKF3302V</v>
      </c>
      <c r="Q638" s="1" t="str">
        <f t="shared" si="642"/>
        <v/>
      </c>
    </row>
    <row r="639">
      <c r="D639" s="282"/>
      <c r="F639" s="1">
        <v>18.0</v>
      </c>
      <c r="G639" s="60">
        <f t="shared" si="2"/>
        <v>9</v>
      </c>
      <c r="H639" s="1" t="str">
        <f t="shared" si="3"/>
        <v>Warps v3.0</v>
      </c>
      <c r="I639" t="str">
        <f t="shared" si="4"/>
        <v>S</v>
      </c>
      <c r="J639" s="1" t="str">
        <f t="shared" ref="J639:Q639" si="643">indirect(address($G639+4, column()-9, 4, , $H639))</f>
        <v>R12, R13, R37, R38</v>
      </c>
      <c r="K639" s="1">
        <f t="shared" si="643"/>
        <v>4</v>
      </c>
      <c r="L639" s="1" t="str">
        <f t="shared" si="643"/>
        <v>Resistor, 1%</v>
      </c>
      <c r="M639" s="1" t="str">
        <f t="shared" si="643"/>
        <v/>
      </c>
      <c r="N639" s="1" t="str">
        <f t="shared" si="643"/>
        <v>36k</v>
      </c>
      <c r="O639" s="1" t="str">
        <f t="shared" si="643"/>
        <v>0603</v>
      </c>
      <c r="P639" s="1" t="str">
        <f t="shared" si="643"/>
        <v>667-ERJ-3EKF3602V</v>
      </c>
      <c r="Q639" s="1" t="str">
        <f t="shared" si="643"/>
        <v/>
      </c>
    </row>
    <row r="640">
      <c r="D640" s="282"/>
      <c r="F640" s="1">
        <v>18.0</v>
      </c>
      <c r="G640" s="60">
        <f t="shared" si="2"/>
        <v>10</v>
      </c>
      <c r="H640" s="1" t="str">
        <f t="shared" si="3"/>
        <v>Warps v3.0</v>
      </c>
      <c r="I640" t="str">
        <f t="shared" si="4"/>
        <v>S</v>
      </c>
      <c r="J640" s="1" t="str">
        <f t="shared" ref="J640:Q640" si="644">indirect(address($G640+4, column()-9, 4, , $H640))</f>
        <v>R28, R30, R31, R33</v>
      </c>
      <c r="K640" s="1">
        <f t="shared" si="644"/>
        <v>4</v>
      </c>
      <c r="L640" s="1" t="str">
        <f t="shared" si="644"/>
        <v>Resistor, 1%</v>
      </c>
      <c r="M640" s="1" t="str">
        <f t="shared" si="644"/>
        <v/>
      </c>
      <c r="N640" s="1" t="str">
        <f t="shared" si="644"/>
        <v>47k</v>
      </c>
      <c r="O640" s="1" t="str">
        <f t="shared" si="644"/>
        <v>0603</v>
      </c>
      <c r="P640" s="1" t="str">
        <f t="shared" si="644"/>
        <v>667-ERJ-3EKF4702V</v>
      </c>
      <c r="Q640" s="1" t="str">
        <f t="shared" si="644"/>
        <v/>
      </c>
    </row>
    <row r="641">
      <c r="D641" s="282"/>
      <c r="F641" s="1">
        <v>18.0</v>
      </c>
      <c r="G641" s="60">
        <f t="shared" si="2"/>
        <v>11</v>
      </c>
      <c r="H641" s="1" t="str">
        <f t="shared" si="3"/>
        <v>Warps v3.0</v>
      </c>
      <c r="I641" t="str">
        <f t="shared" si="4"/>
        <v>S</v>
      </c>
      <c r="J641" s="1" t="str">
        <f t="shared" ref="J641:Q641" si="645">indirect(address($G641+4, column()-9, 4, , $H641))</f>
        <v>R8, R9, R17, R18</v>
      </c>
      <c r="K641" s="1">
        <f t="shared" si="645"/>
        <v>4</v>
      </c>
      <c r="L641" s="1" t="str">
        <f t="shared" si="645"/>
        <v>Resistor, 1%</v>
      </c>
      <c r="M641" s="1" t="str">
        <f t="shared" si="645"/>
        <v/>
      </c>
      <c r="N641" s="1" t="str">
        <f t="shared" si="645"/>
        <v>100k</v>
      </c>
      <c r="O641" s="1" t="str">
        <f t="shared" si="645"/>
        <v>0603</v>
      </c>
      <c r="P641" s="1" t="str">
        <f t="shared" si="645"/>
        <v>667-ERJ-3EKF1003V</v>
      </c>
      <c r="Q641" s="1" t="str">
        <f t="shared" si="645"/>
        <v/>
      </c>
    </row>
    <row r="642">
      <c r="D642" s="282"/>
      <c r="F642" s="1">
        <v>18.0</v>
      </c>
      <c r="G642" s="60">
        <f t="shared" si="2"/>
        <v>12</v>
      </c>
      <c r="H642" s="1" t="str">
        <f t="shared" si="3"/>
        <v>Warps v3.0</v>
      </c>
      <c r="I642" t="str">
        <f t="shared" si="4"/>
        <v>S</v>
      </c>
      <c r="J642" s="1" t="str">
        <f t="shared" ref="J642:Q642" si="646">indirect(address($G642+4, column()-9, 4, , $H642))</f>
        <v>R10, R11</v>
      </c>
      <c r="K642" s="1">
        <f t="shared" si="646"/>
        <v>2</v>
      </c>
      <c r="L642" s="1" t="str">
        <f t="shared" si="646"/>
        <v>Resistor, 1%</v>
      </c>
      <c r="M642" s="1" t="str">
        <f t="shared" si="646"/>
        <v/>
      </c>
      <c r="N642" s="1" t="str">
        <f t="shared" si="646"/>
        <v>120k</v>
      </c>
      <c r="O642" s="1" t="str">
        <f t="shared" si="646"/>
        <v>0603</v>
      </c>
      <c r="P642" s="1" t="str">
        <f t="shared" si="646"/>
        <v>667-ERJ-3EKF1203V</v>
      </c>
      <c r="Q642" s="1" t="str">
        <f t="shared" si="646"/>
        <v/>
      </c>
    </row>
    <row r="643">
      <c r="D643" s="282"/>
      <c r="F643" s="1">
        <v>18.0</v>
      </c>
      <c r="G643" s="60">
        <f t="shared" si="2"/>
        <v>13</v>
      </c>
      <c r="H643" s="1" t="str">
        <f t="shared" si="3"/>
        <v>Warps v3.0</v>
      </c>
      <c r="I643" t="str">
        <f t="shared" si="4"/>
        <v>S</v>
      </c>
      <c r="J643" s="1" t="str">
        <f t="shared" ref="J643:Q643" si="647">indirect(address($G643+4, column()-9, 4, , $H643))</f>
        <v>R19, R20, R32, R35</v>
      </c>
      <c r="K643" s="1">
        <f t="shared" si="647"/>
        <v>4</v>
      </c>
      <c r="L643" s="1" t="str">
        <f t="shared" si="647"/>
        <v>Resistor, 1%</v>
      </c>
      <c r="M643" s="1" t="str">
        <f t="shared" si="647"/>
        <v/>
      </c>
      <c r="N643" s="1" t="str">
        <f t="shared" si="647"/>
        <v>200k</v>
      </c>
      <c r="O643" s="1" t="str">
        <f t="shared" si="647"/>
        <v>0603</v>
      </c>
      <c r="P643" s="1" t="str">
        <f t="shared" si="647"/>
        <v>667-ERJ-3EKF2003V</v>
      </c>
      <c r="Q643" s="1" t="str">
        <f t="shared" si="647"/>
        <v/>
      </c>
    </row>
    <row r="644">
      <c r="D644" s="282"/>
      <c r="F644" s="1">
        <v>18.0</v>
      </c>
      <c r="G644" s="60">
        <f t="shared" si="2"/>
        <v>14</v>
      </c>
      <c r="H644" s="1" t="str">
        <f t="shared" si="3"/>
        <v>Warps v3.0</v>
      </c>
      <c r="I644" t="str">
        <f t="shared" si="4"/>
        <v>S</v>
      </c>
      <c r="J644" s="1" t="str">
        <f t="shared" ref="J644:Q644" si="648">indirect(address($G644+4, column()-9, 4, , $H644))</f>
        <v>R40, R41</v>
      </c>
      <c r="K644" s="1">
        <f t="shared" si="648"/>
        <v>2</v>
      </c>
      <c r="L644" s="1" t="str">
        <f t="shared" si="648"/>
        <v>DNP</v>
      </c>
      <c r="M644" s="1" t="str">
        <f t="shared" si="648"/>
        <v/>
      </c>
      <c r="N644" s="1" t="str">
        <f t="shared" si="648"/>
        <v/>
      </c>
      <c r="O644" s="1" t="str">
        <f t="shared" si="648"/>
        <v/>
      </c>
      <c r="P644" s="1" t="str">
        <f t="shared" si="648"/>
        <v/>
      </c>
      <c r="Q644" s="1" t="str">
        <f t="shared" si="648"/>
        <v/>
      </c>
    </row>
    <row r="645">
      <c r="D645" s="282"/>
      <c r="F645" s="1">
        <v>18.0</v>
      </c>
      <c r="G645" s="60">
        <f t="shared" si="2"/>
        <v>15</v>
      </c>
      <c r="H645" s="1" t="str">
        <f t="shared" si="3"/>
        <v>Warps v3.0</v>
      </c>
      <c r="I645" t="str">
        <f t="shared" si="4"/>
        <v>S</v>
      </c>
      <c r="J645" s="1" t="str">
        <f t="shared" ref="J645:Q645" si="649">indirect(address($G645+4, column()-9, 4, , $H645))</f>
        <v>C10, C11, C26, C35, C38, C41</v>
      </c>
      <c r="K645" s="1">
        <f t="shared" si="649"/>
        <v>6</v>
      </c>
      <c r="L645" s="1" t="str">
        <f t="shared" si="649"/>
        <v>Capacitor, ceramic</v>
      </c>
      <c r="M645" s="1" t="str">
        <f t="shared" si="649"/>
        <v/>
      </c>
      <c r="N645" s="1" t="str">
        <f t="shared" si="649"/>
        <v>18p</v>
      </c>
      <c r="O645" s="1" t="str">
        <f t="shared" si="649"/>
        <v>0603</v>
      </c>
      <c r="P645" s="1" t="str">
        <f t="shared" si="649"/>
        <v>81-GRM185C1H180JA01J</v>
      </c>
      <c r="Q645" s="1" t="str">
        <f t="shared" si="649"/>
        <v>Murata GRM1885C1H180JA01J</v>
      </c>
    </row>
    <row r="646">
      <c r="D646" s="282"/>
      <c r="F646" s="1">
        <v>18.0</v>
      </c>
      <c r="G646" s="60">
        <f t="shared" si="2"/>
        <v>16</v>
      </c>
      <c r="H646" s="1" t="str">
        <f t="shared" si="3"/>
        <v>Warps v3.0</v>
      </c>
      <c r="I646" t="str">
        <f t="shared" si="4"/>
        <v>S</v>
      </c>
      <c r="J646" s="1" t="str">
        <f t="shared" ref="J646:Q646" si="650">indirect(address($G646+4, column()-9, 4, , $H646))</f>
        <v>C44, C45</v>
      </c>
      <c r="K646" s="1">
        <f t="shared" si="650"/>
        <v>2</v>
      </c>
      <c r="L646" s="1" t="str">
        <f t="shared" si="650"/>
        <v>Capacitor, ceramic</v>
      </c>
      <c r="M646" s="1" t="str">
        <f t="shared" si="650"/>
        <v>&gt;= 16V, &lt;= 2%</v>
      </c>
      <c r="N646" s="1" t="str">
        <f t="shared" si="650"/>
        <v>220p</v>
      </c>
      <c r="O646" s="1" t="str">
        <f t="shared" si="650"/>
        <v>0603</v>
      </c>
      <c r="P646" s="1" t="str">
        <f t="shared" si="650"/>
        <v>81-GRM185C1H221GA01D</v>
      </c>
      <c r="Q646" s="1" t="str">
        <f t="shared" si="650"/>
        <v>Murata GRM185C1H221GA01D</v>
      </c>
    </row>
    <row r="647">
      <c r="D647" s="282"/>
      <c r="F647" s="1">
        <v>18.0</v>
      </c>
      <c r="G647" s="60">
        <f t="shared" si="2"/>
        <v>17</v>
      </c>
      <c r="H647" s="1" t="str">
        <f t="shared" si="3"/>
        <v>Warps v3.0</v>
      </c>
      <c r="I647" t="str">
        <f t="shared" si="4"/>
        <v>S</v>
      </c>
      <c r="J647" s="1" t="str">
        <f t="shared" ref="J647:Q647" si="651">indirect(address($G647+4, column()-9, 4, , $H647))</f>
        <v>C7, C8, C12, C14</v>
      </c>
      <c r="K647" s="1">
        <f t="shared" si="651"/>
        <v>4</v>
      </c>
      <c r="L647" s="1" t="str">
        <f t="shared" si="651"/>
        <v>Capacitor, ceramic</v>
      </c>
      <c r="M647" s="1" t="str">
        <f t="shared" si="651"/>
        <v>&gt;= 50V, &lt;= 5%</v>
      </c>
      <c r="N647" s="1" t="str">
        <f t="shared" si="651"/>
        <v>4.7n</v>
      </c>
      <c r="O647" s="1" t="str">
        <f t="shared" si="651"/>
        <v>0603</v>
      </c>
      <c r="P647" s="1" t="str">
        <f t="shared" si="651"/>
        <v>81-GRM1885C1H472JA1D</v>
      </c>
      <c r="Q647" s="1" t="str">
        <f t="shared" si="651"/>
        <v>Murata GRM1885C1H472JA01D</v>
      </c>
    </row>
    <row r="648">
      <c r="D648" s="282"/>
      <c r="F648" s="1">
        <v>18.0</v>
      </c>
      <c r="G648" s="60">
        <f t="shared" si="2"/>
        <v>18</v>
      </c>
      <c r="H648" s="1" t="str">
        <f t="shared" si="3"/>
        <v>Warps v3.0</v>
      </c>
      <c r="I648" t="str">
        <f t="shared" si="4"/>
        <v>S</v>
      </c>
      <c r="J648" s="1" t="str">
        <f t="shared" ref="J648:Q648" si="652">indirect(address($G648+4, column()-9, 4, , $H648))</f>
        <v>C5, C6, C9, C13, C16, C17, C18, C20, C21, C24, C25, C28, C30, C31, C33, C34, C40, C42</v>
      </c>
      <c r="K648" s="1">
        <f t="shared" si="652"/>
        <v>18</v>
      </c>
      <c r="L648" s="1" t="str">
        <f t="shared" si="652"/>
        <v>Capacitor, ceramic</v>
      </c>
      <c r="M648" s="1" t="str">
        <f t="shared" si="652"/>
        <v>&gt;= 16V</v>
      </c>
      <c r="N648" s="1" t="str">
        <f t="shared" si="652"/>
        <v>100n</v>
      </c>
      <c r="O648" s="1" t="str">
        <f t="shared" si="652"/>
        <v>0603</v>
      </c>
      <c r="P648" s="1" t="str">
        <f t="shared" si="652"/>
        <v>81-GRM188R71E104JA1J</v>
      </c>
      <c r="Q648" s="1" t="str">
        <f t="shared" si="652"/>
        <v>Murata GRM188R71E104JA01J</v>
      </c>
    </row>
    <row r="649">
      <c r="D649" s="282"/>
      <c r="F649" s="1">
        <v>18.0</v>
      </c>
      <c r="G649" s="60">
        <f t="shared" si="2"/>
        <v>19</v>
      </c>
      <c r="H649" s="1" t="str">
        <f t="shared" si="3"/>
        <v>Warps v3.0</v>
      </c>
      <c r="I649" t="str">
        <f t="shared" si="4"/>
        <v>S</v>
      </c>
      <c r="J649" s="1" t="str">
        <f t="shared" ref="J649:Q649" si="653">indirect(address($G649+4, column()-9, 4, , $H649))</f>
        <v>C15, C27</v>
      </c>
      <c r="K649" s="1">
        <f t="shared" si="653"/>
        <v>2</v>
      </c>
      <c r="L649" s="1" t="str">
        <f t="shared" si="653"/>
        <v>Capacitor, ceramic</v>
      </c>
      <c r="M649" s="1" t="str">
        <f t="shared" si="653"/>
        <v>&gt;= 10V</v>
      </c>
      <c r="N649" s="1" t="str">
        <f t="shared" si="653"/>
        <v>1u</v>
      </c>
      <c r="O649" s="1" t="str">
        <f t="shared" si="653"/>
        <v>0603</v>
      </c>
      <c r="P649" s="1" t="str">
        <f t="shared" si="653"/>
        <v>81-GRM18R61A105KA61J</v>
      </c>
      <c r="Q649" s="1" t="str">
        <f t="shared" si="653"/>
        <v>Murata GRM18R61A105KA61J</v>
      </c>
    </row>
    <row r="650">
      <c r="D650" s="282"/>
      <c r="F650" s="1">
        <v>18.0</v>
      </c>
      <c r="G650" s="60">
        <f t="shared" si="2"/>
        <v>20</v>
      </c>
      <c r="H650" s="1" t="str">
        <f t="shared" si="3"/>
        <v>Warps v3.0</v>
      </c>
      <c r="I650" t="str">
        <f t="shared" si="4"/>
        <v>S</v>
      </c>
      <c r="J650" s="1" t="str">
        <f t="shared" ref="J650:Q650" si="654">indirect(address($G650+4, column()-9, 4, , $H650))</f>
        <v>C19, C22</v>
      </c>
      <c r="K650" s="1">
        <f t="shared" si="654"/>
        <v>2</v>
      </c>
      <c r="L650" s="1" t="str">
        <f t="shared" si="654"/>
        <v>Capacitor, ceramic</v>
      </c>
      <c r="M650" s="1" t="str">
        <f t="shared" si="654"/>
        <v>&gt;= 10V</v>
      </c>
      <c r="N650" s="1" t="str">
        <f t="shared" si="654"/>
        <v>2.2u</v>
      </c>
      <c r="O650" s="1" t="str">
        <f t="shared" si="654"/>
        <v>0603</v>
      </c>
      <c r="P650" s="1" t="str">
        <f t="shared" si="654"/>
        <v>810-C2012X5R1A225K-2</v>
      </c>
      <c r="Q650" s="1" t="str">
        <f t="shared" si="654"/>
        <v>TDK C2012X5R1A225K085AA</v>
      </c>
    </row>
    <row r="651">
      <c r="D651" s="282"/>
      <c r="F651" s="1">
        <v>18.0</v>
      </c>
      <c r="G651" s="60">
        <f t="shared" si="2"/>
        <v>21</v>
      </c>
      <c r="H651" s="1" t="str">
        <f t="shared" si="3"/>
        <v>Warps v3.0</v>
      </c>
      <c r="I651" t="str">
        <f t="shared" si="4"/>
        <v>S</v>
      </c>
      <c r="J651" s="1" t="str">
        <f t="shared" ref="J651:Q651" si="655">indirect(address($G651+4, column()-9, 4, , $H651))</f>
        <v>C23, C29, C32, C36, C37, C39, C43</v>
      </c>
      <c r="K651" s="1">
        <f t="shared" si="655"/>
        <v>7</v>
      </c>
      <c r="L651" s="1" t="str">
        <f t="shared" si="655"/>
        <v>Capacitor, ceramic</v>
      </c>
      <c r="M651" s="1" t="str">
        <f t="shared" si="655"/>
        <v>&gt;= 10V</v>
      </c>
      <c r="N651" s="1" t="str">
        <f t="shared" si="655"/>
        <v>10u</v>
      </c>
      <c r="O651" s="1" t="str">
        <f t="shared" si="655"/>
        <v>Panasonic A</v>
      </c>
      <c r="P651" s="1" t="str">
        <f t="shared" si="655"/>
        <v>647-UWX1C100MCL2</v>
      </c>
      <c r="Q651" s="1" t="str">
        <f t="shared" si="655"/>
        <v>Nichicon UWX1C100MCL2GB</v>
      </c>
    </row>
    <row r="652">
      <c r="D652" s="282"/>
      <c r="F652" s="1">
        <v>18.0</v>
      </c>
      <c r="G652" s="60">
        <f t="shared" si="2"/>
        <v>22</v>
      </c>
      <c r="H652" s="1" t="str">
        <f t="shared" si="3"/>
        <v>Warps v3.0</v>
      </c>
      <c r="I652" t="str">
        <f t="shared" si="4"/>
        <v>S</v>
      </c>
      <c r="J652" s="1" t="str">
        <f t="shared" ref="J652:Q652" si="656">indirect(address($G652+4, column()-9, 4, , $H652))</f>
        <v>C1, C2, C3, C4</v>
      </c>
      <c r="K652" s="1">
        <f t="shared" si="656"/>
        <v>4</v>
      </c>
      <c r="L652" s="1" t="str">
        <f t="shared" si="656"/>
        <v>Capacitor, electrolytic</v>
      </c>
      <c r="M652" s="1" t="str">
        <f t="shared" si="656"/>
        <v>&gt;= 25V</v>
      </c>
      <c r="N652" s="1" t="str">
        <f t="shared" si="656"/>
        <v>47u</v>
      </c>
      <c r="O652" s="1" t="str">
        <f t="shared" si="656"/>
        <v>Panasonic D</v>
      </c>
      <c r="P652" s="1" t="str">
        <f t="shared" si="656"/>
        <v>667-EEE-FK1V470P</v>
      </c>
      <c r="Q652" s="1" t="str">
        <f t="shared" si="656"/>
        <v>EEEFK1V470P</v>
      </c>
    </row>
    <row r="653">
      <c r="D653" s="282"/>
      <c r="F653" s="1">
        <v>18.0</v>
      </c>
      <c r="G653" s="60">
        <f t="shared" si="2"/>
        <v>23</v>
      </c>
      <c r="H653" s="1" t="str">
        <f t="shared" si="3"/>
        <v>Warps v3.0</v>
      </c>
      <c r="I653" t="str">
        <f t="shared" si="4"/>
        <v>S</v>
      </c>
      <c r="J653" s="1" t="str">
        <f t="shared" ref="J653:Q653" si="657">indirect(address($G653+4, column()-9, 4, , $H653))</f>
        <v>D1, D2</v>
      </c>
      <c r="K653" s="1">
        <f t="shared" si="657"/>
        <v>2</v>
      </c>
      <c r="L653" s="1" t="str">
        <f t="shared" si="657"/>
        <v>1N5819HW diode</v>
      </c>
      <c r="M653" s="1" t="str">
        <f t="shared" si="657"/>
        <v/>
      </c>
      <c r="N653" s="1" t="str">
        <f t="shared" si="657"/>
        <v/>
      </c>
      <c r="O653" s="1" t="str">
        <f t="shared" si="657"/>
        <v>SOD123</v>
      </c>
      <c r="P653" s="1" t="str">
        <f t="shared" si="657"/>
        <v>621-1N5819HW-F</v>
      </c>
      <c r="Q653" s="1" t="str">
        <f t="shared" si="657"/>
        <v>Diodes Inc 1N5819HW-7-F</v>
      </c>
    </row>
    <row r="654">
      <c r="D654" s="282"/>
      <c r="F654" s="1">
        <v>18.0</v>
      </c>
      <c r="G654" s="60">
        <f t="shared" si="2"/>
        <v>24</v>
      </c>
      <c r="H654" s="1" t="str">
        <f t="shared" si="3"/>
        <v>Warps v3.0</v>
      </c>
      <c r="I654" t="str">
        <f t="shared" si="4"/>
        <v>S</v>
      </c>
      <c r="J654" s="1" t="str">
        <f t="shared" ref="J654:Q654" si="658">indirect(address($G654+4, column()-9, 4, , $H654))</f>
        <v>D3</v>
      </c>
      <c r="K654" s="1">
        <f t="shared" si="658"/>
        <v>1</v>
      </c>
      <c r="L654" s="1" t="str">
        <f t="shared" si="658"/>
        <v>BAT54S diode</v>
      </c>
      <c r="M654" s="1" t="str">
        <f t="shared" si="658"/>
        <v/>
      </c>
      <c r="N654" s="1" t="str">
        <f t="shared" si="658"/>
        <v/>
      </c>
      <c r="O654" s="1" t="str">
        <f t="shared" si="658"/>
        <v>SOT23</v>
      </c>
      <c r="P654" s="1" t="str">
        <f t="shared" si="658"/>
        <v>512-BAT54S</v>
      </c>
      <c r="Q654" s="1" t="str">
        <f t="shared" si="658"/>
        <v>BAT54S</v>
      </c>
    </row>
    <row r="655">
      <c r="D655" s="282"/>
      <c r="F655" s="1">
        <v>18.0</v>
      </c>
      <c r="G655" s="60">
        <f t="shared" si="2"/>
        <v>25</v>
      </c>
      <c r="H655" s="1" t="str">
        <f t="shared" si="3"/>
        <v>Warps v3.0</v>
      </c>
      <c r="I655" t="str">
        <f t="shared" si="4"/>
        <v>S</v>
      </c>
      <c r="J655" s="1" t="str">
        <f t="shared" ref="J655:Q655" si="659">indirect(address($G655+4, column()-9, 4, , $H655))</f>
        <v>IC1</v>
      </c>
      <c r="K655" s="1">
        <f t="shared" si="659"/>
        <v>1</v>
      </c>
      <c r="L655" s="1" t="str">
        <f t="shared" si="659"/>
        <v>LM1117-3.3V LDO Vreg</v>
      </c>
      <c r="M655" s="1" t="str">
        <f t="shared" si="659"/>
        <v/>
      </c>
      <c r="N655" s="1" t="str">
        <f t="shared" si="659"/>
        <v>3.3V</v>
      </c>
      <c r="O655" s="1" t="str">
        <f t="shared" si="659"/>
        <v>TO252</v>
      </c>
      <c r="P655" s="1" t="str">
        <f t="shared" si="659"/>
        <v>926-LM1117DT-3.3NOPB</v>
      </c>
      <c r="Q655" s="1" t="str">
        <f t="shared" si="659"/>
        <v>National LM1117DT-3.3/NOPB</v>
      </c>
    </row>
    <row r="656">
      <c r="D656" s="282"/>
      <c r="F656" s="1">
        <v>18.0</v>
      </c>
      <c r="G656" s="60">
        <f t="shared" si="2"/>
        <v>26</v>
      </c>
      <c r="H656" s="1" t="str">
        <f t="shared" si="3"/>
        <v>Warps v3.0</v>
      </c>
      <c r="I656" t="str">
        <f t="shared" si="4"/>
        <v>S</v>
      </c>
      <c r="J656" s="1" t="str">
        <f t="shared" ref="J656:Q656" si="660">indirect(address($G656+4, column()-9, 4, , $H656))</f>
        <v>IC2</v>
      </c>
      <c r="K656" s="1">
        <f t="shared" si="660"/>
        <v>1</v>
      </c>
      <c r="L656" s="1" t="str">
        <f t="shared" si="660"/>
        <v>LM4040 Shunt Vref</v>
      </c>
      <c r="M656" s="1" t="str">
        <f t="shared" si="660"/>
        <v>A, B or C grade</v>
      </c>
      <c r="N656" s="1" t="str">
        <f t="shared" si="660"/>
        <v>10V</v>
      </c>
      <c r="O656" s="1" t="str">
        <f t="shared" si="660"/>
        <v>SOT23</v>
      </c>
      <c r="P656" s="1" t="str">
        <f t="shared" si="660"/>
        <v>595-LM4040C10IDBZR</v>
      </c>
      <c r="Q656" s="1" t="str">
        <f t="shared" si="660"/>
        <v>Texas Instruments LM4040C10IDBZ</v>
      </c>
    </row>
    <row r="657">
      <c r="D657" s="282"/>
      <c r="F657" s="1">
        <v>18.0</v>
      </c>
      <c r="G657" s="60">
        <f t="shared" si="2"/>
        <v>27</v>
      </c>
      <c r="H657" s="1" t="str">
        <f t="shared" si="3"/>
        <v>Warps v3.0</v>
      </c>
      <c r="I657" t="str">
        <f t="shared" si="4"/>
        <v>S</v>
      </c>
      <c r="J657" s="1" t="str">
        <f t="shared" ref="J657:Q657" si="661">indirect(address($G657+4, column()-9, 4, , $H657))</f>
        <v>IC3</v>
      </c>
      <c r="K657" s="1">
        <f t="shared" si="661"/>
        <v>1</v>
      </c>
      <c r="L657" s="1" t="str">
        <f t="shared" si="661"/>
        <v>MCP6004 quad op-amp R2R IO</v>
      </c>
      <c r="M657" s="1" t="str">
        <f t="shared" si="661"/>
        <v/>
      </c>
      <c r="N657" s="1" t="str">
        <f t="shared" si="661"/>
        <v/>
      </c>
      <c r="O657" s="1" t="str">
        <f t="shared" si="661"/>
        <v>SOIC14</v>
      </c>
      <c r="P657" s="1" t="str">
        <f t="shared" si="661"/>
        <v>579-MCP6004-I/SL</v>
      </c>
      <c r="Q657" s="1" t="str">
        <f t="shared" si="661"/>
        <v>MCP6004-I/SL</v>
      </c>
    </row>
    <row r="658">
      <c r="D658" s="282"/>
      <c r="F658" s="1">
        <v>18.0</v>
      </c>
      <c r="G658" s="60">
        <f t="shared" si="2"/>
        <v>28</v>
      </c>
      <c r="H658" s="1" t="str">
        <f t="shared" si="3"/>
        <v>Warps v3.0</v>
      </c>
      <c r="I658" t="str">
        <f t="shared" si="4"/>
        <v>S</v>
      </c>
      <c r="J658" s="1" t="str">
        <f t="shared" ref="J658:Q658" si="662">indirect(address($G658+4, column()-9, 4, , $H658))</f>
        <v>IC4</v>
      </c>
      <c r="K658" s="1">
        <f t="shared" si="662"/>
        <v>1</v>
      </c>
      <c r="L658" s="1" t="str">
        <f t="shared" si="662"/>
        <v>STM32F405RGT6</v>
      </c>
      <c r="M658" s="1" t="str">
        <f t="shared" si="662"/>
        <v/>
      </c>
      <c r="N658" s="1" t="str">
        <f t="shared" si="662"/>
        <v/>
      </c>
      <c r="O658" s="1" t="str">
        <f t="shared" si="662"/>
        <v>TQFP64</v>
      </c>
      <c r="P658" s="1" t="str">
        <f t="shared" si="662"/>
        <v>511-STM32F405RGT6</v>
      </c>
      <c r="Q658" s="1" t="str">
        <f t="shared" si="662"/>
        <v>ST STM32F405RGT6</v>
      </c>
    </row>
    <row r="659">
      <c r="D659" s="282"/>
      <c r="F659" s="1">
        <v>18.0</v>
      </c>
      <c r="G659" s="60">
        <f t="shared" si="2"/>
        <v>29</v>
      </c>
      <c r="H659" s="1" t="str">
        <f t="shared" si="3"/>
        <v>Warps v3.0</v>
      </c>
      <c r="I659" t="str">
        <f t="shared" si="4"/>
        <v>S</v>
      </c>
      <c r="J659" s="1" t="str">
        <f t="shared" ref="J659:Q659" si="663">indirect(address($G659+4, column()-9, 4, , $H659))</f>
        <v>IC5</v>
      </c>
      <c r="K659" s="1">
        <f t="shared" si="663"/>
        <v>1</v>
      </c>
      <c r="L659" s="1" t="str">
        <f t="shared" si="663"/>
        <v>WM8731 audio codec</v>
      </c>
      <c r="M659" s="1" t="str">
        <f t="shared" si="663"/>
        <v/>
      </c>
      <c r="N659" s="1" t="str">
        <f t="shared" si="663"/>
        <v/>
      </c>
      <c r="O659" s="1" t="str">
        <f t="shared" si="663"/>
        <v>SSOP28</v>
      </c>
      <c r="P659" s="1" t="str">
        <f t="shared" si="663"/>
        <v>238-WM8731SEDS/V</v>
      </c>
      <c r="Q659" s="1" t="str">
        <f t="shared" si="663"/>
        <v>Wolfson micro WM8731SEDS/V</v>
      </c>
    </row>
    <row r="660">
      <c r="D660" s="282"/>
      <c r="F660" s="1">
        <v>18.0</v>
      </c>
      <c r="G660" s="60">
        <f t="shared" si="2"/>
        <v>30</v>
      </c>
      <c r="H660" s="1" t="str">
        <f t="shared" si="3"/>
        <v>Warps v3.0</v>
      </c>
      <c r="I660" t="str">
        <f t="shared" si="4"/>
        <v>S</v>
      </c>
      <c r="J660" s="1" t="str">
        <f t="shared" ref="J660:Q660" si="664">indirect(address($G660+4, column()-9, 4, , $H660))</f>
        <v>IC6</v>
      </c>
      <c r="K660" s="1">
        <f t="shared" si="664"/>
        <v>1</v>
      </c>
      <c r="L660" s="1" t="str">
        <f t="shared" si="664"/>
        <v>TL072 dual op-amp</v>
      </c>
      <c r="M660" s="1" t="str">
        <f t="shared" si="664"/>
        <v/>
      </c>
      <c r="N660" s="1" t="str">
        <f t="shared" si="664"/>
        <v/>
      </c>
      <c r="O660" s="1" t="str">
        <f t="shared" si="664"/>
        <v>SOIC8</v>
      </c>
      <c r="P660" s="1" t="str">
        <f t="shared" si="664"/>
        <v>595-TL072CD</v>
      </c>
      <c r="Q660" s="1" t="str">
        <f t="shared" si="664"/>
        <v/>
      </c>
    </row>
    <row r="661">
      <c r="D661" s="282"/>
      <c r="F661" s="1">
        <v>18.0</v>
      </c>
      <c r="G661" s="60">
        <f t="shared" si="2"/>
        <v>31</v>
      </c>
      <c r="H661" s="1" t="str">
        <f t="shared" si="3"/>
        <v>Warps v3.0</v>
      </c>
      <c r="I661" t="str">
        <f t="shared" si="4"/>
        <v>S</v>
      </c>
      <c r="J661" s="1" t="str">
        <f t="shared" ref="J661:Q661" si="665">indirect(address($G661+4, column()-9, 4, , $H661))</f>
        <v>Q1</v>
      </c>
      <c r="K661" s="1">
        <f t="shared" si="665"/>
        <v>1</v>
      </c>
      <c r="L661" s="1" t="str">
        <f t="shared" si="665"/>
        <v>8 MHz quartz</v>
      </c>
      <c r="M661" s="1" t="str">
        <f t="shared" si="665"/>
        <v>Capa 18pF</v>
      </c>
      <c r="N661" s="1" t="str">
        <f t="shared" si="665"/>
        <v/>
      </c>
      <c r="O661" s="1" t="str">
        <f t="shared" si="665"/>
        <v>HC49</v>
      </c>
      <c r="P661" s="1" t="str">
        <f t="shared" si="665"/>
        <v>815-ABLS2-8-D4Y-T</v>
      </c>
      <c r="Q661" s="1" t="str">
        <f t="shared" si="665"/>
        <v>Abracon ABLS2-8.000MHZ-D4Y-T</v>
      </c>
    </row>
    <row r="662">
      <c r="D662" s="282"/>
      <c r="F662" s="1">
        <v>18.0</v>
      </c>
      <c r="G662" s="60">
        <f t="shared" si="2"/>
        <v>32</v>
      </c>
      <c r="H662" s="1" t="str">
        <f t="shared" si="3"/>
        <v>Warps v3.0</v>
      </c>
      <c r="I662" t="str">
        <f t="shared" si="4"/>
        <v>S</v>
      </c>
      <c r="J662" s="1" t="str">
        <f t="shared" ref="J662:Q662" si="666">indirect(address($G662+4, column()-9, 4, , $H662))</f>
        <v>Q2</v>
      </c>
      <c r="K662" s="1">
        <f t="shared" si="666"/>
        <v>1</v>
      </c>
      <c r="L662" s="1" t="str">
        <f t="shared" si="666"/>
        <v>12.288 MHz quartz</v>
      </c>
      <c r="M662" s="1" t="str">
        <f t="shared" si="666"/>
        <v>Capa 18pF</v>
      </c>
      <c r="N662" s="1" t="str">
        <f t="shared" si="666"/>
        <v/>
      </c>
      <c r="O662" s="1" t="str">
        <f t="shared" si="666"/>
        <v>HC49</v>
      </c>
      <c r="P662" s="1" t="str">
        <f t="shared" si="666"/>
        <v>815-ABLS2-12.2-D4Y-T</v>
      </c>
      <c r="Q662" s="1" t="str">
        <f t="shared" si="666"/>
        <v>Abracon ABLS2-12.288MHZ-D4Y-T</v>
      </c>
    </row>
    <row r="663">
      <c r="D663" s="282"/>
      <c r="F663" s="1">
        <v>18.0</v>
      </c>
      <c r="G663" s="60">
        <f t="shared" si="2"/>
        <v>33</v>
      </c>
      <c r="H663" s="1" t="str">
        <f t="shared" si="3"/>
        <v>Warps v3.0</v>
      </c>
      <c r="I663" t="str">
        <f t="shared" si="4"/>
        <v>S</v>
      </c>
      <c r="J663" s="1" t="str">
        <f t="shared" ref="J663:Q663" si="667">indirect(address($G663+4, column()-9, 4, , $H663))</f>
        <v>L1, L2, L3</v>
      </c>
      <c r="K663" s="1">
        <f t="shared" si="667"/>
        <v>3</v>
      </c>
      <c r="L663" s="1" t="str">
        <f t="shared" si="667"/>
        <v>EMI Filter Bead</v>
      </c>
      <c r="M663" s="1" t="str">
        <f t="shared" si="667"/>
        <v>&gt;= 1k ohm, 300mA</v>
      </c>
      <c r="N663" s="1" t="str">
        <f t="shared" si="667"/>
        <v/>
      </c>
      <c r="O663" s="1" t="str">
        <f t="shared" si="667"/>
        <v>0603</v>
      </c>
      <c r="P663" s="1" t="str">
        <f t="shared" si="667"/>
        <v>710-742792664</v>
      </c>
      <c r="Q663" s="1" t="str">
        <f t="shared" si="667"/>
        <v>Wurth Electronics 742792664</v>
      </c>
    </row>
    <row r="664">
      <c r="D664" s="282"/>
      <c r="F664" s="1">
        <v>18.0</v>
      </c>
      <c r="G664" s="60">
        <f t="shared" si="2"/>
        <v>34</v>
      </c>
      <c r="H664" s="1" t="str">
        <f t="shared" si="3"/>
        <v>Warps v3.0</v>
      </c>
      <c r="I664" t="str">
        <f t="shared" si="4"/>
        <v>S</v>
      </c>
      <c r="J664" s="1" t="str">
        <f t="shared" ref="J664:Q664" si="668">indirect(address($G664+4, column()-9, 4, , $H664))</f>
        <v>SW1, SW2</v>
      </c>
      <c r="K664" s="1">
        <f t="shared" si="668"/>
        <v>2</v>
      </c>
      <c r="L664" s="1" t="str">
        <f t="shared" si="668"/>
        <v>Switch, 6mm, SMT</v>
      </c>
      <c r="M664" s="1" t="str">
        <f t="shared" si="668"/>
        <v/>
      </c>
      <c r="N664" s="1" t="str">
        <f t="shared" si="668"/>
        <v/>
      </c>
      <c r="O664" s="1" t="str">
        <f t="shared" si="668"/>
        <v>6mm x 6mm</v>
      </c>
      <c r="P664" s="1" t="str">
        <f t="shared" si="668"/>
        <v>667-EVQ-Q2K01W</v>
      </c>
      <c r="Q664" s="1" t="str">
        <f t="shared" si="668"/>
        <v>Panasonic EVQ-Q2K01W</v>
      </c>
    </row>
    <row r="665">
      <c r="D665" s="282"/>
      <c r="F665" s="1">
        <v>18.0</v>
      </c>
      <c r="G665" s="60">
        <f t="shared" si="2"/>
        <v>35</v>
      </c>
      <c r="H665" s="1" t="str">
        <f t="shared" si="3"/>
        <v>Warps v3.0</v>
      </c>
      <c r="I665" t="str">
        <f t="shared" si="4"/>
        <v/>
      </c>
      <c r="J665" s="1" t="str">
        <f t="shared" ref="J665:Q665" si="669">indirect(address($G665+4, column()-9, 4, , $H665))</f>
        <v>PTH parts, top side</v>
      </c>
      <c r="K665" s="1" t="str">
        <f t="shared" si="669"/>
        <v/>
      </c>
      <c r="L665" s="1" t="str">
        <f t="shared" si="669"/>
        <v/>
      </c>
      <c r="M665" s="1" t="str">
        <f t="shared" si="669"/>
        <v/>
      </c>
      <c r="N665" s="1" t="str">
        <f t="shared" si="669"/>
        <v/>
      </c>
      <c r="O665" s="1" t="str">
        <f t="shared" si="669"/>
        <v/>
      </c>
      <c r="P665" s="1" t="str">
        <f t="shared" si="669"/>
        <v/>
      </c>
      <c r="Q665" s="1" t="str">
        <f t="shared" si="669"/>
        <v/>
      </c>
    </row>
    <row r="666">
      <c r="D666" s="282"/>
      <c r="F666" s="1">
        <v>18.0</v>
      </c>
      <c r="G666" s="60">
        <f t="shared" si="2"/>
        <v>36</v>
      </c>
      <c r="H666" s="1" t="str">
        <f t="shared" si="3"/>
        <v>Warps v3.0</v>
      </c>
      <c r="I666" t="str">
        <f t="shared" si="4"/>
        <v>U</v>
      </c>
      <c r="J666" s="1" t="str">
        <f t="shared" ref="J666:Q666" si="670">indirect(address($G666+4, column()-9, 4, , $H666))</f>
        <v>J1, J2, J3, J4, J5, J6, J7, J8</v>
      </c>
      <c r="K666" s="1">
        <f t="shared" si="670"/>
        <v>8</v>
      </c>
      <c r="L666" s="1" t="str">
        <f t="shared" si="670"/>
        <v>Vertical jack connector</v>
      </c>
      <c r="M666" s="1" t="str">
        <f t="shared" si="670"/>
        <v/>
      </c>
      <c r="N666" s="1" t="str">
        <f t="shared" si="670"/>
        <v/>
      </c>
      <c r="O666" s="1" t="str">
        <f t="shared" si="670"/>
        <v/>
      </c>
      <c r="P666" s="1" t="str">
        <f t="shared" si="670"/>
        <v/>
      </c>
      <c r="Q666" s="1" t="str">
        <f t="shared" si="670"/>
        <v>PJ-301-M-12</v>
      </c>
    </row>
    <row r="667">
      <c r="D667" s="282"/>
      <c r="F667" s="1">
        <v>18.0</v>
      </c>
      <c r="G667" s="60">
        <f t="shared" si="2"/>
        <v>37</v>
      </c>
      <c r="H667" s="1" t="str">
        <f t="shared" si="3"/>
        <v>Warps v3.0</v>
      </c>
      <c r="I667" t="str">
        <f t="shared" si="4"/>
        <v>U</v>
      </c>
      <c r="J667" s="1" t="str">
        <f t="shared" ref="J667:Q667" si="671">indirect(address($G667+4, column()-9, 4, , $H667))</f>
        <v>R26, R27</v>
      </c>
      <c r="K667" s="1">
        <f t="shared" si="671"/>
        <v>2</v>
      </c>
      <c r="L667" s="1" t="str">
        <f t="shared" si="671"/>
        <v>10k linear pot, 25mm shaft with marker</v>
      </c>
      <c r="M667" s="1" t="str">
        <f t="shared" si="671"/>
        <v/>
      </c>
      <c r="N667" s="1" t="str">
        <f t="shared" si="671"/>
        <v/>
      </c>
      <c r="O667" s="1" t="str">
        <f t="shared" si="671"/>
        <v/>
      </c>
      <c r="P667" s="1" t="str">
        <f t="shared" si="671"/>
        <v/>
      </c>
      <c r="Q667" s="288" t="str">
        <f t="shared" si="671"/>
        <v>https://www.thonk.co.uk/shop/ttpots/</v>
      </c>
    </row>
    <row r="668">
      <c r="D668" s="282"/>
      <c r="F668" s="1">
        <v>18.0</v>
      </c>
      <c r="G668" s="60">
        <f t="shared" si="2"/>
        <v>38</v>
      </c>
      <c r="H668" s="1" t="str">
        <f t="shared" si="3"/>
        <v>Warps v3.0</v>
      </c>
      <c r="I668" t="str">
        <f t="shared" si="4"/>
        <v>U</v>
      </c>
      <c r="J668" s="1" t="str">
        <f t="shared" ref="J668:Q668" si="672">indirect(address($G668+4, column()-9, 4, , $H668))</f>
        <v>R7, R23</v>
      </c>
      <c r="K668" s="1">
        <f t="shared" si="672"/>
        <v>2</v>
      </c>
      <c r="L668" s="1" t="str">
        <f t="shared" si="672"/>
        <v>10k linear pot, 15mm shaft</v>
      </c>
      <c r="M668" s="1" t="str">
        <f t="shared" si="672"/>
        <v/>
      </c>
      <c r="N668" s="1" t="str">
        <f t="shared" si="672"/>
        <v/>
      </c>
      <c r="O668" s="1" t="str">
        <f t="shared" si="672"/>
        <v/>
      </c>
      <c r="P668" s="1" t="str">
        <f t="shared" si="672"/>
        <v/>
      </c>
      <c r="Q668" s="288" t="str">
        <f t="shared" si="672"/>
        <v>https://www.thonk.co.uk/shop/alpha-9mm-pots/</v>
      </c>
    </row>
    <row r="669">
      <c r="D669" s="282"/>
      <c r="F669" s="1">
        <v>18.0</v>
      </c>
      <c r="G669" s="60">
        <f t="shared" si="2"/>
        <v>39</v>
      </c>
      <c r="H669" s="1" t="str">
        <f t="shared" si="3"/>
        <v>Warps v3.0</v>
      </c>
      <c r="I669" t="str">
        <f t="shared" si="4"/>
        <v>U</v>
      </c>
      <c r="J669" s="1" t="str">
        <f t="shared" ref="J669:Q669" si="673">indirect(address($G669+4, column()-9, 4, , $H669))</f>
        <v>LED1</v>
      </c>
      <c r="K669" s="1">
        <f t="shared" si="673"/>
        <v>1</v>
      </c>
      <c r="L669" s="1" t="str">
        <f t="shared" si="673"/>
        <v>LED 5mm RGB</v>
      </c>
      <c r="M669" s="1" t="str">
        <f t="shared" si="673"/>
        <v/>
      </c>
      <c r="N669" s="1" t="str">
        <f t="shared" si="673"/>
        <v/>
      </c>
      <c r="O669" s="1" t="str">
        <f t="shared" si="673"/>
        <v/>
      </c>
      <c r="P669" s="1" t="str">
        <f t="shared" si="673"/>
        <v>604-WP154A4SUREQBFZG</v>
      </c>
      <c r="Q669" s="1" t="str">
        <f t="shared" si="673"/>
        <v>Kingbright WP154A4SUREQBFZG</v>
      </c>
    </row>
    <row r="670">
      <c r="D670" s="282"/>
      <c r="F670" s="1">
        <v>18.0</v>
      </c>
      <c r="G670" s="60">
        <f t="shared" si="2"/>
        <v>40</v>
      </c>
      <c r="H670" s="1" t="str">
        <f t="shared" si="3"/>
        <v>Warps v3.0</v>
      </c>
      <c r="I670" t="str">
        <f t="shared" si="4"/>
        <v>U</v>
      </c>
      <c r="J670" s="1" t="str">
        <f t="shared" ref="J670:Q670" si="674">indirect(address($G670+4, column()-9, 4, , $H670))</f>
        <v>LED2</v>
      </c>
      <c r="K670" s="1">
        <f t="shared" si="674"/>
        <v>1</v>
      </c>
      <c r="L670" s="1" t="str">
        <f t="shared" si="674"/>
        <v>LED, Red/Green, 3 terminals, common K</v>
      </c>
      <c r="M670" s="1" t="str">
        <f t="shared" si="674"/>
        <v/>
      </c>
      <c r="N670" s="1" t="str">
        <f t="shared" si="674"/>
        <v/>
      </c>
      <c r="O670" s="1" t="str">
        <f t="shared" si="674"/>
        <v>3 terminals</v>
      </c>
      <c r="P670" s="1" t="str">
        <f t="shared" si="674"/>
        <v>604-WP115VEGW</v>
      </c>
      <c r="Q670" s="1" t="str">
        <f t="shared" si="674"/>
        <v>Kingbright WP115VEGW</v>
      </c>
    </row>
    <row r="671">
      <c r="D671" s="282"/>
      <c r="F671" s="1">
        <v>18.0</v>
      </c>
      <c r="G671" s="60">
        <f t="shared" si="2"/>
        <v>41</v>
      </c>
      <c r="H671" s="1" t="str">
        <f t="shared" si="3"/>
        <v>Warps v3.0</v>
      </c>
      <c r="I671" t="str">
        <f t="shared" si="4"/>
        <v>U</v>
      </c>
      <c r="J671" s="1" t="str">
        <f t="shared" ref="J671:Q671" si="675">indirect(address($G671+4, column()-9, 4, , $H671))</f>
        <v>SW3</v>
      </c>
      <c r="K671" s="1">
        <f t="shared" si="675"/>
        <v>1</v>
      </c>
      <c r="L671" s="1" t="str">
        <f t="shared" si="675"/>
        <v>Switch, 6mm</v>
      </c>
      <c r="M671" s="1" t="str">
        <f t="shared" si="675"/>
        <v/>
      </c>
      <c r="N671" s="1" t="str">
        <f t="shared" si="675"/>
        <v/>
      </c>
      <c r="O671" s="1" t="str">
        <f t="shared" si="675"/>
        <v/>
      </c>
      <c r="P671" s="1" t="str">
        <f t="shared" si="675"/>
        <v>612-TL1105SP-250</v>
      </c>
      <c r="Q671" s="1" t="str">
        <f t="shared" si="675"/>
        <v>E-switch TL1105SPF250Q</v>
      </c>
    </row>
    <row r="672">
      <c r="D672" s="282"/>
      <c r="F672" s="1">
        <v>18.0</v>
      </c>
      <c r="G672" s="60">
        <f t="shared" si="2"/>
        <v>42</v>
      </c>
      <c r="H672" s="1" t="str">
        <f t="shared" si="3"/>
        <v>Warps v3.0</v>
      </c>
      <c r="I672" t="str">
        <f t="shared" si="4"/>
        <v>U</v>
      </c>
      <c r="J672" s="1" t="str">
        <f t="shared" ref="J672:Q672" si="676">indirect(address($G672+4, column()-9, 4, , $H672))</f>
        <v>- SW3</v>
      </c>
      <c r="K672" s="1">
        <f t="shared" si="676"/>
        <v>1</v>
      </c>
      <c r="L672" s="1" t="str">
        <f t="shared" si="676"/>
        <v>Cap for switch, black</v>
      </c>
      <c r="M672" s="1" t="str">
        <f t="shared" si="676"/>
        <v/>
      </c>
      <c r="N672" s="1" t="str">
        <f t="shared" si="676"/>
        <v/>
      </c>
      <c r="O672" s="1" t="str">
        <f t="shared" si="676"/>
        <v/>
      </c>
      <c r="P672" s="1" t="str">
        <f t="shared" si="676"/>
        <v>612-1R-BK</v>
      </c>
      <c r="Q672" s="1" t="str">
        <f t="shared" si="676"/>
        <v>E-switch 1RBLK</v>
      </c>
    </row>
    <row r="673">
      <c r="D673" s="282"/>
      <c r="F673" s="1">
        <v>18.0</v>
      </c>
      <c r="G673" s="60">
        <f t="shared" si="2"/>
        <v>43</v>
      </c>
      <c r="H673" s="1" t="str">
        <f t="shared" si="3"/>
        <v>Warps v3.0</v>
      </c>
      <c r="I673" t="str">
        <f t="shared" si="4"/>
        <v/>
      </c>
      <c r="J673" s="1" t="str">
        <f t="shared" ref="J673:Q673" si="677">indirect(address($G673+4, column()-9, 4, , $H673))</f>
        <v>PTH parts, bottom side</v>
      </c>
      <c r="K673" s="1" t="str">
        <f t="shared" si="677"/>
        <v/>
      </c>
      <c r="L673" s="1" t="str">
        <f t="shared" si="677"/>
        <v/>
      </c>
      <c r="M673" s="1" t="str">
        <f t="shared" si="677"/>
        <v/>
      </c>
      <c r="N673" s="289" t="str">
        <f t="shared" si="677"/>
        <v/>
      </c>
      <c r="O673" s="1" t="str">
        <f t="shared" si="677"/>
        <v/>
      </c>
      <c r="P673" s="292" t="str">
        <f t="shared" si="677"/>
        <v/>
      </c>
      <c r="Q673" s="1" t="str">
        <f t="shared" si="677"/>
        <v/>
      </c>
    </row>
    <row r="674">
      <c r="D674" s="282"/>
      <c r="F674" s="1">
        <v>18.0</v>
      </c>
      <c r="G674" s="60">
        <f t="shared" si="2"/>
        <v>44</v>
      </c>
      <c r="H674" s="1" t="str">
        <f t="shared" si="3"/>
        <v>Warps v3.0</v>
      </c>
      <c r="I674" t="str">
        <f t="shared" si="4"/>
        <v>D</v>
      </c>
      <c r="J674" s="1" t="str">
        <f t="shared" ref="J674:Q674" si="678">indirect(address($G674+4, column()-9, 4, , $H674))</f>
        <v>JP1</v>
      </c>
      <c r="K674" s="1">
        <f t="shared" si="678"/>
        <v>1</v>
      </c>
      <c r="L674" s="1" t="str">
        <f t="shared" si="678"/>
        <v>2x5 male header, 1.27mm pitch</v>
      </c>
      <c r="M674" s="1" t="str">
        <f t="shared" si="678"/>
        <v/>
      </c>
      <c r="N674" s="1" t="str">
        <f t="shared" si="678"/>
        <v/>
      </c>
      <c r="O674" s="1" t="str">
        <f t="shared" si="678"/>
        <v/>
      </c>
      <c r="P674" s="1" t="str">
        <f t="shared" si="678"/>
        <v>649-221111-00010T4LF</v>
      </c>
      <c r="Q674" s="1" t="str">
        <f t="shared" si="678"/>
        <v/>
      </c>
    </row>
    <row r="675">
      <c r="D675" s="282"/>
      <c r="F675" s="1">
        <v>18.0</v>
      </c>
      <c r="G675" s="60">
        <f t="shared" si="2"/>
        <v>45</v>
      </c>
      <c r="H675" s="1" t="str">
        <f t="shared" si="3"/>
        <v>Warps v3.0</v>
      </c>
      <c r="I675" t="str">
        <f t="shared" si="4"/>
        <v>D</v>
      </c>
      <c r="J675" s="1" t="str">
        <f t="shared" ref="J675:Q675" si="679">indirect(address($G675+4, column()-9, 4, , $H675))</f>
        <v>JP3</v>
      </c>
      <c r="K675" s="1">
        <f t="shared" si="679"/>
        <v>1</v>
      </c>
      <c r="L675" s="1" t="str">
        <f t="shared" si="679"/>
        <v>2x5 male header, 2.54mm pitch</v>
      </c>
      <c r="M675" s="1" t="str">
        <f t="shared" si="679"/>
        <v/>
      </c>
      <c r="N675" s="1" t="str">
        <f t="shared" si="679"/>
        <v/>
      </c>
      <c r="O675" s="1" t="str">
        <f t="shared" si="679"/>
        <v/>
      </c>
      <c r="P675" s="1" t="str">
        <f t="shared" si="679"/>
        <v>649-67996-410HLF</v>
      </c>
      <c r="Q675" s="1" t="str">
        <f t="shared" si="679"/>
        <v/>
      </c>
    </row>
    <row r="676">
      <c r="D676" s="282"/>
      <c r="F676" s="1">
        <v>18.0</v>
      </c>
      <c r="G676" s="60">
        <f t="shared" si="2"/>
        <v>46</v>
      </c>
      <c r="H676" s="1" t="str">
        <f t="shared" si="3"/>
        <v>Warps v3.0</v>
      </c>
      <c r="I676" t="str">
        <f t="shared" si="4"/>
        <v>D</v>
      </c>
      <c r="J676" s="1" t="str">
        <f t="shared" ref="J676:Q676" si="680">indirect(address($G676+4, column()-9, 4, , $H676))</f>
        <v>JP2</v>
      </c>
      <c r="K676" s="1">
        <f t="shared" si="680"/>
        <v>1</v>
      </c>
      <c r="L676" s="1" t="str">
        <f t="shared" si="680"/>
        <v>1x6 male header, 2.54mm pitch</v>
      </c>
      <c r="M676" s="1" t="str">
        <f t="shared" si="680"/>
        <v/>
      </c>
      <c r="N676" s="1" t="str">
        <f t="shared" si="680"/>
        <v/>
      </c>
      <c r="O676" s="1" t="str">
        <f t="shared" si="680"/>
        <v/>
      </c>
      <c r="P676" s="1" t="str">
        <f t="shared" si="680"/>
        <v>649-68002-106HLF</v>
      </c>
      <c r="Q676" s="1" t="str">
        <f t="shared" si="680"/>
        <v/>
      </c>
    </row>
    <row r="677">
      <c r="D677" s="282"/>
      <c r="F677" s="1">
        <v>18.0</v>
      </c>
      <c r="G677" s="60">
        <f t="shared" si="2"/>
        <v>47</v>
      </c>
      <c r="H677" s="1" t="str">
        <f t="shared" si="3"/>
        <v>Warps v3.0</v>
      </c>
      <c r="I677" t="str">
        <f t="shared" si="4"/>
        <v/>
      </c>
      <c r="J677" s="1" t="str">
        <f t="shared" ref="J677:Q677" si="681">indirect(address($G677+4, column()-9, 4, , $H677))</f>
        <v>PCB Specifications</v>
      </c>
      <c r="K677" s="1" t="str">
        <f t="shared" si="681"/>
        <v/>
      </c>
      <c r="L677" s="1" t="str">
        <f t="shared" si="681"/>
        <v/>
      </c>
      <c r="M677" s="1" t="str">
        <f t="shared" si="681"/>
        <v/>
      </c>
      <c r="N677" s="289" t="str">
        <f t="shared" si="681"/>
        <v/>
      </c>
      <c r="O677" s="1" t="str">
        <f t="shared" si="681"/>
        <v/>
      </c>
      <c r="P677" s="292" t="str">
        <f t="shared" si="681"/>
        <v/>
      </c>
      <c r="Q677" s="1" t="str">
        <f t="shared" si="681"/>
        <v/>
      </c>
    </row>
    <row r="678">
      <c r="D678" s="282"/>
      <c r="F678" s="1">
        <v>18.0</v>
      </c>
      <c r="G678" s="60">
        <f t="shared" si="2"/>
        <v>48</v>
      </c>
      <c r="H678" s="1" t="str">
        <f t="shared" si="3"/>
        <v>Warps v3.0</v>
      </c>
      <c r="I678" t="str">
        <f t="shared" si="4"/>
        <v>P</v>
      </c>
      <c r="J678" s="1" t="str">
        <f t="shared" ref="J678:Q678" si="682">indirect(address($G678+4, column()-9, 4, , $H678))</f>
        <v>PCB</v>
      </c>
      <c r="K678" s="1" t="str">
        <f t="shared" si="682"/>
        <v/>
      </c>
      <c r="L678" s="1" t="str">
        <f t="shared" si="682"/>
        <v>48.9 x 106.7 ; 2 layers</v>
      </c>
      <c r="M678" s="1" t="str">
        <f t="shared" si="682"/>
        <v/>
      </c>
      <c r="N678" s="289" t="str">
        <f t="shared" si="682"/>
        <v/>
      </c>
      <c r="O678" s="1" t="str">
        <f t="shared" si="682"/>
        <v/>
      </c>
      <c r="P678" s="292" t="str">
        <f t="shared" si="682"/>
        <v/>
      </c>
      <c r="Q678" s="1" t="str">
        <f t="shared" si="682"/>
        <v/>
      </c>
    </row>
    <row r="679">
      <c r="D679" s="282"/>
      <c r="F679" s="1">
        <v>19.0</v>
      </c>
      <c r="G679" s="60">
        <f t="shared" si="2"/>
        <v>0</v>
      </c>
      <c r="H679" s="1" t="str">
        <f t="shared" si="3"/>
        <v>Yarns v0.3</v>
      </c>
      <c r="I679" t="str">
        <f t="shared" si="4"/>
        <v>S</v>
      </c>
      <c r="J679" s="293" t="str">
        <f t="shared" ref="J679:Q679" si="683">indirect(address($G679+4, column()-9, 4, , $H679))</f>
        <v>R39, R40</v>
      </c>
      <c r="K679" s="291">
        <f t="shared" si="683"/>
        <v>2</v>
      </c>
      <c r="L679" s="293" t="str">
        <f t="shared" si="683"/>
        <v>Resistor, 1%</v>
      </c>
      <c r="M679" s="293" t="str">
        <f t="shared" si="683"/>
        <v/>
      </c>
      <c r="N679" s="293" t="str">
        <f t="shared" si="683"/>
        <v>51</v>
      </c>
      <c r="O679" s="293" t="str">
        <f t="shared" si="683"/>
        <v>0603</v>
      </c>
      <c r="P679" s="292" t="str">
        <f t="shared" si="683"/>
        <v>652-CR0603FX-51R0ELF</v>
      </c>
      <c r="Q679" s="293" t="str">
        <f t="shared" si="683"/>
        <v/>
      </c>
    </row>
    <row r="680">
      <c r="D680" s="282"/>
      <c r="F680" s="1">
        <v>19.0</v>
      </c>
      <c r="G680" s="60">
        <f t="shared" si="2"/>
        <v>1</v>
      </c>
      <c r="H680" s="1" t="str">
        <f t="shared" si="3"/>
        <v>Yarns v0.3</v>
      </c>
      <c r="I680" t="str">
        <f t="shared" si="4"/>
        <v>S</v>
      </c>
      <c r="J680" s="293" t="str">
        <f t="shared" ref="J680:Q680" si="684">indirect(address($G680+4, column()-9, 4, , $H680))</f>
        <v>R2, R3, R4, R5, R6, R7, R8, R10, R11, R12, R13, R14, R15, R16, R33, R36, R41, R42</v>
      </c>
      <c r="K680" s="291">
        <f t="shared" si="684"/>
        <v>18</v>
      </c>
      <c r="L680" s="293" t="str">
        <f t="shared" si="684"/>
        <v>Resistor, 1%</v>
      </c>
      <c r="M680" s="293" t="str">
        <f t="shared" si="684"/>
        <v/>
      </c>
      <c r="N680" s="293">
        <f t="shared" si="684"/>
        <v>100</v>
      </c>
      <c r="O680" s="293" t="str">
        <f t="shared" si="684"/>
        <v>0603</v>
      </c>
      <c r="P680" s="292" t="str">
        <f t="shared" si="684"/>
        <v>652-CR0603FX-1000ELF</v>
      </c>
      <c r="Q680" s="293" t="str">
        <f t="shared" si="684"/>
        <v/>
      </c>
    </row>
    <row r="681">
      <c r="D681" s="282"/>
      <c r="F681" s="1">
        <v>19.0</v>
      </c>
      <c r="G681" s="60">
        <f t="shared" si="2"/>
        <v>2</v>
      </c>
      <c r="H681" s="1" t="str">
        <f t="shared" si="3"/>
        <v>Yarns v0.3</v>
      </c>
      <c r="I681" t="str">
        <f t="shared" si="4"/>
        <v>S</v>
      </c>
      <c r="J681" s="293" t="str">
        <f t="shared" ref="J681:Q681" si="685">indirect(address($G681+4, column()-9, 4, , $H681))</f>
        <v>R1, R9, R24, R25, R30, R31, R32, R34, R38, R43</v>
      </c>
      <c r="K681" s="291">
        <f t="shared" si="685"/>
        <v>10</v>
      </c>
      <c r="L681" s="293" t="str">
        <f t="shared" si="685"/>
        <v>Resistor, 1%</v>
      </c>
      <c r="M681" s="293" t="str">
        <f t="shared" si="685"/>
        <v/>
      </c>
      <c r="N681" s="293" t="str">
        <f t="shared" si="685"/>
        <v>1.0k</v>
      </c>
      <c r="O681" s="293" t="str">
        <f t="shared" si="685"/>
        <v>0603</v>
      </c>
      <c r="P681" s="292" t="str">
        <f t="shared" si="685"/>
        <v>652-CR0603FX-1001ELF</v>
      </c>
      <c r="Q681" s="293" t="str">
        <f t="shared" si="685"/>
        <v/>
      </c>
    </row>
    <row r="682">
      <c r="D682" s="282"/>
      <c r="F682" s="1">
        <v>19.0</v>
      </c>
      <c r="G682" s="60">
        <f t="shared" si="2"/>
        <v>3</v>
      </c>
      <c r="H682" s="1" t="str">
        <f t="shared" si="3"/>
        <v>Yarns v0.3</v>
      </c>
      <c r="I682" t="str">
        <f t="shared" si="4"/>
        <v>S</v>
      </c>
      <c r="J682" s="293" t="str">
        <f t="shared" ref="J682:Q682" si="686">indirect(address($G682+4, column()-9, 4, , $H682))</f>
        <v>R17</v>
      </c>
      <c r="K682" s="291">
        <f t="shared" si="686"/>
        <v>1</v>
      </c>
      <c r="L682" s="293" t="str">
        <f t="shared" si="686"/>
        <v>Resistor, 1%</v>
      </c>
      <c r="M682" s="293" t="str">
        <f t="shared" si="686"/>
        <v/>
      </c>
      <c r="N682" s="293" t="str">
        <f t="shared" si="686"/>
        <v>10k</v>
      </c>
      <c r="O682" s="293" t="str">
        <f t="shared" si="686"/>
        <v>0603</v>
      </c>
      <c r="P682" s="292" t="str">
        <f t="shared" si="686"/>
        <v>652-CR0603-FX-1002GLF</v>
      </c>
      <c r="Q682" s="293" t="str">
        <f t="shared" si="686"/>
        <v/>
      </c>
    </row>
    <row r="683">
      <c r="D683" s="282"/>
      <c r="F683" s="1">
        <v>19.0</v>
      </c>
      <c r="G683" s="60">
        <f t="shared" si="2"/>
        <v>4</v>
      </c>
      <c r="H683" s="1" t="str">
        <f t="shared" si="3"/>
        <v>Yarns v0.3</v>
      </c>
      <c r="I683" t="str">
        <f t="shared" si="4"/>
        <v>S</v>
      </c>
      <c r="J683" s="293" t="str">
        <f t="shared" ref="J683:Q683" si="687">indirect(address($G683+4, column()-9, 4, , $H683))</f>
        <v>R18, R19, R20, R21, R22, R23</v>
      </c>
      <c r="K683" s="291">
        <f t="shared" si="687"/>
        <v>6</v>
      </c>
      <c r="L683" s="293" t="str">
        <f t="shared" si="687"/>
        <v>Resistor, 1%</v>
      </c>
      <c r="M683" s="293" t="str">
        <f t="shared" si="687"/>
        <v/>
      </c>
      <c r="N683" s="293" t="str">
        <f t="shared" si="687"/>
        <v>47k</v>
      </c>
      <c r="O683" s="293" t="str">
        <f t="shared" si="687"/>
        <v>0603</v>
      </c>
      <c r="P683" s="292" t="str">
        <f t="shared" si="687"/>
        <v>652-CR0603FX-4702ELF</v>
      </c>
      <c r="Q683" s="293" t="str">
        <f t="shared" si="687"/>
        <v/>
      </c>
    </row>
    <row r="684">
      <c r="D684" s="282"/>
      <c r="F684" s="1">
        <v>19.0</v>
      </c>
      <c r="G684" s="60">
        <f t="shared" si="2"/>
        <v>5</v>
      </c>
      <c r="H684" s="1" t="str">
        <f t="shared" si="3"/>
        <v>Yarns v0.3</v>
      </c>
      <c r="I684" t="str">
        <f t="shared" si="4"/>
        <v>S</v>
      </c>
      <c r="J684" s="293" t="str">
        <f t="shared" ref="J684:Q684" si="688">indirect(address($G684+4, column()-9, 4, , $H684))</f>
        <v>R26, R27, R28, R29</v>
      </c>
      <c r="K684" s="291">
        <f t="shared" si="688"/>
        <v>4</v>
      </c>
      <c r="L684" s="293" t="str">
        <f t="shared" si="688"/>
        <v>Resistor, 1%</v>
      </c>
      <c r="M684" s="293" t="str">
        <f t="shared" si="688"/>
        <v/>
      </c>
      <c r="N684" s="293" t="str">
        <f t="shared" si="688"/>
        <v>240k</v>
      </c>
      <c r="O684" s="293" t="str">
        <f t="shared" si="688"/>
        <v>0603</v>
      </c>
      <c r="P684" s="292" t="str">
        <f t="shared" si="688"/>
        <v>652-CR0603FX-2403ELF</v>
      </c>
      <c r="Q684" s="293" t="str">
        <f t="shared" si="688"/>
        <v/>
      </c>
    </row>
    <row r="685">
      <c r="D685" s="282"/>
      <c r="F685" s="1">
        <v>19.0</v>
      </c>
      <c r="G685" s="60">
        <f t="shared" si="2"/>
        <v>6</v>
      </c>
      <c r="H685" s="1" t="str">
        <f t="shared" si="3"/>
        <v>Yarns v0.3</v>
      </c>
      <c r="I685" t="str">
        <f t="shared" si="4"/>
        <v>S</v>
      </c>
      <c r="J685" s="293" t="str">
        <f t="shared" ref="J685:Q685" si="689">indirect(address($G685+4, column()-9, 4, , $H685))</f>
        <v>C7, C10</v>
      </c>
      <c r="K685" s="291">
        <f t="shared" si="689"/>
        <v>2</v>
      </c>
      <c r="L685" s="293" t="str">
        <f t="shared" si="689"/>
        <v>Capacitor, ceramic</v>
      </c>
      <c r="M685" s="293" t="str">
        <f t="shared" si="689"/>
        <v/>
      </c>
      <c r="N685" s="293" t="str">
        <f t="shared" si="689"/>
        <v>18p</v>
      </c>
      <c r="O685" s="293" t="str">
        <f t="shared" si="689"/>
        <v>0603</v>
      </c>
      <c r="P685" s="293" t="str">
        <f t="shared" si="689"/>
        <v>81-GRM185C1H180JA01J</v>
      </c>
      <c r="Q685" s="293" t="str">
        <f t="shared" si="689"/>
        <v/>
      </c>
    </row>
    <row r="686">
      <c r="D686" s="282"/>
      <c r="F686" s="1">
        <v>19.0</v>
      </c>
      <c r="G686" s="60">
        <f t="shared" si="2"/>
        <v>7</v>
      </c>
      <c r="H686" s="1" t="str">
        <f t="shared" si="3"/>
        <v>Yarns v0.3</v>
      </c>
      <c r="I686" t="str">
        <f t="shared" si="4"/>
        <v>S</v>
      </c>
      <c r="J686" s="293" t="str">
        <f t="shared" ref="J686:Q686" si="690">indirect(address($G686+4, column()-9, 4, , $H686))</f>
        <v>C14, C16, C21, C22</v>
      </c>
      <c r="K686" s="291">
        <f t="shared" si="690"/>
        <v>4</v>
      </c>
      <c r="L686" s="293" t="str">
        <f t="shared" si="690"/>
        <v>Capacitor, ceramic</v>
      </c>
      <c r="M686" s="293" t="str">
        <f t="shared" si="690"/>
        <v>&gt;= 50V, &lt;= 2%, C0G</v>
      </c>
      <c r="N686" s="293" t="str">
        <f t="shared" si="690"/>
        <v>18p</v>
      </c>
      <c r="O686" s="293" t="str">
        <f t="shared" si="690"/>
        <v>0603</v>
      </c>
      <c r="P686" s="293" t="str">
        <f t="shared" si="690"/>
        <v>81-GRM1885C1H180GA</v>
      </c>
      <c r="Q686" s="293" t="str">
        <f t="shared" si="690"/>
        <v/>
      </c>
    </row>
    <row r="687">
      <c r="D687" s="282"/>
      <c r="F687" s="1">
        <v>19.0</v>
      </c>
      <c r="G687" s="60">
        <f t="shared" si="2"/>
        <v>8</v>
      </c>
      <c r="H687" s="1" t="str">
        <f t="shared" si="3"/>
        <v>Yarns v0.3</v>
      </c>
      <c r="I687" t="str">
        <f t="shared" si="4"/>
        <v>S</v>
      </c>
      <c r="J687" s="293" t="str">
        <f t="shared" ref="J687:Q687" si="691">indirect(address($G687+4, column()-9, 4, , $H687))</f>
        <v>C2, C5, C6, C8, C9, C11, C13, C18, C19, C20, C23, C27</v>
      </c>
      <c r="K687" s="291">
        <f t="shared" si="691"/>
        <v>12</v>
      </c>
      <c r="L687" s="293" t="str">
        <f t="shared" si="691"/>
        <v>Capacitor, ceramic</v>
      </c>
      <c r="M687" s="293" t="str">
        <f t="shared" si="691"/>
        <v>&gt;= 16V</v>
      </c>
      <c r="N687" s="293" t="str">
        <f t="shared" si="691"/>
        <v>100n</v>
      </c>
      <c r="O687" s="293" t="str">
        <f t="shared" si="691"/>
        <v>0603</v>
      </c>
      <c r="P687" s="293" t="str">
        <f t="shared" si="691"/>
        <v>81-GRM188R71E104JA1J</v>
      </c>
      <c r="Q687" s="293" t="str">
        <f t="shared" si="691"/>
        <v/>
      </c>
    </row>
    <row r="688">
      <c r="D688" s="282"/>
      <c r="F688" s="1">
        <v>19.0</v>
      </c>
      <c r="G688" s="60">
        <f t="shared" si="2"/>
        <v>9</v>
      </c>
      <c r="H688" s="1" t="str">
        <f t="shared" si="3"/>
        <v>Yarns v0.3</v>
      </c>
      <c r="I688" t="str">
        <f t="shared" si="4"/>
        <v>S</v>
      </c>
      <c r="J688" s="293" t="str">
        <f t="shared" ref="J688:Q688" si="692">indirect(address($G688+4, column()-9, 4, , $H688))</f>
        <v>C17</v>
      </c>
      <c r="K688" s="291">
        <f t="shared" si="692"/>
        <v>1</v>
      </c>
      <c r="L688" s="293" t="str">
        <f t="shared" si="692"/>
        <v>Capacitor, ceramic</v>
      </c>
      <c r="M688" s="293" t="str">
        <f t="shared" si="692"/>
        <v>&gt;= 16V</v>
      </c>
      <c r="N688" s="293" t="str">
        <f t="shared" si="692"/>
        <v>220n</v>
      </c>
      <c r="O688" s="293" t="str">
        <f t="shared" si="692"/>
        <v>603</v>
      </c>
      <c r="P688" s="293" t="str">
        <f t="shared" si="692"/>
        <v>81-GRM188R71C224KA1J</v>
      </c>
      <c r="Q688" s="293" t="str">
        <f t="shared" si="692"/>
        <v/>
      </c>
    </row>
    <row r="689">
      <c r="D689" s="282"/>
      <c r="F689" s="1">
        <v>19.0</v>
      </c>
      <c r="G689" s="60">
        <f t="shared" si="2"/>
        <v>10</v>
      </c>
      <c r="H689" s="1" t="str">
        <f t="shared" si="3"/>
        <v>Yarns v0.3</v>
      </c>
      <c r="I689" t="str">
        <f t="shared" si="4"/>
        <v>S</v>
      </c>
      <c r="J689" s="293" t="str">
        <f t="shared" ref="J689:Q689" si="693">indirect(address($G689+4, column()-9, 4, , $H689))</f>
        <v>C25, C26</v>
      </c>
      <c r="K689" s="291">
        <f t="shared" si="693"/>
        <v>2</v>
      </c>
      <c r="L689" s="293" t="str">
        <f t="shared" si="693"/>
        <v>Capacitor, ceramic</v>
      </c>
      <c r="M689" s="293" t="str">
        <f t="shared" si="693"/>
        <v>&gt;= 25V</v>
      </c>
      <c r="N689" s="293" t="str">
        <f t="shared" si="693"/>
        <v>1u</v>
      </c>
      <c r="O689" s="293" t="str">
        <f t="shared" si="693"/>
        <v>0603</v>
      </c>
      <c r="P689" s="292" t="str">
        <f t="shared" si="693"/>
        <v>81-GRM188R61E105KA2J</v>
      </c>
      <c r="Q689" s="293" t="str">
        <f t="shared" si="693"/>
        <v/>
      </c>
    </row>
    <row r="690">
      <c r="D690" s="282"/>
      <c r="F690" s="1">
        <v>19.0</v>
      </c>
      <c r="G690" s="60">
        <f t="shared" si="2"/>
        <v>11</v>
      </c>
      <c r="H690" s="1" t="str">
        <f t="shared" si="3"/>
        <v>Yarns v0.3</v>
      </c>
      <c r="I690" t="str">
        <f t="shared" si="4"/>
        <v>S</v>
      </c>
      <c r="J690" s="293" t="str">
        <f t="shared" ref="J690:Q690" si="694">indirect(address($G690+4, column()-9, 4, , $H690))</f>
        <v>C15</v>
      </c>
      <c r="K690" s="291">
        <f t="shared" si="694"/>
        <v>1</v>
      </c>
      <c r="L690" s="293" t="str">
        <f t="shared" si="694"/>
        <v>Capacitor, ceramic</v>
      </c>
      <c r="M690" s="293" t="str">
        <f t="shared" si="694"/>
        <v>&gt;= 10V</v>
      </c>
      <c r="N690" s="293" t="str">
        <f t="shared" si="694"/>
        <v>3.3u</v>
      </c>
      <c r="O690" s="293" t="str">
        <f t="shared" si="694"/>
        <v>0603</v>
      </c>
      <c r="P690" s="293" t="str">
        <f t="shared" si="694"/>
        <v>81-GRM188R61A335KE5D</v>
      </c>
      <c r="Q690" s="293" t="str">
        <f t="shared" si="694"/>
        <v/>
      </c>
    </row>
    <row r="691">
      <c r="D691" s="282"/>
      <c r="F691" s="1">
        <v>19.0</v>
      </c>
      <c r="G691" s="60">
        <f t="shared" si="2"/>
        <v>12</v>
      </c>
      <c r="H691" s="1" t="str">
        <f t="shared" si="3"/>
        <v>Yarns v0.3</v>
      </c>
      <c r="I691" t="str">
        <f t="shared" si="4"/>
        <v>S</v>
      </c>
      <c r="J691" s="293" t="str">
        <f t="shared" ref="J691:Q691" si="695">indirect(address($G691+4, column()-9, 4, , $H691))</f>
        <v>D1, D2</v>
      </c>
      <c r="K691" s="291">
        <f t="shared" si="695"/>
        <v>2</v>
      </c>
      <c r="L691" s="293" t="str">
        <f t="shared" si="695"/>
        <v>1N5819HW diode</v>
      </c>
      <c r="M691" s="293" t="str">
        <f t="shared" si="695"/>
        <v/>
      </c>
      <c r="N691" s="293" t="str">
        <f t="shared" si="695"/>
        <v/>
      </c>
      <c r="O691" s="293" t="str">
        <f t="shared" si="695"/>
        <v>SOD123</v>
      </c>
      <c r="P691" s="293" t="str">
        <f t="shared" si="695"/>
        <v>621-1N5819HW-F</v>
      </c>
      <c r="Q691" s="293" t="str">
        <f t="shared" si="695"/>
        <v>Diodes Inc 1N5819HW-7-F</v>
      </c>
    </row>
    <row r="692">
      <c r="D692" s="282"/>
      <c r="F692" s="1">
        <v>19.0</v>
      </c>
      <c r="G692" s="60">
        <f t="shared" si="2"/>
        <v>13</v>
      </c>
      <c r="H692" s="1" t="str">
        <f t="shared" si="3"/>
        <v>Yarns v0.3</v>
      </c>
      <c r="I692" t="str">
        <f t="shared" si="4"/>
        <v>S</v>
      </c>
      <c r="J692" s="293" t="str">
        <f t="shared" ref="J692:Q692" si="696">indirect(address($G692+4, column()-9, 4, , $H692))</f>
        <v>IC1</v>
      </c>
      <c r="K692" s="291">
        <f t="shared" si="696"/>
        <v>1</v>
      </c>
      <c r="L692" s="293" t="str">
        <f t="shared" si="696"/>
        <v>LM1117-3.3V LDO Vreg</v>
      </c>
      <c r="M692" s="293" t="str">
        <f t="shared" si="696"/>
        <v/>
      </c>
      <c r="N692" s="293" t="str">
        <f t="shared" si="696"/>
        <v>3.3V</v>
      </c>
      <c r="O692" s="293" t="str">
        <f t="shared" si="696"/>
        <v>SO223</v>
      </c>
      <c r="P692" s="292" t="str">
        <f t="shared" si="696"/>
        <v>926-LM1117MPX3.3NOPB</v>
      </c>
      <c r="Q692" s="293" t="str">
        <f t="shared" si="696"/>
        <v>National LM1117MPX3.3NOPB</v>
      </c>
    </row>
    <row r="693">
      <c r="D693" s="282"/>
      <c r="F693" s="1">
        <v>19.0</v>
      </c>
      <c r="G693" s="60">
        <f t="shared" si="2"/>
        <v>14</v>
      </c>
      <c r="H693" s="1" t="str">
        <f t="shared" si="3"/>
        <v>Yarns v0.3</v>
      </c>
      <c r="I693" t="str">
        <f t="shared" si="4"/>
        <v>S</v>
      </c>
      <c r="J693" s="293" t="str">
        <f t="shared" ref="J693:Q693" si="697">indirect(address($G693+4, column()-9, 4, , $H693))</f>
        <v>IC2, IC3</v>
      </c>
      <c r="K693" s="291">
        <f t="shared" si="697"/>
        <v>2</v>
      </c>
      <c r="L693" s="293" t="str">
        <f t="shared" si="697"/>
        <v>74hc595 SIPO shift register</v>
      </c>
      <c r="M693" s="293" t="str">
        <f t="shared" si="697"/>
        <v/>
      </c>
      <c r="N693" s="293" t="str">
        <f t="shared" si="697"/>
        <v/>
      </c>
      <c r="O693" s="293" t="str">
        <f t="shared" si="697"/>
        <v>SOIC16</v>
      </c>
      <c r="P693" s="292" t="str">
        <f t="shared" si="697"/>
        <v>595-CD74HC595M</v>
      </c>
      <c r="Q693" s="293" t="str">
        <f t="shared" si="697"/>
        <v>Texas Instruments CD74HC595M, NXP 74HC595D,112</v>
      </c>
    </row>
    <row r="694">
      <c r="D694" s="282"/>
      <c r="F694" s="1">
        <v>19.0</v>
      </c>
      <c r="G694" s="60">
        <f t="shared" si="2"/>
        <v>15</v>
      </c>
      <c r="H694" s="1" t="str">
        <f t="shared" si="3"/>
        <v>Yarns v0.3</v>
      </c>
      <c r="I694" t="str">
        <f t="shared" si="4"/>
        <v>S</v>
      </c>
      <c r="J694" s="293" t="str">
        <f t="shared" ref="J694:Q694" si="698">indirect(address($G694+4, column()-9, 4, , $H694))</f>
        <v>IC4</v>
      </c>
      <c r="K694" s="291">
        <f t="shared" si="698"/>
        <v>1</v>
      </c>
      <c r="L694" s="293" t="str">
        <f t="shared" si="698"/>
        <v>DAC8564 quad 16-bit DAC</v>
      </c>
      <c r="M694" s="293" t="str">
        <f t="shared" si="698"/>
        <v/>
      </c>
      <c r="N694" s="293" t="str">
        <f t="shared" si="698"/>
        <v/>
      </c>
      <c r="O694" s="293" t="str">
        <f t="shared" si="698"/>
        <v>TSSOP16</v>
      </c>
      <c r="P694" s="293" t="str">
        <f t="shared" si="698"/>
        <v>595-DAC8564IDPW</v>
      </c>
      <c r="Q694" s="293" t="str">
        <f t="shared" si="698"/>
        <v>TI DAC8564IDPW</v>
      </c>
    </row>
    <row r="695">
      <c r="D695" s="282"/>
      <c r="F695" s="1">
        <v>19.0</v>
      </c>
      <c r="G695" s="60">
        <f t="shared" si="2"/>
        <v>16</v>
      </c>
      <c r="H695" s="1" t="str">
        <f t="shared" si="3"/>
        <v>Yarns v0.3</v>
      </c>
      <c r="I695" t="str">
        <f t="shared" si="4"/>
        <v>S</v>
      </c>
      <c r="J695" s="293" t="str">
        <f t="shared" ref="J695:Q695" si="699">indirect(address($G695+4, column()-9, 4, , $H695))</f>
        <v>IC5</v>
      </c>
      <c r="K695" s="291">
        <f t="shared" si="699"/>
        <v>1</v>
      </c>
      <c r="L695" s="293" t="str">
        <f t="shared" si="699"/>
        <v>REF02 5V reference</v>
      </c>
      <c r="M695" s="293" t="str">
        <f t="shared" si="699"/>
        <v/>
      </c>
      <c r="N695" s="293" t="str">
        <f t="shared" si="699"/>
        <v>5V</v>
      </c>
      <c r="O695" s="293" t="str">
        <f t="shared" si="699"/>
        <v>SOIC8</v>
      </c>
      <c r="P695" s="293" t="str">
        <f t="shared" si="699"/>
        <v>595-REF02AU</v>
      </c>
      <c r="Q695" s="293" t="str">
        <f t="shared" si="699"/>
        <v>TI REF02AU</v>
      </c>
    </row>
    <row r="696">
      <c r="D696" s="282"/>
      <c r="F696" s="1">
        <v>19.0</v>
      </c>
      <c r="G696" s="60">
        <f t="shared" si="2"/>
        <v>17</v>
      </c>
      <c r="H696" s="1" t="str">
        <f t="shared" si="3"/>
        <v>Yarns v0.3</v>
      </c>
      <c r="I696" t="str">
        <f t="shared" si="4"/>
        <v>S</v>
      </c>
      <c r="J696" s="293" t="str">
        <f t="shared" ref="J696:Q696" si="700">indirect(address($G696+4, column()-9, 4, , $H696))</f>
        <v>IC6</v>
      </c>
      <c r="K696" s="291">
        <f t="shared" si="700"/>
        <v>1</v>
      </c>
      <c r="L696" s="293" t="str">
        <f t="shared" si="700"/>
        <v>OPA4171 quad op-amp, low offset</v>
      </c>
      <c r="M696" s="293" t="str">
        <f t="shared" si="700"/>
        <v/>
      </c>
      <c r="N696" s="293" t="str">
        <f t="shared" si="700"/>
        <v/>
      </c>
      <c r="O696" s="293" t="str">
        <f t="shared" si="700"/>
        <v>SOIC14</v>
      </c>
      <c r="P696" s="293" t="str">
        <f t="shared" si="700"/>
        <v>595-OPA4171AIDR</v>
      </c>
      <c r="Q696" s="293" t="str">
        <f t="shared" si="700"/>
        <v>TI OPA4171AIDR</v>
      </c>
    </row>
    <row r="697">
      <c r="D697" s="282"/>
      <c r="F697" s="1">
        <v>19.0</v>
      </c>
      <c r="G697" s="60">
        <f t="shared" si="2"/>
        <v>18</v>
      </c>
      <c r="H697" s="1" t="str">
        <f t="shared" si="3"/>
        <v>Yarns v0.3</v>
      </c>
      <c r="I697" t="str">
        <f t="shared" si="4"/>
        <v>S</v>
      </c>
      <c r="J697" s="293" t="str">
        <f t="shared" ref="J697:Q697" si="701">indirect(address($G697+4, column()-9, 4, , $H697))</f>
        <v>IC7, IC8, IC10, IC11</v>
      </c>
      <c r="K697" s="291">
        <f t="shared" si="701"/>
        <v>4</v>
      </c>
      <c r="L697" s="293" t="str">
        <f t="shared" si="701"/>
        <v>74AHCT1G125 buffer, single gate AHCT family</v>
      </c>
      <c r="M697" s="293" t="str">
        <f t="shared" si="701"/>
        <v/>
      </c>
      <c r="N697" s="293" t="str">
        <f t="shared" si="701"/>
        <v/>
      </c>
      <c r="O697" s="293" t="str">
        <f t="shared" si="701"/>
        <v>SOT23-5</v>
      </c>
      <c r="P697" s="293" t="str">
        <f t="shared" si="701"/>
        <v>595-SNAHCT1G125DBVR</v>
      </c>
      <c r="Q697" s="293" t="str">
        <f t="shared" si="701"/>
        <v>TI SN74AHCT1G125DBVR</v>
      </c>
    </row>
    <row r="698">
      <c r="D698" s="282"/>
      <c r="F698" s="1">
        <v>19.0</v>
      </c>
      <c r="G698" s="60">
        <f t="shared" si="2"/>
        <v>19</v>
      </c>
      <c r="H698" s="1" t="str">
        <f t="shared" si="3"/>
        <v>Yarns v0.3</v>
      </c>
      <c r="I698" t="str">
        <f t="shared" si="4"/>
        <v>S</v>
      </c>
      <c r="J698" s="293" t="str">
        <f t="shared" ref="J698:Q698" si="702">indirect(address($G698+4, column()-9, 4, , $H698))</f>
        <v>IC9</v>
      </c>
      <c r="K698" s="291">
        <f t="shared" si="702"/>
        <v>1</v>
      </c>
      <c r="L698" s="293" t="str">
        <f t="shared" si="702"/>
        <v>MCP1703 LDO Vref</v>
      </c>
      <c r="M698" s="293" t="str">
        <f t="shared" si="702"/>
        <v/>
      </c>
      <c r="N698" s="293" t="str">
        <f t="shared" si="702"/>
        <v>3.3V</v>
      </c>
      <c r="O698" s="293" t="str">
        <f t="shared" si="702"/>
        <v>SOT23</v>
      </c>
      <c r="P698" s="292" t="str">
        <f t="shared" si="702"/>
        <v>579-MCP1703T-5002ECB</v>
      </c>
      <c r="Q698" s="293" t="str">
        <f t="shared" si="702"/>
        <v>Microchip MCP1703T-5002E/CB</v>
      </c>
    </row>
    <row r="699">
      <c r="D699" s="282"/>
      <c r="F699" s="1">
        <v>19.0</v>
      </c>
      <c r="G699" s="60">
        <f t="shared" si="2"/>
        <v>20</v>
      </c>
      <c r="H699" s="1" t="str">
        <f t="shared" si="3"/>
        <v>Yarns v0.3</v>
      </c>
      <c r="I699" t="str">
        <f t="shared" si="4"/>
        <v>S</v>
      </c>
      <c r="J699" s="293" t="str">
        <f t="shared" ref="J699:Q699" si="703">indirect(address($G699+4, column()-9, 4, , $H699))</f>
        <v>Q1, Q2</v>
      </c>
      <c r="K699" s="291">
        <f t="shared" si="703"/>
        <v>2</v>
      </c>
      <c r="L699" s="293" t="str">
        <f t="shared" si="703"/>
        <v>NPN transistor MMBT3904</v>
      </c>
      <c r="M699" s="293" t="str">
        <f t="shared" si="703"/>
        <v/>
      </c>
      <c r="N699" s="293" t="str">
        <f t="shared" si="703"/>
        <v/>
      </c>
      <c r="O699" s="293" t="str">
        <f t="shared" si="703"/>
        <v>SOT23</v>
      </c>
      <c r="P699" s="292" t="str">
        <f t="shared" si="703"/>
        <v>863-MMBT3904LT1G</v>
      </c>
      <c r="Q699" s="293" t="str">
        <f t="shared" si="703"/>
        <v>On Semi MMBT3904LT1G</v>
      </c>
    </row>
    <row r="700">
      <c r="D700" s="282"/>
      <c r="F700" s="1">
        <v>19.0</v>
      </c>
      <c r="G700" s="60">
        <f t="shared" si="2"/>
        <v>21</v>
      </c>
      <c r="H700" s="1" t="str">
        <f t="shared" si="3"/>
        <v>Yarns v0.3</v>
      </c>
      <c r="I700" t="str">
        <f t="shared" si="4"/>
        <v>S</v>
      </c>
      <c r="J700" s="293" t="str">
        <f t="shared" ref="J700:Q700" si="704">indirect(address($G700+4, column()-9, 4, , $H700))</f>
        <v>UC1</v>
      </c>
      <c r="K700" s="291">
        <f t="shared" si="704"/>
        <v>1</v>
      </c>
      <c r="L700" s="293" t="str">
        <f t="shared" si="704"/>
        <v>STM32F103CBT6 MCU</v>
      </c>
      <c r="M700" s="293" t="str">
        <f t="shared" si="704"/>
        <v/>
      </c>
      <c r="N700" s="293" t="str">
        <f t="shared" si="704"/>
        <v/>
      </c>
      <c r="O700" s="293" t="str">
        <f t="shared" si="704"/>
        <v>LQFP48</v>
      </c>
      <c r="P700" s="292" t="str">
        <f t="shared" si="704"/>
        <v>511-STM32F103CBT6</v>
      </c>
      <c r="Q700" s="293" t="str">
        <f t="shared" si="704"/>
        <v>ST STM32F103CBT6</v>
      </c>
    </row>
    <row r="701">
      <c r="D701" s="282"/>
      <c r="F701" s="1">
        <v>19.0</v>
      </c>
      <c r="G701" s="60">
        <f t="shared" si="2"/>
        <v>22</v>
      </c>
      <c r="H701" s="1" t="str">
        <f t="shared" si="3"/>
        <v>Yarns v0.3</v>
      </c>
      <c r="I701" t="str">
        <f t="shared" si="4"/>
        <v/>
      </c>
      <c r="J701" s="1" t="str">
        <f t="shared" ref="J701:Q701" si="705">indirect(address($G701+4, column()-9, 4, , $H701))</f>
        <v>SMT parts, bottom side</v>
      </c>
      <c r="K701" s="1" t="str">
        <f t="shared" si="705"/>
        <v/>
      </c>
      <c r="L701" s="1" t="str">
        <f t="shared" si="705"/>
        <v/>
      </c>
      <c r="M701" s="1" t="str">
        <f t="shared" si="705"/>
        <v/>
      </c>
      <c r="N701" s="1" t="str">
        <f t="shared" si="705"/>
        <v/>
      </c>
      <c r="O701" s="1" t="str">
        <f t="shared" si="705"/>
        <v/>
      </c>
      <c r="P701" s="1" t="str">
        <f t="shared" si="705"/>
        <v/>
      </c>
      <c r="Q701" s="1" t="str">
        <f t="shared" si="705"/>
        <v/>
      </c>
    </row>
    <row r="702">
      <c r="D702" s="282"/>
      <c r="F702" s="1">
        <v>19.0</v>
      </c>
      <c r="G702" s="60">
        <f t="shared" si="2"/>
        <v>23</v>
      </c>
      <c r="H702" s="1" t="str">
        <f t="shared" si="3"/>
        <v>Yarns v0.3</v>
      </c>
      <c r="I702" t="str">
        <f t="shared" si="4"/>
        <v>S</v>
      </c>
      <c r="J702" s="293" t="str">
        <f t="shared" ref="J702:Q702" si="706">indirect(address($G702+4, column()-9, 4, , $H702))</f>
        <v>R35</v>
      </c>
      <c r="K702" s="291">
        <f t="shared" si="706"/>
        <v>1</v>
      </c>
      <c r="L702" s="293" t="str">
        <f t="shared" si="706"/>
        <v>Resistor, 1%</v>
      </c>
      <c r="M702" s="293" t="str">
        <f t="shared" si="706"/>
        <v/>
      </c>
      <c r="N702" s="293" t="str">
        <f t="shared" si="706"/>
        <v>220</v>
      </c>
      <c r="O702" s="293" t="str">
        <f t="shared" si="706"/>
        <v>0603</v>
      </c>
      <c r="P702" s="292" t="str">
        <f t="shared" si="706"/>
        <v>652-CR0603FX-2200ELF</v>
      </c>
      <c r="Q702" s="293" t="str">
        <f t="shared" si="706"/>
        <v/>
      </c>
    </row>
    <row r="703">
      <c r="D703" s="282"/>
      <c r="F703" s="1">
        <v>19.0</v>
      </c>
      <c r="G703" s="60">
        <f t="shared" si="2"/>
        <v>24</v>
      </c>
      <c r="H703" s="1" t="str">
        <f t="shared" si="3"/>
        <v>Yarns v0.3</v>
      </c>
      <c r="I703" t="str">
        <f t="shared" si="4"/>
        <v>S</v>
      </c>
      <c r="J703" s="293" t="str">
        <f t="shared" ref="J703:Q703" si="707">indirect(address($G703+4, column()-9, 4, , $H703))</f>
        <v>R37</v>
      </c>
      <c r="K703" s="291">
        <f t="shared" si="707"/>
        <v>1</v>
      </c>
      <c r="L703" s="293" t="str">
        <f t="shared" si="707"/>
        <v>Resistor, 1%</v>
      </c>
      <c r="M703" s="293" t="str">
        <f t="shared" si="707"/>
        <v/>
      </c>
      <c r="N703" s="293" t="str">
        <f t="shared" si="707"/>
        <v>10k</v>
      </c>
      <c r="O703" s="293" t="str">
        <f t="shared" si="707"/>
        <v>0603</v>
      </c>
      <c r="P703" s="292" t="str">
        <f t="shared" si="707"/>
        <v>652-CR0603-FX-1002GLF</v>
      </c>
      <c r="Q703" s="293" t="str">
        <f t="shared" si="707"/>
        <v/>
      </c>
    </row>
    <row r="704">
      <c r="D704" s="282"/>
      <c r="F704" s="1">
        <v>19.0</v>
      </c>
      <c r="G704" s="60">
        <f t="shared" si="2"/>
        <v>25</v>
      </c>
      <c r="H704" s="1" t="str">
        <f t="shared" si="3"/>
        <v>Yarns v0.3</v>
      </c>
      <c r="I704" t="str">
        <f t="shared" si="4"/>
        <v>S</v>
      </c>
      <c r="J704" s="293" t="str">
        <f t="shared" ref="J704:Q704" si="708">indirect(address($G704+4, column()-9, 4, , $H704))</f>
        <v>C24</v>
      </c>
      <c r="K704" s="291">
        <f t="shared" si="708"/>
        <v>1</v>
      </c>
      <c r="L704" s="293" t="str">
        <f t="shared" si="708"/>
        <v>Capacitor, ceramic</v>
      </c>
      <c r="M704" s="293" t="str">
        <f t="shared" si="708"/>
        <v>&gt;= 16V</v>
      </c>
      <c r="N704" s="293" t="str">
        <f t="shared" si="708"/>
        <v>100n</v>
      </c>
      <c r="O704" s="293" t="str">
        <f t="shared" si="708"/>
        <v>0603</v>
      </c>
      <c r="P704" s="293" t="str">
        <f t="shared" si="708"/>
        <v>81-GRM188R71E104JA1J</v>
      </c>
      <c r="Q704" s="293" t="str">
        <f t="shared" si="708"/>
        <v/>
      </c>
    </row>
    <row r="705">
      <c r="D705" s="282"/>
      <c r="F705" s="1">
        <v>19.0</v>
      </c>
      <c r="G705" s="60">
        <f t="shared" si="2"/>
        <v>26</v>
      </c>
      <c r="H705" s="1" t="str">
        <f t="shared" si="3"/>
        <v>Yarns v0.3</v>
      </c>
      <c r="I705" t="str">
        <f t="shared" si="4"/>
        <v>S</v>
      </c>
      <c r="J705" s="293" t="str">
        <f t="shared" ref="J705:Q705" si="709">indirect(address($G705+4, column()-9, 4, , $H705))</f>
        <v>C3, C12</v>
      </c>
      <c r="K705" s="291">
        <f t="shared" si="709"/>
        <v>2</v>
      </c>
      <c r="L705" s="293" t="str">
        <f t="shared" si="709"/>
        <v>Capacitor, electrolytic</v>
      </c>
      <c r="M705" s="293" t="str">
        <f t="shared" si="709"/>
        <v>&gt;= 25V</v>
      </c>
      <c r="N705" s="293" t="str">
        <f t="shared" si="709"/>
        <v>4.7u</v>
      </c>
      <c r="O705" s="1" t="str">
        <f t="shared" si="709"/>
        <v>Panasonic A (3mm dia)</v>
      </c>
      <c r="P705" s="1" t="str">
        <f t="shared" si="709"/>
        <v>647-UWX1E4R7MCL2</v>
      </c>
      <c r="Q705" s="1" t="str">
        <f t="shared" si="709"/>
        <v>Nichicon UWX1E4R7MCL2GB (Note: these are 10u in the Eagle file. Olivier says "If you find 10u that fit, use 10u.")</v>
      </c>
    </row>
    <row r="706">
      <c r="D706" s="282"/>
      <c r="F706" s="1">
        <v>19.0</v>
      </c>
      <c r="G706" s="60">
        <f t="shared" si="2"/>
        <v>27</v>
      </c>
      <c r="H706" s="1" t="str">
        <f t="shared" si="3"/>
        <v>Yarns v0.3</v>
      </c>
      <c r="I706" t="str">
        <f t="shared" si="4"/>
        <v>S</v>
      </c>
      <c r="J706" s="293" t="str">
        <f t="shared" ref="J706:Q706" si="710">indirect(address($G706+4, column()-9, 4, , $H706))</f>
        <v>C1, C4</v>
      </c>
      <c r="K706" s="291">
        <f t="shared" si="710"/>
        <v>2</v>
      </c>
      <c r="L706" s="293" t="str">
        <f t="shared" si="710"/>
        <v>Capacitor, electrolytic</v>
      </c>
      <c r="M706" s="293" t="str">
        <f t="shared" si="710"/>
        <v>&gt;= 25V</v>
      </c>
      <c r="N706" s="293" t="str">
        <f t="shared" si="710"/>
        <v>22u</v>
      </c>
      <c r="O706" s="293" t="str">
        <f t="shared" si="710"/>
        <v>Panasonic C</v>
      </c>
      <c r="P706" s="292" t="str">
        <f t="shared" si="710"/>
        <v>667-EEE-FP1E220AR</v>
      </c>
      <c r="Q706" s="293" t="str">
        <f t="shared" si="710"/>
        <v>EEE-FP1E220AR</v>
      </c>
    </row>
    <row r="707">
      <c r="D707" s="282"/>
      <c r="F707" s="1">
        <v>19.0</v>
      </c>
      <c r="G707" s="60">
        <f t="shared" si="2"/>
        <v>28</v>
      </c>
      <c r="H707" s="1" t="str">
        <f t="shared" si="3"/>
        <v>Yarns v0.3</v>
      </c>
      <c r="I707" t="str">
        <f t="shared" si="4"/>
        <v>S</v>
      </c>
      <c r="J707" s="293" t="str">
        <f t="shared" ref="J707:Q707" si="711">indirect(address($G707+4, column()-9, 4, , $H707))</f>
        <v>D3</v>
      </c>
      <c r="K707" s="291">
        <f t="shared" si="711"/>
        <v>1</v>
      </c>
      <c r="L707" s="293" t="str">
        <f t="shared" si="711"/>
        <v>1N4148 diode</v>
      </c>
      <c r="M707" s="293" t="str">
        <f t="shared" si="711"/>
        <v/>
      </c>
      <c r="N707" s="293" t="str">
        <f t="shared" si="711"/>
        <v/>
      </c>
      <c r="O707" s="293" t="str">
        <f t="shared" si="711"/>
        <v>SOD323</v>
      </c>
      <c r="P707" s="293" t="str">
        <f t="shared" si="711"/>
        <v>512-1N4148WS</v>
      </c>
      <c r="Q707" s="293" t="str">
        <f t="shared" si="711"/>
        <v/>
      </c>
    </row>
    <row r="708">
      <c r="D708" s="282"/>
      <c r="F708" s="1">
        <v>19.0</v>
      </c>
      <c r="G708" s="60">
        <f t="shared" si="2"/>
        <v>29</v>
      </c>
      <c r="H708" s="1" t="str">
        <f t="shared" si="3"/>
        <v>Yarns v0.3</v>
      </c>
      <c r="I708" t="str">
        <f t="shared" si="4"/>
        <v>S</v>
      </c>
      <c r="J708" s="293" t="str">
        <f t="shared" ref="J708:Q708" si="712">indirect(address($G708+4, column()-9, 4, , $H708))</f>
        <v>Q3</v>
      </c>
      <c r="K708" s="291">
        <f t="shared" si="712"/>
        <v>1</v>
      </c>
      <c r="L708" s="293" t="str">
        <f t="shared" si="712"/>
        <v>8 MHz quartz</v>
      </c>
      <c r="M708" s="293" t="str">
        <f t="shared" si="712"/>
        <v/>
      </c>
      <c r="N708" s="293" t="str">
        <f t="shared" si="712"/>
        <v/>
      </c>
      <c r="O708" s="293" t="str">
        <f t="shared" si="712"/>
        <v>HC49</v>
      </c>
      <c r="P708" s="292" t="str">
        <f t="shared" si="712"/>
        <v>815-ABLS2-8-D4Y-T</v>
      </c>
      <c r="Q708" s="293" t="str">
        <f t="shared" si="712"/>
        <v>Abracon ABLS2-8.000MHZ-D4Y-T</v>
      </c>
    </row>
    <row r="709">
      <c r="D709" s="282"/>
      <c r="F709" s="1">
        <v>19.0</v>
      </c>
      <c r="G709" s="60">
        <f t="shared" si="2"/>
        <v>30</v>
      </c>
      <c r="H709" s="1" t="str">
        <f t="shared" si="3"/>
        <v>Yarns v0.3</v>
      </c>
      <c r="I709" t="str">
        <f t="shared" si="4"/>
        <v>S</v>
      </c>
      <c r="J709" s="293" t="str">
        <f t="shared" ref="J709:Q709" si="713">indirect(address($G709+4, column()-9, 4, , $H709))</f>
        <v>OK1</v>
      </c>
      <c r="K709" s="291">
        <f t="shared" si="713"/>
        <v>1</v>
      </c>
      <c r="L709" s="293" t="str">
        <f t="shared" si="713"/>
        <v>6N137 Optocoupler</v>
      </c>
      <c r="M709" s="293" t="str">
        <f t="shared" si="713"/>
        <v/>
      </c>
      <c r="N709" s="293" t="str">
        <f t="shared" si="713"/>
        <v/>
      </c>
      <c r="O709" s="293" t="str">
        <f t="shared" si="713"/>
        <v>SMD-8</v>
      </c>
      <c r="P709" s="293" t="str">
        <f t="shared" si="713"/>
        <v>512-6N137SDM</v>
      </c>
      <c r="Q709" s="293" t="str">
        <f t="shared" si="713"/>
        <v>Fairchild 6N137SDM  or Everlight 6N137S(TB)</v>
      </c>
    </row>
    <row r="710">
      <c r="D710" s="282"/>
      <c r="F710" s="1">
        <v>19.0</v>
      </c>
      <c r="G710" s="60">
        <f t="shared" si="2"/>
        <v>31</v>
      </c>
      <c r="H710" s="1" t="str">
        <f t="shared" si="3"/>
        <v>Yarns v0.3</v>
      </c>
      <c r="I710" t="str">
        <f t="shared" si="4"/>
        <v/>
      </c>
      <c r="J710" s="1" t="str">
        <f t="shared" ref="J710:Q710" si="714">indirect(address($G710+4, column()-9, 4, , $H710))</f>
        <v>PTH parts, top side</v>
      </c>
      <c r="K710" s="1" t="str">
        <f t="shared" si="714"/>
        <v/>
      </c>
      <c r="L710" s="1" t="str">
        <f t="shared" si="714"/>
        <v/>
      </c>
      <c r="M710" s="1" t="str">
        <f t="shared" si="714"/>
        <v/>
      </c>
      <c r="N710" s="1" t="str">
        <f t="shared" si="714"/>
        <v/>
      </c>
      <c r="O710" s="1" t="str">
        <f t="shared" si="714"/>
        <v/>
      </c>
      <c r="P710" s="1" t="str">
        <f t="shared" si="714"/>
        <v/>
      </c>
      <c r="Q710" s="1" t="str">
        <f t="shared" si="714"/>
        <v/>
      </c>
    </row>
    <row r="711">
      <c r="D711" s="282"/>
      <c r="F711" s="1">
        <v>19.0</v>
      </c>
      <c r="G711" s="60">
        <f t="shared" si="2"/>
        <v>32</v>
      </c>
      <c r="H711" s="1" t="str">
        <f t="shared" si="3"/>
        <v>Yarns v0.3</v>
      </c>
      <c r="I711" t="str">
        <f t="shared" si="4"/>
        <v>U</v>
      </c>
      <c r="J711" s="293" t="str">
        <f t="shared" ref="J711:Q711" si="715">indirect(address($G711+4, column()-9, 4, , $H711))</f>
        <v>JP2</v>
      </c>
      <c r="K711" s="291">
        <f t="shared" si="715"/>
        <v>1</v>
      </c>
      <c r="L711" s="293" t="str">
        <f t="shared" si="715"/>
        <v>2x5 male header, 2.54mm pitch</v>
      </c>
      <c r="M711" s="293" t="str">
        <f t="shared" si="715"/>
        <v/>
      </c>
      <c r="N711" s="293" t="str">
        <f t="shared" si="715"/>
        <v/>
      </c>
      <c r="O711" s="293" t="str">
        <f t="shared" si="715"/>
        <v/>
      </c>
      <c r="P711" s="1" t="str">
        <f t="shared" si="715"/>
        <v>649-67996-410HLF</v>
      </c>
      <c r="Q711" s="293" t="str">
        <f t="shared" si="715"/>
        <v/>
      </c>
    </row>
    <row r="712">
      <c r="D712" s="282"/>
      <c r="F712" s="1">
        <v>19.0</v>
      </c>
      <c r="G712" s="60">
        <f t="shared" si="2"/>
        <v>33</v>
      </c>
      <c r="H712" s="1" t="str">
        <f t="shared" si="3"/>
        <v>Yarns v0.3</v>
      </c>
      <c r="I712" t="str">
        <f t="shared" si="4"/>
        <v>U</v>
      </c>
      <c r="J712" s="293" t="str">
        <f t="shared" ref="J712:Q712" si="716">indirect(address($G712+4, column()-9, 4, , $H712))</f>
        <v>JP4</v>
      </c>
      <c r="K712" s="291">
        <f t="shared" si="716"/>
        <v>1</v>
      </c>
      <c r="L712" s="293" t="str">
        <f t="shared" si="716"/>
        <v>2x5, 1.27mm pitch male header</v>
      </c>
      <c r="M712" s="293" t="str">
        <f t="shared" si="716"/>
        <v/>
      </c>
      <c r="N712" s="293" t="str">
        <f t="shared" si="716"/>
        <v/>
      </c>
      <c r="O712" s="293" t="str">
        <f t="shared" si="716"/>
        <v/>
      </c>
      <c r="P712" s="293" t="str">
        <f t="shared" si="716"/>
        <v>649-221111-00010T4LF</v>
      </c>
      <c r="Q712" s="293" t="str">
        <f t="shared" si="716"/>
        <v/>
      </c>
    </row>
    <row r="713">
      <c r="D713" s="282"/>
      <c r="F713" s="1">
        <v>19.0</v>
      </c>
      <c r="G713" s="60">
        <f t="shared" si="2"/>
        <v>34</v>
      </c>
      <c r="H713" s="1" t="str">
        <f t="shared" si="3"/>
        <v>Yarns v0.3</v>
      </c>
      <c r="I713" t="str">
        <f t="shared" si="4"/>
        <v/>
      </c>
      <c r="J713" s="1" t="str">
        <f t="shared" ref="J713:Q713" si="717">indirect(address($G713+4, column()-9, 4, , $H713))</f>
        <v>PTH parts, bottom side</v>
      </c>
      <c r="K713" s="290" t="str">
        <f t="shared" si="717"/>
        <v/>
      </c>
      <c r="L713" s="1" t="str">
        <f t="shared" si="717"/>
        <v/>
      </c>
      <c r="M713" s="1" t="str">
        <f t="shared" si="717"/>
        <v/>
      </c>
      <c r="N713" s="289" t="str">
        <f t="shared" si="717"/>
        <v/>
      </c>
      <c r="O713" s="289" t="str">
        <f t="shared" si="717"/>
        <v/>
      </c>
      <c r="P713" s="290" t="str">
        <f t="shared" si="717"/>
        <v/>
      </c>
      <c r="Q713" s="1" t="str">
        <f t="shared" si="717"/>
        <v/>
      </c>
    </row>
    <row r="714">
      <c r="D714" s="282"/>
      <c r="F714" s="1">
        <v>19.0</v>
      </c>
      <c r="G714" s="60">
        <f t="shared" si="2"/>
        <v>35</v>
      </c>
      <c r="H714" s="1" t="str">
        <f t="shared" si="3"/>
        <v>Yarns v0.3</v>
      </c>
      <c r="I714" t="str">
        <f t="shared" si="4"/>
        <v>D</v>
      </c>
      <c r="J714" s="293" t="str">
        <f t="shared" ref="J714:Q714" si="718">indirect(address($G714+4, column()-9, 4, , $H714))</f>
        <v>DISP1</v>
      </c>
      <c r="K714" s="291">
        <f t="shared" si="718"/>
        <v>1</v>
      </c>
      <c r="L714" s="293" t="str">
        <f t="shared" si="718"/>
        <v>14 segments 2 characters LED module</v>
      </c>
      <c r="M714" s="293" t="str">
        <f t="shared" si="718"/>
        <v>Green, comm. cathode</v>
      </c>
      <c r="N714" s="293" t="str">
        <f t="shared" si="718"/>
        <v/>
      </c>
      <c r="O714" s="293" t="str">
        <f t="shared" si="718"/>
        <v/>
      </c>
      <c r="P714" s="292" t="str">
        <f t="shared" si="718"/>
        <v>604-PDC54-11GWA</v>
      </c>
      <c r="Q714" s="293" t="str">
        <f t="shared" si="718"/>
        <v>KINGBRIGHT PDC54-11GWA</v>
      </c>
    </row>
    <row r="715">
      <c r="D715" s="282"/>
      <c r="F715" s="1">
        <v>19.0</v>
      </c>
      <c r="G715" s="60">
        <f t="shared" si="2"/>
        <v>36</v>
      </c>
      <c r="H715" s="1" t="str">
        <f t="shared" si="3"/>
        <v>Yarns v0.3</v>
      </c>
      <c r="I715" t="str">
        <f t="shared" si="4"/>
        <v>D</v>
      </c>
      <c r="J715" s="293" t="str">
        <f t="shared" ref="J715:Q715" si="719">indirect(address($G715+4, column()-9, 4, , $H715))</f>
        <v>SW1</v>
      </c>
      <c r="K715" s="291">
        <f t="shared" si="719"/>
        <v>1</v>
      </c>
      <c r="L715" s="293" t="str">
        <f t="shared" si="719"/>
        <v>Encoder, 24 steps w/ clicks, w/ switch</v>
      </c>
      <c r="M715" s="293" t="str">
        <f t="shared" si="719"/>
        <v/>
      </c>
      <c r="N715" s="293" t="str">
        <f t="shared" si="719"/>
        <v/>
      </c>
      <c r="O715" s="293" t="str">
        <f t="shared" si="719"/>
        <v/>
      </c>
      <c r="P715" s="288" t="str">
        <f t="shared" si="719"/>
        <v>652-PEC11R-4225F-S24</v>
      </c>
      <c r="Q715" s="1" t="str">
        <f t="shared" si="719"/>
        <v>Via Dan Caldwell (https://www.facebook.com/groups/1716364098644678/permalink/1733106513637103/)</v>
      </c>
    </row>
    <row r="716">
      <c r="D716" s="282"/>
      <c r="F716" s="1">
        <v>19.0</v>
      </c>
      <c r="G716" s="60">
        <f t="shared" si="2"/>
        <v>37</v>
      </c>
      <c r="H716" s="1" t="str">
        <f t="shared" si="3"/>
        <v>Yarns v0.3</v>
      </c>
      <c r="I716" t="str">
        <f t="shared" si="4"/>
        <v>D</v>
      </c>
      <c r="J716" s="293" t="str">
        <f t="shared" ref="J716:Q716" si="720">indirect(address($G716+4, column()-9, 4, , $H716))</f>
        <v>SW2</v>
      </c>
      <c r="K716" s="291">
        <f t="shared" si="720"/>
        <v>1</v>
      </c>
      <c r="L716" s="293" t="str">
        <f t="shared" si="720"/>
        <v>Push-button, round cap, white</v>
      </c>
      <c r="M716" s="293" t="str">
        <f t="shared" si="720"/>
        <v/>
      </c>
      <c r="N716" s="293" t="str">
        <f t="shared" si="720"/>
        <v/>
      </c>
      <c r="O716" s="293" t="str">
        <f t="shared" si="720"/>
        <v/>
      </c>
      <c r="P716" s="292" t="str">
        <f t="shared" si="720"/>
        <v>611-D6R00F1LFS</v>
      </c>
      <c r="Q716" s="293" t="str">
        <f t="shared" si="720"/>
        <v>C&amp;K D6R00 F1 LFS</v>
      </c>
    </row>
    <row r="717">
      <c r="D717" s="282"/>
      <c r="F717" s="1">
        <v>19.0</v>
      </c>
      <c r="G717" s="60">
        <f t="shared" si="2"/>
        <v>38</v>
      </c>
      <c r="H717" s="1" t="str">
        <f t="shared" si="3"/>
        <v>Yarns v0.3</v>
      </c>
      <c r="I717" t="str">
        <f t="shared" si="4"/>
        <v>D</v>
      </c>
      <c r="J717" s="293" t="str">
        <f t="shared" ref="J717:Q717" si="721">indirect(address($G717+4, column()-9, 4, , $H717))</f>
        <v>SW3, SW4</v>
      </c>
      <c r="K717" s="291">
        <f t="shared" si="721"/>
        <v>2</v>
      </c>
      <c r="L717" s="293" t="str">
        <f t="shared" si="721"/>
        <v>Push-button, round cap, black</v>
      </c>
      <c r="M717" s="293" t="str">
        <f t="shared" si="721"/>
        <v/>
      </c>
      <c r="N717" s="293" t="str">
        <f t="shared" si="721"/>
        <v/>
      </c>
      <c r="O717" s="293" t="str">
        <f t="shared" si="721"/>
        <v/>
      </c>
      <c r="P717" s="292" t="str">
        <f t="shared" si="721"/>
        <v>611-D6R90LFS</v>
      </c>
      <c r="Q717" s="293" t="str">
        <f t="shared" si="721"/>
        <v>C&amp;K D6R90 F1 LFS</v>
      </c>
    </row>
    <row r="718">
      <c r="D718" s="282"/>
      <c r="F718" s="1">
        <v>19.0</v>
      </c>
      <c r="G718" s="60">
        <f t="shared" si="2"/>
        <v>39</v>
      </c>
      <c r="H718" s="1" t="str">
        <f t="shared" si="3"/>
        <v>Yarns v0.3</v>
      </c>
      <c r="I718" t="str">
        <f t="shared" si="4"/>
        <v>D</v>
      </c>
      <c r="J718" s="293" t="str">
        <f t="shared" ref="J718:Q718" si="722">indirect(address($G718+4, column()-9, 4, , $H718))</f>
        <v>J1, J2, J3, J4, J5, J6, J7, J8</v>
      </c>
      <c r="K718" s="291">
        <f t="shared" si="722"/>
        <v>8</v>
      </c>
      <c r="L718" s="293" t="str">
        <f t="shared" si="722"/>
        <v>Vertical jack connector</v>
      </c>
      <c r="M718" s="293" t="str">
        <f t="shared" si="722"/>
        <v/>
      </c>
      <c r="N718" s="293" t="str">
        <f t="shared" si="722"/>
        <v/>
      </c>
      <c r="O718" s="293" t="str">
        <f t="shared" si="722"/>
        <v/>
      </c>
      <c r="P718" s="292" t="str">
        <f t="shared" si="722"/>
        <v/>
      </c>
      <c r="Q718" s="293" t="str">
        <f t="shared" si="722"/>
        <v>PJ-301-B</v>
      </c>
    </row>
    <row r="719">
      <c r="D719" s="282"/>
      <c r="F719" s="1">
        <v>19.0</v>
      </c>
      <c r="G719" s="60">
        <f t="shared" si="2"/>
        <v>40</v>
      </c>
      <c r="H719" s="1" t="str">
        <f t="shared" si="3"/>
        <v>Yarns v0.3</v>
      </c>
      <c r="I719" t="str">
        <f t="shared" si="4"/>
        <v>D</v>
      </c>
      <c r="J719" s="293" t="str">
        <f t="shared" ref="J719:Q719" si="723">indirect(address($G719+4, column()-9, 4, , $H719))</f>
        <v>LED1, LED2, LED3, LED4</v>
      </c>
      <c r="K719" s="291">
        <f t="shared" si="723"/>
        <v>4</v>
      </c>
      <c r="L719" s="293" t="str">
        <f t="shared" si="723"/>
        <v>LED 3mm, green, flat top</v>
      </c>
      <c r="M719" s="293" t="str">
        <f t="shared" si="723"/>
        <v/>
      </c>
      <c r="N719" s="293" t="str">
        <f t="shared" si="723"/>
        <v/>
      </c>
      <c r="O719" s="293" t="str">
        <f t="shared" si="723"/>
        <v/>
      </c>
      <c r="P719" s="293" t="str">
        <f t="shared" si="723"/>
        <v>604-WP424GDT</v>
      </c>
      <c r="Q719" s="293" t="str">
        <f t="shared" si="723"/>
        <v>Kingbright WP424GDT / L-424GDT</v>
      </c>
    </row>
    <row r="720">
      <c r="D720" s="282"/>
      <c r="F720" s="1">
        <v>19.0</v>
      </c>
      <c r="G720" s="60">
        <f t="shared" si="2"/>
        <v>41</v>
      </c>
      <c r="H720" s="1" t="str">
        <f t="shared" si="3"/>
        <v>Yarns v0.3</v>
      </c>
      <c r="I720" t="str">
        <f t="shared" si="4"/>
        <v>D</v>
      </c>
      <c r="J720" s="293" t="str">
        <f t="shared" ref="J720:Q720" si="724">indirect(address($G720+4, column()-9, 4, , $H720))</f>
        <v>X1, X2</v>
      </c>
      <c r="K720" s="291">
        <f t="shared" si="724"/>
        <v>2</v>
      </c>
      <c r="L720" s="293" t="str">
        <f t="shared" si="724"/>
        <v>DIN Connector, vertical</v>
      </c>
      <c r="M720" s="293" t="str">
        <f t="shared" si="724"/>
        <v/>
      </c>
      <c r="N720" s="293" t="str">
        <f t="shared" si="724"/>
        <v/>
      </c>
      <c r="O720" s="1" t="str">
        <f t="shared" si="724"/>
        <v/>
      </c>
      <c r="P720" s="293" t="str">
        <f t="shared" si="724"/>
        <v>737-DJN-005-B</v>
      </c>
      <c r="Q720" s="293" t="str">
        <f t="shared" si="724"/>
        <v>Adam Tech DJN-005-B ; CUI-SD-50BV (Digikey PN CP-3150-ND)</v>
      </c>
    </row>
    <row r="721">
      <c r="D721" s="282"/>
      <c r="F721" s="1">
        <v>19.0</v>
      </c>
      <c r="G721" s="60">
        <f t="shared" si="2"/>
        <v>42</v>
      </c>
      <c r="H721" s="1" t="str">
        <f t="shared" si="3"/>
        <v>Yarns v0.3</v>
      </c>
      <c r="I721" t="str">
        <f t="shared" si="4"/>
        <v/>
      </c>
      <c r="J721" s="1" t="str">
        <f t="shared" ref="J721:Q721" si="725">indirect(address($G721+4, column()-9, 4, , $H721))</f>
        <v>PCB specifications</v>
      </c>
      <c r="K721" s="1" t="str">
        <f t="shared" si="725"/>
        <v/>
      </c>
      <c r="L721" s="1" t="str">
        <f t="shared" si="725"/>
        <v/>
      </c>
      <c r="M721" s="1" t="str">
        <f t="shared" si="725"/>
        <v/>
      </c>
      <c r="N721" s="289" t="str">
        <f t="shared" si="725"/>
        <v/>
      </c>
      <c r="O721" s="1" t="str">
        <f t="shared" si="725"/>
        <v/>
      </c>
      <c r="P721" s="292" t="str">
        <f t="shared" si="725"/>
        <v/>
      </c>
      <c r="Q721" s="1" t="str">
        <f t="shared" si="725"/>
        <v/>
      </c>
    </row>
    <row r="722">
      <c r="D722" s="282"/>
      <c r="F722" s="1">
        <v>19.0</v>
      </c>
      <c r="G722" s="60">
        <f t="shared" si="2"/>
        <v>43</v>
      </c>
      <c r="H722" s="1" t="str">
        <f t="shared" si="3"/>
        <v>Yarns v0.3</v>
      </c>
      <c r="I722" t="str">
        <f t="shared" si="4"/>
        <v>P</v>
      </c>
      <c r="J722" s="1" t="str">
        <f t="shared" ref="J722:Q722" si="726">indirect(address($G722+4, column()-9, 4, , $H722))</f>
        <v>PCB</v>
      </c>
      <c r="K722" s="290" t="str">
        <f t="shared" si="726"/>
        <v/>
      </c>
      <c r="L722" s="1" t="str">
        <f t="shared" si="726"/>
        <v>59.1 x 106.7 ; 2 layers</v>
      </c>
      <c r="M722" s="1" t="str">
        <f t="shared" si="726"/>
        <v/>
      </c>
      <c r="N722" s="1" t="str">
        <f t="shared" si="726"/>
        <v/>
      </c>
      <c r="O722" s="1" t="str">
        <f t="shared" si="726"/>
        <v/>
      </c>
      <c r="P722" s="1" t="str">
        <f t="shared" si="726"/>
        <v/>
      </c>
      <c r="Q722" s="1" t="str">
        <f t="shared" si="726"/>
        <v/>
      </c>
    </row>
  </sheetData>
  <drawing r:id="rId1"/>
</worksheet>
</file>