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ehager77/Desktop/"/>
    </mc:Choice>
  </mc:AlternateContent>
  <bookViews>
    <workbookView xWindow="240" yWindow="460" windowWidth="28560" windowHeight="16660" tabRatio="500"/>
  </bookViews>
  <sheets>
    <sheet name="Summary" sheetId="1" r:id="rId1"/>
    <sheet name="Valuation" sheetId="2" r:id="rId2"/>
    <sheet name="Use of Funds" sheetId="3" r:id="rId3"/>
    <sheet name="Sources of Funds" sheetId="4" r:id="rId4"/>
    <sheet name="Revenue Forecast" sheetId="5" r:id="rId5"/>
    <sheet name="P&amp;L" sheetId="6" r:id="rId6"/>
    <sheet name="Balance Sheet" sheetId="7" r:id="rId7"/>
    <sheet name="Statement of Cash Flows" sheetId="8" r:id="rId8"/>
    <sheet name="Cost of Revenue - US Greenhouse" sheetId="9" r:id="rId9"/>
    <sheet name="Amortization Table (Loan X)" sheetId="10" r:id="rId10"/>
    <sheet name="Appendix 1" sheetId="11" r:id="rId11"/>
    <sheet name="Appendix 2" sheetId="12" r:id="rId12"/>
  </sheets>
  <externalReferences>
    <externalReference r:id="rId13"/>
    <externalReference r:id="rId14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2" l="1"/>
  <c r="N35" i="12"/>
  <c r="O35" i="12"/>
  <c r="P35" i="12"/>
  <c r="Q35" i="12"/>
  <c r="R35" i="12"/>
  <c r="R41" i="12"/>
  <c r="O39" i="12"/>
  <c r="P39" i="12"/>
  <c r="Q39" i="12"/>
  <c r="R39" i="12"/>
  <c r="R42" i="12"/>
  <c r="B8" i="12"/>
  <c r="O26" i="12"/>
  <c r="P26" i="12"/>
  <c r="Q26" i="12"/>
  <c r="R26" i="12"/>
  <c r="R24" i="12"/>
  <c r="R29" i="12"/>
  <c r="R30" i="12"/>
  <c r="O28" i="12"/>
  <c r="P28" i="12"/>
  <c r="Q28" i="12"/>
  <c r="R28" i="12"/>
  <c r="R31" i="12"/>
  <c r="R44" i="12"/>
  <c r="Q41" i="12"/>
  <c r="Q42" i="12"/>
  <c r="Q24" i="12"/>
  <c r="Q30" i="12"/>
  <c r="Q31" i="12"/>
  <c r="Q44" i="12"/>
  <c r="P41" i="12"/>
  <c r="P42" i="12"/>
  <c r="P24" i="12"/>
  <c r="P29" i="12"/>
  <c r="P30" i="12"/>
  <c r="P31" i="12"/>
  <c r="P44" i="12"/>
  <c r="O41" i="12"/>
  <c r="O42" i="12"/>
  <c r="O24" i="12"/>
  <c r="O30" i="12"/>
  <c r="O31" i="12"/>
  <c r="O44" i="12"/>
  <c r="B35" i="12"/>
  <c r="B36" i="12"/>
  <c r="B41" i="12"/>
  <c r="B42" i="12"/>
  <c r="C35" i="12"/>
  <c r="C36" i="12"/>
  <c r="C41" i="12"/>
  <c r="C42" i="12"/>
  <c r="D35" i="12"/>
  <c r="D36" i="12"/>
  <c r="D41" i="12"/>
  <c r="D42" i="12"/>
  <c r="E35" i="12"/>
  <c r="E36" i="12"/>
  <c r="E41" i="12"/>
  <c r="E42" i="12"/>
  <c r="F35" i="12"/>
  <c r="F36" i="12"/>
  <c r="F41" i="12"/>
  <c r="F42" i="12"/>
  <c r="G35" i="12"/>
  <c r="G36" i="12"/>
  <c r="G41" i="12"/>
  <c r="G42" i="12"/>
  <c r="H35" i="12"/>
  <c r="H36" i="12"/>
  <c r="H41" i="12"/>
  <c r="H42" i="12"/>
  <c r="I35" i="12"/>
  <c r="I36" i="12"/>
  <c r="I41" i="12"/>
  <c r="I42" i="12"/>
  <c r="J35" i="12"/>
  <c r="J36" i="12"/>
  <c r="J41" i="12"/>
  <c r="J42" i="12"/>
  <c r="K35" i="12"/>
  <c r="K36" i="12"/>
  <c r="K41" i="12"/>
  <c r="K42" i="12"/>
  <c r="L35" i="12"/>
  <c r="L36" i="12"/>
  <c r="L41" i="12"/>
  <c r="L42" i="12"/>
  <c r="M35" i="12"/>
  <c r="M36" i="12"/>
  <c r="M41" i="12"/>
  <c r="M42" i="12"/>
  <c r="N42" i="12"/>
  <c r="B24" i="12"/>
  <c r="B30" i="12"/>
  <c r="B31" i="12"/>
  <c r="C24" i="12"/>
  <c r="C30" i="12"/>
  <c r="C31" i="12"/>
  <c r="D24" i="12"/>
  <c r="D30" i="12"/>
  <c r="D31" i="12"/>
  <c r="E24" i="12"/>
  <c r="E30" i="12"/>
  <c r="E31" i="12"/>
  <c r="F24" i="12"/>
  <c r="F30" i="12"/>
  <c r="F31" i="12"/>
  <c r="G24" i="12"/>
  <c r="G30" i="12"/>
  <c r="G31" i="12"/>
  <c r="H24" i="12"/>
  <c r="H30" i="12"/>
  <c r="H31" i="12"/>
  <c r="I24" i="12"/>
  <c r="I30" i="12"/>
  <c r="I31" i="12"/>
  <c r="J24" i="12"/>
  <c r="J30" i="12"/>
  <c r="J31" i="12"/>
  <c r="K24" i="12"/>
  <c r="K30" i="12"/>
  <c r="K31" i="12"/>
  <c r="L24" i="12"/>
  <c r="L30" i="12"/>
  <c r="L31" i="12"/>
  <c r="M30" i="12"/>
  <c r="M31" i="12"/>
  <c r="N31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N41" i="12"/>
  <c r="N40" i="12"/>
  <c r="R37" i="12"/>
  <c r="Q37" i="12"/>
  <c r="P37" i="12"/>
  <c r="N30" i="12"/>
  <c r="N29" i="12"/>
  <c r="N24" i="12"/>
  <c r="B11" i="12"/>
  <c r="B10" i="12"/>
  <c r="B3" i="12"/>
  <c r="B7" i="12"/>
  <c r="B2" i="12"/>
  <c r="B6" i="12"/>
  <c r="B6" i="3"/>
  <c r="B7" i="3"/>
  <c r="N28" i="5"/>
  <c r="N30" i="5"/>
  <c r="N31" i="5"/>
  <c r="B20" i="5"/>
  <c r="B21" i="5"/>
  <c r="B23" i="5"/>
  <c r="C20" i="5"/>
  <c r="C21" i="5"/>
  <c r="C23" i="5"/>
  <c r="D20" i="5"/>
  <c r="D21" i="5"/>
  <c r="D23" i="5"/>
  <c r="E20" i="5"/>
  <c r="E21" i="5"/>
  <c r="E23" i="5"/>
  <c r="F20" i="5"/>
  <c r="F21" i="5"/>
  <c r="F23" i="5"/>
  <c r="G20" i="5"/>
  <c r="G21" i="5"/>
  <c r="G23" i="5"/>
  <c r="H20" i="5"/>
  <c r="H21" i="5"/>
  <c r="H23" i="5"/>
  <c r="I20" i="5"/>
  <c r="I21" i="5"/>
  <c r="I23" i="5"/>
  <c r="J20" i="5"/>
  <c r="J21" i="5"/>
  <c r="J23" i="5"/>
  <c r="K20" i="5"/>
  <c r="K21" i="5"/>
  <c r="K23" i="5"/>
  <c r="L20" i="5"/>
  <c r="L21" i="5"/>
  <c r="L23" i="5"/>
  <c r="M20" i="5"/>
  <c r="M21" i="5"/>
  <c r="M23" i="5"/>
  <c r="N23" i="5"/>
  <c r="N33" i="5"/>
  <c r="B4" i="6"/>
  <c r="B6" i="6"/>
  <c r="B16" i="6"/>
  <c r="B17" i="6"/>
  <c r="B18" i="6"/>
  <c r="B10" i="6"/>
  <c r="B9" i="6"/>
  <c r="B26" i="3"/>
  <c r="B31" i="3"/>
  <c r="B35" i="3"/>
  <c r="B4" i="4"/>
  <c r="N4" i="11"/>
  <c r="N5" i="11"/>
  <c r="B26" i="11"/>
  <c r="B4" i="11"/>
  <c r="B5" i="11"/>
  <c r="B27" i="11"/>
  <c r="B28" i="11"/>
  <c r="B29" i="11"/>
  <c r="B30" i="11"/>
  <c r="C26" i="11"/>
  <c r="C4" i="11"/>
  <c r="C5" i="11"/>
  <c r="C27" i="11"/>
  <c r="C28" i="11"/>
  <c r="C29" i="11"/>
  <c r="C30" i="11"/>
  <c r="D26" i="11"/>
  <c r="D4" i="11"/>
  <c r="D5" i="11"/>
  <c r="D27" i="11"/>
  <c r="D28" i="11"/>
  <c r="D29" i="11"/>
  <c r="D30" i="11"/>
  <c r="E26" i="11"/>
  <c r="E4" i="11"/>
  <c r="E5" i="11"/>
  <c r="E27" i="11"/>
  <c r="E28" i="11"/>
  <c r="E29" i="11"/>
  <c r="E30" i="11"/>
  <c r="F26" i="11"/>
  <c r="F4" i="11"/>
  <c r="F5" i="11"/>
  <c r="F27" i="11"/>
  <c r="F28" i="11"/>
  <c r="F29" i="11"/>
  <c r="F30" i="11"/>
  <c r="G26" i="11"/>
  <c r="G4" i="11"/>
  <c r="G5" i="11"/>
  <c r="G27" i="11"/>
  <c r="G28" i="11"/>
  <c r="G29" i="11"/>
  <c r="G30" i="11"/>
  <c r="H26" i="11"/>
  <c r="H4" i="11"/>
  <c r="H5" i="11"/>
  <c r="H27" i="11"/>
  <c r="H28" i="11"/>
  <c r="H29" i="11"/>
  <c r="H30" i="11"/>
  <c r="I26" i="11"/>
  <c r="I4" i="11"/>
  <c r="I5" i="11"/>
  <c r="I27" i="11"/>
  <c r="I28" i="11"/>
  <c r="I29" i="11"/>
  <c r="I30" i="11"/>
  <c r="J26" i="11"/>
  <c r="J4" i="11"/>
  <c r="J5" i="11"/>
  <c r="J27" i="11"/>
  <c r="J28" i="11"/>
  <c r="J29" i="11"/>
  <c r="J30" i="11"/>
  <c r="K26" i="11"/>
  <c r="K4" i="11"/>
  <c r="K5" i="11"/>
  <c r="K27" i="11"/>
  <c r="K28" i="11"/>
  <c r="K29" i="11"/>
  <c r="K30" i="11"/>
  <c r="L26" i="11"/>
  <c r="L4" i="11"/>
  <c r="L5" i="11"/>
  <c r="L27" i="11"/>
  <c r="L28" i="11"/>
  <c r="L29" i="11"/>
  <c r="L30" i="11"/>
  <c r="M26" i="11"/>
  <c r="M4" i="11"/>
  <c r="M5" i="11"/>
  <c r="M27" i="11"/>
  <c r="M28" i="11"/>
  <c r="M29" i="11"/>
  <c r="M30" i="11"/>
  <c r="N30" i="11"/>
  <c r="B2" i="9"/>
  <c r="B13" i="9"/>
  <c r="N9" i="11"/>
  <c r="B3" i="9"/>
  <c r="N10" i="11"/>
  <c r="B4" i="9"/>
  <c r="B15" i="9"/>
  <c r="N11" i="11"/>
  <c r="B5" i="9"/>
  <c r="N12" i="11"/>
  <c r="N13" i="11"/>
  <c r="B7" i="9"/>
  <c r="N14" i="11"/>
  <c r="B19" i="9"/>
  <c r="N15" i="11"/>
  <c r="N16" i="11"/>
  <c r="B10" i="9"/>
  <c r="B22" i="9"/>
  <c r="N17" i="11"/>
  <c r="N18" i="11"/>
  <c r="N33" i="11"/>
  <c r="N37" i="11"/>
  <c r="N43" i="11"/>
  <c r="N44" i="11"/>
  <c r="B3" i="10"/>
  <c r="B5" i="10"/>
  <c r="C9" i="10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N50" i="11"/>
  <c r="N54" i="11"/>
  <c r="N55" i="11"/>
  <c r="N58" i="11"/>
  <c r="N62" i="11"/>
  <c r="N52" i="11"/>
  <c r="B65" i="11"/>
  <c r="Q4" i="11"/>
  <c r="R4" i="11"/>
  <c r="Q5" i="11"/>
  <c r="R5" i="11"/>
  <c r="R6" i="11"/>
  <c r="R25" i="11"/>
  <c r="Q26" i="11"/>
  <c r="R26" i="11"/>
  <c r="R27" i="11"/>
  <c r="R28" i="11"/>
  <c r="R29" i="11"/>
  <c r="R30" i="11"/>
  <c r="R9" i="11"/>
  <c r="R10" i="11"/>
  <c r="R11" i="11"/>
  <c r="R12" i="11"/>
  <c r="R13" i="11"/>
  <c r="R14" i="11"/>
  <c r="R15" i="11"/>
  <c r="R16" i="11"/>
  <c r="R17" i="11"/>
  <c r="R18" i="11"/>
  <c r="R33" i="11"/>
  <c r="R37" i="11"/>
  <c r="R43" i="11"/>
  <c r="R44" i="11"/>
  <c r="R47" i="11"/>
  <c r="R48" i="11"/>
  <c r="R50" i="11"/>
  <c r="R54" i="11"/>
  <c r="R55" i="11"/>
  <c r="R58" i="11"/>
  <c r="R62" i="11"/>
  <c r="R63" i="11"/>
  <c r="Q6" i="11"/>
  <c r="N25" i="11"/>
  <c r="O25" i="11"/>
  <c r="P25" i="11"/>
  <c r="Q25" i="11"/>
  <c r="Q27" i="11"/>
  <c r="Q28" i="11"/>
  <c r="Q29" i="11"/>
  <c r="Q30" i="11"/>
  <c r="Q9" i="11"/>
  <c r="Q10" i="11"/>
  <c r="Q11" i="11"/>
  <c r="Q12" i="11"/>
  <c r="Q13" i="11"/>
  <c r="Q14" i="11"/>
  <c r="Q15" i="11"/>
  <c r="Q16" i="11"/>
  <c r="Q17" i="11"/>
  <c r="Q18" i="11"/>
  <c r="Q33" i="11"/>
  <c r="Q37" i="11"/>
  <c r="Q43" i="11"/>
  <c r="Q44" i="11"/>
  <c r="Q47" i="11"/>
  <c r="Q48" i="11"/>
  <c r="Q50" i="11"/>
  <c r="Q54" i="11"/>
  <c r="Q55" i="11"/>
  <c r="Q58" i="11"/>
  <c r="Q62" i="11"/>
  <c r="Q63" i="11"/>
  <c r="P4" i="11"/>
  <c r="P5" i="11"/>
  <c r="P6" i="11"/>
  <c r="P26" i="11"/>
  <c r="P27" i="11"/>
  <c r="P28" i="11"/>
  <c r="P29" i="11"/>
  <c r="P30" i="11"/>
  <c r="P9" i="11"/>
  <c r="P10" i="11"/>
  <c r="P11" i="11"/>
  <c r="P12" i="11"/>
  <c r="P13" i="11"/>
  <c r="P14" i="11"/>
  <c r="P15" i="11"/>
  <c r="P16" i="11"/>
  <c r="P17" i="11"/>
  <c r="P18" i="11"/>
  <c r="P33" i="11"/>
  <c r="P37" i="11"/>
  <c r="P43" i="11"/>
  <c r="P44" i="11"/>
  <c r="P47" i="11"/>
  <c r="P48" i="11"/>
  <c r="P50" i="11"/>
  <c r="P54" i="11"/>
  <c r="P55" i="11"/>
  <c r="P58" i="11"/>
  <c r="P62" i="11"/>
  <c r="P63" i="11"/>
  <c r="O4" i="11"/>
  <c r="O5" i="11"/>
  <c r="O6" i="11"/>
  <c r="O26" i="11"/>
  <c r="O27" i="11"/>
  <c r="O28" i="11"/>
  <c r="O29" i="11"/>
  <c r="O30" i="11"/>
  <c r="O9" i="11"/>
  <c r="O10" i="11"/>
  <c r="O11" i="11"/>
  <c r="O12" i="11"/>
  <c r="O13" i="11"/>
  <c r="O14" i="11"/>
  <c r="O15" i="11"/>
  <c r="O16" i="11"/>
  <c r="O17" i="11"/>
  <c r="O18" i="11"/>
  <c r="O33" i="11"/>
  <c r="O37" i="11"/>
  <c r="O43" i="11"/>
  <c r="O44" i="11"/>
  <c r="O47" i="11"/>
  <c r="O48" i="11"/>
  <c r="O50" i="11"/>
  <c r="O54" i="11"/>
  <c r="O55" i="11"/>
  <c r="O58" i="11"/>
  <c r="O62" i="11"/>
  <c r="O63" i="11"/>
  <c r="N6" i="11"/>
  <c r="N63" i="11"/>
  <c r="M18" i="11"/>
  <c r="M33" i="11"/>
  <c r="M37" i="11"/>
  <c r="M43" i="11"/>
  <c r="M44" i="11"/>
  <c r="M50" i="11"/>
  <c r="M54" i="11"/>
  <c r="M55" i="11"/>
  <c r="M58" i="11"/>
  <c r="M62" i="11"/>
  <c r="M6" i="11"/>
  <c r="M63" i="11"/>
  <c r="L9" i="11"/>
  <c r="L11" i="11"/>
  <c r="L12" i="11"/>
  <c r="L13" i="11"/>
  <c r="L14" i="11"/>
  <c r="L15" i="11"/>
  <c r="L16" i="11"/>
  <c r="L17" i="11"/>
  <c r="L18" i="11"/>
  <c r="L33" i="11"/>
  <c r="L37" i="11"/>
  <c r="L43" i="11"/>
  <c r="L44" i="11"/>
  <c r="L50" i="11"/>
  <c r="L54" i="11"/>
  <c r="L55" i="11"/>
  <c r="L58" i="11"/>
  <c r="L62" i="11"/>
  <c r="L6" i="11"/>
  <c r="L63" i="11"/>
  <c r="K9" i="11"/>
  <c r="K11" i="11"/>
  <c r="K12" i="11"/>
  <c r="K13" i="11"/>
  <c r="K14" i="11"/>
  <c r="K15" i="11"/>
  <c r="K16" i="11"/>
  <c r="K17" i="11"/>
  <c r="K18" i="11"/>
  <c r="K33" i="11"/>
  <c r="K37" i="11"/>
  <c r="K43" i="11"/>
  <c r="K44" i="11"/>
  <c r="K50" i="11"/>
  <c r="K54" i="11"/>
  <c r="K55" i="11"/>
  <c r="K58" i="11"/>
  <c r="K62" i="11"/>
  <c r="K6" i="11"/>
  <c r="K63" i="11"/>
  <c r="J9" i="11"/>
  <c r="J11" i="11"/>
  <c r="J12" i="11"/>
  <c r="J13" i="11"/>
  <c r="J14" i="11"/>
  <c r="J15" i="11"/>
  <c r="J16" i="11"/>
  <c r="J17" i="11"/>
  <c r="J18" i="11"/>
  <c r="J33" i="11"/>
  <c r="J37" i="11"/>
  <c r="J43" i="11"/>
  <c r="J44" i="11"/>
  <c r="J50" i="11"/>
  <c r="J54" i="11"/>
  <c r="J55" i="11"/>
  <c r="J58" i="11"/>
  <c r="J62" i="11"/>
  <c r="J6" i="11"/>
  <c r="J63" i="11"/>
  <c r="I9" i="11"/>
  <c r="I11" i="11"/>
  <c r="I12" i="11"/>
  <c r="I13" i="11"/>
  <c r="I14" i="11"/>
  <c r="I15" i="11"/>
  <c r="I16" i="11"/>
  <c r="I17" i="11"/>
  <c r="I18" i="11"/>
  <c r="I33" i="11"/>
  <c r="I37" i="11"/>
  <c r="I43" i="11"/>
  <c r="I44" i="11"/>
  <c r="I50" i="11"/>
  <c r="I54" i="11"/>
  <c r="I55" i="11"/>
  <c r="I58" i="11"/>
  <c r="I62" i="11"/>
  <c r="I6" i="11"/>
  <c r="I63" i="11"/>
  <c r="H9" i="11"/>
  <c r="H11" i="11"/>
  <c r="H12" i="11"/>
  <c r="H13" i="11"/>
  <c r="H14" i="11"/>
  <c r="H15" i="11"/>
  <c r="H16" i="11"/>
  <c r="H17" i="11"/>
  <c r="H18" i="11"/>
  <c r="H33" i="11"/>
  <c r="H37" i="11"/>
  <c r="H43" i="11"/>
  <c r="H44" i="11"/>
  <c r="H50" i="11"/>
  <c r="H54" i="11"/>
  <c r="H55" i="11"/>
  <c r="H58" i="11"/>
  <c r="H62" i="11"/>
  <c r="H6" i="11"/>
  <c r="H63" i="11"/>
  <c r="G9" i="11"/>
  <c r="G11" i="11"/>
  <c r="G12" i="11"/>
  <c r="G13" i="11"/>
  <c r="G14" i="11"/>
  <c r="G15" i="11"/>
  <c r="G16" i="11"/>
  <c r="G17" i="11"/>
  <c r="G18" i="11"/>
  <c r="G33" i="11"/>
  <c r="G37" i="11"/>
  <c r="G43" i="11"/>
  <c r="G44" i="11"/>
  <c r="G50" i="11"/>
  <c r="G54" i="11"/>
  <c r="G55" i="11"/>
  <c r="G58" i="11"/>
  <c r="G62" i="11"/>
  <c r="G6" i="11"/>
  <c r="G63" i="11"/>
  <c r="F9" i="11"/>
  <c r="F11" i="11"/>
  <c r="F12" i="11"/>
  <c r="F13" i="11"/>
  <c r="F14" i="11"/>
  <c r="F15" i="11"/>
  <c r="F16" i="11"/>
  <c r="F17" i="11"/>
  <c r="F18" i="11"/>
  <c r="F33" i="11"/>
  <c r="F37" i="11"/>
  <c r="F43" i="11"/>
  <c r="F44" i="11"/>
  <c r="F50" i="11"/>
  <c r="F54" i="11"/>
  <c r="F55" i="11"/>
  <c r="F58" i="11"/>
  <c r="F62" i="11"/>
  <c r="F6" i="11"/>
  <c r="F63" i="11"/>
  <c r="E9" i="11"/>
  <c r="E11" i="11"/>
  <c r="E12" i="11"/>
  <c r="E13" i="11"/>
  <c r="E14" i="11"/>
  <c r="E15" i="11"/>
  <c r="E16" i="11"/>
  <c r="E17" i="11"/>
  <c r="E18" i="11"/>
  <c r="E33" i="11"/>
  <c r="E37" i="11"/>
  <c r="E43" i="11"/>
  <c r="E44" i="11"/>
  <c r="E50" i="11"/>
  <c r="E54" i="11"/>
  <c r="E55" i="11"/>
  <c r="E58" i="11"/>
  <c r="E62" i="11"/>
  <c r="E6" i="11"/>
  <c r="E63" i="11"/>
  <c r="D9" i="11"/>
  <c r="D11" i="11"/>
  <c r="D12" i="11"/>
  <c r="D13" i="11"/>
  <c r="D14" i="11"/>
  <c r="D15" i="11"/>
  <c r="D16" i="11"/>
  <c r="D17" i="11"/>
  <c r="D18" i="11"/>
  <c r="D33" i="11"/>
  <c r="D37" i="11"/>
  <c r="D43" i="11"/>
  <c r="D44" i="11"/>
  <c r="D50" i="11"/>
  <c r="D54" i="11"/>
  <c r="D55" i="11"/>
  <c r="D58" i="11"/>
  <c r="D62" i="11"/>
  <c r="D6" i="11"/>
  <c r="D63" i="11"/>
  <c r="C9" i="11"/>
  <c r="C11" i="11"/>
  <c r="C12" i="11"/>
  <c r="C13" i="11"/>
  <c r="C14" i="11"/>
  <c r="C15" i="11"/>
  <c r="C16" i="11"/>
  <c r="C17" i="11"/>
  <c r="C18" i="11"/>
  <c r="C33" i="11"/>
  <c r="C37" i="11"/>
  <c r="C43" i="11"/>
  <c r="C44" i="11"/>
  <c r="C50" i="11"/>
  <c r="C54" i="11"/>
  <c r="C55" i="11"/>
  <c r="C58" i="11"/>
  <c r="C62" i="11"/>
  <c r="C6" i="11"/>
  <c r="C63" i="11"/>
  <c r="B9" i="11"/>
  <c r="B11" i="11"/>
  <c r="B12" i="11"/>
  <c r="B13" i="11"/>
  <c r="B14" i="11"/>
  <c r="B15" i="11"/>
  <c r="B16" i="11"/>
  <c r="B17" i="11"/>
  <c r="B18" i="11"/>
  <c r="B33" i="11"/>
  <c r="B37" i="11"/>
  <c r="B43" i="11"/>
  <c r="B44" i="11"/>
  <c r="B50" i="11"/>
  <c r="B54" i="11"/>
  <c r="B55" i="11"/>
  <c r="B58" i="11"/>
  <c r="B62" i="11"/>
  <c r="B6" i="11"/>
  <c r="B63" i="11"/>
  <c r="R57" i="11"/>
  <c r="R60" i="11"/>
  <c r="R61" i="11"/>
  <c r="Q57" i="11"/>
  <c r="Q60" i="11"/>
  <c r="Q61" i="11"/>
  <c r="P57" i="11"/>
  <c r="P60" i="11"/>
  <c r="P61" i="11"/>
  <c r="O57" i="11"/>
  <c r="O60" i="11"/>
  <c r="O61" i="11"/>
  <c r="N57" i="11"/>
  <c r="N60" i="11"/>
  <c r="N61" i="11"/>
  <c r="M57" i="11"/>
  <c r="M60" i="11"/>
  <c r="M61" i="11"/>
  <c r="L57" i="11"/>
  <c r="L60" i="11"/>
  <c r="L61" i="11"/>
  <c r="K57" i="11"/>
  <c r="K60" i="11"/>
  <c r="K61" i="11"/>
  <c r="J57" i="11"/>
  <c r="J60" i="11"/>
  <c r="J61" i="11"/>
  <c r="I57" i="11"/>
  <c r="I60" i="11"/>
  <c r="I61" i="11"/>
  <c r="H57" i="11"/>
  <c r="H60" i="11"/>
  <c r="H61" i="11"/>
  <c r="G57" i="11"/>
  <c r="G60" i="11"/>
  <c r="G61" i="11"/>
  <c r="F57" i="11"/>
  <c r="F60" i="11"/>
  <c r="F61" i="11"/>
  <c r="E57" i="11"/>
  <c r="E60" i="11"/>
  <c r="E61" i="11"/>
  <c r="D57" i="11"/>
  <c r="D60" i="11"/>
  <c r="D61" i="11"/>
  <c r="C57" i="11"/>
  <c r="C60" i="11"/>
  <c r="C61" i="11"/>
  <c r="B57" i="11"/>
  <c r="B60" i="11"/>
  <c r="B61" i="11"/>
  <c r="R52" i="11"/>
  <c r="Q52" i="11"/>
  <c r="P52" i="11"/>
  <c r="O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R38" i="11"/>
  <c r="R41" i="11"/>
  <c r="Q38" i="11"/>
  <c r="Q41" i="11"/>
  <c r="P38" i="11"/>
  <c r="P41" i="11"/>
  <c r="O38" i="11"/>
  <c r="O41" i="11"/>
  <c r="N38" i="11"/>
  <c r="N41" i="11"/>
  <c r="M38" i="11"/>
  <c r="M41" i="11"/>
  <c r="L38" i="11"/>
  <c r="L41" i="11"/>
  <c r="K38" i="11"/>
  <c r="K41" i="11"/>
  <c r="J38" i="11"/>
  <c r="J41" i="11"/>
  <c r="I38" i="11"/>
  <c r="I41" i="11"/>
  <c r="H38" i="11"/>
  <c r="H41" i="11"/>
  <c r="G38" i="11"/>
  <c r="G41" i="11"/>
  <c r="F38" i="11"/>
  <c r="F41" i="11"/>
  <c r="E38" i="11"/>
  <c r="E41" i="11"/>
  <c r="D38" i="11"/>
  <c r="D41" i="11"/>
  <c r="C38" i="11"/>
  <c r="C41" i="11"/>
  <c r="B38" i="11"/>
  <c r="B41" i="11"/>
  <c r="R40" i="11"/>
  <c r="Q40" i="11"/>
  <c r="P40" i="11"/>
  <c r="R39" i="11"/>
  <c r="Q39" i="11"/>
  <c r="P39" i="11"/>
  <c r="O39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N29" i="11"/>
  <c r="N28" i="11"/>
  <c r="N27" i="11"/>
  <c r="N26" i="11"/>
  <c r="R21" i="11"/>
  <c r="R22" i="11"/>
  <c r="Q21" i="11"/>
  <c r="Q22" i="11"/>
  <c r="P21" i="11"/>
  <c r="P22" i="11"/>
  <c r="O21" i="11"/>
  <c r="O22" i="11"/>
  <c r="N21" i="11"/>
  <c r="N22" i="11"/>
  <c r="M21" i="11"/>
  <c r="M22" i="11"/>
  <c r="L21" i="11"/>
  <c r="L22" i="11"/>
  <c r="K21" i="11"/>
  <c r="K22" i="11"/>
  <c r="J21" i="11"/>
  <c r="J22" i="11"/>
  <c r="I21" i="11"/>
  <c r="I22" i="11"/>
  <c r="H21" i="11"/>
  <c r="H22" i="11"/>
  <c r="G21" i="11"/>
  <c r="G22" i="11"/>
  <c r="F21" i="11"/>
  <c r="F22" i="11"/>
  <c r="E21" i="11"/>
  <c r="E22" i="11"/>
  <c r="D21" i="11"/>
  <c r="D22" i="11"/>
  <c r="C21" i="11"/>
  <c r="C22" i="11"/>
  <c r="B21" i="11"/>
  <c r="B22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B9" i="10"/>
  <c r="D9" i="10"/>
  <c r="E9" i="10"/>
  <c r="F9" i="10"/>
  <c r="B10" i="10"/>
  <c r="C10" i="10"/>
  <c r="D10" i="10"/>
  <c r="E10" i="10"/>
  <c r="F10" i="10"/>
  <c r="B11" i="10"/>
  <c r="C11" i="10"/>
  <c r="D11" i="10"/>
  <c r="E11" i="10"/>
  <c r="F11" i="10"/>
  <c r="B12" i="10"/>
  <c r="C12" i="10"/>
  <c r="D12" i="10"/>
  <c r="E12" i="10"/>
  <c r="F12" i="10"/>
  <c r="B13" i="10"/>
  <c r="C13" i="10"/>
  <c r="D13" i="10"/>
  <c r="E13" i="10"/>
  <c r="F13" i="10"/>
  <c r="B14" i="10"/>
  <c r="C14" i="10"/>
  <c r="D14" i="10"/>
  <c r="E14" i="10"/>
  <c r="F14" i="10"/>
  <c r="B15" i="10"/>
  <c r="C15" i="10"/>
  <c r="D15" i="10"/>
  <c r="E15" i="10"/>
  <c r="F15" i="10"/>
  <c r="B16" i="10"/>
  <c r="C16" i="10"/>
  <c r="D16" i="10"/>
  <c r="E16" i="10"/>
  <c r="F16" i="10"/>
  <c r="B17" i="10"/>
  <c r="C17" i="10"/>
  <c r="D17" i="10"/>
  <c r="E17" i="10"/>
  <c r="F17" i="10"/>
  <c r="B18" i="10"/>
  <c r="C18" i="10"/>
  <c r="D18" i="10"/>
  <c r="E18" i="10"/>
  <c r="F18" i="10"/>
  <c r="B19" i="10"/>
  <c r="C19" i="10"/>
  <c r="D19" i="10"/>
  <c r="E19" i="10"/>
  <c r="F19" i="10"/>
  <c r="B20" i="10"/>
  <c r="C20" i="10"/>
  <c r="D20" i="10"/>
  <c r="E20" i="10"/>
  <c r="F20" i="10"/>
  <c r="B21" i="10"/>
  <c r="C21" i="10"/>
  <c r="D21" i="10"/>
  <c r="E21" i="10"/>
  <c r="F21" i="10"/>
  <c r="B22" i="10"/>
  <c r="C22" i="10"/>
  <c r="D22" i="10"/>
  <c r="E22" i="10"/>
  <c r="F22" i="10"/>
  <c r="B23" i="10"/>
  <c r="C23" i="10"/>
  <c r="D23" i="10"/>
  <c r="E23" i="10"/>
  <c r="F23" i="10"/>
  <c r="B24" i="10"/>
  <c r="C24" i="10"/>
  <c r="D24" i="10"/>
  <c r="E24" i="10"/>
  <c r="F24" i="10"/>
  <c r="B25" i="10"/>
  <c r="C25" i="10"/>
  <c r="D25" i="10"/>
  <c r="E25" i="10"/>
  <c r="F25" i="10"/>
  <c r="B26" i="10"/>
  <c r="C26" i="10"/>
  <c r="D26" i="10"/>
  <c r="E26" i="10"/>
  <c r="F26" i="10"/>
  <c r="B27" i="10"/>
  <c r="C27" i="10"/>
  <c r="D27" i="10"/>
  <c r="E27" i="10"/>
  <c r="F27" i="10"/>
  <c r="B28" i="10"/>
  <c r="C28" i="10"/>
  <c r="D28" i="10"/>
  <c r="E28" i="10"/>
  <c r="F28" i="10"/>
  <c r="B29" i="10"/>
  <c r="C29" i="10"/>
  <c r="D29" i="10"/>
  <c r="E29" i="10"/>
  <c r="F29" i="10"/>
  <c r="B30" i="10"/>
  <c r="C30" i="10"/>
  <c r="D30" i="10"/>
  <c r="E30" i="10"/>
  <c r="F30" i="10"/>
  <c r="B31" i="10"/>
  <c r="C31" i="10"/>
  <c r="D31" i="10"/>
  <c r="E31" i="10"/>
  <c r="F31" i="10"/>
  <c r="B32" i="10"/>
  <c r="C32" i="10"/>
  <c r="D32" i="10"/>
  <c r="E32" i="10"/>
  <c r="F32" i="10"/>
  <c r="B33" i="10"/>
  <c r="C33" i="10"/>
  <c r="D33" i="10"/>
  <c r="E33" i="10"/>
  <c r="F33" i="10"/>
  <c r="B34" i="10"/>
  <c r="C34" i="10"/>
  <c r="D34" i="10"/>
  <c r="E34" i="10"/>
  <c r="F34" i="10"/>
  <c r="B35" i="10"/>
  <c r="C35" i="10"/>
  <c r="D35" i="10"/>
  <c r="E35" i="10"/>
  <c r="F35" i="10"/>
  <c r="B36" i="10"/>
  <c r="C36" i="10"/>
  <c r="D36" i="10"/>
  <c r="E36" i="10"/>
  <c r="F36" i="10"/>
  <c r="B37" i="10"/>
  <c r="C37" i="10"/>
  <c r="D37" i="10"/>
  <c r="E37" i="10"/>
  <c r="F37" i="10"/>
  <c r="B38" i="10"/>
  <c r="C38" i="10"/>
  <c r="D38" i="10"/>
  <c r="E38" i="10"/>
  <c r="F38" i="10"/>
  <c r="B39" i="10"/>
  <c r="C39" i="10"/>
  <c r="D39" i="10"/>
  <c r="E39" i="10"/>
  <c r="F39" i="10"/>
  <c r="B40" i="10"/>
  <c r="C40" i="10"/>
  <c r="D40" i="10"/>
  <c r="E40" i="10"/>
  <c r="F40" i="10"/>
  <c r="B41" i="10"/>
  <c r="C41" i="10"/>
  <c r="D41" i="10"/>
  <c r="E41" i="10"/>
  <c r="F41" i="10"/>
  <c r="B42" i="10"/>
  <c r="C42" i="10"/>
  <c r="D42" i="10"/>
  <c r="E42" i="10"/>
  <c r="F42" i="10"/>
  <c r="B43" i="10"/>
  <c r="C43" i="10"/>
  <c r="D43" i="10"/>
  <c r="E43" i="10"/>
  <c r="F43" i="10"/>
  <c r="B44" i="10"/>
  <c r="C44" i="10"/>
  <c r="D44" i="10"/>
  <c r="E44" i="10"/>
  <c r="F44" i="10"/>
  <c r="B45" i="10"/>
  <c r="C45" i="10"/>
  <c r="D45" i="10"/>
  <c r="E45" i="10"/>
  <c r="F45" i="10"/>
  <c r="B46" i="10"/>
  <c r="C46" i="10"/>
  <c r="D46" i="10"/>
  <c r="E46" i="10"/>
  <c r="F46" i="10"/>
  <c r="B47" i="10"/>
  <c r="C47" i="10"/>
  <c r="D47" i="10"/>
  <c r="E47" i="10"/>
  <c r="F47" i="10"/>
  <c r="B48" i="10"/>
  <c r="C48" i="10"/>
  <c r="D48" i="10"/>
  <c r="E48" i="10"/>
  <c r="F48" i="10"/>
  <c r="B49" i="10"/>
  <c r="C49" i="10"/>
  <c r="D49" i="10"/>
  <c r="E49" i="10"/>
  <c r="F49" i="10"/>
  <c r="B50" i="10"/>
  <c r="C50" i="10"/>
  <c r="D50" i="10"/>
  <c r="E50" i="10"/>
  <c r="F50" i="10"/>
  <c r="B51" i="10"/>
  <c r="C51" i="10"/>
  <c r="D51" i="10"/>
  <c r="E51" i="10"/>
  <c r="F51" i="10"/>
  <c r="B52" i="10"/>
  <c r="C52" i="10"/>
  <c r="D52" i="10"/>
  <c r="E52" i="10"/>
  <c r="F52" i="10"/>
  <c r="B53" i="10"/>
  <c r="C53" i="10"/>
  <c r="D53" i="10"/>
  <c r="E53" i="10"/>
  <c r="F53" i="10"/>
  <c r="B54" i="10"/>
  <c r="C54" i="10"/>
  <c r="D54" i="10"/>
  <c r="E54" i="10"/>
  <c r="F54" i="10"/>
  <c r="B55" i="10"/>
  <c r="C55" i="10"/>
  <c r="D55" i="10"/>
  <c r="E55" i="10"/>
  <c r="F55" i="10"/>
  <c r="B56" i="10"/>
  <c r="C56" i="10"/>
  <c r="D56" i="10"/>
  <c r="E56" i="10"/>
  <c r="F56" i="10"/>
  <c r="B57" i="10"/>
  <c r="C57" i="10"/>
  <c r="D57" i="10"/>
  <c r="E57" i="10"/>
  <c r="F57" i="10"/>
  <c r="B58" i="10"/>
  <c r="C58" i="10"/>
  <c r="D58" i="10"/>
  <c r="E58" i="10"/>
  <c r="F58" i="10"/>
  <c r="B59" i="10"/>
  <c r="C59" i="10"/>
  <c r="D59" i="10"/>
  <c r="E59" i="10"/>
  <c r="F59" i="10"/>
  <c r="B60" i="10"/>
  <c r="C60" i="10"/>
  <c r="D60" i="10"/>
  <c r="E60" i="10"/>
  <c r="F60" i="10"/>
  <c r="B61" i="10"/>
  <c r="C61" i="10"/>
  <c r="D61" i="10"/>
  <c r="E61" i="10"/>
  <c r="F61" i="10"/>
  <c r="B62" i="10"/>
  <c r="C62" i="10"/>
  <c r="D62" i="10"/>
  <c r="E62" i="10"/>
  <c r="F62" i="10"/>
  <c r="B63" i="10"/>
  <c r="C63" i="10"/>
  <c r="D63" i="10"/>
  <c r="E63" i="10"/>
  <c r="F63" i="10"/>
  <c r="B64" i="10"/>
  <c r="C64" i="10"/>
  <c r="D64" i="10"/>
  <c r="E64" i="10"/>
  <c r="F64" i="10"/>
  <c r="B65" i="10"/>
  <c r="C65" i="10"/>
  <c r="D65" i="10"/>
  <c r="E65" i="10"/>
  <c r="F65" i="10"/>
  <c r="B66" i="10"/>
  <c r="C66" i="10"/>
  <c r="D66" i="10"/>
  <c r="E66" i="10"/>
  <c r="F66" i="10"/>
  <c r="B67" i="10"/>
  <c r="C67" i="10"/>
  <c r="D67" i="10"/>
  <c r="E67" i="10"/>
  <c r="F67" i="10"/>
  <c r="B68" i="10"/>
  <c r="C68" i="10"/>
  <c r="D68" i="10"/>
  <c r="E68" i="10"/>
  <c r="F68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B50" i="9"/>
  <c r="B43" i="9"/>
  <c r="B45" i="9"/>
  <c r="B47" i="9"/>
  <c r="B49" i="9"/>
  <c r="B44" i="9"/>
  <c r="B48" i="9"/>
  <c r="B25" i="9"/>
  <c r="B26" i="9"/>
  <c r="B27" i="9"/>
  <c r="B28" i="9"/>
  <c r="B6" i="9"/>
  <c r="B29" i="9"/>
  <c r="B30" i="9"/>
  <c r="B9" i="9"/>
  <c r="B32" i="9"/>
  <c r="B33" i="9"/>
  <c r="B39" i="9"/>
  <c r="B40" i="9"/>
  <c r="B8" i="9"/>
  <c r="B31" i="9"/>
  <c r="B37" i="9"/>
  <c r="B38" i="9"/>
  <c r="B35" i="9"/>
  <c r="C35" i="9"/>
  <c r="D35" i="9"/>
  <c r="C34" i="9"/>
  <c r="C33" i="9"/>
  <c r="C32" i="9"/>
  <c r="C31" i="9"/>
  <c r="C30" i="9"/>
  <c r="C29" i="9"/>
  <c r="C28" i="9"/>
  <c r="C27" i="9"/>
  <c r="C26" i="9"/>
  <c r="C25" i="9"/>
  <c r="G24" i="8"/>
  <c r="G25" i="8"/>
  <c r="R28" i="5"/>
  <c r="R31" i="5"/>
  <c r="O19" i="5"/>
  <c r="P19" i="5"/>
  <c r="Q19" i="5"/>
  <c r="R19" i="5"/>
  <c r="N20" i="5"/>
  <c r="O20" i="5"/>
  <c r="P20" i="5"/>
  <c r="Q20" i="5"/>
  <c r="R20" i="5"/>
  <c r="N21" i="5"/>
  <c r="O21" i="5"/>
  <c r="P21" i="5"/>
  <c r="Q21" i="5"/>
  <c r="R21" i="5"/>
  <c r="R23" i="5"/>
  <c r="R33" i="5"/>
  <c r="F4" i="6"/>
  <c r="F6" i="6"/>
  <c r="C10" i="6"/>
  <c r="D10" i="6"/>
  <c r="E10" i="6"/>
  <c r="F10" i="6"/>
  <c r="F9" i="6"/>
  <c r="F16" i="6"/>
  <c r="F17" i="6"/>
  <c r="F18" i="6"/>
  <c r="F21" i="6"/>
  <c r="F25" i="6"/>
  <c r="B14" i="3"/>
  <c r="B15" i="3"/>
  <c r="F26" i="6"/>
  <c r="B22" i="3"/>
  <c r="B23" i="3"/>
  <c r="F27" i="6"/>
  <c r="F28" i="6"/>
  <c r="F30" i="6"/>
  <c r="F32" i="6"/>
  <c r="F34" i="6"/>
  <c r="G3" i="8"/>
  <c r="G6" i="8"/>
  <c r="F44" i="7"/>
  <c r="F47" i="7"/>
  <c r="F23" i="7"/>
  <c r="Q28" i="5"/>
  <c r="Q31" i="5"/>
  <c r="Q23" i="5"/>
  <c r="Q33" i="5"/>
  <c r="E4" i="6"/>
  <c r="E6" i="6"/>
  <c r="E16" i="6"/>
  <c r="E17" i="6"/>
  <c r="E18" i="6"/>
  <c r="E9" i="6"/>
  <c r="E44" i="7"/>
  <c r="E47" i="7"/>
  <c r="E23" i="7"/>
  <c r="G10" i="8"/>
  <c r="E21" i="6"/>
  <c r="E25" i="6"/>
  <c r="E26" i="6"/>
  <c r="E27" i="6"/>
  <c r="E28" i="6"/>
  <c r="E30" i="6"/>
  <c r="E32" i="6"/>
  <c r="G11" i="8"/>
  <c r="F43" i="7"/>
  <c r="F46" i="7"/>
  <c r="F7" i="7"/>
  <c r="E43" i="7"/>
  <c r="E46" i="7"/>
  <c r="E7" i="7"/>
  <c r="G8" i="8"/>
  <c r="G13" i="8"/>
  <c r="C17" i="8"/>
  <c r="G17" i="8"/>
  <c r="G27" i="8"/>
  <c r="F24" i="8"/>
  <c r="F25" i="8"/>
  <c r="E34" i="6"/>
  <c r="F3" i="8"/>
  <c r="F6" i="8"/>
  <c r="O27" i="5"/>
  <c r="P27" i="5"/>
  <c r="P28" i="5"/>
  <c r="P31" i="5"/>
  <c r="P23" i="5"/>
  <c r="P33" i="5"/>
  <c r="D4" i="6"/>
  <c r="D6" i="6"/>
  <c r="D16" i="6"/>
  <c r="D17" i="6"/>
  <c r="D18" i="6"/>
  <c r="D9" i="6"/>
  <c r="D44" i="7"/>
  <c r="D47" i="7"/>
  <c r="D23" i="7"/>
  <c r="F10" i="8"/>
  <c r="D21" i="6"/>
  <c r="D25" i="6"/>
  <c r="D26" i="6"/>
  <c r="D27" i="6"/>
  <c r="D28" i="6"/>
  <c r="D30" i="6"/>
  <c r="D32" i="6"/>
  <c r="F11" i="8"/>
  <c r="D43" i="7"/>
  <c r="D46" i="7"/>
  <c r="D7" i="7"/>
  <c r="F8" i="8"/>
  <c r="F13" i="8"/>
  <c r="F27" i="8"/>
  <c r="B37" i="3"/>
  <c r="E21" i="8"/>
  <c r="E24" i="8"/>
  <c r="E25" i="8"/>
  <c r="D34" i="6"/>
  <c r="E3" i="8"/>
  <c r="E6" i="8"/>
  <c r="O28" i="5"/>
  <c r="O31" i="5"/>
  <c r="O23" i="5"/>
  <c r="O33" i="5"/>
  <c r="C4" i="6"/>
  <c r="C6" i="6"/>
  <c r="C16" i="6"/>
  <c r="C17" i="6"/>
  <c r="C18" i="6"/>
  <c r="C9" i="6"/>
  <c r="C44" i="7"/>
  <c r="C47" i="7"/>
  <c r="C23" i="7"/>
  <c r="E10" i="8"/>
  <c r="C21" i="6"/>
  <c r="C25" i="6"/>
  <c r="C26" i="6"/>
  <c r="C28" i="6"/>
  <c r="C30" i="6"/>
  <c r="C32" i="6"/>
  <c r="E11" i="8"/>
  <c r="C43" i="7"/>
  <c r="C46" i="7"/>
  <c r="C7" i="7"/>
  <c r="E8" i="8"/>
  <c r="E13" i="8"/>
  <c r="E17" i="8"/>
  <c r="E27" i="8"/>
  <c r="B27" i="3"/>
  <c r="B36" i="3"/>
  <c r="D21" i="8"/>
  <c r="D24" i="8"/>
  <c r="D25" i="8"/>
  <c r="C34" i="6"/>
  <c r="D3" i="8"/>
  <c r="D6" i="8"/>
  <c r="B44" i="7"/>
  <c r="B47" i="7"/>
  <c r="B23" i="7"/>
  <c r="D10" i="8"/>
  <c r="B21" i="6"/>
  <c r="B25" i="6"/>
  <c r="B30" i="6"/>
  <c r="B32" i="6"/>
  <c r="D11" i="8"/>
  <c r="B43" i="7"/>
  <c r="B46" i="7"/>
  <c r="B7" i="7"/>
  <c r="D8" i="8"/>
  <c r="D13" i="8"/>
  <c r="D17" i="8"/>
  <c r="D27" i="8"/>
  <c r="B34" i="6"/>
  <c r="C3" i="8"/>
  <c r="B28" i="6"/>
  <c r="C6" i="8"/>
  <c r="C10" i="8"/>
  <c r="C11" i="8"/>
  <c r="C8" i="8"/>
  <c r="C13" i="8"/>
  <c r="C21" i="8"/>
  <c r="C22" i="8"/>
  <c r="C24" i="8"/>
  <c r="C25" i="8"/>
  <c r="C27" i="8"/>
  <c r="D28" i="8"/>
  <c r="D29" i="8"/>
  <c r="E28" i="8"/>
  <c r="E29" i="8"/>
  <c r="F28" i="8"/>
  <c r="F29" i="8"/>
  <c r="G28" i="8"/>
  <c r="G29" i="8"/>
  <c r="C29" i="8"/>
  <c r="F6" i="7"/>
  <c r="F10" i="7"/>
  <c r="B13" i="7"/>
  <c r="C13" i="7"/>
  <c r="D13" i="7"/>
  <c r="E13" i="7"/>
  <c r="F13" i="7"/>
  <c r="B14" i="7"/>
  <c r="C14" i="7"/>
  <c r="D14" i="7"/>
  <c r="E14" i="7"/>
  <c r="F14" i="7"/>
  <c r="F15" i="7"/>
  <c r="F17" i="7"/>
  <c r="F24" i="7"/>
  <c r="F25" i="7"/>
  <c r="B30" i="7"/>
  <c r="C30" i="7"/>
  <c r="D30" i="7"/>
  <c r="E30" i="7"/>
  <c r="F30" i="7"/>
  <c r="B31" i="7"/>
  <c r="C31" i="7"/>
  <c r="D31" i="7"/>
  <c r="E31" i="7"/>
  <c r="F31" i="7"/>
  <c r="F32" i="7"/>
  <c r="F34" i="7"/>
  <c r="F36" i="7"/>
  <c r="E6" i="7"/>
  <c r="E10" i="7"/>
  <c r="E15" i="7"/>
  <c r="E17" i="7"/>
  <c r="E24" i="7"/>
  <c r="E25" i="7"/>
  <c r="E32" i="7"/>
  <c r="E34" i="7"/>
  <c r="E36" i="7"/>
  <c r="D6" i="7"/>
  <c r="D10" i="7"/>
  <c r="D15" i="7"/>
  <c r="D17" i="7"/>
  <c r="D24" i="7"/>
  <c r="D25" i="7"/>
  <c r="D32" i="7"/>
  <c r="D34" i="7"/>
  <c r="D36" i="7"/>
  <c r="C6" i="7"/>
  <c r="C10" i="7"/>
  <c r="C15" i="7"/>
  <c r="C17" i="7"/>
  <c r="C24" i="7"/>
  <c r="C25" i="7"/>
  <c r="C32" i="7"/>
  <c r="C34" i="7"/>
  <c r="C36" i="7"/>
  <c r="B6" i="7"/>
  <c r="B10" i="7"/>
  <c r="B15" i="7"/>
  <c r="B17" i="7"/>
  <c r="B24" i="7"/>
  <c r="B25" i="7"/>
  <c r="B32" i="7"/>
  <c r="B34" i="7"/>
  <c r="B36" i="7"/>
  <c r="F35" i="6"/>
  <c r="E35" i="6"/>
  <c r="D35" i="6"/>
  <c r="C35" i="6"/>
  <c r="B35" i="6"/>
  <c r="F22" i="6"/>
  <c r="E22" i="6"/>
  <c r="D22" i="6"/>
  <c r="C22" i="6"/>
  <c r="B22" i="6"/>
  <c r="F19" i="6"/>
  <c r="E19" i="6"/>
  <c r="D19" i="6"/>
  <c r="C19" i="6"/>
  <c r="B19" i="6"/>
  <c r="F12" i="6"/>
  <c r="F13" i="6"/>
  <c r="E12" i="6"/>
  <c r="E13" i="6"/>
  <c r="D12" i="6"/>
  <c r="D13" i="6"/>
  <c r="C12" i="6"/>
  <c r="C13" i="6"/>
  <c r="B12" i="6"/>
  <c r="B13" i="6"/>
  <c r="M31" i="5"/>
  <c r="M33" i="5"/>
  <c r="L31" i="5"/>
  <c r="L33" i="5"/>
  <c r="K31" i="5"/>
  <c r="K33" i="5"/>
  <c r="J31" i="5"/>
  <c r="J33" i="5"/>
  <c r="I31" i="5"/>
  <c r="I33" i="5"/>
  <c r="H31" i="5"/>
  <c r="H33" i="5"/>
  <c r="G31" i="5"/>
  <c r="G33" i="5"/>
  <c r="F31" i="5"/>
  <c r="F33" i="5"/>
  <c r="E31" i="5"/>
  <c r="E33" i="5"/>
  <c r="D31" i="5"/>
  <c r="D33" i="5"/>
  <c r="C31" i="5"/>
  <c r="C33" i="5"/>
  <c r="B31" i="5"/>
  <c r="B33" i="5"/>
  <c r="N22" i="5"/>
  <c r="B13" i="4"/>
  <c r="B9" i="4"/>
  <c r="B6" i="4"/>
  <c r="B2" i="2"/>
  <c r="B8" i="2"/>
  <c r="B9" i="2"/>
  <c r="C2" i="2"/>
  <c r="C8" i="2"/>
  <c r="C9" i="2"/>
  <c r="D2" i="2"/>
  <c r="D8" i="2"/>
  <c r="D9" i="2"/>
  <c r="E2" i="2"/>
  <c r="E8" i="2"/>
  <c r="E9" i="2"/>
  <c r="F2" i="2"/>
  <c r="F8" i="2"/>
  <c r="F9" i="2"/>
  <c r="B17" i="2"/>
  <c r="B14" i="2"/>
  <c r="B11" i="2"/>
  <c r="H19" i="1"/>
  <c r="H7" i="1"/>
  <c r="H20" i="1"/>
  <c r="H21" i="1"/>
  <c r="H28" i="1"/>
  <c r="E19" i="1"/>
  <c r="E7" i="1"/>
  <c r="E20" i="1"/>
  <c r="E21" i="1"/>
  <c r="E28" i="1"/>
  <c r="B19" i="1"/>
  <c r="B20" i="1"/>
  <c r="B21" i="1"/>
  <c r="B28" i="1"/>
  <c r="H14" i="1"/>
  <c r="H27" i="1"/>
  <c r="E14" i="1"/>
  <c r="E27" i="1"/>
  <c r="B27" i="1"/>
  <c r="H13" i="1"/>
  <c r="H26" i="1"/>
  <c r="E13" i="1"/>
  <c r="E26" i="1"/>
  <c r="B26" i="1"/>
  <c r="H24" i="1"/>
  <c r="E24" i="1"/>
  <c r="B24" i="1"/>
  <c r="H22" i="1"/>
  <c r="E22" i="1"/>
  <c r="B22" i="1"/>
  <c r="H9" i="1"/>
  <c r="H10" i="1"/>
  <c r="E9" i="1"/>
  <c r="E10" i="1"/>
  <c r="B9" i="1"/>
  <c r="B10" i="1"/>
  <c r="H8" i="1"/>
  <c r="E8" i="1"/>
  <c r="B8" i="1"/>
</calcChain>
</file>

<file path=xl/sharedStrings.xml><?xml version="1.0" encoding="utf-8"?>
<sst xmlns="http://schemas.openxmlformats.org/spreadsheetml/2006/main" count="505" uniqueCount="288">
  <si>
    <t>Summary</t>
  </si>
  <si>
    <t>Space Requirements - Phase 1</t>
  </si>
  <si>
    <t>Space Requirements - Phase 2</t>
  </si>
  <si>
    <t>Cash Flow</t>
  </si>
  <si>
    <t>CAPEX - Pilot</t>
  </si>
  <si>
    <t>PFAL w/HVAC ($/sq. ft./layer)</t>
  </si>
  <si>
    <t>Year 1</t>
  </si>
  <si>
    <t>Space Requirements - Phase 3</t>
  </si>
  <si>
    <t>Square feet per layer</t>
  </si>
  <si>
    <t>Year 2</t>
  </si>
  <si>
    <t>Year 3</t>
  </si>
  <si>
    <t>Year 4</t>
  </si>
  <si>
    <t>Year 5</t>
  </si>
  <si>
    <t>FFC Free Cash Flow</t>
  </si>
  <si>
    <t>Number of layers per unit</t>
  </si>
  <si>
    <t># of Nursery Units</t>
  </si>
  <si>
    <t># of Finishing Unit</t>
  </si>
  <si>
    <t>Total Capex -  Phase 1</t>
  </si>
  <si>
    <t>CAPEX - Phase 2</t>
  </si>
  <si>
    <t>Total sq. ft. of production space</t>
  </si>
  <si>
    <t>Total Capex - Phase 2</t>
  </si>
  <si>
    <t>CAPEX - Phase 3</t>
  </si>
  <si>
    <t>Assumes Sale of FFC at 4x EBITDA at the end of Year 5</t>
  </si>
  <si>
    <t>Cost of Capital</t>
  </si>
  <si>
    <t>Total Capex - Phase 3</t>
  </si>
  <si>
    <t>Discount Factor</t>
  </si>
  <si>
    <t>Operating Expenses &amp; Contingency</t>
  </si>
  <si>
    <t>6 months - Pilot</t>
  </si>
  <si>
    <t>Footprint per unit (sq. ft.)</t>
  </si>
  <si>
    <t>3 months - Phase 2</t>
  </si>
  <si>
    <t>3 months - Phase 3</t>
  </si>
  <si>
    <t>Technolgy Development</t>
  </si>
  <si>
    <t>Pilot</t>
  </si>
  <si>
    <t>Phase 2</t>
  </si>
  <si>
    <t>Phase 3</t>
  </si>
  <si>
    <t xml:space="preserve">Total Start-ups Costs - Pilot </t>
  </si>
  <si>
    <t>Total Start up Costs - Phase 2</t>
  </si>
  <si>
    <t>Total Footprint - Phase 1</t>
  </si>
  <si>
    <t>PV of Cash Flows</t>
  </si>
  <si>
    <t>Total Start up Costs - Phase 3</t>
  </si>
  <si>
    <t>Total Footprint - Phase 2</t>
  </si>
  <si>
    <t>Total Footprint - Phase 3</t>
  </si>
  <si>
    <t>Output - Phase 1</t>
  </si>
  <si>
    <t>Terminal Value (4x EBITDA)</t>
  </si>
  <si>
    <t>Lettuce Units</t>
  </si>
  <si>
    <t>PV of FCF</t>
  </si>
  <si>
    <t>FFC Value</t>
  </si>
  <si>
    <t>Basil Units</t>
  </si>
  <si>
    <t>Sources of Funds</t>
  </si>
  <si>
    <t>Phase I</t>
  </si>
  <si>
    <t xml:space="preserve">Equity </t>
  </si>
  <si>
    <t>Heads/Plants Produced per Month per Unit</t>
  </si>
  <si>
    <t>Heads/Plants per Case</t>
  </si>
  <si>
    <t>Debt</t>
  </si>
  <si>
    <t>Pounds per Head of Lettuce</t>
  </si>
  <si>
    <t>Total</t>
  </si>
  <si>
    <t>Pounds per Plant of Basil</t>
  </si>
  <si>
    <t>Cases Produced per Month per Unit</t>
  </si>
  <si>
    <t>Equity</t>
  </si>
  <si>
    <t>Total Cases Produced per Month</t>
  </si>
  <si>
    <t>Productivity Assumptions</t>
  </si>
  <si>
    <t>Micro-plots per Unit</t>
  </si>
  <si>
    <t>Plants Produced per Month per Unit</t>
  </si>
  <si>
    <t>Yield per Plant - Lettuce (lbs.)</t>
  </si>
  <si>
    <t>Yield per Plant - Basil (lbs.)</t>
  </si>
  <si>
    <t>Price per Micro-plot</t>
  </si>
  <si>
    <t>Price per pound - Lettuce</t>
  </si>
  <si>
    <t>Price per pound - Basil</t>
  </si>
  <si>
    <t>Lifetime of Equipment</t>
  </si>
  <si>
    <t>Revenue Forecast</t>
  </si>
  <si>
    <t>Phase 1 Ramp Up (Months 1 -6)</t>
  </si>
  <si>
    <t>Cases per day</t>
  </si>
  <si>
    <t>Phase 1 (6 - 12)</t>
  </si>
  <si>
    <t>Stabilization</t>
  </si>
  <si>
    <t>Lettuce Revenue (SF)</t>
  </si>
  <si>
    <t>Revenue</t>
  </si>
  <si>
    <t>Produce Revenue</t>
  </si>
  <si>
    <t>Volume per Case (cu. ft.)</t>
  </si>
  <si>
    <t>Micro-plot Revenue</t>
  </si>
  <si>
    <t>Total Revenue</t>
  </si>
  <si>
    <t>Volume needed per Day (cu. ft.)</t>
  </si>
  <si>
    <t>Estimated Volume of 50 ft. Truck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</si>
  <si>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</si>
  <si>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</si>
  <si>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</si>
  <si>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</si>
  <si>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</si>
  <si>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</si>
  <si>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</si>
  <si>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</si>
  <si>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</si>
  <si>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</si>
  <si>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</si>
  <si>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</si>
  <si>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Cost of Revenue</t>
  </si>
  <si>
    <t>Farm Inputs (Seeds, Fertilizer, Direct Labor, etc.)</t>
  </si>
  <si>
    <t># of PFAL Units</t>
  </si>
  <si>
    <t>% of Revenues</t>
  </si>
  <si>
    <t>Max Cases per 50 ft. Truck</t>
  </si>
  <si>
    <t>Max Pounds of Lettuce Produced per month</t>
  </si>
  <si>
    <t>Gross Profit</t>
  </si>
  <si>
    <t>Lbs. Produced per PFAL unit</t>
  </si>
  <si>
    <t>Max Pounds of Basil produced per month</t>
  </si>
  <si>
    <t>Operating Expenses</t>
  </si>
  <si>
    <t>SG&amp;A (15% of Total Revenue)</t>
  </si>
  <si>
    <t>Min. Truck Loads Needed per Day - Phase 1</t>
  </si>
  <si>
    <t xml:space="preserve">Research &amp; Development </t>
  </si>
  <si>
    <t>Min. Truck Loads Needed per Day - Phase 2</t>
  </si>
  <si>
    <t>$/lb.</t>
  </si>
  <si>
    <t>Min. Truck Loads Needed per Day - Phase 3</t>
  </si>
  <si>
    <t>Total Operating Expenses</t>
  </si>
  <si>
    <t xml:space="preserve">EBITDA </t>
  </si>
  <si>
    <t>Efficiency</t>
  </si>
  <si>
    <t>EBITDA Margin</t>
  </si>
  <si>
    <t>Balance Sheet</t>
  </si>
  <si>
    <t>Total Revenue - Lettuce</t>
  </si>
  <si>
    <t>Depreciation (US Greenhouses)</t>
  </si>
  <si>
    <t>16 PFAL (Phase 1)</t>
  </si>
  <si>
    <t>ASSETS</t>
  </si>
  <si>
    <t>CURRENT ASSETS</t>
  </si>
  <si>
    <t>Basil Revenue (SF)</t>
  </si>
  <si>
    <t>Cash</t>
  </si>
  <si>
    <t>35 Unit PFAL (Phase 2)</t>
  </si>
  <si>
    <t>Lbs. Produced</t>
  </si>
  <si>
    <t>150 Unit PFAL (Year 2)</t>
  </si>
  <si>
    <t>Total Depreciation (US Greenhouses)</t>
  </si>
  <si>
    <t>Accounts Receivable</t>
  </si>
  <si>
    <t>Pre-Tax Earnings</t>
  </si>
  <si>
    <t>Total Revenue - Basil</t>
  </si>
  <si>
    <t>Inventories</t>
  </si>
  <si>
    <t>Other Current Assets</t>
  </si>
  <si>
    <t>Total Current Assets</t>
  </si>
  <si>
    <t>Taxes (40%)</t>
  </si>
  <si>
    <t>Net Income</t>
  </si>
  <si>
    <t>Total Revenue (SF)</t>
  </si>
  <si>
    <t>FIXED ASSETS</t>
  </si>
  <si>
    <t>% of Revenue</t>
  </si>
  <si>
    <t>PP&amp;E Gross</t>
  </si>
  <si>
    <t>Less: Accumlated Depn.</t>
  </si>
  <si>
    <t xml:space="preserve">Input Consumption/ sq. ft./week </t>
  </si>
  <si>
    <t>Water (gallons)</t>
  </si>
  <si>
    <t>Electrity (kWh) - Greenhouse</t>
  </si>
  <si>
    <t>Fertilizer A "Jack's" (g)</t>
  </si>
  <si>
    <t>Fertilizer B "YaraLiva" (g)</t>
  </si>
  <si>
    <t>CASH FLOWS FROM OPERATIONS</t>
  </si>
  <si>
    <t>Seedlings</t>
  </si>
  <si>
    <t>Total Fixed Assets</t>
  </si>
  <si>
    <t>Labor (hrs)</t>
  </si>
  <si>
    <t>Packaging - Baby Greens (#)</t>
  </si>
  <si>
    <t>Packaging - Basil (#)</t>
  </si>
  <si>
    <t>Distribution (miles)</t>
  </si>
  <si>
    <t>TOTAL ASSETS</t>
  </si>
  <si>
    <t>Price per Input</t>
  </si>
  <si>
    <t>Water (gallons) - SF</t>
  </si>
  <si>
    <t>Electrity (kWh) - US</t>
  </si>
  <si>
    <t>Adjustments</t>
  </si>
  <si>
    <t>Amortization of Produce Obligation</t>
  </si>
  <si>
    <t>Based of $90 per 25 lb bag</t>
  </si>
  <si>
    <t>Baed on $27 per 50 lb bag</t>
  </si>
  <si>
    <t>Plugs/Seedlings</t>
  </si>
  <si>
    <t>LIABILITIES &amp; SHAREHOLDERS' EQUITY</t>
  </si>
  <si>
    <t>Labor (Including taxes &amp; benefits)</t>
  </si>
  <si>
    <t xml:space="preserve">Packaging - Baby Greens </t>
  </si>
  <si>
    <t xml:space="preserve">   Depreciation and Amoritization</t>
  </si>
  <si>
    <t>CURRENT LIABILITIES</t>
  </si>
  <si>
    <t>Payroll Expenses</t>
  </si>
  <si>
    <t>Packaging - Basil</t>
  </si>
  <si>
    <t>Rent</t>
  </si>
  <si>
    <t>Assuming truck does 10 mi/gal and gas is $4/gal.</t>
  </si>
  <si>
    <t xml:space="preserve">Direct Costs per sq. ft. of Greenhouse / week </t>
  </si>
  <si>
    <t>Accounts Payable</t>
  </si>
  <si>
    <t>Taxes Payable</t>
  </si>
  <si>
    <t>Plugs</t>
  </si>
  <si>
    <t xml:space="preserve">   Deferred Taxes</t>
  </si>
  <si>
    <t>Change in accounts receivable</t>
  </si>
  <si>
    <t>Total Direct Costs per sq. ft. per week</t>
  </si>
  <si>
    <t>Total Current Liabilities</t>
  </si>
  <si>
    <t>Change in Inventory</t>
  </si>
  <si>
    <t>Increase in accounts payable</t>
  </si>
  <si>
    <t>Total Direct Costs per plant space per week - Baby Greens</t>
  </si>
  <si>
    <t>Long term debt</t>
  </si>
  <si>
    <t>Total Direct Costs per pound of baby greens</t>
  </si>
  <si>
    <t>Total Direct Costs per plant space per week - Spice</t>
  </si>
  <si>
    <t>Change in income taxes payable</t>
  </si>
  <si>
    <t>EQUITY</t>
  </si>
  <si>
    <t>Paid-in Capital</t>
  </si>
  <si>
    <t>Total Direct Cost per oz of spices</t>
  </si>
  <si>
    <t>Baby Green Troughs/ sq. ft. of greenhouse</t>
  </si>
  <si>
    <t>Spice Troughs/ sq. ft. of greenhouse</t>
  </si>
  <si>
    <t>Change in sales taxes payable</t>
  </si>
  <si>
    <t>Plant Spaces per BGT's</t>
  </si>
  <si>
    <t>Net Cash from Operations</t>
  </si>
  <si>
    <t>Plant Spaces per BT's</t>
  </si>
  <si>
    <t>Baby Green Plant Spaces per sq ft of greenhouse</t>
  </si>
  <si>
    <t>Retained Earnings</t>
  </si>
  <si>
    <t>Spice Plant Spaces per sq ft of greenhouse</t>
  </si>
  <si>
    <t>Baby Green Plant Spaces Harvested/ sq. ft./ week</t>
  </si>
  <si>
    <t>Spice Plant Spaces Harvested/ sq. ft./ week</t>
  </si>
  <si>
    <t>CASH FLOW FROM INVESTING</t>
  </si>
  <si>
    <t>Plant Spaces per pound of baby greens</t>
  </si>
  <si>
    <t>Plant spaces per oz of spices</t>
  </si>
  <si>
    <t>Total Equity</t>
  </si>
  <si>
    <t>Purchase of Plant and Equipment</t>
  </si>
  <si>
    <t>TOTAL LIABILITIES &amp; EQUITY</t>
  </si>
  <si>
    <t>Phase I PFAL Upgrades (Tech, lights, trays, lids, etc.)</t>
  </si>
  <si>
    <t>Amount</t>
  </si>
  <si>
    <t>CASH FLOW FROM FINANCING ACTIVITIES</t>
  </si>
  <si>
    <t>Equity Investments</t>
  </si>
  <si>
    <t>Balance</t>
  </si>
  <si>
    <t>FSA Microloan</t>
  </si>
  <si>
    <t>Sale of Farm-shares</t>
  </si>
  <si>
    <t>Repayment of Debt</t>
  </si>
  <si>
    <t>Monthly Interest Rate</t>
  </si>
  <si>
    <t>Periods</t>
  </si>
  <si>
    <t>WORKING CAPITAL</t>
  </si>
  <si>
    <t>DSO</t>
  </si>
  <si>
    <t>A/R</t>
  </si>
  <si>
    <t>Net Increase in Cash</t>
  </si>
  <si>
    <t>Payment</t>
  </si>
  <si>
    <t>Opex</t>
  </si>
  <si>
    <t>Payment Number</t>
  </si>
  <si>
    <t>Beginning balance cash</t>
  </si>
  <si>
    <t>Beginning Balance</t>
  </si>
  <si>
    <t>Total Opex</t>
  </si>
  <si>
    <t>Interest</t>
  </si>
  <si>
    <t>Principal</t>
  </si>
  <si>
    <t>Remaining Balance</t>
  </si>
  <si>
    <t>End of period cash</t>
  </si>
  <si>
    <t>A/P amd Accrued Expense</t>
  </si>
  <si>
    <t>Total Baby Greens Revenue (SF)</t>
  </si>
  <si>
    <t>Basil Plant Spaces Harvested/ sq. ft./ week</t>
  </si>
  <si>
    <t>Lettuce Plant Spaces Harvested/ sq. ft./wk. (HK)</t>
  </si>
  <si>
    <t>Total Basil Revenue (SF)</t>
  </si>
  <si>
    <t>Basil Plant Spaces Harvsted/ sq. ft./wk. (HK)</t>
  </si>
  <si>
    <t>Weeks in a month</t>
  </si>
  <si>
    <t>Price per pound of baby greens</t>
  </si>
  <si>
    <t>Price per oz of basil</t>
  </si>
  <si>
    <t>Plant Spaces per lb. of baby greens</t>
  </si>
  <si>
    <t>Plant Spaces per oz. of basil</t>
  </si>
  <si>
    <t>Alpha Phase (Months 1 -5)</t>
  </si>
  <si>
    <t>Beta Phase Months (6 - 12)</t>
  </si>
  <si>
    <t>US Growth (Year 2 - _ )</t>
  </si>
  <si>
    <t>Baby Greens Revenue (US)</t>
  </si>
  <si>
    <t>Baby Green Plant Spaces Harvested / week</t>
  </si>
  <si>
    <t>Plant Spaces per Pound of Baby greens</t>
  </si>
  <si>
    <t>Greenhouse square footage</t>
  </si>
  <si>
    <t>Weeks in period</t>
  </si>
  <si>
    <t xml:space="preserve">Price per pound of baby greens </t>
  </si>
  <si>
    <t>Direct Costs (US Greenhouse)</t>
  </si>
  <si>
    <t>Total lbs. of baby greens</t>
  </si>
  <si>
    <t>Spice Revenue (US)</t>
  </si>
  <si>
    <t>Basil Plant Spaces Harvested per week</t>
  </si>
  <si>
    <t>Plant space per oz of basil</t>
  </si>
  <si>
    <t>Price per oz. of spices</t>
  </si>
  <si>
    <t>Total oz. of spices</t>
  </si>
  <si>
    <t>Total Spice Revenue</t>
  </si>
  <si>
    <t>Labor (hr)</t>
  </si>
  <si>
    <t>Packaging - Baby Greens per 4 lb box</t>
  </si>
  <si>
    <t>Distribution (gas)</t>
  </si>
  <si>
    <t>Total Direct Costs (US Greenhouses)</t>
  </si>
  <si>
    <t>% of Revenue (US Greenhouse Production)</t>
  </si>
  <si>
    <t>Gross Profit (US Greenhouses)</t>
  </si>
  <si>
    <t>Indirect Costs (US Greenhouses)</t>
  </si>
  <si>
    <t>Phone and Internet</t>
  </si>
  <si>
    <t xml:space="preserve">Rent </t>
  </si>
  <si>
    <t>Legal, Accounting &amp; Insurance (2.5% of Total Revenue)</t>
  </si>
  <si>
    <t>R&amp;D &amp; Contingency (2.5% of Total Revenue)</t>
  </si>
  <si>
    <t xml:space="preserve">Indirect Labor </t>
  </si>
  <si>
    <t>Total Indirect Costs</t>
  </si>
  <si>
    <t>EBITDA (US Greenhouses)</t>
  </si>
  <si>
    <t>1340 sq. ft. Greenhouse</t>
  </si>
  <si>
    <t>Vehicle</t>
  </si>
  <si>
    <t>SF Expansion (Year 2)</t>
  </si>
  <si>
    <t>LA Expansion (Year 3)</t>
  </si>
  <si>
    <t>EBIT (US Greenhouses)</t>
  </si>
  <si>
    <t>Total EBIT</t>
  </si>
  <si>
    <t>Interest Incurred (US Greenhouses)</t>
  </si>
  <si>
    <t>FSA Operating Loan - SF Year 2</t>
  </si>
  <si>
    <t>FSA Operating Loan - LA Year 3</t>
  </si>
  <si>
    <t>Total Interest Incurred (US Greenhouses)</t>
  </si>
  <si>
    <t>Total Interest Incurred</t>
  </si>
  <si>
    <t>Taxable Income (US Greenhouses)</t>
  </si>
  <si>
    <t>Taxable Income</t>
  </si>
  <si>
    <t>Taxes (US Greenhouses)</t>
  </si>
  <si>
    <t>Total Taxes (40%)</t>
  </si>
  <si>
    <t>Net Income (US Greenhouses)</t>
  </si>
  <si>
    <t>Total Net Income</t>
  </si>
  <si>
    <t>Payback Period (US Greenhouses)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</si>
</sst>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"/>
    <numFmt numFmtId="165" formatCode="&quot;$&quot;#,##0.00"/>
    <numFmt numFmtId="166" formatCode="0.000"/>
    <numFmt numFmtId="167" formatCode="0.0%"/>
    <numFmt numFmtId="168" formatCode="0.0"/>
    <numFmt numFmtId="169" formatCode="mmm&quot;-&quot;yyyy"/>
    <numFmt numFmtId="170" formatCode="&quot;$&quot;#,##0.000"/>
  </numFmts>
  <fonts count="2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Inconsolata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D6E3BC"/>
        <bgColor rgb="FFD6E3B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AAAAAA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/>
    <xf numFmtId="0" fontId="1" fillId="0" borderId="0" xfId="0" applyFont="1"/>
    <xf numFmtId="9" fontId="2" fillId="0" borderId="0" xfId="0" applyNumberFormat="1" applyFont="1" applyAlignment="1"/>
    <xf numFmtId="2" fontId="2" fillId="0" borderId="0" xfId="0" applyNumberFormat="1" applyFont="1"/>
    <xf numFmtId="9" fontId="1" fillId="0" borderId="0" xfId="0" applyNumberFormat="1" applyFont="1" applyAlignment="1">
      <alignment horizontal="center"/>
    </xf>
    <xf numFmtId="2" fontId="2" fillId="0" borderId="0" xfId="0" applyNumberFormat="1" applyFont="1" applyAlignment="1"/>
    <xf numFmtId="164" fontId="2" fillId="2" borderId="0" xfId="0" applyNumberFormat="1" applyFont="1" applyFill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4" fillId="4" borderId="0" xfId="0" applyFont="1" applyFill="1" applyAlignment="1">
      <alignment horizontal="center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center"/>
    </xf>
    <xf numFmtId="0" fontId="5" fillId="5" borderId="0" xfId="0" applyFont="1" applyFill="1"/>
    <xf numFmtId="0" fontId="5" fillId="6" borderId="0" xfId="0" applyFont="1" applyFill="1"/>
    <xf numFmtId="0" fontId="6" fillId="0" borderId="0" xfId="0" applyFont="1" applyAlignment="1"/>
    <xf numFmtId="164" fontId="1" fillId="0" borderId="0" xfId="0" applyNumberFormat="1" applyFont="1"/>
    <xf numFmtId="166" fontId="7" fillId="0" borderId="0" xfId="0" applyNumberFormat="1" applyFont="1" applyAlignment="1">
      <alignment horizontal="center"/>
    </xf>
    <xf numFmtId="0" fontId="2" fillId="0" borderId="0" xfId="0" applyFont="1" applyAlignment="1"/>
    <xf numFmtId="1" fontId="2" fillId="0" borderId="0" xfId="0" applyNumberFormat="1" applyFont="1" applyAlignment="1">
      <alignment horizontal="center"/>
    </xf>
    <xf numFmtId="167" fontId="2" fillId="0" borderId="0" xfId="0" applyNumberFormat="1" applyFont="1"/>
    <xf numFmtId="9" fontId="2" fillId="0" borderId="0" xfId="0" applyNumberFormat="1" applyFont="1"/>
    <xf numFmtId="168" fontId="1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0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8" fillId="0" borderId="0" xfId="0" applyFont="1" applyAlignment="1"/>
    <xf numFmtId="9" fontId="2" fillId="0" borderId="0" xfId="0" applyNumberFormat="1" applyFont="1" applyAlignment="1">
      <alignment horizontal="center"/>
    </xf>
    <xf numFmtId="9" fontId="9" fillId="0" borderId="0" xfId="0" applyNumberFormat="1" applyFont="1"/>
    <xf numFmtId="0" fontId="10" fillId="7" borderId="0" xfId="0" applyFont="1" applyFill="1" applyAlignment="1">
      <alignment horizontal="center"/>
    </xf>
    <xf numFmtId="0" fontId="11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>
      <alignment horizontal="center"/>
    </xf>
    <xf numFmtId="164" fontId="1" fillId="0" borderId="0" xfId="0" applyNumberFormat="1" applyFont="1"/>
    <xf numFmtId="0" fontId="9" fillId="0" borderId="0" xfId="0" applyFont="1" applyAlignment="1"/>
    <xf numFmtId="10" fontId="9" fillId="0" borderId="0" xfId="0" applyNumberFormat="1" applyFont="1"/>
    <xf numFmtId="0" fontId="0" fillId="0" borderId="1" xfId="0" applyFont="1" applyBorder="1" applyAlignment="1">
      <alignment vertical="top"/>
    </xf>
    <xf numFmtId="0" fontId="6" fillId="0" borderId="2" xfId="0" applyFont="1" applyBorder="1" applyAlignment="1"/>
    <xf numFmtId="169" fontId="6" fillId="0" borderId="3" xfId="0" applyNumberFormat="1" applyFont="1" applyBorder="1" applyAlignment="1"/>
    <xf numFmtId="0" fontId="12" fillId="7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vertical="top"/>
    </xf>
    <xf numFmtId="0" fontId="6" fillId="0" borderId="0" xfId="0" applyFont="1" applyAlignment="1"/>
    <xf numFmtId="168" fontId="2" fillId="0" borderId="0" xfId="0" applyNumberFormat="1" applyFont="1"/>
    <xf numFmtId="0" fontId="14" fillId="0" borderId="1" xfId="0" applyFont="1" applyBorder="1" applyAlignment="1">
      <alignment vertical="top"/>
    </xf>
    <xf numFmtId="166" fontId="2" fillId="0" borderId="0" xfId="0" applyNumberFormat="1" applyFont="1" applyAlignment="1"/>
    <xf numFmtId="164" fontId="6" fillId="0" borderId="0" xfId="0" applyNumberFormat="1" applyFont="1" applyAlignment="1"/>
    <xf numFmtId="164" fontId="14" fillId="0" borderId="0" xfId="0" applyNumberFormat="1" applyFont="1" applyAlignment="1">
      <alignment horizontal="right" vertical="top"/>
    </xf>
    <xf numFmtId="0" fontId="15" fillId="5" borderId="0" xfId="0" applyFont="1" applyFill="1" applyAlignment="1"/>
    <xf numFmtId="170" fontId="2" fillId="0" borderId="0" xfId="0" applyNumberFormat="1" applyFont="1"/>
    <xf numFmtId="165" fontId="2" fillId="0" borderId="0" xfId="0" applyNumberFormat="1" applyFont="1" applyAlignment="1"/>
    <xf numFmtId="164" fontId="10" fillId="5" borderId="0" xfId="0" applyNumberFormat="1" applyFont="1" applyFill="1"/>
    <xf numFmtId="0" fontId="16" fillId="0" borderId="1" xfId="0" applyFont="1" applyBorder="1" applyAlignment="1">
      <alignment vertical="top"/>
    </xf>
    <xf numFmtId="170" fontId="2" fillId="0" borderId="0" xfId="0" applyNumberFormat="1" applyFont="1" applyAlignment="1"/>
    <xf numFmtId="164" fontId="16" fillId="0" borderId="0" xfId="0" applyNumberFormat="1" applyFont="1" applyAlignment="1">
      <alignment horizontal="right" vertical="top"/>
    </xf>
    <xf numFmtId="0" fontId="17" fillId="0" borderId="0" xfId="0" applyFont="1" applyAlignment="1"/>
    <xf numFmtId="165" fontId="2" fillId="0" borderId="0" xfId="0" applyNumberFormat="1" applyFont="1"/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164" fontId="16" fillId="0" borderId="0" xfId="0" applyNumberFormat="1" applyFont="1" applyAlignment="1">
      <alignment horizontal="right" vertical="top"/>
    </xf>
    <xf numFmtId="164" fontId="6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65" fontId="2" fillId="0" borderId="0" xfId="0" applyNumberFormat="1" applyFont="1"/>
    <xf numFmtId="165" fontId="1" fillId="0" borderId="0" xfId="0" applyNumberFormat="1" applyFont="1"/>
    <xf numFmtId="164" fontId="6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0" fontId="14" fillId="0" borderId="1" xfId="0" applyFont="1" applyBorder="1" applyAlignment="1">
      <alignment vertical="top"/>
    </xf>
    <xf numFmtId="164" fontId="1" fillId="0" borderId="0" xfId="0" applyNumberFormat="1" applyFont="1" applyAlignment="1"/>
    <xf numFmtId="0" fontId="18" fillId="0" borderId="0" xfId="0" applyFont="1" applyAlignment="1"/>
    <xf numFmtId="0" fontId="18" fillId="0" borderId="0" xfId="0" applyFont="1" applyAlignment="1"/>
    <xf numFmtId="166" fontId="2" fillId="0" borderId="0" xfId="0" applyNumberFormat="1" applyFont="1"/>
    <xf numFmtId="0" fontId="6" fillId="0" borderId="6" xfId="0" applyFont="1" applyBorder="1" applyAlignment="1"/>
    <xf numFmtId="0" fontId="13" fillId="8" borderId="5" xfId="0" applyFont="1" applyFill="1" applyBorder="1" applyAlignment="1">
      <alignment vertical="top"/>
    </xf>
    <xf numFmtId="0" fontId="6" fillId="0" borderId="1" xfId="0" applyFont="1" applyBorder="1" applyAlignment="1"/>
    <xf numFmtId="164" fontId="7" fillId="0" borderId="0" xfId="0" applyNumberFormat="1" applyFont="1" applyAlignment="1">
      <alignment horizontal="right"/>
    </xf>
    <xf numFmtId="0" fontId="19" fillId="5" borderId="0" xfId="0" applyFont="1" applyFill="1" applyAlignment="1"/>
    <xf numFmtId="0" fontId="6" fillId="0" borderId="0" xfId="0" applyFont="1" applyBorder="1" applyAlignment="1"/>
    <xf numFmtId="164" fontId="7" fillId="9" borderId="0" xfId="0" applyNumberFormat="1" applyFont="1" applyFill="1" applyAlignment="1">
      <alignment horizontal="right"/>
    </xf>
    <xf numFmtId="165" fontId="6" fillId="0" borderId="0" xfId="0" applyNumberFormat="1" applyFont="1" applyBorder="1" applyAlignment="1"/>
    <xf numFmtId="0" fontId="2" fillId="9" borderId="0" xfId="0" applyFont="1" applyFill="1" applyAlignment="1"/>
    <xf numFmtId="0" fontId="14" fillId="8" borderId="0" xfId="0" applyFont="1" applyFill="1" applyBorder="1" applyAlignment="1"/>
    <xf numFmtId="164" fontId="10" fillId="5" borderId="0" xfId="0" applyNumberFormat="1" applyFont="1" applyFill="1"/>
    <xf numFmtId="164" fontId="6" fillId="0" borderId="0" xfId="0" applyNumberFormat="1" applyFont="1" applyAlignment="1">
      <alignment horizontal="right"/>
    </xf>
    <xf numFmtId="165" fontId="14" fillId="8" borderId="0" xfId="0" applyNumberFormat="1" applyFont="1" applyFill="1" applyBorder="1" applyAlignment="1">
      <alignment horizontal="right"/>
    </xf>
    <xf numFmtId="0" fontId="19" fillId="4" borderId="0" xfId="0" applyFont="1" applyFill="1" applyAlignment="1"/>
    <xf numFmtId="0" fontId="14" fillId="8" borderId="0" xfId="0" applyFont="1" applyFill="1" applyBorder="1" applyAlignment="1"/>
    <xf numFmtId="164" fontId="10" fillId="4" borderId="0" xfId="0" applyNumberFormat="1" applyFont="1" applyFill="1"/>
    <xf numFmtId="10" fontId="14" fillId="8" borderId="0" xfId="0" applyNumberFormat="1" applyFont="1" applyFill="1" applyBorder="1" applyAlignment="1">
      <alignment horizontal="right"/>
    </xf>
    <xf numFmtId="0" fontId="14" fillId="8" borderId="0" xfId="0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14" fillId="8" borderId="0" xfId="0" applyNumberFormat="1" applyFont="1" applyFill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16" fillId="0" borderId="0" xfId="0" applyFont="1" applyAlignment="1">
      <alignment vertical="top"/>
    </xf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Font="1" applyAlignment="1"/>
    <xf numFmtId="168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2" fillId="0" borderId="0" xfId="0" applyNumberFormat="1" applyFont="1"/>
    <xf numFmtId="164" fontId="20" fillId="10" borderId="0" xfId="0" applyNumberFormat="1" applyFont="1" applyFill="1"/>
    <xf numFmtId="0" fontId="20" fillId="10" borderId="0" xfId="0" applyFont="1" applyFill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e%20of%20Funds%20(US%20Growth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mortization%20Table%20(FSA%20Operating%20Loan%20SF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of Funds (US Growth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tion Table (FSA Operat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/>
  </sheetViews>
  <sheetFormatPr baseColWidth="10" defaultColWidth="14.5" defaultRowHeight="15.75" customHeight="1" x14ac:dyDescent="0.15"/>
  <cols>
    <col min="1" max="1" width="39.83203125" customWidth="1"/>
    <col min="3" max="3" width="4.6640625" customWidth="1"/>
    <col min="4" max="4" width="40" customWidth="1"/>
    <col min="6" max="6" width="5.83203125" customWidth="1"/>
    <col min="7" max="7" width="40" customWidth="1"/>
  </cols>
  <sheetData>
    <row r="1" spans="1:8" ht="15.75" customHeight="1" x14ac:dyDescent="0.15">
      <c r="A1" s="1" t="s">
        <v>0</v>
      </c>
    </row>
    <row r="3" spans="1:8" ht="15.75" customHeight="1" x14ac:dyDescent="0.15">
      <c r="A3" s="1" t="s">
        <v>1</v>
      </c>
      <c r="D3" s="1" t="s">
        <v>2</v>
      </c>
      <c r="G3" s="1" t="s">
        <v>7</v>
      </c>
    </row>
    <row r="4" spans="1:8" ht="15.75" customHeight="1" x14ac:dyDescent="0.15">
      <c r="A4" s="5" t="s">
        <v>8</v>
      </c>
      <c r="B4" s="2">
        <v>32</v>
      </c>
      <c r="D4" s="5" t="s">
        <v>8</v>
      </c>
      <c r="E4" s="2">
        <v>32</v>
      </c>
      <c r="G4" s="5" t="s">
        <v>8</v>
      </c>
      <c r="H4" s="2">
        <v>32</v>
      </c>
    </row>
    <row r="5" spans="1:8" ht="15.75" customHeight="1" x14ac:dyDescent="0.15">
      <c r="A5" s="5" t="s">
        <v>14</v>
      </c>
      <c r="B5" s="2">
        <v>10</v>
      </c>
      <c r="D5" s="5" t="s">
        <v>14</v>
      </c>
      <c r="E5" s="2">
        <v>10</v>
      </c>
      <c r="G5" s="5" t="s">
        <v>14</v>
      </c>
      <c r="H5" s="2">
        <v>10</v>
      </c>
    </row>
    <row r="6" spans="1:8" ht="15.75" customHeight="1" x14ac:dyDescent="0.15">
      <c r="A6" s="5" t="s">
        <v>15</v>
      </c>
      <c r="B6" s="2">
        <v>6</v>
      </c>
      <c r="D6" s="5" t="s">
        <v>15</v>
      </c>
      <c r="E6" s="2">
        <v>18</v>
      </c>
      <c r="G6" s="5" t="s">
        <v>15</v>
      </c>
      <c r="H6" s="2">
        <v>54</v>
      </c>
    </row>
    <row r="7" spans="1:8" ht="15.75" customHeight="1" x14ac:dyDescent="0.15">
      <c r="A7" s="5" t="s">
        <v>16</v>
      </c>
      <c r="B7" s="2">
        <v>24</v>
      </c>
      <c r="D7" s="5" t="s">
        <v>16</v>
      </c>
      <c r="E7" s="2">
        <f>E6*4</f>
        <v>72</v>
      </c>
      <c r="G7" s="5" t="s">
        <v>16</v>
      </c>
      <c r="H7" s="2">
        <f>H6*4</f>
        <v>216</v>
      </c>
    </row>
    <row r="8" spans="1:8" ht="15.75" customHeight="1" x14ac:dyDescent="0.15">
      <c r="A8" s="1" t="s">
        <v>19</v>
      </c>
      <c r="B8" s="8">
        <f>B4*B5*B6*B7</f>
        <v>46080</v>
      </c>
      <c r="D8" s="1" t="s">
        <v>19</v>
      </c>
      <c r="E8" s="8">
        <f>E4*E5*E6*E7</f>
        <v>414720</v>
      </c>
      <c r="G8" s="1" t="s">
        <v>19</v>
      </c>
      <c r="H8" s="8">
        <f>H4*H5*H6*H7</f>
        <v>3732480</v>
      </c>
    </row>
    <row r="9" spans="1:8" ht="15.75" customHeight="1" x14ac:dyDescent="0.15">
      <c r="A9" s="1" t="s">
        <v>28</v>
      </c>
      <c r="B9" s="8">
        <f>110</f>
        <v>110</v>
      </c>
      <c r="D9" s="1" t="s">
        <v>28</v>
      </c>
      <c r="E9" s="8">
        <f>110</f>
        <v>110</v>
      </c>
      <c r="G9" s="1" t="s">
        <v>28</v>
      </c>
      <c r="H9" s="8">
        <f>110</f>
        <v>110</v>
      </c>
    </row>
    <row r="10" spans="1:8" ht="15.75" customHeight="1" x14ac:dyDescent="0.15">
      <c r="A10" s="1" t="s">
        <v>37</v>
      </c>
      <c r="B10" s="8">
        <f>B9*(B7+B6)</f>
        <v>3300</v>
      </c>
      <c r="D10" s="1" t="s">
        <v>40</v>
      </c>
      <c r="E10" s="8">
        <f>E9*(E7+E6)</f>
        <v>9900</v>
      </c>
      <c r="G10" s="1" t="s">
        <v>41</v>
      </c>
      <c r="H10" s="8">
        <f>H9*(H7+H6)</f>
        <v>29700</v>
      </c>
    </row>
    <row r="12" spans="1:8" ht="15.75" customHeight="1" x14ac:dyDescent="0.15">
      <c r="A12" s="1" t="s">
        <v>42</v>
      </c>
      <c r="D12" s="1" t="s">
        <v>42</v>
      </c>
      <c r="G12" s="1" t="s">
        <v>42</v>
      </c>
    </row>
    <row r="13" spans="1:8" ht="15.75" customHeight="1" x14ac:dyDescent="0.15">
      <c r="A13" s="2" t="s">
        <v>44</v>
      </c>
      <c r="B13" s="12">
        <v>12</v>
      </c>
      <c r="D13" s="2" t="s">
        <v>44</v>
      </c>
      <c r="E13" s="12">
        <f>E7/2</f>
        <v>36</v>
      </c>
      <c r="G13" s="2" t="s">
        <v>44</v>
      </c>
      <c r="H13" s="12">
        <f>H7/2</f>
        <v>108</v>
      </c>
    </row>
    <row r="14" spans="1:8" ht="15.75" customHeight="1" x14ac:dyDescent="0.15">
      <c r="A14" s="2" t="s">
        <v>47</v>
      </c>
      <c r="B14" s="12">
        <v>12</v>
      </c>
      <c r="D14" s="2" t="s">
        <v>47</v>
      </c>
      <c r="E14" s="12">
        <f>E7/2</f>
        <v>36</v>
      </c>
      <c r="G14" s="2" t="s">
        <v>47</v>
      </c>
      <c r="H14" s="12">
        <f>H7/2</f>
        <v>108</v>
      </c>
    </row>
    <row r="15" spans="1:8" ht="15.75" customHeight="1" x14ac:dyDescent="0.15">
      <c r="A15" s="2" t="s">
        <v>51</v>
      </c>
      <c r="B15" s="2">
        <v>3000</v>
      </c>
      <c r="D15" s="2" t="s">
        <v>51</v>
      </c>
      <c r="E15" s="2">
        <v>3000</v>
      </c>
      <c r="G15" s="2" t="s">
        <v>51</v>
      </c>
      <c r="H15" s="2">
        <v>3000</v>
      </c>
    </row>
    <row r="16" spans="1:8" ht="15.75" customHeight="1" x14ac:dyDescent="0.15">
      <c r="A16" s="2" t="s">
        <v>52</v>
      </c>
      <c r="B16" s="2">
        <v>24</v>
      </c>
      <c r="D16" s="2" t="s">
        <v>52</v>
      </c>
      <c r="E16" s="2">
        <v>24</v>
      </c>
      <c r="G16" s="2" t="s">
        <v>52</v>
      </c>
      <c r="H16" s="2">
        <v>24</v>
      </c>
    </row>
    <row r="17" spans="1:8" ht="15.75" customHeight="1" x14ac:dyDescent="0.15">
      <c r="A17" s="2" t="s">
        <v>54</v>
      </c>
      <c r="B17" s="2">
        <v>0.5</v>
      </c>
      <c r="D17" s="2" t="s">
        <v>54</v>
      </c>
      <c r="E17" s="2">
        <v>0.5</v>
      </c>
      <c r="G17" s="2" t="s">
        <v>54</v>
      </c>
      <c r="H17" s="2">
        <v>0.5</v>
      </c>
    </row>
    <row r="18" spans="1:8" ht="15.75" customHeight="1" x14ac:dyDescent="0.15">
      <c r="A18" s="2" t="s">
        <v>56</v>
      </c>
      <c r="B18" s="2">
        <v>0.25</v>
      </c>
      <c r="D18" s="2" t="s">
        <v>56</v>
      </c>
      <c r="E18" s="2">
        <v>0.25</v>
      </c>
      <c r="G18" s="2" t="s">
        <v>56</v>
      </c>
      <c r="H18" s="2">
        <v>0.25</v>
      </c>
    </row>
    <row r="19" spans="1:8" ht="15.75" customHeight="1" x14ac:dyDescent="0.15">
      <c r="A19" s="2" t="s">
        <v>57</v>
      </c>
      <c r="B19">
        <f>B15/B16</f>
        <v>125</v>
      </c>
      <c r="D19" s="2" t="s">
        <v>57</v>
      </c>
      <c r="E19">
        <f>E15/E16</f>
        <v>125</v>
      </c>
      <c r="G19" s="2" t="s">
        <v>57</v>
      </c>
      <c r="H19">
        <f>H15/H16</f>
        <v>125</v>
      </c>
    </row>
    <row r="20" spans="1:8" ht="15.75" customHeight="1" x14ac:dyDescent="0.15">
      <c r="A20" s="2" t="s">
        <v>59</v>
      </c>
      <c r="B20">
        <f>B19*B7</f>
        <v>3000</v>
      </c>
      <c r="D20" s="2" t="s">
        <v>59</v>
      </c>
      <c r="E20">
        <f>E19*E7</f>
        <v>9000</v>
      </c>
      <c r="G20" s="2" t="s">
        <v>59</v>
      </c>
      <c r="H20">
        <f>H19*H7</f>
        <v>27000</v>
      </c>
    </row>
    <row r="21" spans="1:8" ht="15.75" customHeight="1" x14ac:dyDescent="0.15">
      <c r="A21" s="2" t="s">
        <v>71</v>
      </c>
      <c r="B21">
        <f>B20/30</f>
        <v>100</v>
      </c>
      <c r="D21" s="2" t="s">
        <v>71</v>
      </c>
      <c r="E21">
        <f>E20/30</f>
        <v>300</v>
      </c>
      <c r="G21" s="2" t="s">
        <v>71</v>
      </c>
      <c r="H21">
        <f>H20/30</f>
        <v>900</v>
      </c>
    </row>
    <row r="22" spans="1:8" ht="15.75" customHeight="1" x14ac:dyDescent="0.15">
      <c r="A22" s="2" t="s">
        <v>77</v>
      </c>
      <c r="B22" s="25">
        <f>8</f>
        <v>8</v>
      </c>
      <c r="D22" s="2" t="s">
        <v>77</v>
      </c>
      <c r="E22" s="25">
        <f>8</f>
        <v>8</v>
      </c>
      <c r="G22" s="2" t="s">
        <v>77</v>
      </c>
      <c r="H22" s="25">
        <f>8</f>
        <v>8</v>
      </c>
    </row>
    <row r="23" spans="1:8" ht="15.75" customHeight="1" x14ac:dyDescent="0.15">
      <c r="A23" s="2" t="s">
        <v>80</v>
      </c>
      <c r="B23" s="25">
        <v>800</v>
      </c>
      <c r="D23" s="2" t="s">
        <v>80</v>
      </c>
      <c r="E23" s="25">
        <v>800</v>
      </c>
      <c r="G23" s="2" t="s">
        <v>80</v>
      </c>
      <c r="H23" s="25">
        <v>800</v>
      </c>
    </row>
    <row r="24" spans="1:8" ht="15.75" customHeight="1" x14ac:dyDescent="0.15">
      <c r="A24" s="32" t="s">
        <v>81</v>
      </c>
      <c r="B24">
        <f>1120*2.5</f>
        <v>2800</v>
      </c>
      <c r="C24" s="2"/>
      <c r="D24" s="32" t="s">
        <v>81</v>
      </c>
      <c r="E24">
        <f>1120*2.5</f>
        <v>2800</v>
      </c>
      <c r="G24" s="32" t="s">
        <v>81</v>
      </c>
      <c r="H24">
        <f>1120*2.5</f>
        <v>2800</v>
      </c>
    </row>
    <row r="25" spans="1:8" ht="15.75" customHeight="1" x14ac:dyDescent="0.15">
      <c r="A25" s="2" t="s">
        <v>98</v>
      </c>
      <c r="B25" s="2">
        <v>250</v>
      </c>
      <c r="D25" s="2" t="s">
        <v>98</v>
      </c>
      <c r="E25" s="2">
        <v>250</v>
      </c>
      <c r="G25" s="2" t="s">
        <v>98</v>
      </c>
      <c r="H25" s="2">
        <v>250</v>
      </c>
    </row>
    <row r="26" spans="1:8" ht="15.75" customHeight="1" x14ac:dyDescent="0.15">
      <c r="A26" s="1" t="s">
        <v>99</v>
      </c>
      <c r="B26" s="1">
        <f>B15*B17*B13</f>
        <v>18000</v>
      </c>
      <c r="D26" s="1" t="s">
        <v>99</v>
      </c>
      <c r="E26" s="1">
        <f>E15*E17*E13</f>
        <v>54000</v>
      </c>
      <c r="G26" s="1" t="s">
        <v>99</v>
      </c>
      <c r="H26" s="1">
        <f>H15*H17*H13</f>
        <v>162000</v>
      </c>
    </row>
    <row r="27" spans="1:8" ht="15.75" customHeight="1" x14ac:dyDescent="0.15">
      <c r="A27" s="1" t="s">
        <v>102</v>
      </c>
      <c r="B27" s="1">
        <f>B14*B15*B18</f>
        <v>9000</v>
      </c>
      <c r="D27" s="1" t="s">
        <v>102</v>
      </c>
      <c r="E27" s="1">
        <f>E14*E15*E18</f>
        <v>27000</v>
      </c>
      <c r="G27" s="1" t="s">
        <v>102</v>
      </c>
      <c r="H27" s="1">
        <f>H14*H15*H18</f>
        <v>81000</v>
      </c>
    </row>
    <row r="28" spans="1:8" ht="15.75" customHeight="1" x14ac:dyDescent="0.15">
      <c r="A28" s="1" t="s">
        <v>105</v>
      </c>
      <c r="B28" s="36">
        <f>B21/B25</f>
        <v>0.4</v>
      </c>
      <c r="D28" s="1" t="s">
        <v>107</v>
      </c>
      <c r="E28" s="1">
        <f>E21/E25</f>
        <v>1.2</v>
      </c>
      <c r="G28" s="1" t="s">
        <v>109</v>
      </c>
      <c r="H28" s="1">
        <f>H21/H25</f>
        <v>3.6</v>
      </c>
    </row>
    <row r="29" spans="1:8" ht="15.75" customHeight="1" x14ac:dyDescent="0.15">
      <c r="A29" s="2"/>
      <c r="B29" s="2"/>
    </row>
    <row r="30" spans="1:8" ht="15.75" customHeight="1" x14ac:dyDescent="0.15">
      <c r="A30" s="2"/>
      <c r="B3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89"/>
      <c r="B1" s="91"/>
      <c r="C1" s="55"/>
      <c r="D1" s="55"/>
      <c r="E1" s="55"/>
      <c r="F1" s="55"/>
    </row>
    <row r="2" spans="1:6" ht="15.75" customHeight="1" x14ac:dyDescent="0.15">
      <c r="A2" s="93" t="s">
        <v>205</v>
      </c>
      <c r="B2" s="96">
        <v>0</v>
      </c>
      <c r="C2" s="55"/>
      <c r="D2" s="55"/>
      <c r="E2" s="55"/>
      <c r="F2" s="55"/>
    </row>
    <row r="3" spans="1:6" ht="15.75" customHeight="1" x14ac:dyDescent="0.15">
      <c r="A3" s="98" t="s">
        <v>212</v>
      </c>
      <c r="B3" s="100">
        <f>2.25%/12</f>
        <v>1.8749999999999999E-3</v>
      </c>
      <c r="C3" s="55"/>
      <c r="D3" s="55"/>
      <c r="E3" s="55"/>
      <c r="F3" s="55"/>
    </row>
    <row r="4" spans="1:6" ht="15.75" customHeight="1" x14ac:dyDescent="0.15">
      <c r="A4" s="93" t="s">
        <v>213</v>
      </c>
      <c r="B4" s="101">
        <v>84</v>
      </c>
      <c r="C4" s="55"/>
      <c r="D4" s="55"/>
      <c r="E4" s="55"/>
      <c r="F4" s="55"/>
    </row>
    <row r="5" spans="1:6" ht="15.75" customHeight="1" x14ac:dyDescent="0.15">
      <c r="A5" s="93" t="s">
        <v>218</v>
      </c>
      <c r="B5" s="103">
        <f>PMT(B3,B4,B2,0)</f>
        <v>0</v>
      </c>
      <c r="C5" s="55"/>
      <c r="D5" s="55"/>
      <c r="E5" s="55"/>
      <c r="F5" s="55"/>
    </row>
    <row r="6" spans="1:6" ht="15.75" customHeight="1" x14ac:dyDescent="0.15">
      <c r="A6" s="55"/>
      <c r="B6" s="55"/>
      <c r="C6" s="55"/>
      <c r="D6" s="55"/>
      <c r="E6" s="55"/>
      <c r="F6" s="55"/>
    </row>
    <row r="7" spans="1:6" ht="15.75" customHeight="1" x14ac:dyDescent="0.15">
      <c r="A7" s="55"/>
      <c r="B7" s="55"/>
      <c r="C7" s="55"/>
      <c r="D7" s="55"/>
      <c r="E7" s="55"/>
      <c r="F7" s="55"/>
    </row>
    <row r="8" spans="1:6" ht="15.75" customHeight="1" x14ac:dyDescent="0.15">
      <c r="A8" s="104" t="s">
        <v>220</v>
      </c>
      <c r="B8" s="104" t="s">
        <v>222</v>
      </c>
      <c r="C8" s="104" t="s">
        <v>218</v>
      </c>
      <c r="D8" s="104" t="s">
        <v>224</v>
      </c>
      <c r="E8" s="104" t="s">
        <v>225</v>
      </c>
      <c r="F8" s="104" t="s">
        <v>226</v>
      </c>
    </row>
    <row r="9" spans="1:6" ht="15.75" customHeight="1" x14ac:dyDescent="0.15">
      <c r="A9" s="105">
        <v>1</v>
      </c>
      <c r="B9" s="107">
        <f>B2</f>
        <v>0</v>
      </c>
      <c r="C9" s="108">
        <f>B5</f>
        <v>0</v>
      </c>
      <c r="D9" s="108">
        <f>B9*B3</f>
        <v>0</v>
      </c>
      <c r="E9" s="107">
        <f t="shared" ref="E9:E68" si="0">C9+D9</f>
        <v>0</v>
      </c>
      <c r="F9" s="107">
        <f t="shared" ref="F9:F68" si="1">B9+E9</f>
        <v>0</v>
      </c>
    </row>
    <row r="10" spans="1:6" ht="15.75" customHeight="1" x14ac:dyDescent="0.15">
      <c r="A10" s="105">
        <f t="shared" ref="A10:A68" si="2">A9+1</f>
        <v>2</v>
      </c>
      <c r="B10" s="107">
        <f t="shared" ref="B10:B68" si="3">F9</f>
        <v>0</v>
      </c>
      <c r="C10" s="108">
        <f t="shared" ref="C10:C68" si="4">$B$5</f>
        <v>0</v>
      </c>
      <c r="D10" s="108">
        <f t="shared" ref="D10:D68" si="5">B10*$B$3</f>
        <v>0</v>
      </c>
      <c r="E10" s="107">
        <f t="shared" si="0"/>
        <v>0</v>
      </c>
      <c r="F10" s="107">
        <f t="shared" si="1"/>
        <v>0</v>
      </c>
    </row>
    <row r="11" spans="1:6" ht="15.75" customHeight="1" x14ac:dyDescent="0.15">
      <c r="A11" s="105">
        <f t="shared" si="2"/>
        <v>3</v>
      </c>
      <c r="B11" s="107">
        <f t="shared" si="3"/>
        <v>0</v>
      </c>
      <c r="C11" s="108">
        <f t="shared" si="4"/>
        <v>0</v>
      </c>
      <c r="D11" s="108">
        <f t="shared" si="5"/>
        <v>0</v>
      </c>
      <c r="E11" s="107">
        <f t="shared" si="0"/>
        <v>0</v>
      </c>
      <c r="F11" s="107">
        <f t="shared" si="1"/>
        <v>0</v>
      </c>
    </row>
    <row r="12" spans="1:6" ht="15.75" customHeight="1" x14ac:dyDescent="0.15">
      <c r="A12" s="105">
        <f t="shared" si="2"/>
        <v>4</v>
      </c>
      <c r="B12" s="107">
        <f t="shared" si="3"/>
        <v>0</v>
      </c>
      <c r="C12" s="108">
        <f t="shared" si="4"/>
        <v>0</v>
      </c>
      <c r="D12" s="108">
        <f t="shared" si="5"/>
        <v>0</v>
      </c>
      <c r="E12" s="107">
        <f t="shared" si="0"/>
        <v>0</v>
      </c>
      <c r="F12" s="107">
        <f t="shared" si="1"/>
        <v>0</v>
      </c>
    </row>
    <row r="13" spans="1:6" ht="15.75" customHeight="1" x14ac:dyDescent="0.15">
      <c r="A13" s="105">
        <f t="shared" si="2"/>
        <v>5</v>
      </c>
      <c r="B13" s="107">
        <f t="shared" si="3"/>
        <v>0</v>
      </c>
      <c r="C13" s="108">
        <f t="shared" si="4"/>
        <v>0</v>
      </c>
      <c r="D13" s="108">
        <f t="shared" si="5"/>
        <v>0</v>
      </c>
      <c r="E13" s="107">
        <f t="shared" si="0"/>
        <v>0</v>
      </c>
      <c r="F13" s="107">
        <f t="shared" si="1"/>
        <v>0</v>
      </c>
    </row>
    <row r="14" spans="1:6" ht="15.75" customHeight="1" x14ac:dyDescent="0.15">
      <c r="A14" s="105">
        <f t="shared" si="2"/>
        <v>6</v>
      </c>
      <c r="B14" s="107">
        <f t="shared" si="3"/>
        <v>0</v>
      </c>
      <c r="C14" s="108">
        <f t="shared" si="4"/>
        <v>0</v>
      </c>
      <c r="D14" s="108">
        <f t="shared" si="5"/>
        <v>0</v>
      </c>
      <c r="E14" s="107">
        <f t="shared" si="0"/>
        <v>0</v>
      </c>
      <c r="F14" s="107">
        <f t="shared" si="1"/>
        <v>0</v>
      </c>
    </row>
    <row r="15" spans="1:6" ht="15.75" customHeight="1" x14ac:dyDescent="0.15">
      <c r="A15" s="105">
        <f t="shared" si="2"/>
        <v>7</v>
      </c>
      <c r="B15" s="107">
        <f t="shared" si="3"/>
        <v>0</v>
      </c>
      <c r="C15" s="108">
        <f t="shared" si="4"/>
        <v>0</v>
      </c>
      <c r="D15" s="108">
        <f t="shared" si="5"/>
        <v>0</v>
      </c>
      <c r="E15" s="107">
        <f t="shared" si="0"/>
        <v>0</v>
      </c>
      <c r="F15" s="107">
        <f t="shared" si="1"/>
        <v>0</v>
      </c>
    </row>
    <row r="16" spans="1:6" ht="15.75" customHeight="1" x14ac:dyDescent="0.15">
      <c r="A16" s="105">
        <f t="shared" si="2"/>
        <v>8</v>
      </c>
      <c r="B16" s="107">
        <f t="shared" si="3"/>
        <v>0</v>
      </c>
      <c r="C16" s="108">
        <f t="shared" si="4"/>
        <v>0</v>
      </c>
      <c r="D16" s="108">
        <f t="shared" si="5"/>
        <v>0</v>
      </c>
      <c r="E16" s="107">
        <f t="shared" si="0"/>
        <v>0</v>
      </c>
      <c r="F16" s="107">
        <f t="shared" si="1"/>
        <v>0</v>
      </c>
    </row>
    <row r="17" spans="1:6" ht="15.75" customHeight="1" x14ac:dyDescent="0.15">
      <c r="A17" s="105">
        <f t="shared" si="2"/>
        <v>9</v>
      </c>
      <c r="B17" s="107">
        <f t="shared" si="3"/>
        <v>0</v>
      </c>
      <c r="C17" s="108">
        <f t="shared" si="4"/>
        <v>0</v>
      </c>
      <c r="D17" s="108">
        <f t="shared" si="5"/>
        <v>0</v>
      </c>
      <c r="E17" s="107">
        <f t="shared" si="0"/>
        <v>0</v>
      </c>
      <c r="F17" s="107">
        <f t="shared" si="1"/>
        <v>0</v>
      </c>
    </row>
    <row r="18" spans="1:6" ht="15.75" customHeight="1" x14ac:dyDescent="0.15">
      <c r="A18" s="105">
        <f t="shared" si="2"/>
        <v>10</v>
      </c>
      <c r="B18" s="107">
        <f t="shared" si="3"/>
        <v>0</v>
      </c>
      <c r="C18" s="108">
        <f t="shared" si="4"/>
        <v>0</v>
      </c>
      <c r="D18" s="108">
        <f t="shared" si="5"/>
        <v>0</v>
      </c>
      <c r="E18" s="107">
        <f t="shared" si="0"/>
        <v>0</v>
      </c>
      <c r="F18" s="107">
        <f t="shared" si="1"/>
        <v>0</v>
      </c>
    </row>
    <row r="19" spans="1:6" ht="15.75" customHeight="1" x14ac:dyDescent="0.15">
      <c r="A19" s="105">
        <f t="shared" si="2"/>
        <v>11</v>
      </c>
      <c r="B19" s="107">
        <f t="shared" si="3"/>
        <v>0</v>
      </c>
      <c r="C19" s="108">
        <f t="shared" si="4"/>
        <v>0</v>
      </c>
      <c r="D19" s="108">
        <f t="shared" si="5"/>
        <v>0</v>
      </c>
      <c r="E19" s="107">
        <f t="shared" si="0"/>
        <v>0</v>
      </c>
      <c r="F19" s="107">
        <f t="shared" si="1"/>
        <v>0</v>
      </c>
    </row>
    <row r="20" spans="1:6" ht="15.75" customHeight="1" x14ac:dyDescent="0.15">
      <c r="A20" s="105">
        <f t="shared" si="2"/>
        <v>12</v>
      </c>
      <c r="B20" s="107">
        <f t="shared" si="3"/>
        <v>0</v>
      </c>
      <c r="C20" s="108">
        <f t="shared" si="4"/>
        <v>0</v>
      </c>
      <c r="D20" s="108">
        <f t="shared" si="5"/>
        <v>0</v>
      </c>
      <c r="E20" s="107">
        <f t="shared" si="0"/>
        <v>0</v>
      </c>
      <c r="F20" s="107">
        <f t="shared" si="1"/>
        <v>0</v>
      </c>
    </row>
    <row r="21" spans="1:6" ht="15.75" customHeight="1" x14ac:dyDescent="0.15">
      <c r="A21" s="105">
        <f t="shared" si="2"/>
        <v>13</v>
      </c>
      <c r="B21" s="107">
        <f t="shared" si="3"/>
        <v>0</v>
      </c>
      <c r="C21" s="108">
        <f t="shared" si="4"/>
        <v>0</v>
      </c>
      <c r="D21" s="108">
        <f t="shared" si="5"/>
        <v>0</v>
      </c>
      <c r="E21" s="107">
        <f t="shared" si="0"/>
        <v>0</v>
      </c>
      <c r="F21" s="107">
        <f t="shared" si="1"/>
        <v>0</v>
      </c>
    </row>
    <row r="22" spans="1:6" ht="15.75" customHeight="1" x14ac:dyDescent="0.15">
      <c r="A22" s="105">
        <f t="shared" si="2"/>
        <v>14</v>
      </c>
      <c r="B22" s="107">
        <f t="shared" si="3"/>
        <v>0</v>
      </c>
      <c r="C22" s="108">
        <f t="shared" si="4"/>
        <v>0</v>
      </c>
      <c r="D22" s="108">
        <f t="shared" si="5"/>
        <v>0</v>
      </c>
      <c r="E22" s="107">
        <f t="shared" si="0"/>
        <v>0</v>
      </c>
      <c r="F22" s="107">
        <f t="shared" si="1"/>
        <v>0</v>
      </c>
    </row>
    <row r="23" spans="1:6" ht="15.75" customHeight="1" x14ac:dyDescent="0.15">
      <c r="A23" s="105">
        <f t="shared" si="2"/>
        <v>15</v>
      </c>
      <c r="B23" s="107">
        <f t="shared" si="3"/>
        <v>0</v>
      </c>
      <c r="C23" s="108">
        <f t="shared" si="4"/>
        <v>0</v>
      </c>
      <c r="D23" s="108">
        <f t="shared" si="5"/>
        <v>0</v>
      </c>
      <c r="E23" s="107">
        <f t="shared" si="0"/>
        <v>0</v>
      </c>
      <c r="F23" s="107">
        <f t="shared" si="1"/>
        <v>0</v>
      </c>
    </row>
    <row r="24" spans="1:6" ht="15.75" customHeight="1" x14ac:dyDescent="0.15">
      <c r="A24" s="105">
        <f t="shared" si="2"/>
        <v>16</v>
      </c>
      <c r="B24" s="107">
        <f t="shared" si="3"/>
        <v>0</v>
      </c>
      <c r="C24" s="108">
        <f t="shared" si="4"/>
        <v>0</v>
      </c>
      <c r="D24" s="108">
        <f t="shared" si="5"/>
        <v>0</v>
      </c>
      <c r="E24" s="107">
        <f t="shared" si="0"/>
        <v>0</v>
      </c>
      <c r="F24" s="107">
        <f t="shared" si="1"/>
        <v>0</v>
      </c>
    </row>
    <row r="25" spans="1:6" ht="15.75" customHeight="1" x14ac:dyDescent="0.15">
      <c r="A25" s="105">
        <f t="shared" si="2"/>
        <v>17</v>
      </c>
      <c r="B25" s="107">
        <f t="shared" si="3"/>
        <v>0</v>
      </c>
      <c r="C25" s="108">
        <f t="shared" si="4"/>
        <v>0</v>
      </c>
      <c r="D25" s="108">
        <f t="shared" si="5"/>
        <v>0</v>
      </c>
      <c r="E25" s="107">
        <f t="shared" si="0"/>
        <v>0</v>
      </c>
      <c r="F25" s="107">
        <f t="shared" si="1"/>
        <v>0</v>
      </c>
    </row>
    <row r="26" spans="1:6" ht="15.75" customHeight="1" x14ac:dyDescent="0.15">
      <c r="A26" s="105">
        <f t="shared" si="2"/>
        <v>18</v>
      </c>
      <c r="B26" s="107">
        <f t="shared" si="3"/>
        <v>0</v>
      </c>
      <c r="C26" s="108">
        <f t="shared" si="4"/>
        <v>0</v>
      </c>
      <c r="D26" s="108">
        <f t="shared" si="5"/>
        <v>0</v>
      </c>
      <c r="E26" s="107">
        <f t="shared" si="0"/>
        <v>0</v>
      </c>
      <c r="F26" s="107">
        <f t="shared" si="1"/>
        <v>0</v>
      </c>
    </row>
    <row r="27" spans="1:6" ht="15.75" customHeight="1" x14ac:dyDescent="0.15">
      <c r="A27" s="105">
        <f t="shared" si="2"/>
        <v>19</v>
      </c>
      <c r="B27" s="107">
        <f t="shared" si="3"/>
        <v>0</v>
      </c>
      <c r="C27" s="108">
        <f t="shared" si="4"/>
        <v>0</v>
      </c>
      <c r="D27" s="108">
        <f t="shared" si="5"/>
        <v>0</v>
      </c>
      <c r="E27" s="107">
        <f t="shared" si="0"/>
        <v>0</v>
      </c>
      <c r="F27" s="107">
        <f t="shared" si="1"/>
        <v>0</v>
      </c>
    </row>
    <row r="28" spans="1:6" ht="15.75" customHeight="1" x14ac:dyDescent="0.15">
      <c r="A28" s="105">
        <f t="shared" si="2"/>
        <v>20</v>
      </c>
      <c r="B28" s="107">
        <f t="shared" si="3"/>
        <v>0</v>
      </c>
      <c r="C28" s="108">
        <f t="shared" si="4"/>
        <v>0</v>
      </c>
      <c r="D28" s="108">
        <f t="shared" si="5"/>
        <v>0</v>
      </c>
      <c r="E28" s="107">
        <f t="shared" si="0"/>
        <v>0</v>
      </c>
      <c r="F28" s="107">
        <f t="shared" si="1"/>
        <v>0</v>
      </c>
    </row>
    <row r="29" spans="1:6" ht="15.75" customHeight="1" x14ac:dyDescent="0.15">
      <c r="A29" s="105">
        <f t="shared" si="2"/>
        <v>21</v>
      </c>
      <c r="B29" s="107">
        <f t="shared" si="3"/>
        <v>0</v>
      </c>
      <c r="C29" s="108">
        <f t="shared" si="4"/>
        <v>0</v>
      </c>
      <c r="D29" s="108">
        <f t="shared" si="5"/>
        <v>0</v>
      </c>
      <c r="E29" s="107">
        <f t="shared" si="0"/>
        <v>0</v>
      </c>
      <c r="F29" s="107">
        <f t="shared" si="1"/>
        <v>0</v>
      </c>
    </row>
    <row r="30" spans="1:6" ht="15.75" customHeight="1" x14ac:dyDescent="0.15">
      <c r="A30" s="105">
        <f t="shared" si="2"/>
        <v>22</v>
      </c>
      <c r="B30" s="107">
        <f t="shared" si="3"/>
        <v>0</v>
      </c>
      <c r="C30" s="108">
        <f t="shared" si="4"/>
        <v>0</v>
      </c>
      <c r="D30" s="108">
        <f t="shared" si="5"/>
        <v>0</v>
      </c>
      <c r="E30" s="107">
        <f t="shared" si="0"/>
        <v>0</v>
      </c>
      <c r="F30" s="107">
        <f t="shared" si="1"/>
        <v>0</v>
      </c>
    </row>
    <row r="31" spans="1:6" ht="15.75" customHeight="1" x14ac:dyDescent="0.15">
      <c r="A31" s="105">
        <f t="shared" si="2"/>
        <v>23</v>
      </c>
      <c r="B31" s="107">
        <f t="shared" si="3"/>
        <v>0</v>
      </c>
      <c r="C31" s="108">
        <f t="shared" si="4"/>
        <v>0</v>
      </c>
      <c r="D31" s="108">
        <f t="shared" si="5"/>
        <v>0</v>
      </c>
      <c r="E31" s="107">
        <f t="shared" si="0"/>
        <v>0</v>
      </c>
      <c r="F31" s="107">
        <f t="shared" si="1"/>
        <v>0</v>
      </c>
    </row>
    <row r="32" spans="1:6" ht="15.75" customHeight="1" x14ac:dyDescent="0.15">
      <c r="A32" s="105">
        <f t="shared" si="2"/>
        <v>24</v>
      </c>
      <c r="B32" s="107">
        <f t="shared" si="3"/>
        <v>0</v>
      </c>
      <c r="C32" s="108">
        <f t="shared" si="4"/>
        <v>0</v>
      </c>
      <c r="D32" s="108">
        <f t="shared" si="5"/>
        <v>0</v>
      </c>
      <c r="E32" s="107">
        <f t="shared" si="0"/>
        <v>0</v>
      </c>
      <c r="F32" s="107">
        <f t="shared" si="1"/>
        <v>0</v>
      </c>
    </row>
    <row r="33" spans="1:6" ht="15.75" customHeight="1" x14ac:dyDescent="0.15">
      <c r="A33" s="105">
        <f t="shared" si="2"/>
        <v>25</v>
      </c>
      <c r="B33" s="107">
        <f t="shared" si="3"/>
        <v>0</v>
      </c>
      <c r="C33" s="108">
        <f t="shared" si="4"/>
        <v>0</v>
      </c>
      <c r="D33" s="108">
        <f t="shared" si="5"/>
        <v>0</v>
      </c>
      <c r="E33" s="107">
        <f t="shared" si="0"/>
        <v>0</v>
      </c>
      <c r="F33" s="107">
        <f t="shared" si="1"/>
        <v>0</v>
      </c>
    </row>
    <row r="34" spans="1:6" ht="15.75" customHeight="1" x14ac:dyDescent="0.15">
      <c r="A34" s="105">
        <f t="shared" si="2"/>
        <v>26</v>
      </c>
      <c r="B34" s="107">
        <f t="shared" si="3"/>
        <v>0</v>
      </c>
      <c r="C34" s="108">
        <f t="shared" si="4"/>
        <v>0</v>
      </c>
      <c r="D34" s="108">
        <f t="shared" si="5"/>
        <v>0</v>
      </c>
      <c r="E34" s="107">
        <f t="shared" si="0"/>
        <v>0</v>
      </c>
      <c r="F34" s="107">
        <f t="shared" si="1"/>
        <v>0</v>
      </c>
    </row>
    <row r="35" spans="1:6" ht="15.75" customHeight="1" x14ac:dyDescent="0.15">
      <c r="A35" s="105">
        <f t="shared" si="2"/>
        <v>27</v>
      </c>
      <c r="B35" s="107">
        <f t="shared" si="3"/>
        <v>0</v>
      </c>
      <c r="C35" s="108">
        <f t="shared" si="4"/>
        <v>0</v>
      </c>
      <c r="D35" s="108">
        <f t="shared" si="5"/>
        <v>0</v>
      </c>
      <c r="E35" s="107">
        <f t="shared" si="0"/>
        <v>0</v>
      </c>
      <c r="F35" s="107">
        <f t="shared" si="1"/>
        <v>0</v>
      </c>
    </row>
    <row r="36" spans="1:6" ht="15.75" customHeight="1" x14ac:dyDescent="0.15">
      <c r="A36" s="105">
        <f t="shared" si="2"/>
        <v>28</v>
      </c>
      <c r="B36" s="107">
        <f t="shared" si="3"/>
        <v>0</v>
      </c>
      <c r="C36" s="108">
        <f t="shared" si="4"/>
        <v>0</v>
      </c>
      <c r="D36" s="108">
        <f t="shared" si="5"/>
        <v>0</v>
      </c>
      <c r="E36" s="107">
        <f t="shared" si="0"/>
        <v>0</v>
      </c>
      <c r="F36" s="107">
        <f t="shared" si="1"/>
        <v>0</v>
      </c>
    </row>
    <row r="37" spans="1:6" ht="15.75" customHeight="1" x14ac:dyDescent="0.15">
      <c r="A37" s="105">
        <f t="shared" si="2"/>
        <v>29</v>
      </c>
      <c r="B37" s="107">
        <f t="shared" si="3"/>
        <v>0</v>
      </c>
      <c r="C37" s="108">
        <f t="shared" si="4"/>
        <v>0</v>
      </c>
      <c r="D37" s="108">
        <f t="shared" si="5"/>
        <v>0</v>
      </c>
      <c r="E37" s="107">
        <f t="shared" si="0"/>
        <v>0</v>
      </c>
      <c r="F37" s="107">
        <f t="shared" si="1"/>
        <v>0</v>
      </c>
    </row>
    <row r="38" spans="1:6" ht="15.75" customHeight="1" x14ac:dyDescent="0.15">
      <c r="A38" s="105">
        <f t="shared" si="2"/>
        <v>30</v>
      </c>
      <c r="B38" s="107">
        <f t="shared" si="3"/>
        <v>0</v>
      </c>
      <c r="C38" s="108">
        <f t="shared" si="4"/>
        <v>0</v>
      </c>
      <c r="D38" s="108">
        <f t="shared" si="5"/>
        <v>0</v>
      </c>
      <c r="E38" s="107">
        <f t="shared" si="0"/>
        <v>0</v>
      </c>
      <c r="F38" s="107">
        <f t="shared" si="1"/>
        <v>0</v>
      </c>
    </row>
    <row r="39" spans="1:6" ht="15.75" customHeight="1" x14ac:dyDescent="0.15">
      <c r="A39" s="105">
        <f t="shared" si="2"/>
        <v>31</v>
      </c>
      <c r="B39" s="107">
        <f t="shared" si="3"/>
        <v>0</v>
      </c>
      <c r="C39" s="108">
        <f t="shared" si="4"/>
        <v>0</v>
      </c>
      <c r="D39" s="108">
        <f t="shared" si="5"/>
        <v>0</v>
      </c>
      <c r="E39" s="107">
        <f t="shared" si="0"/>
        <v>0</v>
      </c>
      <c r="F39" s="107">
        <f t="shared" si="1"/>
        <v>0</v>
      </c>
    </row>
    <row r="40" spans="1:6" ht="15.75" customHeight="1" x14ac:dyDescent="0.15">
      <c r="A40" s="105">
        <f t="shared" si="2"/>
        <v>32</v>
      </c>
      <c r="B40" s="107">
        <f t="shared" si="3"/>
        <v>0</v>
      </c>
      <c r="C40" s="108">
        <f t="shared" si="4"/>
        <v>0</v>
      </c>
      <c r="D40" s="108">
        <f t="shared" si="5"/>
        <v>0</v>
      </c>
      <c r="E40" s="107">
        <f t="shared" si="0"/>
        <v>0</v>
      </c>
      <c r="F40" s="107">
        <f t="shared" si="1"/>
        <v>0</v>
      </c>
    </row>
    <row r="41" spans="1:6" ht="15.75" customHeight="1" x14ac:dyDescent="0.15">
      <c r="A41" s="105">
        <f t="shared" si="2"/>
        <v>33</v>
      </c>
      <c r="B41" s="107">
        <f t="shared" si="3"/>
        <v>0</v>
      </c>
      <c r="C41" s="108">
        <f t="shared" si="4"/>
        <v>0</v>
      </c>
      <c r="D41" s="108">
        <f t="shared" si="5"/>
        <v>0</v>
      </c>
      <c r="E41" s="107">
        <f t="shared" si="0"/>
        <v>0</v>
      </c>
      <c r="F41" s="107">
        <f t="shared" si="1"/>
        <v>0</v>
      </c>
    </row>
    <row r="42" spans="1:6" ht="15.75" customHeight="1" x14ac:dyDescent="0.15">
      <c r="A42" s="105">
        <f t="shared" si="2"/>
        <v>34</v>
      </c>
      <c r="B42" s="107">
        <f t="shared" si="3"/>
        <v>0</v>
      </c>
      <c r="C42" s="108">
        <f t="shared" si="4"/>
        <v>0</v>
      </c>
      <c r="D42" s="108">
        <f t="shared" si="5"/>
        <v>0</v>
      </c>
      <c r="E42" s="107">
        <f t="shared" si="0"/>
        <v>0</v>
      </c>
      <c r="F42" s="107">
        <f t="shared" si="1"/>
        <v>0</v>
      </c>
    </row>
    <row r="43" spans="1:6" ht="15.75" customHeight="1" x14ac:dyDescent="0.15">
      <c r="A43" s="105">
        <f t="shared" si="2"/>
        <v>35</v>
      </c>
      <c r="B43" s="107">
        <f t="shared" si="3"/>
        <v>0</v>
      </c>
      <c r="C43" s="108">
        <f t="shared" si="4"/>
        <v>0</v>
      </c>
      <c r="D43" s="108">
        <f t="shared" si="5"/>
        <v>0</v>
      </c>
      <c r="E43" s="107">
        <f t="shared" si="0"/>
        <v>0</v>
      </c>
      <c r="F43" s="107">
        <f t="shared" si="1"/>
        <v>0</v>
      </c>
    </row>
    <row r="44" spans="1:6" ht="15.75" customHeight="1" x14ac:dyDescent="0.15">
      <c r="A44" s="105">
        <f t="shared" si="2"/>
        <v>36</v>
      </c>
      <c r="B44" s="107">
        <f t="shared" si="3"/>
        <v>0</v>
      </c>
      <c r="C44" s="108">
        <f t="shared" si="4"/>
        <v>0</v>
      </c>
      <c r="D44" s="108">
        <f t="shared" si="5"/>
        <v>0</v>
      </c>
      <c r="E44" s="107">
        <f t="shared" si="0"/>
        <v>0</v>
      </c>
      <c r="F44" s="107">
        <f t="shared" si="1"/>
        <v>0</v>
      </c>
    </row>
    <row r="45" spans="1:6" ht="15.75" customHeight="1" x14ac:dyDescent="0.15">
      <c r="A45" s="105">
        <f t="shared" si="2"/>
        <v>37</v>
      </c>
      <c r="B45" s="107">
        <f t="shared" si="3"/>
        <v>0</v>
      </c>
      <c r="C45" s="108">
        <f t="shared" si="4"/>
        <v>0</v>
      </c>
      <c r="D45" s="108">
        <f t="shared" si="5"/>
        <v>0</v>
      </c>
      <c r="E45" s="107">
        <f t="shared" si="0"/>
        <v>0</v>
      </c>
      <c r="F45" s="107">
        <f t="shared" si="1"/>
        <v>0</v>
      </c>
    </row>
    <row r="46" spans="1:6" ht="15.75" customHeight="1" x14ac:dyDescent="0.15">
      <c r="A46" s="105">
        <f t="shared" si="2"/>
        <v>38</v>
      </c>
      <c r="B46" s="107">
        <f t="shared" si="3"/>
        <v>0</v>
      </c>
      <c r="C46" s="108">
        <f t="shared" si="4"/>
        <v>0</v>
      </c>
      <c r="D46" s="108">
        <f t="shared" si="5"/>
        <v>0</v>
      </c>
      <c r="E46" s="107">
        <f t="shared" si="0"/>
        <v>0</v>
      </c>
      <c r="F46" s="107">
        <f t="shared" si="1"/>
        <v>0</v>
      </c>
    </row>
    <row r="47" spans="1:6" ht="15.75" customHeight="1" x14ac:dyDescent="0.15">
      <c r="A47" s="105">
        <f t="shared" si="2"/>
        <v>39</v>
      </c>
      <c r="B47" s="107">
        <f t="shared" si="3"/>
        <v>0</v>
      </c>
      <c r="C47" s="108">
        <f t="shared" si="4"/>
        <v>0</v>
      </c>
      <c r="D47" s="108">
        <f t="shared" si="5"/>
        <v>0</v>
      </c>
      <c r="E47" s="107">
        <f t="shared" si="0"/>
        <v>0</v>
      </c>
      <c r="F47" s="107">
        <f t="shared" si="1"/>
        <v>0</v>
      </c>
    </row>
    <row r="48" spans="1:6" ht="15.75" customHeight="1" x14ac:dyDescent="0.15">
      <c r="A48" s="105">
        <f t="shared" si="2"/>
        <v>40</v>
      </c>
      <c r="B48" s="107">
        <f t="shared" si="3"/>
        <v>0</v>
      </c>
      <c r="C48" s="108">
        <f t="shared" si="4"/>
        <v>0</v>
      </c>
      <c r="D48" s="108">
        <f t="shared" si="5"/>
        <v>0</v>
      </c>
      <c r="E48" s="107">
        <f t="shared" si="0"/>
        <v>0</v>
      </c>
      <c r="F48" s="107">
        <f t="shared" si="1"/>
        <v>0</v>
      </c>
    </row>
    <row r="49" spans="1:6" ht="13" x14ac:dyDescent="0.15">
      <c r="A49" s="105">
        <f t="shared" si="2"/>
        <v>41</v>
      </c>
      <c r="B49" s="107">
        <f t="shared" si="3"/>
        <v>0</v>
      </c>
      <c r="C49" s="108">
        <f t="shared" si="4"/>
        <v>0</v>
      </c>
      <c r="D49" s="108">
        <f t="shared" si="5"/>
        <v>0</v>
      </c>
      <c r="E49" s="107">
        <f t="shared" si="0"/>
        <v>0</v>
      </c>
      <c r="F49" s="107">
        <f t="shared" si="1"/>
        <v>0</v>
      </c>
    </row>
    <row r="50" spans="1:6" ht="13" x14ac:dyDescent="0.15">
      <c r="A50" s="105">
        <f t="shared" si="2"/>
        <v>42</v>
      </c>
      <c r="B50" s="107">
        <f t="shared" si="3"/>
        <v>0</v>
      </c>
      <c r="C50" s="108">
        <f t="shared" si="4"/>
        <v>0</v>
      </c>
      <c r="D50" s="108">
        <f t="shared" si="5"/>
        <v>0</v>
      </c>
      <c r="E50" s="107">
        <f t="shared" si="0"/>
        <v>0</v>
      </c>
      <c r="F50" s="107">
        <f t="shared" si="1"/>
        <v>0</v>
      </c>
    </row>
    <row r="51" spans="1:6" ht="13" x14ac:dyDescent="0.15">
      <c r="A51" s="105">
        <f t="shared" si="2"/>
        <v>43</v>
      </c>
      <c r="B51" s="107">
        <f t="shared" si="3"/>
        <v>0</v>
      </c>
      <c r="C51" s="108">
        <f t="shared" si="4"/>
        <v>0</v>
      </c>
      <c r="D51" s="108">
        <f t="shared" si="5"/>
        <v>0</v>
      </c>
      <c r="E51" s="107">
        <f t="shared" si="0"/>
        <v>0</v>
      </c>
      <c r="F51" s="107">
        <f t="shared" si="1"/>
        <v>0</v>
      </c>
    </row>
    <row r="52" spans="1:6" ht="13" x14ac:dyDescent="0.15">
      <c r="A52" s="105">
        <f t="shared" si="2"/>
        <v>44</v>
      </c>
      <c r="B52" s="107">
        <f t="shared" si="3"/>
        <v>0</v>
      </c>
      <c r="C52" s="108">
        <f t="shared" si="4"/>
        <v>0</v>
      </c>
      <c r="D52" s="108">
        <f t="shared" si="5"/>
        <v>0</v>
      </c>
      <c r="E52" s="107">
        <f t="shared" si="0"/>
        <v>0</v>
      </c>
      <c r="F52" s="107">
        <f t="shared" si="1"/>
        <v>0</v>
      </c>
    </row>
    <row r="53" spans="1:6" ht="13" x14ac:dyDescent="0.15">
      <c r="A53" s="105">
        <f t="shared" si="2"/>
        <v>45</v>
      </c>
      <c r="B53" s="107">
        <f t="shared" si="3"/>
        <v>0</v>
      </c>
      <c r="C53" s="108">
        <f t="shared" si="4"/>
        <v>0</v>
      </c>
      <c r="D53" s="108">
        <f t="shared" si="5"/>
        <v>0</v>
      </c>
      <c r="E53" s="107">
        <f t="shared" si="0"/>
        <v>0</v>
      </c>
      <c r="F53" s="107">
        <f t="shared" si="1"/>
        <v>0</v>
      </c>
    </row>
    <row r="54" spans="1:6" ht="13" x14ac:dyDescent="0.15">
      <c r="A54" s="105">
        <f t="shared" si="2"/>
        <v>46</v>
      </c>
      <c r="B54" s="107">
        <f t="shared" si="3"/>
        <v>0</v>
      </c>
      <c r="C54" s="108">
        <f t="shared" si="4"/>
        <v>0</v>
      </c>
      <c r="D54" s="108">
        <f t="shared" si="5"/>
        <v>0</v>
      </c>
      <c r="E54" s="107">
        <f t="shared" si="0"/>
        <v>0</v>
      </c>
      <c r="F54" s="107">
        <f t="shared" si="1"/>
        <v>0</v>
      </c>
    </row>
    <row r="55" spans="1:6" ht="13" x14ac:dyDescent="0.15">
      <c r="A55" s="105">
        <f t="shared" si="2"/>
        <v>47</v>
      </c>
      <c r="B55" s="107">
        <f t="shared" si="3"/>
        <v>0</v>
      </c>
      <c r="C55" s="108">
        <f t="shared" si="4"/>
        <v>0</v>
      </c>
      <c r="D55" s="108">
        <f t="shared" si="5"/>
        <v>0</v>
      </c>
      <c r="E55" s="107">
        <f t="shared" si="0"/>
        <v>0</v>
      </c>
      <c r="F55" s="107">
        <f t="shared" si="1"/>
        <v>0</v>
      </c>
    </row>
    <row r="56" spans="1:6" ht="13" x14ac:dyDescent="0.15">
      <c r="A56" s="105">
        <f t="shared" si="2"/>
        <v>48</v>
      </c>
      <c r="B56" s="107">
        <f t="shared" si="3"/>
        <v>0</v>
      </c>
      <c r="C56" s="108">
        <f t="shared" si="4"/>
        <v>0</v>
      </c>
      <c r="D56" s="108">
        <f t="shared" si="5"/>
        <v>0</v>
      </c>
      <c r="E56" s="107">
        <f t="shared" si="0"/>
        <v>0</v>
      </c>
      <c r="F56" s="107">
        <f t="shared" si="1"/>
        <v>0</v>
      </c>
    </row>
    <row r="57" spans="1:6" ht="13" x14ac:dyDescent="0.15">
      <c r="A57" s="105">
        <f t="shared" si="2"/>
        <v>49</v>
      </c>
      <c r="B57" s="107">
        <f t="shared" si="3"/>
        <v>0</v>
      </c>
      <c r="C57" s="108">
        <f t="shared" si="4"/>
        <v>0</v>
      </c>
      <c r="D57" s="108">
        <f t="shared" si="5"/>
        <v>0</v>
      </c>
      <c r="E57" s="107">
        <f t="shared" si="0"/>
        <v>0</v>
      </c>
      <c r="F57" s="107">
        <f t="shared" si="1"/>
        <v>0</v>
      </c>
    </row>
    <row r="58" spans="1:6" ht="13" x14ac:dyDescent="0.15">
      <c r="A58" s="105">
        <f t="shared" si="2"/>
        <v>50</v>
      </c>
      <c r="B58" s="107">
        <f t="shared" si="3"/>
        <v>0</v>
      </c>
      <c r="C58" s="108">
        <f t="shared" si="4"/>
        <v>0</v>
      </c>
      <c r="D58" s="108">
        <f t="shared" si="5"/>
        <v>0</v>
      </c>
      <c r="E58" s="107">
        <f t="shared" si="0"/>
        <v>0</v>
      </c>
      <c r="F58" s="107">
        <f t="shared" si="1"/>
        <v>0</v>
      </c>
    </row>
    <row r="59" spans="1:6" ht="13" x14ac:dyDescent="0.15">
      <c r="A59" s="105">
        <f t="shared" si="2"/>
        <v>51</v>
      </c>
      <c r="B59" s="107">
        <f t="shared" si="3"/>
        <v>0</v>
      </c>
      <c r="C59" s="108">
        <f t="shared" si="4"/>
        <v>0</v>
      </c>
      <c r="D59" s="108">
        <f t="shared" si="5"/>
        <v>0</v>
      </c>
      <c r="E59" s="107">
        <f t="shared" si="0"/>
        <v>0</v>
      </c>
      <c r="F59" s="107">
        <f t="shared" si="1"/>
        <v>0</v>
      </c>
    </row>
    <row r="60" spans="1:6" ht="13" x14ac:dyDescent="0.15">
      <c r="A60" s="105">
        <f t="shared" si="2"/>
        <v>52</v>
      </c>
      <c r="B60" s="107">
        <f t="shared" si="3"/>
        <v>0</v>
      </c>
      <c r="C60" s="108">
        <f t="shared" si="4"/>
        <v>0</v>
      </c>
      <c r="D60" s="108">
        <f t="shared" si="5"/>
        <v>0</v>
      </c>
      <c r="E60" s="107">
        <f t="shared" si="0"/>
        <v>0</v>
      </c>
      <c r="F60" s="107">
        <f t="shared" si="1"/>
        <v>0</v>
      </c>
    </row>
    <row r="61" spans="1:6" ht="13" x14ac:dyDescent="0.15">
      <c r="A61" s="105">
        <f t="shared" si="2"/>
        <v>53</v>
      </c>
      <c r="B61" s="107">
        <f t="shared" si="3"/>
        <v>0</v>
      </c>
      <c r="C61" s="108">
        <f t="shared" si="4"/>
        <v>0</v>
      </c>
      <c r="D61" s="108">
        <f t="shared" si="5"/>
        <v>0</v>
      </c>
      <c r="E61" s="107">
        <f t="shared" si="0"/>
        <v>0</v>
      </c>
      <c r="F61" s="107">
        <f t="shared" si="1"/>
        <v>0</v>
      </c>
    </row>
    <row r="62" spans="1:6" ht="13" x14ac:dyDescent="0.15">
      <c r="A62" s="105">
        <f t="shared" si="2"/>
        <v>54</v>
      </c>
      <c r="B62" s="107">
        <f t="shared" si="3"/>
        <v>0</v>
      </c>
      <c r="C62" s="108">
        <f t="shared" si="4"/>
        <v>0</v>
      </c>
      <c r="D62" s="108">
        <f t="shared" si="5"/>
        <v>0</v>
      </c>
      <c r="E62" s="107">
        <f t="shared" si="0"/>
        <v>0</v>
      </c>
      <c r="F62" s="107">
        <f t="shared" si="1"/>
        <v>0</v>
      </c>
    </row>
    <row r="63" spans="1:6" ht="13" x14ac:dyDescent="0.15">
      <c r="A63" s="105">
        <f t="shared" si="2"/>
        <v>55</v>
      </c>
      <c r="B63" s="107">
        <f t="shared" si="3"/>
        <v>0</v>
      </c>
      <c r="C63" s="108">
        <f t="shared" si="4"/>
        <v>0</v>
      </c>
      <c r="D63" s="108">
        <f t="shared" si="5"/>
        <v>0</v>
      </c>
      <c r="E63" s="107">
        <f t="shared" si="0"/>
        <v>0</v>
      </c>
      <c r="F63" s="107">
        <f t="shared" si="1"/>
        <v>0</v>
      </c>
    </row>
    <row r="64" spans="1:6" ht="13" x14ac:dyDescent="0.15">
      <c r="A64" s="105">
        <f t="shared" si="2"/>
        <v>56</v>
      </c>
      <c r="B64" s="107">
        <f t="shared" si="3"/>
        <v>0</v>
      </c>
      <c r="C64" s="108">
        <f t="shared" si="4"/>
        <v>0</v>
      </c>
      <c r="D64" s="108">
        <f t="shared" si="5"/>
        <v>0</v>
      </c>
      <c r="E64" s="107">
        <f t="shared" si="0"/>
        <v>0</v>
      </c>
      <c r="F64" s="107">
        <f t="shared" si="1"/>
        <v>0</v>
      </c>
    </row>
    <row r="65" spans="1:6" ht="13" x14ac:dyDescent="0.15">
      <c r="A65" s="105">
        <f t="shared" si="2"/>
        <v>57</v>
      </c>
      <c r="B65" s="107">
        <f t="shared" si="3"/>
        <v>0</v>
      </c>
      <c r="C65" s="108">
        <f t="shared" si="4"/>
        <v>0</v>
      </c>
      <c r="D65" s="108">
        <f t="shared" si="5"/>
        <v>0</v>
      </c>
      <c r="E65" s="107">
        <f t="shared" si="0"/>
        <v>0</v>
      </c>
      <c r="F65" s="107">
        <f t="shared" si="1"/>
        <v>0</v>
      </c>
    </row>
    <row r="66" spans="1:6" ht="13" x14ac:dyDescent="0.15">
      <c r="A66" s="105">
        <f t="shared" si="2"/>
        <v>58</v>
      </c>
      <c r="B66" s="107">
        <f t="shared" si="3"/>
        <v>0</v>
      </c>
      <c r="C66" s="108">
        <f t="shared" si="4"/>
        <v>0</v>
      </c>
      <c r="D66" s="108">
        <f t="shared" si="5"/>
        <v>0</v>
      </c>
      <c r="E66" s="107">
        <f t="shared" si="0"/>
        <v>0</v>
      </c>
      <c r="F66" s="107">
        <f t="shared" si="1"/>
        <v>0</v>
      </c>
    </row>
    <row r="67" spans="1:6" ht="13" x14ac:dyDescent="0.15">
      <c r="A67" s="105">
        <f t="shared" si="2"/>
        <v>59</v>
      </c>
      <c r="B67" s="107">
        <f t="shared" si="3"/>
        <v>0</v>
      </c>
      <c r="C67" s="108">
        <f t="shared" si="4"/>
        <v>0</v>
      </c>
      <c r="D67" s="108">
        <f t="shared" si="5"/>
        <v>0</v>
      </c>
      <c r="E67" s="107">
        <f t="shared" si="0"/>
        <v>0</v>
      </c>
      <c r="F67" s="107">
        <f t="shared" si="1"/>
        <v>0</v>
      </c>
    </row>
    <row r="68" spans="1:6" ht="13" x14ac:dyDescent="0.15">
      <c r="A68" s="105">
        <f t="shared" si="2"/>
        <v>60</v>
      </c>
      <c r="B68" s="107">
        <f t="shared" si="3"/>
        <v>0</v>
      </c>
      <c r="C68" s="108">
        <f t="shared" si="4"/>
        <v>0</v>
      </c>
      <c r="D68" s="108">
        <f t="shared" si="5"/>
        <v>0</v>
      </c>
      <c r="E68" s="107">
        <f t="shared" si="0"/>
        <v>0</v>
      </c>
      <c r="F68" s="107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5"/>
  <sheetViews>
    <sheetView workbookViewId="0"/>
  </sheetViews>
  <sheetFormatPr baseColWidth="10" defaultColWidth="14.5" defaultRowHeight="15.75" customHeight="1" x14ac:dyDescent="0.15"/>
  <cols>
    <col min="1" max="1" width="46.5" customWidth="1"/>
  </cols>
  <sheetData>
    <row r="2" spans="1:18" ht="13" x14ac:dyDescent="0.15">
      <c r="A2" s="1" t="s">
        <v>75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M2" s="1" t="s">
        <v>93</v>
      </c>
      <c r="N2" s="1" t="s">
        <v>6</v>
      </c>
      <c r="O2" s="1" t="s">
        <v>9</v>
      </c>
      <c r="P2" s="1" t="s">
        <v>10</v>
      </c>
      <c r="Q2" s="1" t="s">
        <v>11</v>
      </c>
      <c r="R2" s="1" t="s">
        <v>12</v>
      </c>
    </row>
    <row r="3" spans="1:18" ht="8.25" customHeight="1" x14ac:dyDescent="0.15">
      <c r="A3" s="1"/>
    </row>
    <row r="4" spans="1:18" ht="13" x14ac:dyDescent="0.15">
      <c r="A4" s="2" t="s">
        <v>229</v>
      </c>
      <c r="B4" s="7">
        <f>'Appendix 2'!B31</f>
        <v>2494.08</v>
      </c>
      <c r="C4" s="7">
        <f>'Appendix 2'!C31</f>
        <v>2850.3771428571436</v>
      </c>
      <c r="D4" s="7">
        <f>'Appendix 2'!D31</f>
        <v>3206.6742857142863</v>
      </c>
      <c r="E4" s="7">
        <f>'Appendix 2'!E31</f>
        <v>3384.8228571428572</v>
      </c>
      <c r="F4" s="7">
        <f>'Appendix 2'!F31</f>
        <v>3384.8228571428572</v>
      </c>
      <c r="G4" s="7">
        <f>'Appendix 2'!G31</f>
        <v>3384.8228571428572</v>
      </c>
      <c r="H4" s="7">
        <f>'Appendix 2'!H31</f>
        <v>3384.8228571428572</v>
      </c>
      <c r="I4" s="7">
        <f>'Appendix 2'!I31</f>
        <v>3384.8228571428572</v>
      </c>
      <c r="J4" s="7">
        <f>'Appendix 2'!J31</f>
        <v>3384.8228571428572</v>
      </c>
      <c r="K4" s="7">
        <f>'Appendix 2'!K31</f>
        <v>3384.8228571428572</v>
      </c>
      <c r="L4" s="7">
        <f>'Appendix 2'!L31</f>
        <v>3384.8228571428572</v>
      </c>
      <c r="M4" s="7">
        <f>'Appendix 2'!M31</f>
        <v>6413.3485714285707</v>
      </c>
      <c r="N4" s="7">
        <f>'Appendix 2'!N31</f>
        <v>42043.062857142846</v>
      </c>
      <c r="O4" s="7">
        <f>'Appendix 2'!O31</f>
        <v>392799.08571428579</v>
      </c>
      <c r="P4" s="7">
        <f>'Appendix 2'!P31</f>
        <v>809166.1165714286</v>
      </c>
      <c r="Q4" s="7">
        <f>'Appendix 2'!Q31</f>
        <v>1666882.2001371428</v>
      </c>
      <c r="R4" s="7">
        <f>Q4</f>
        <v>1666882.2001371428</v>
      </c>
    </row>
    <row r="5" spans="1:18" ht="13" x14ac:dyDescent="0.15">
      <c r="A5" s="2" t="s">
        <v>232</v>
      </c>
      <c r="B5" s="7">
        <f>'Appendix 2'!B42</f>
        <v>4910.2204910220489</v>
      </c>
      <c r="C5" s="7">
        <f>'Appendix 2'!C42</f>
        <v>5611.6805611680566</v>
      </c>
      <c r="D5" s="7">
        <f>'Appendix 2'!D42</f>
        <v>6313.1406313140633</v>
      </c>
      <c r="E5" s="7">
        <f>'Appendix 2'!E42</f>
        <v>6663.8706663870662</v>
      </c>
      <c r="F5" s="7">
        <f>'Appendix 2'!F42</f>
        <v>6663.8706663870662</v>
      </c>
      <c r="G5" s="7">
        <f>'Appendix 2'!G42</f>
        <v>6663.8706663870662</v>
      </c>
      <c r="H5" s="7">
        <f>'Appendix 2'!H42</f>
        <v>6663.8706663870662</v>
      </c>
      <c r="I5" s="7">
        <f>'Appendix 2'!I42</f>
        <v>6663.8706663870662</v>
      </c>
      <c r="J5" s="7">
        <f>'Appendix 2'!J42</f>
        <v>6663.8706663870662</v>
      </c>
      <c r="K5" s="7">
        <f>'Appendix 2'!K42</f>
        <v>6663.8706663870662</v>
      </c>
      <c r="L5" s="7">
        <f>'Appendix 2'!L42</f>
        <v>6663.8706663870662</v>
      </c>
      <c r="M5" s="7">
        <f>'Appendix 2'!M42</f>
        <v>0</v>
      </c>
      <c r="N5" s="7">
        <f>'Appendix 2'!N42</f>
        <v>70146.007014600706</v>
      </c>
      <c r="O5" s="7">
        <f>'Appendix 2'!O42</f>
        <v>468589.73897389747</v>
      </c>
      <c r="P5" s="7">
        <f>'Appendix 2'!P42</f>
        <v>974947.8109090908</v>
      </c>
      <c r="Q5" s="7">
        <f>'Appendix 2'!Q42</f>
        <v>2008392.4904727272</v>
      </c>
      <c r="R5" s="7">
        <f>Q5*1.03</f>
        <v>2068644.2651869091</v>
      </c>
    </row>
    <row r="6" spans="1:18" ht="13" x14ac:dyDescent="0.15">
      <c r="A6" s="1" t="s">
        <v>79</v>
      </c>
      <c r="B6" s="30">
        <f t="shared" ref="B6:R6" si="0">SUM(B4:B5)</f>
        <v>7404.3004910220488</v>
      </c>
      <c r="C6" s="30">
        <f t="shared" si="0"/>
        <v>8462.0577040251992</v>
      </c>
      <c r="D6" s="30">
        <f t="shared" si="0"/>
        <v>9519.8149170283505</v>
      </c>
      <c r="E6" s="30">
        <f t="shared" si="0"/>
        <v>10048.693523529924</v>
      </c>
      <c r="F6" s="30">
        <f t="shared" si="0"/>
        <v>10048.693523529924</v>
      </c>
      <c r="G6" s="30">
        <f t="shared" si="0"/>
        <v>10048.693523529924</v>
      </c>
      <c r="H6" s="30">
        <f t="shared" si="0"/>
        <v>10048.693523529924</v>
      </c>
      <c r="I6" s="30">
        <f t="shared" si="0"/>
        <v>10048.693523529924</v>
      </c>
      <c r="J6" s="30">
        <f t="shared" si="0"/>
        <v>10048.693523529924</v>
      </c>
      <c r="K6" s="30">
        <f t="shared" si="0"/>
        <v>10048.693523529924</v>
      </c>
      <c r="L6" s="30">
        <f t="shared" si="0"/>
        <v>10048.693523529924</v>
      </c>
      <c r="M6" s="30">
        <f t="shared" si="0"/>
        <v>6413.3485714285707</v>
      </c>
      <c r="N6" s="30">
        <f t="shared" si="0"/>
        <v>112189.06987174356</v>
      </c>
      <c r="O6" s="30">
        <f t="shared" si="0"/>
        <v>861388.82468818326</v>
      </c>
      <c r="P6" s="30">
        <f t="shared" si="0"/>
        <v>1784113.9274805193</v>
      </c>
      <c r="Q6" s="30">
        <f t="shared" si="0"/>
        <v>3675274.69060987</v>
      </c>
      <c r="R6" s="30">
        <f t="shared" si="0"/>
        <v>3735526.4653240517</v>
      </c>
    </row>
    <row r="8" spans="1:18" ht="13" x14ac:dyDescent="0.15">
      <c r="A8" s="1" t="s">
        <v>248</v>
      </c>
    </row>
    <row r="9" spans="1:18" ht="13" x14ac:dyDescent="0.15">
      <c r="A9" s="4" t="s">
        <v>140</v>
      </c>
      <c r="B9" s="7">
        <f>'Cost of Revenue - US Greenhouse'!$B2*'Cost of Revenue - US Greenhouse'!$B13*('Appendix 2'!B$26+'Appendix 2'!B$37)*'Appendix 2'!B$27</f>
        <v>19.484999999999999</v>
      </c>
      <c r="C9" s="7">
        <f>'Cost of Revenue - US Greenhouse'!$B2*'Cost of Revenue - US Greenhouse'!$B13*('Appendix 2'!C$26+'Appendix 2'!C$37)*'Appendix 2'!C$27</f>
        <v>19.484999999999999</v>
      </c>
      <c r="D9" s="7">
        <f>'Cost of Revenue - US Greenhouse'!$B2*'Cost of Revenue - US Greenhouse'!$B13*('Appendix 2'!D$26+'Appendix 2'!D$37)*'Appendix 2'!D$27</f>
        <v>19.484999999999999</v>
      </c>
      <c r="E9" s="7">
        <f>'Cost of Revenue - US Greenhouse'!$B2*'Cost of Revenue - US Greenhouse'!$B13*('Appendix 2'!E$26+'Appendix 2'!E$37)*'Appendix 2'!E$27</f>
        <v>19.484999999999999</v>
      </c>
      <c r="F9" s="7">
        <f>'Cost of Revenue - US Greenhouse'!$B2*'Cost of Revenue - US Greenhouse'!$B13*('Appendix 2'!F$26+'Appendix 2'!F$37)*'Appendix 2'!F$27</f>
        <v>19.484999999999999</v>
      </c>
      <c r="G9" s="7">
        <f>'Cost of Revenue - US Greenhouse'!$B2*'Cost of Revenue - US Greenhouse'!$B13*('Appendix 2'!G$26+'Appendix 2'!G$37)*'Appendix 2'!G$27</f>
        <v>19.484999999999999</v>
      </c>
      <c r="H9" s="7">
        <f>'Cost of Revenue - US Greenhouse'!$B2*'Cost of Revenue - US Greenhouse'!$B13*('Appendix 2'!H$26+'Appendix 2'!H$37)*'Appendix 2'!H$27</f>
        <v>19.484999999999999</v>
      </c>
      <c r="I9" s="7">
        <f>'Cost of Revenue - US Greenhouse'!$B2*'Cost of Revenue - US Greenhouse'!$B13*('Appendix 2'!I$26+'Appendix 2'!I$37)*'Appendix 2'!I$27</f>
        <v>19.484999999999999</v>
      </c>
      <c r="J9" s="7">
        <f>'Cost of Revenue - US Greenhouse'!$B2*'Cost of Revenue - US Greenhouse'!$B13*('Appendix 2'!J$26+'Appendix 2'!J$37)*'Appendix 2'!J$27</f>
        <v>19.484999999999999</v>
      </c>
      <c r="K9" s="7">
        <f>'Cost of Revenue - US Greenhouse'!$B2*'Cost of Revenue - US Greenhouse'!$B13*('Appendix 2'!K$26+'Appendix 2'!K$37)*'Appendix 2'!K$27</f>
        <v>19.484999999999999</v>
      </c>
      <c r="L9" s="7">
        <f>'Cost of Revenue - US Greenhouse'!$B2*'Cost of Revenue - US Greenhouse'!$B13*('Appendix 2'!L$26+'Appendix 2'!L$37)*'Appendix 2'!L$27</f>
        <v>19.484999999999999</v>
      </c>
      <c r="M9" s="4">
        <v>19</v>
      </c>
      <c r="N9" s="7">
        <f>'Cost of Revenue - US Greenhouse'!$B2*'Cost of Revenue - US Greenhouse'!$B13*('Appendix 2'!N$26+'Appendix 2'!N$37)*'Appendix 2'!N$27</f>
        <v>234</v>
      </c>
      <c r="O9" s="7">
        <f>'Cost of Revenue - US Greenhouse'!$B2*'Cost of Revenue - US Greenhouse'!$B13*('Appendix 2'!O$26+'Appendix 2'!O$37)*'Appendix 2'!O$27</f>
        <v>2340</v>
      </c>
      <c r="P9" s="7">
        <f>'Cost of Revenue - US Greenhouse'!$B2*'Cost of Revenue - US Greenhouse'!$B13*('Appendix 2'!P$26+'Appendix 2'!P$37)*'Appendix 2'!P$27</f>
        <v>4680</v>
      </c>
      <c r="Q9" s="7">
        <f>'Cost of Revenue - US Greenhouse'!$B2*'Cost of Revenue - US Greenhouse'!$B13*('Appendix 2'!Q$26+'Appendix 2'!Q$37)*'Appendix 2'!Q$27</f>
        <v>9360</v>
      </c>
      <c r="R9" s="7">
        <f>'Cost of Revenue - US Greenhouse'!$B2*'Cost of Revenue - US Greenhouse'!$B13*('Appendix 2'!R$26+'Appendix 2'!R$37)*'Appendix 2'!R$27</f>
        <v>9360</v>
      </c>
    </row>
    <row r="10" spans="1:18" ht="13" x14ac:dyDescent="0.15">
      <c r="A10" s="4" t="s">
        <v>141</v>
      </c>
      <c r="B10" s="4">
        <v>300</v>
      </c>
      <c r="C10" s="4">
        <v>300</v>
      </c>
      <c r="D10" s="4">
        <v>300</v>
      </c>
      <c r="E10" s="4">
        <v>300</v>
      </c>
      <c r="F10" s="4">
        <v>300</v>
      </c>
      <c r="G10" s="4">
        <v>300</v>
      </c>
      <c r="H10" s="4">
        <v>300</v>
      </c>
      <c r="I10" s="4">
        <v>300</v>
      </c>
      <c r="J10" s="4">
        <v>300</v>
      </c>
      <c r="K10" s="4">
        <v>300</v>
      </c>
      <c r="L10" s="4">
        <v>300</v>
      </c>
      <c r="M10" s="4">
        <v>300</v>
      </c>
      <c r="N10" s="7">
        <f>('Cost of Revenue - US Greenhouse'!$B$3*'Cost of Revenue - US Greenhouse'!$B$14)*('Appendix 2'!N26+'Appendix 2'!N37*'Appendix 2'!N38)</f>
        <v>1855</v>
      </c>
      <c r="O10" s="7">
        <f>('Cost of Revenue - US Greenhouse'!$B$3*'Cost of Revenue - US Greenhouse'!$B$14)*('Appendix 2'!O26+'Appendix 2'!O37*'Appendix 2'!O38)</f>
        <v>18550</v>
      </c>
      <c r="P10" s="7">
        <f>('Cost of Revenue - US Greenhouse'!$B$3*'Cost of Revenue - US Greenhouse'!$B$14)*('Appendix 2'!P26+'Appendix 2'!P37*'Appendix 2'!P38)</f>
        <v>37100</v>
      </c>
      <c r="Q10" s="7">
        <f>('Cost of Revenue - US Greenhouse'!$B$3*'Cost of Revenue - US Greenhouse'!$B$14)*('Appendix 2'!Q26+'Appendix 2'!Q37*'Appendix 2'!Q38)</f>
        <v>74200</v>
      </c>
      <c r="R10" s="7">
        <f>('Cost of Revenue - US Greenhouse'!$B$3*'Cost of Revenue - US Greenhouse'!$B$14)*('Appendix 2'!R26+'Appendix 2'!R37*'Appendix 2'!R38)</f>
        <v>74200</v>
      </c>
    </row>
    <row r="11" spans="1:18" ht="13" x14ac:dyDescent="0.15">
      <c r="A11" s="4" t="s">
        <v>142</v>
      </c>
      <c r="B11" s="7">
        <f>'Cost of Revenue - US Greenhouse'!$B$4*'Cost of Revenue - US Greenhouse'!$B$15*('Appendix 2'!B26+'Appendix 2'!B37)*'Appendix 2'!B27</f>
        <v>62.352000000000004</v>
      </c>
      <c r="C11" s="7">
        <f>'Cost of Revenue - US Greenhouse'!$B$4*'Cost of Revenue - US Greenhouse'!$B$15*('Appendix 2'!C26+'Appendix 2'!C37)*'Appendix 2'!C27</f>
        <v>62.352000000000004</v>
      </c>
      <c r="D11" s="7">
        <f>'Cost of Revenue - US Greenhouse'!$B$4*'Cost of Revenue - US Greenhouse'!$B$15*('Appendix 2'!D26+'Appendix 2'!D37)*'Appendix 2'!D27</f>
        <v>62.352000000000004</v>
      </c>
      <c r="E11" s="7">
        <f>'Cost of Revenue - US Greenhouse'!$B$4*'Cost of Revenue - US Greenhouse'!$B$15*('Appendix 2'!E26+'Appendix 2'!E37)*'Appendix 2'!E27</f>
        <v>62.352000000000004</v>
      </c>
      <c r="F11" s="7">
        <f>'Cost of Revenue - US Greenhouse'!$B$4*'Cost of Revenue - US Greenhouse'!$B$15*('Appendix 2'!F26+'Appendix 2'!F37)*'Appendix 2'!F27</f>
        <v>62.352000000000004</v>
      </c>
      <c r="G11" s="7">
        <f>'Cost of Revenue - US Greenhouse'!$B$4*'Cost of Revenue - US Greenhouse'!$B$15*('Appendix 2'!G26+'Appendix 2'!G37)*'Appendix 2'!G27</f>
        <v>62.352000000000004</v>
      </c>
      <c r="H11" s="7">
        <f>'Cost of Revenue - US Greenhouse'!$B$4*'Cost of Revenue - US Greenhouse'!$B$15*('Appendix 2'!H26+'Appendix 2'!H37)*'Appendix 2'!H27</f>
        <v>62.352000000000004</v>
      </c>
      <c r="I11" s="7">
        <f>'Cost of Revenue - US Greenhouse'!$B$4*'Cost of Revenue - US Greenhouse'!$B$15*('Appendix 2'!I26+'Appendix 2'!I37)*'Appendix 2'!I27</f>
        <v>62.352000000000004</v>
      </c>
      <c r="J11" s="7">
        <f>'Cost of Revenue - US Greenhouse'!$B$4*'Cost of Revenue - US Greenhouse'!$B$15*('Appendix 2'!J26+'Appendix 2'!J37)*'Appendix 2'!J27</f>
        <v>62.352000000000004</v>
      </c>
      <c r="K11" s="7">
        <f>'Cost of Revenue - US Greenhouse'!$B$4*'Cost of Revenue - US Greenhouse'!$B$15*('Appendix 2'!K26+'Appendix 2'!K37)*'Appendix 2'!K27</f>
        <v>62.352000000000004</v>
      </c>
      <c r="L11" s="7">
        <f>'Cost of Revenue - US Greenhouse'!$B$4*'Cost of Revenue - US Greenhouse'!$B$15*('Appendix 2'!L26+'Appendix 2'!L37)*'Appendix 2'!L27</f>
        <v>62.352000000000004</v>
      </c>
      <c r="M11" s="4">
        <v>31</v>
      </c>
      <c r="N11" s="7">
        <f>'Cost of Revenue - US Greenhouse'!$B$4*'Cost of Revenue - US Greenhouse'!$B$15*('Appendix 2'!N26+'Appendix 2'!N37)*'Appendix 2'!N27</f>
        <v>748.80000000000007</v>
      </c>
      <c r="O11" s="7">
        <f>'Cost of Revenue - US Greenhouse'!$B$4*'Cost of Revenue - US Greenhouse'!$B$15*('Appendix 2'!O26+'Appendix 2'!O37)*'Appendix 2'!O27</f>
        <v>7488</v>
      </c>
      <c r="P11" s="7">
        <f>'Cost of Revenue - US Greenhouse'!$B$4*'Cost of Revenue - US Greenhouse'!$B$15*('Appendix 2'!P26+'Appendix 2'!P37)*'Appendix 2'!P27</f>
        <v>14976</v>
      </c>
      <c r="Q11" s="7">
        <f>'Cost of Revenue - US Greenhouse'!$B$4*'Cost of Revenue - US Greenhouse'!$B$15*('Appendix 2'!Q26+'Appendix 2'!Q37)*'Appendix 2'!Q27</f>
        <v>29952</v>
      </c>
      <c r="R11" s="7">
        <f>'Cost of Revenue - US Greenhouse'!$B$4*'Cost of Revenue - US Greenhouse'!$B$15*('Appendix 2'!R26+'Appendix 2'!R37)*'Appendix 2'!R27</f>
        <v>29952</v>
      </c>
    </row>
    <row r="12" spans="1:18" ht="13" x14ac:dyDescent="0.15">
      <c r="A12" s="4" t="s">
        <v>143</v>
      </c>
      <c r="B12" s="7">
        <f>'Cost of Revenue - US Greenhouse'!$B$5*'Cost of Revenue - US Greenhouse'!$B$15*('Appendix 2'!B$26+'Appendix 2'!B37)*'Appendix 2'!B$27</f>
        <v>42.087600000000002</v>
      </c>
      <c r="C12" s="7">
        <f>'Cost of Revenue - US Greenhouse'!$B$5*'Cost of Revenue - US Greenhouse'!$B$15*('Appendix 2'!C$26+'Appendix 2'!C37)*'Appendix 2'!C$27</f>
        <v>42.087600000000002</v>
      </c>
      <c r="D12" s="7">
        <f>'Cost of Revenue - US Greenhouse'!$B$5*'Cost of Revenue - US Greenhouse'!$B$15*('Appendix 2'!D$26+'Appendix 2'!D37)*'Appendix 2'!D$27</f>
        <v>42.087600000000002</v>
      </c>
      <c r="E12" s="7">
        <f>'Cost of Revenue - US Greenhouse'!$B$5*'Cost of Revenue - US Greenhouse'!$B$15*('Appendix 2'!E$26+'Appendix 2'!E37)*'Appendix 2'!E$27</f>
        <v>42.087600000000002</v>
      </c>
      <c r="F12" s="7">
        <f>'Cost of Revenue - US Greenhouse'!$B$5*'Cost of Revenue - US Greenhouse'!$B$15*('Appendix 2'!F$26+'Appendix 2'!F37)*'Appendix 2'!F$27</f>
        <v>42.087600000000002</v>
      </c>
      <c r="G12" s="7">
        <f>'Cost of Revenue - US Greenhouse'!$B$5*'Cost of Revenue - US Greenhouse'!$B$15*('Appendix 2'!G$26+'Appendix 2'!G37)*'Appendix 2'!G$27</f>
        <v>42.087600000000002</v>
      </c>
      <c r="H12" s="7">
        <f>'Cost of Revenue - US Greenhouse'!$B$5*'Cost of Revenue - US Greenhouse'!$B$15*('Appendix 2'!H$26+'Appendix 2'!H37)*'Appendix 2'!H$27</f>
        <v>42.087600000000002</v>
      </c>
      <c r="I12" s="7">
        <f>'Cost of Revenue - US Greenhouse'!$B$5*'Cost of Revenue - US Greenhouse'!$B$15*('Appendix 2'!I$26+'Appendix 2'!I37)*'Appendix 2'!I$27</f>
        <v>42.087600000000002</v>
      </c>
      <c r="J12" s="7">
        <f>'Cost of Revenue - US Greenhouse'!$B$5*'Cost of Revenue - US Greenhouse'!$B$15*('Appendix 2'!J$26+'Appendix 2'!J37)*'Appendix 2'!J$27</f>
        <v>42.087600000000002</v>
      </c>
      <c r="K12" s="7">
        <f>'Cost of Revenue - US Greenhouse'!$B$5*'Cost of Revenue - US Greenhouse'!$B$15*('Appendix 2'!K$26+'Appendix 2'!K37)*'Appendix 2'!K$27</f>
        <v>42.087600000000002</v>
      </c>
      <c r="L12" s="7">
        <f>'Cost of Revenue - US Greenhouse'!$B$5*'Cost of Revenue - US Greenhouse'!$B$15*('Appendix 2'!L$26+'Appendix 2'!L37)*'Appendix 2'!L$27</f>
        <v>42.087600000000002</v>
      </c>
      <c r="M12" s="4">
        <v>22</v>
      </c>
      <c r="N12" s="7">
        <f>'Cost of Revenue - US Greenhouse'!$B$5*'Cost of Revenue - US Greenhouse'!$B$15*('Appendix 2'!N$26+'Appendix 2'!N37)*'Appendix 2'!N$27</f>
        <v>505.44000000000005</v>
      </c>
      <c r="O12" s="7">
        <f>'Cost of Revenue - US Greenhouse'!$B$5*'Cost of Revenue - US Greenhouse'!$B$15*('Appendix 2'!O$26+'Appendix 2'!O37)*'Appendix 2'!O$27</f>
        <v>5054.4000000000005</v>
      </c>
      <c r="P12" s="7">
        <f>'Cost of Revenue - US Greenhouse'!$B$5*'Cost of Revenue - US Greenhouse'!$B$15*('Appendix 2'!P$26+'Appendix 2'!P37)*'Appendix 2'!P$27</f>
        <v>10108.800000000001</v>
      </c>
      <c r="Q12" s="7">
        <f>'Cost of Revenue - US Greenhouse'!$B$5*'Cost of Revenue - US Greenhouse'!$B$15*('Appendix 2'!Q$26+'Appendix 2'!Q37)*'Appendix 2'!Q$27</f>
        <v>20217.600000000002</v>
      </c>
      <c r="R12" s="7">
        <f>'Cost of Revenue - US Greenhouse'!$B$5*'Cost of Revenue - US Greenhouse'!$B$15*('Appendix 2'!R$26+'Appendix 2'!R37)*'Appendix 2'!R$27</f>
        <v>20217.600000000002</v>
      </c>
    </row>
    <row r="13" spans="1:18" ht="13" x14ac:dyDescent="0.15">
      <c r="A13" s="4" t="s">
        <v>172</v>
      </c>
      <c r="B13" s="7">
        <f>('Appendix 2'!B24+'Appendix 2'!B35)*'Cost of Revenue - US Greenhouse'!$B$17*'Appendix 2'!B38</f>
        <v>740.43000000000006</v>
      </c>
      <c r="C13" s="7">
        <f>('Appendix 2'!C24+'Appendix 2'!C35)*'Cost of Revenue - US Greenhouse'!$B$17*'Appendix 2'!C38</f>
        <v>740.43000000000006</v>
      </c>
      <c r="D13" s="7">
        <f>('Appendix 2'!D24+'Appendix 2'!D35)*'Cost of Revenue - US Greenhouse'!$B$17*'Appendix 2'!D38</f>
        <v>740.43000000000006</v>
      </c>
      <c r="E13" s="7">
        <f>('Appendix 2'!E24+'Appendix 2'!E35)*'Cost of Revenue - US Greenhouse'!$B$17*'Appendix 2'!E38</f>
        <v>740.43000000000006</v>
      </c>
      <c r="F13" s="7">
        <f>('Appendix 2'!F24+'Appendix 2'!F35)*'Cost of Revenue - US Greenhouse'!$B$17*'Appendix 2'!F38</f>
        <v>740.43000000000006</v>
      </c>
      <c r="G13" s="7">
        <f>('Appendix 2'!G24+'Appendix 2'!G35)*'Cost of Revenue - US Greenhouse'!$B$17*'Appendix 2'!G38</f>
        <v>740.43000000000006</v>
      </c>
      <c r="H13" s="7">
        <f>('Appendix 2'!H24+'Appendix 2'!H35)*'Cost of Revenue - US Greenhouse'!$B$17*'Appendix 2'!H38</f>
        <v>740.43000000000006</v>
      </c>
      <c r="I13" s="7">
        <f>('Appendix 2'!I24+'Appendix 2'!I35)*'Cost of Revenue - US Greenhouse'!$B$17*'Appendix 2'!I38</f>
        <v>740.43000000000006</v>
      </c>
      <c r="J13" s="7">
        <f>('Appendix 2'!J24+'Appendix 2'!J35)*'Cost of Revenue - US Greenhouse'!$B$17*'Appendix 2'!J38</f>
        <v>740.43000000000006</v>
      </c>
      <c r="K13" s="7">
        <f>('Appendix 2'!K24+'Appendix 2'!K35)*'Cost of Revenue - US Greenhouse'!$B$17*'Appendix 2'!K38</f>
        <v>740.43000000000006</v>
      </c>
      <c r="L13" s="7">
        <f>('Appendix 2'!L24+'Appendix 2'!L35)*'Cost of Revenue - US Greenhouse'!$B$17*'Appendix 2'!L38</f>
        <v>740.43000000000006</v>
      </c>
      <c r="M13" s="4">
        <v>740</v>
      </c>
      <c r="N13" s="7">
        <f>('Appendix 2'!N24+'Appendix 2'!N35)*'Cost of Revenue - US Greenhouse'!$B$17*'Appendix 2'!N38</f>
        <v>8892</v>
      </c>
      <c r="O13" s="7">
        <f>('Appendix 2'!O24+'Appendix 2'!O35)*'Cost of Revenue - US Greenhouse'!$B$17*'Appendix 2'!O38</f>
        <v>83304</v>
      </c>
      <c r="P13" s="7">
        <f>('Appendix 2'!P24+'Appendix 2'!P35)*'Cost of Revenue - US Greenhouse'!$B$17*'Appendix 2'!P38</f>
        <v>166608</v>
      </c>
      <c r="Q13" s="7">
        <f>('Appendix 2'!Q24+'Appendix 2'!Q35)*'Cost of Revenue - US Greenhouse'!$B$17*'Appendix 2'!Q38</f>
        <v>333216</v>
      </c>
      <c r="R13" s="7">
        <f>('Appendix 2'!R24+'Appendix 2'!R35)*'Cost of Revenue - US Greenhouse'!$B$17*'Appendix 2'!R38</f>
        <v>333216</v>
      </c>
    </row>
    <row r="14" spans="1:18" ht="13" x14ac:dyDescent="0.15">
      <c r="A14" s="4" t="s">
        <v>256</v>
      </c>
      <c r="B14" s="7">
        <f>('Cost of Revenue - US Greenhouse'!$B$7*'Cost of Revenue - US Greenhouse'!$B$18)*('Appendix 2'!B$26+'Appendix 2'!B$37)*'Appendix 2'!B27</f>
        <v>779.4</v>
      </c>
      <c r="C14" s="7">
        <f>('Cost of Revenue - US Greenhouse'!$B$7*'Cost of Revenue - US Greenhouse'!$B$18)*('Appendix 2'!C$26+'Appendix 2'!C$37)*'Appendix 2'!C27</f>
        <v>779.4</v>
      </c>
      <c r="D14" s="7">
        <f>('Cost of Revenue - US Greenhouse'!$B$7*'Cost of Revenue - US Greenhouse'!$B$18)*('Appendix 2'!D$26+'Appendix 2'!D$37)*'Appendix 2'!D27</f>
        <v>779.4</v>
      </c>
      <c r="E14" s="7">
        <f>('Cost of Revenue - US Greenhouse'!$B$7*'Cost of Revenue - US Greenhouse'!$B$18)*('Appendix 2'!E$26+'Appendix 2'!E$37)*'Appendix 2'!E27</f>
        <v>779.4</v>
      </c>
      <c r="F14" s="7">
        <f>('Cost of Revenue - US Greenhouse'!$B$7*'Cost of Revenue - US Greenhouse'!$B$18)*('Appendix 2'!F$26+'Appendix 2'!F$37)*'Appendix 2'!F27</f>
        <v>779.4</v>
      </c>
      <c r="G14" s="7">
        <f>('Cost of Revenue - US Greenhouse'!$B$7*'Cost of Revenue - US Greenhouse'!$B$18)*('Appendix 2'!G$26+'Appendix 2'!G$37)*'Appendix 2'!G27</f>
        <v>779.4</v>
      </c>
      <c r="H14" s="7">
        <f>('Cost of Revenue - US Greenhouse'!$B$7*'Cost of Revenue - US Greenhouse'!$B$18)*('Appendix 2'!H$26+'Appendix 2'!H$37)*'Appendix 2'!H27</f>
        <v>779.4</v>
      </c>
      <c r="I14" s="7">
        <f>('Cost of Revenue - US Greenhouse'!$B$7*'Cost of Revenue - US Greenhouse'!$B$18)*('Appendix 2'!I$26+'Appendix 2'!I$37)*'Appendix 2'!I27</f>
        <v>779.4</v>
      </c>
      <c r="J14" s="7">
        <f>('Cost of Revenue - US Greenhouse'!$B$7*'Cost of Revenue - US Greenhouse'!$B$18)*('Appendix 2'!J$26+'Appendix 2'!J$37)*'Appendix 2'!J27</f>
        <v>779.4</v>
      </c>
      <c r="K14" s="7">
        <f>('Cost of Revenue - US Greenhouse'!$B$7*'Cost of Revenue - US Greenhouse'!$B$18)*('Appendix 2'!K$26+'Appendix 2'!K$37)*'Appendix 2'!K27</f>
        <v>779.4</v>
      </c>
      <c r="L14" s="7">
        <f>('Cost of Revenue - US Greenhouse'!$B$7*'Cost of Revenue - US Greenhouse'!$B$18)*('Appendix 2'!L$26+'Appendix 2'!L$37)*'Appendix 2'!L27</f>
        <v>779.4</v>
      </c>
      <c r="M14" s="4">
        <v>650</v>
      </c>
      <c r="N14" s="7">
        <f>('Cost of Revenue - US Greenhouse'!$B$7*'Cost of Revenue - US Greenhouse'!$B$18)*('Appendix 2'!N$26+'Appendix 2'!N$37)*'Appendix 2'!N27</f>
        <v>9360</v>
      </c>
      <c r="O14" s="7">
        <f>('Cost of Revenue - US Greenhouse'!$B$7*'Cost of Revenue - US Greenhouse'!$B$18)*('Appendix 2'!O$26+'Appendix 2'!O$37)*'Appendix 2'!O27</f>
        <v>93600</v>
      </c>
      <c r="P14" s="7">
        <f>('Cost of Revenue - US Greenhouse'!$B$7*'Cost of Revenue - US Greenhouse'!$B$18)*('Appendix 2'!P$26+'Appendix 2'!P$37)*'Appendix 2'!P27</f>
        <v>187200</v>
      </c>
      <c r="Q14" s="7">
        <f>('Cost of Revenue - US Greenhouse'!$B$7*'Cost of Revenue - US Greenhouse'!$B$18)*('Appendix 2'!Q$26+'Appendix 2'!Q$37)*'Appendix 2'!Q27</f>
        <v>374400</v>
      </c>
      <c r="R14" s="7">
        <f>('Cost of Revenue - US Greenhouse'!$B$7*'Cost of Revenue - US Greenhouse'!$B$18)*('Appendix 2'!R$26+'Appendix 2'!R$37)*'Appendix 2'!R27</f>
        <v>374400</v>
      </c>
    </row>
    <row r="15" spans="1:18" ht="13" x14ac:dyDescent="0.15">
      <c r="A15" s="4" t="s">
        <v>257</v>
      </c>
      <c r="B15" s="7">
        <f>'Appendix 2'!B30*('Cost of Revenue - US Greenhouse'!$B$19/4)</f>
        <v>77.94</v>
      </c>
      <c r="C15" s="7">
        <f>'Appendix 2'!C30*('Cost of Revenue - US Greenhouse'!$B$19/4)</f>
        <v>89.074285714285736</v>
      </c>
      <c r="D15" s="7">
        <f>'Appendix 2'!D30*('Cost of Revenue - US Greenhouse'!$B$19/4)</f>
        <v>100.20857142857145</v>
      </c>
      <c r="E15" s="7">
        <f>'Appendix 2'!E30*('Cost of Revenue - US Greenhouse'!$B$19/4)</f>
        <v>105.77571428571429</v>
      </c>
      <c r="F15" s="7">
        <f>'Appendix 2'!F30*('Cost of Revenue - US Greenhouse'!$B$19/4)</f>
        <v>105.77571428571429</v>
      </c>
      <c r="G15" s="7">
        <f>'Appendix 2'!G30*('Cost of Revenue - US Greenhouse'!$B$19/4)</f>
        <v>105.77571428571429</v>
      </c>
      <c r="H15" s="7">
        <f>'Appendix 2'!H30*('Cost of Revenue - US Greenhouse'!$B$19/4)</f>
        <v>105.77571428571429</v>
      </c>
      <c r="I15" s="7">
        <f>'Appendix 2'!I30*('Cost of Revenue - US Greenhouse'!$B$19/4)</f>
        <v>105.77571428571429</v>
      </c>
      <c r="J15" s="7">
        <f>'Appendix 2'!J30*('Cost of Revenue - US Greenhouse'!$B$19/4)</f>
        <v>105.77571428571429</v>
      </c>
      <c r="K15" s="7">
        <f>'Appendix 2'!K30*('Cost of Revenue - US Greenhouse'!$B$19/4)</f>
        <v>105.77571428571429</v>
      </c>
      <c r="L15" s="7">
        <f>'Appendix 2'!L30*('Cost of Revenue - US Greenhouse'!$B$19/4)</f>
        <v>105.77571428571429</v>
      </c>
      <c r="M15" s="4">
        <v>106</v>
      </c>
      <c r="N15" s="7">
        <f>'Appendix 2'!N30*('Cost of Revenue - US Greenhouse'!$B$19/4)</f>
        <v>1313.8457142857139</v>
      </c>
      <c r="O15" s="7">
        <f>'Appendix 2'!O30*('Cost of Revenue - US Greenhouse'!$B$19/4)</f>
        <v>12034.285714285716</v>
      </c>
      <c r="P15" s="7">
        <f>'Appendix 2'!P30*('Cost of Revenue - US Greenhouse'!$B$19/4)</f>
        <v>24068.571428571431</v>
      </c>
      <c r="Q15" s="7">
        <f>'Appendix 2'!Q30*('Cost of Revenue - US Greenhouse'!$B$19/4)</f>
        <v>48137.142857142862</v>
      </c>
      <c r="R15" s="7">
        <f>'Appendix 2'!R30*('Cost of Revenue - US Greenhouse'!$B$19/4)</f>
        <v>50811.428571428572</v>
      </c>
    </row>
    <row r="16" spans="1:18" ht="13" x14ac:dyDescent="0.15">
      <c r="A16" s="4" t="s">
        <v>166</v>
      </c>
      <c r="B16" s="7">
        <f>'Appendix 2'!B41*0.15</f>
        <v>736.53307365330727</v>
      </c>
      <c r="C16" s="7">
        <f>'Appendix 2'!C41*0.15</f>
        <v>841.75208417520844</v>
      </c>
      <c r="D16" s="7">
        <f>'Appendix 2'!D41*0.15</f>
        <v>946.97109469710949</v>
      </c>
      <c r="E16" s="7">
        <f>'Appendix 2'!E41*0.15</f>
        <v>999.58059995805991</v>
      </c>
      <c r="F16" s="7">
        <f>'Appendix 2'!F41*0.15</f>
        <v>999.58059995805991</v>
      </c>
      <c r="G16" s="7">
        <f>'Appendix 2'!G41*0.15</f>
        <v>999.58059995805991</v>
      </c>
      <c r="H16" s="7">
        <f>'Appendix 2'!H41*0.15</f>
        <v>999.58059995805991</v>
      </c>
      <c r="I16" s="7">
        <f>'Appendix 2'!I41*0.15</f>
        <v>999.58059995805991</v>
      </c>
      <c r="J16" s="7">
        <f>'Appendix 2'!J41*0.15</f>
        <v>999.58059995805991</v>
      </c>
      <c r="K16" s="7">
        <f>'Appendix 2'!K41*0.15</f>
        <v>999.58059995805991</v>
      </c>
      <c r="L16" s="7">
        <f>'Appendix 2'!L41*0.15</f>
        <v>999.58059995805991</v>
      </c>
      <c r="M16" s="4">
        <v>0</v>
      </c>
      <c r="N16" s="7">
        <f>'Appendix 2'!N41*0.15</f>
        <v>12521.062252106227</v>
      </c>
      <c r="O16" s="7">
        <f>'Appendix 2'!O41*0.15</f>
        <v>68241.224122412241</v>
      </c>
      <c r="P16" s="7">
        <f>'Appendix 2'!P41*0.15</f>
        <v>137847.27272727271</v>
      </c>
      <c r="Q16" s="7">
        <f>'Appendix 2'!Q41*0.15</f>
        <v>275694.54545454541</v>
      </c>
      <c r="R16" s="7">
        <f>'Appendix 2'!R41*0.15</f>
        <v>291010.90909090906</v>
      </c>
    </row>
    <row r="17" spans="1:18" ht="13" x14ac:dyDescent="0.15">
      <c r="A17" s="4" t="s">
        <v>258</v>
      </c>
      <c r="B17" s="7">
        <f>'Cost of Revenue - US Greenhouse'!$B$10*'Cost of Revenue - US Greenhouse'!$B$22*('Appendix 2'!B26+'Appendix 2'!B37)*'Appendix 2'!B27</f>
        <v>324.75</v>
      </c>
      <c r="C17" s="7">
        <f>'Cost of Revenue - US Greenhouse'!$B$10*'Cost of Revenue - US Greenhouse'!$B$22*('Appendix 2'!C26+'Appendix 2'!C37)*'Appendix 2'!C27</f>
        <v>324.75</v>
      </c>
      <c r="D17" s="7">
        <f>'Cost of Revenue - US Greenhouse'!$B$10*'Cost of Revenue - US Greenhouse'!$B$22*('Appendix 2'!D26+'Appendix 2'!D37)*'Appendix 2'!D27</f>
        <v>324.75</v>
      </c>
      <c r="E17" s="7">
        <f>'Cost of Revenue - US Greenhouse'!$B$10*'Cost of Revenue - US Greenhouse'!$B$22*('Appendix 2'!E26+'Appendix 2'!E37)*'Appendix 2'!E27</f>
        <v>324.75</v>
      </c>
      <c r="F17" s="7">
        <f>'Cost of Revenue - US Greenhouse'!$B$10*'Cost of Revenue - US Greenhouse'!$B$22*('Appendix 2'!F26+'Appendix 2'!F37)*'Appendix 2'!F27</f>
        <v>324.75</v>
      </c>
      <c r="G17" s="7">
        <f>'Cost of Revenue - US Greenhouse'!$B$10*'Cost of Revenue - US Greenhouse'!$B$22*('Appendix 2'!G26+'Appendix 2'!G37)*'Appendix 2'!G27</f>
        <v>324.75</v>
      </c>
      <c r="H17" s="7">
        <f>'Cost of Revenue - US Greenhouse'!$B$10*'Cost of Revenue - US Greenhouse'!$B$22*('Appendix 2'!H26+'Appendix 2'!H37)*'Appendix 2'!H27</f>
        <v>324.75</v>
      </c>
      <c r="I17" s="7">
        <f>'Cost of Revenue - US Greenhouse'!$B$10*'Cost of Revenue - US Greenhouse'!$B$22*('Appendix 2'!I26+'Appendix 2'!I37)*'Appendix 2'!I27</f>
        <v>324.75</v>
      </c>
      <c r="J17" s="7">
        <f>'Cost of Revenue - US Greenhouse'!$B$10*'Cost of Revenue - US Greenhouse'!$B$22*('Appendix 2'!J26+'Appendix 2'!J37)*'Appendix 2'!J27</f>
        <v>324.75</v>
      </c>
      <c r="K17" s="7">
        <f>'Cost of Revenue - US Greenhouse'!$B$10*'Cost of Revenue - US Greenhouse'!$B$22*('Appendix 2'!K26+'Appendix 2'!K37)*'Appendix 2'!K27</f>
        <v>324.75</v>
      </c>
      <c r="L17" s="7">
        <f>'Cost of Revenue - US Greenhouse'!$B$10*'Cost of Revenue - US Greenhouse'!$B$22*('Appendix 2'!L26+'Appendix 2'!L37)*'Appendix 2'!L27</f>
        <v>324.75</v>
      </c>
      <c r="M17" s="4">
        <v>108</v>
      </c>
      <c r="N17" s="7">
        <f>'Cost of Revenue - US Greenhouse'!$B$10*'Cost of Revenue - US Greenhouse'!$B$22*('Appendix 2'!N26+'Appendix 2'!N37)*'Appendix 2'!N27</f>
        <v>3900</v>
      </c>
      <c r="O17" s="7">
        <f>'Cost of Revenue - US Greenhouse'!$B$10*'Cost of Revenue - US Greenhouse'!$B$22*('Appendix 2'!O26+'Appendix 2'!O37)*'Appendix 2'!O27</f>
        <v>39000</v>
      </c>
      <c r="P17" s="7">
        <f>'Cost of Revenue - US Greenhouse'!$B$10*'Cost of Revenue - US Greenhouse'!$B$22*('Appendix 2'!P26+'Appendix 2'!P37)*'Appendix 2'!P27</f>
        <v>78000</v>
      </c>
      <c r="Q17" s="7">
        <f>'Cost of Revenue - US Greenhouse'!$B$10*'Cost of Revenue - US Greenhouse'!$B$22*('Appendix 2'!Q26+'Appendix 2'!Q37)*'Appendix 2'!Q27</f>
        <v>156000</v>
      </c>
      <c r="R17" s="7">
        <f>'Cost of Revenue - US Greenhouse'!$B$10*'Cost of Revenue - US Greenhouse'!$B$22*('Appendix 2'!R26+'Appendix 2'!R37)*'Appendix 2'!R27</f>
        <v>156000</v>
      </c>
    </row>
    <row r="18" spans="1:18" ht="13" x14ac:dyDescent="0.15">
      <c r="A18" s="80" t="s">
        <v>259</v>
      </c>
      <c r="B18" s="30">
        <f t="shared" ref="B18:R18" si="1">SUM(B9:B17)</f>
        <v>3082.9776736533076</v>
      </c>
      <c r="C18" s="30">
        <f t="shared" si="1"/>
        <v>3199.3309698894946</v>
      </c>
      <c r="D18" s="30">
        <f t="shared" si="1"/>
        <v>3315.6842661256815</v>
      </c>
      <c r="E18" s="30">
        <f t="shared" si="1"/>
        <v>3373.8609142437745</v>
      </c>
      <c r="F18" s="30">
        <f t="shared" si="1"/>
        <v>3373.8609142437745</v>
      </c>
      <c r="G18" s="30">
        <f t="shared" si="1"/>
        <v>3373.8609142437745</v>
      </c>
      <c r="H18" s="30">
        <f t="shared" si="1"/>
        <v>3373.8609142437745</v>
      </c>
      <c r="I18" s="30">
        <f t="shared" si="1"/>
        <v>3373.8609142437745</v>
      </c>
      <c r="J18" s="30">
        <f t="shared" si="1"/>
        <v>3373.8609142437745</v>
      </c>
      <c r="K18" s="30">
        <f t="shared" si="1"/>
        <v>3373.8609142437745</v>
      </c>
      <c r="L18" s="30">
        <f t="shared" si="1"/>
        <v>3373.8609142437745</v>
      </c>
      <c r="M18" s="30">
        <f t="shared" si="1"/>
        <v>1976</v>
      </c>
      <c r="N18" s="30">
        <f t="shared" si="1"/>
        <v>39330.147966391938</v>
      </c>
      <c r="O18" s="30">
        <f t="shared" si="1"/>
        <v>329611.90983669797</v>
      </c>
      <c r="P18" s="30">
        <f t="shared" si="1"/>
        <v>660588.64415584411</v>
      </c>
      <c r="Q18" s="30">
        <f t="shared" si="1"/>
        <v>1321177.2883116882</v>
      </c>
      <c r="R18" s="30">
        <f t="shared" si="1"/>
        <v>1339167.9376623374</v>
      </c>
    </row>
    <row r="19" spans="1:18" ht="13" x14ac:dyDescent="0.15">
      <c r="A19" s="48" t="s">
        <v>260</v>
      </c>
      <c r="B19" s="42">
        <f t="shared" ref="B19:R19" si="2">B18/B6</f>
        <v>0.41637662833802014</v>
      </c>
      <c r="C19" s="42">
        <f t="shared" si="2"/>
        <v>0.37807955012734656</v>
      </c>
      <c r="D19" s="42">
        <f t="shared" si="2"/>
        <v>0.34829293374126713</v>
      </c>
      <c r="E19" s="42">
        <f t="shared" si="2"/>
        <v>0.33575120052607577</v>
      </c>
      <c r="F19" s="42">
        <f t="shared" si="2"/>
        <v>0.33575120052607577</v>
      </c>
      <c r="G19" s="42">
        <f t="shared" si="2"/>
        <v>0.33575120052607577</v>
      </c>
      <c r="H19" s="42">
        <f t="shared" si="2"/>
        <v>0.33575120052607577</v>
      </c>
      <c r="I19" s="42">
        <f t="shared" si="2"/>
        <v>0.33575120052607577</v>
      </c>
      <c r="J19" s="42">
        <f t="shared" si="2"/>
        <v>0.33575120052607577</v>
      </c>
      <c r="K19" s="42">
        <f t="shared" si="2"/>
        <v>0.33575120052607577</v>
      </c>
      <c r="L19" s="42">
        <f t="shared" si="2"/>
        <v>0.33575120052607577</v>
      </c>
      <c r="M19" s="42">
        <f t="shared" si="2"/>
        <v>0.30810737604425059</v>
      </c>
      <c r="N19" s="42">
        <f t="shared" si="2"/>
        <v>0.35057022944708277</v>
      </c>
      <c r="O19" s="42">
        <f t="shared" si="2"/>
        <v>0.38265171359288902</v>
      </c>
      <c r="P19" s="42">
        <f t="shared" si="2"/>
        <v>0.37026146928223957</v>
      </c>
      <c r="Q19" s="42">
        <f t="shared" si="2"/>
        <v>0.35947715464295105</v>
      </c>
      <c r="R19" s="42">
        <f t="shared" si="2"/>
        <v>0.35849510105027899</v>
      </c>
    </row>
    <row r="20" spans="1:18" ht="13" x14ac:dyDescent="0.15">
      <c r="A20" s="2"/>
    </row>
    <row r="21" spans="1:18" ht="13" x14ac:dyDescent="0.15">
      <c r="A21" s="80" t="s">
        <v>261</v>
      </c>
      <c r="B21" s="30">
        <f t="shared" ref="B21:R21" si="3">(B6-B18)</f>
        <v>4321.3228173687412</v>
      </c>
      <c r="C21" s="30">
        <f t="shared" si="3"/>
        <v>5262.7267341357046</v>
      </c>
      <c r="D21" s="30">
        <f t="shared" si="3"/>
        <v>6204.130650902669</v>
      </c>
      <c r="E21" s="30">
        <f t="shared" si="3"/>
        <v>6674.8326092861498</v>
      </c>
      <c r="F21" s="30">
        <f t="shared" si="3"/>
        <v>6674.8326092861498</v>
      </c>
      <c r="G21" s="30">
        <f t="shared" si="3"/>
        <v>6674.8326092861498</v>
      </c>
      <c r="H21" s="30">
        <f t="shared" si="3"/>
        <v>6674.8326092861498</v>
      </c>
      <c r="I21" s="30">
        <f t="shared" si="3"/>
        <v>6674.8326092861498</v>
      </c>
      <c r="J21" s="30">
        <f t="shared" si="3"/>
        <v>6674.8326092861498</v>
      </c>
      <c r="K21" s="30">
        <f t="shared" si="3"/>
        <v>6674.8326092861498</v>
      </c>
      <c r="L21" s="30">
        <f t="shared" si="3"/>
        <v>6674.8326092861498</v>
      </c>
      <c r="M21" s="30">
        <f t="shared" si="3"/>
        <v>4437.3485714285707</v>
      </c>
      <c r="N21" s="30">
        <f t="shared" si="3"/>
        <v>72858.921905351628</v>
      </c>
      <c r="O21" s="30">
        <f t="shared" si="3"/>
        <v>531776.91485148529</v>
      </c>
      <c r="P21" s="30">
        <f t="shared" si="3"/>
        <v>1123525.2833246752</v>
      </c>
      <c r="Q21" s="30">
        <f t="shared" si="3"/>
        <v>2354097.4022981818</v>
      </c>
      <c r="R21" s="30">
        <f t="shared" si="3"/>
        <v>2396358.5276617142</v>
      </c>
    </row>
    <row r="22" spans="1:18" ht="13" x14ac:dyDescent="0.15">
      <c r="A22" s="48" t="s">
        <v>136</v>
      </c>
      <c r="B22" s="42">
        <f t="shared" ref="B22:R22" si="4">B21/B6</f>
        <v>0.58362337166197986</v>
      </c>
      <c r="C22" s="42">
        <f t="shared" si="4"/>
        <v>0.62192044987265338</v>
      </c>
      <c r="D22" s="42">
        <f t="shared" si="4"/>
        <v>0.65170706625873287</v>
      </c>
      <c r="E22" s="42">
        <f t="shared" si="4"/>
        <v>0.66424879947392423</v>
      </c>
      <c r="F22" s="42">
        <f t="shared" si="4"/>
        <v>0.66424879947392423</v>
      </c>
      <c r="G22" s="42">
        <f t="shared" si="4"/>
        <v>0.66424879947392423</v>
      </c>
      <c r="H22" s="42">
        <f t="shared" si="4"/>
        <v>0.66424879947392423</v>
      </c>
      <c r="I22" s="42">
        <f t="shared" si="4"/>
        <v>0.66424879947392423</v>
      </c>
      <c r="J22" s="42">
        <f t="shared" si="4"/>
        <v>0.66424879947392423</v>
      </c>
      <c r="K22" s="42">
        <f t="shared" si="4"/>
        <v>0.66424879947392423</v>
      </c>
      <c r="L22" s="42">
        <f t="shared" si="4"/>
        <v>0.66424879947392423</v>
      </c>
      <c r="M22" s="42">
        <f t="shared" si="4"/>
        <v>0.69189262395574935</v>
      </c>
      <c r="N22" s="42">
        <f t="shared" si="4"/>
        <v>0.64942977055291728</v>
      </c>
      <c r="O22" s="42">
        <f t="shared" si="4"/>
        <v>0.61734828640711104</v>
      </c>
      <c r="P22" s="42">
        <f t="shared" si="4"/>
        <v>0.62973853071776043</v>
      </c>
      <c r="Q22" s="42">
        <f t="shared" si="4"/>
        <v>0.64052284535704895</v>
      </c>
      <c r="R22" s="42">
        <f t="shared" si="4"/>
        <v>0.64150489894972096</v>
      </c>
    </row>
    <row r="23" spans="1:18" ht="13" x14ac:dyDescent="0.15">
      <c r="A23" s="1"/>
    </row>
    <row r="24" spans="1:18" ht="13" x14ac:dyDescent="0.15">
      <c r="A24" s="1" t="s">
        <v>262</v>
      </c>
    </row>
    <row r="25" spans="1:18" ht="13" x14ac:dyDescent="0.15">
      <c r="A25" s="2" t="s">
        <v>263</v>
      </c>
      <c r="B25" s="4">
        <v>300</v>
      </c>
      <c r="C25" s="4">
        <v>300</v>
      </c>
      <c r="D25" s="4">
        <v>300</v>
      </c>
      <c r="E25" s="4">
        <v>300</v>
      </c>
      <c r="F25" s="4">
        <v>300</v>
      </c>
      <c r="G25" s="4">
        <v>300</v>
      </c>
      <c r="H25" s="4">
        <v>300</v>
      </c>
      <c r="I25" s="4">
        <v>300</v>
      </c>
      <c r="J25" s="4">
        <v>300</v>
      </c>
      <c r="K25" s="4">
        <v>300</v>
      </c>
      <c r="L25" s="4">
        <v>300</v>
      </c>
      <c r="M25" s="4">
        <v>300</v>
      </c>
      <c r="N25" s="7">
        <f t="shared" ref="N25:N26" si="5">SUM(B25:M25)</f>
        <v>3600</v>
      </c>
      <c r="O25" s="7">
        <f>N25*5</f>
        <v>18000</v>
      </c>
      <c r="P25" s="7">
        <f>O25*1.5</f>
        <v>27000</v>
      </c>
      <c r="Q25" s="7">
        <f>P25*2</f>
        <v>54000</v>
      </c>
      <c r="R25" s="4">
        <f>54000</f>
        <v>54000</v>
      </c>
    </row>
    <row r="26" spans="1:18" ht="13" x14ac:dyDescent="0.15">
      <c r="A26" s="2" t="s">
        <v>264</v>
      </c>
      <c r="B26" s="74">
        <f>0.3*('Appendix 2'!B26+'Appendix 2'!B37)</f>
        <v>432</v>
      </c>
      <c r="C26" s="74">
        <f>0.3*('Appendix 2'!C26+'Appendix 2'!C37)</f>
        <v>432</v>
      </c>
      <c r="D26" s="74">
        <f>0.3*('Appendix 2'!D26+'Appendix 2'!D37)</f>
        <v>432</v>
      </c>
      <c r="E26" s="74">
        <f>0.3*('Appendix 2'!E26+'Appendix 2'!E37)</f>
        <v>432</v>
      </c>
      <c r="F26" s="74">
        <f>0.3*('Appendix 2'!F26+'Appendix 2'!F37)</f>
        <v>432</v>
      </c>
      <c r="G26" s="74">
        <f>0.3*('Appendix 2'!G26+'Appendix 2'!G37)</f>
        <v>432</v>
      </c>
      <c r="H26" s="74">
        <f>0.3*('Appendix 2'!H26+'Appendix 2'!H37)</f>
        <v>432</v>
      </c>
      <c r="I26" s="74">
        <f>0.3*('Appendix 2'!I26+'Appendix 2'!I37)</f>
        <v>432</v>
      </c>
      <c r="J26" s="74">
        <f>0.3*('Appendix 2'!J26+'Appendix 2'!J37)</f>
        <v>432</v>
      </c>
      <c r="K26" s="74">
        <f>0.3*('Appendix 2'!K26+'Appendix 2'!K37)</f>
        <v>432</v>
      </c>
      <c r="L26" s="74">
        <f>0.3*('Appendix 2'!L26+'Appendix 2'!L37)</f>
        <v>432</v>
      </c>
      <c r="M26" s="74">
        <f>0.3*('Appendix 2'!M26+'Appendix 2'!M37)</f>
        <v>864</v>
      </c>
      <c r="N26" s="7">
        <f t="shared" si="5"/>
        <v>5616</v>
      </c>
      <c r="O26" s="7">
        <f>4*'Appendix 2'!O26</f>
        <v>28800</v>
      </c>
      <c r="P26" s="7">
        <f>4*'Appendix 2'!P26</f>
        <v>57600</v>
      </c>
      <c r="Q26" s="7">
        <f>4*'Appendix 2'!Q26</f>
        <v>115200</v>
      </c>
      <c r="R26" s="7">
        <f>Q26*1.03</f>
        <v>118656</v>
      </c>
    </row>
    <row r="27" spans="1:18" ht="13" x14ac:dyDescent="0.15">
      <c r="A27" s="2" t="s">
        <v>265</v>
      </c>
      <c r="B27" s="7">
        <f t="shared" ref="B27:R27" si="6">0.025*(B$4+B$5)</f>
        <v>185.10751227555124</v>
      </c>
      <c r="C27" s="7">
        <f t="shared" si="6"/>
        <v>211.55144260063</v>
      </c>
      <c r="D27" s="7">
        <f t="shared" si="6"/>
        <v>237.99537292570878</v>
      </c>
      <c r="E27" s="7">
        <f t="shared" si="6"/>
        <v>251.21733808824811</v>
      </c>
      <c r="F27" s="7">
        <f t="shared" si="6"/>
        <v>251.21733808824811</v>
      </c>
      <c r="G27" s="7">
        <f t="shared" si="6"/>
        <v>251.21733808824811</v>
      </c>
      <c r="H27" s="7">
        <f t="shared" si="6"/>
        <v>251.21733808824811</v>
      </c>
      <c r="I27" s="7">
        <f t="shared" si="6"/>
        <v>251.21733808824811</v>
      </c>
      <c r="J27" s="7">
        <f t="shared" si="6"/>
        <v>251.21733808824811</v>
      </c>
      <c r="K27" s="7">
        <f t="shared" si="6"/>
        <v>251.21733808824811</v>
      </c>
      <c r="L27" s="7">
        <f t="shared" si="6"/>
        <v>251.21733808824811</v>
      </c>
      <c r="M27" s="7">
        <f t="shared" si="6"/>
        <v>160.33371428571428</v>
      </c>
      <c r="N27" s="7">
        <f t="shared" si="6"/>
        <v>2804.726746793589</v>
      </c>
      <c r="O27" s="7">
        <f t="shared" si="6"/>
        <v>21534.720617204584</v>
      </c>
      <c r="P27" s="7">
        <f t="shared" si="6"/>
        <v>44602.848187012984</v>
      </c>
      <c r="Q27" s="7">
        <f t="shared" si="6"/>
        <v>91881.86726524675</v>
      </c>
      <c r="R27" s="7">
        <f t="shared" si="6"/>
        <v>93388.161633101292</v>
      </c>
    </row>
    <row r="28" spans="1:18" ht="13" x14ac:dyDescent="0.15">
      <c r="A28" s="2" t="s">
        <v>266</v>
      </c>
      <c r="B28" s="7">
        <f t="shared" ref="B28:R28" si="7">0.025*(B$4+B$5)</f>
        <v>185.10751227555124</v>
      </c>
      <c r="C28" s="7">
        <f t="shared" si="7"/>
        <v>211.55144260063</v>
      </c>
      <c r="D28" s="7">
        <f t="shared" si="7"/>
        <v>237.99537292570878</v>
      </c>
      <c r="E28" s="7">
        <f t="shared" si="7"/>
        <v>251.21733808824811</v>
      </c>
      <c r="F28" s="7">
        <f t="shared" si="7"/>
        <v>251.21733808824811</v>
      </c>
      <c r="G28" s="7">
        <f t="shared" si="7"/>
        <v>251.21733808824811</v>
      </c>
      <c r="H28" s="7">
        <f t="shared" si="7"/>
        <v>251.21733808824811</v>
      </c>
      <c r="I28" s="7">
        <f t="shared" si="7"/>
        <v>251.21733808824811</v>
      </c>
      <c r="J28" s="7">
        <f t="shared" si="7"/>
        <v>251.21733808824811</v>
      </c>
      <c r="K28" s="7">
        <f t="shared" si="7"/>
        <v>251.21733808824811</v>
      </c>
      <c r="L28" s="7">
        <f t="shared" si="7"/>
        <v>251.21733808824811</v>
      </c>
      <c r="M28" s="7">
        <f t="shared" si="7"/>
        <v>160.33371428571428</v>
      </c>
      <c r="N28" s="7">
        <f t="shared" si="7"/>
        <v>2804.726746793589</v>
      </c>
      <c r="O28" s="7">
        <f t="shared" si="7"/>
        <v>21534.720617204584</v>
      </c>
      <c r="P28" s="7">
        <f t="shared" si="7"/>
        <v>44602.848187012984</v>
      </c>
      <c r="Q28" s="7">
        <f t="shared" si="7"/>
        <v>91881.86726524675</v>
      </c>
      <c r="R28" s="7">
        <f t="shared" si="7"/>
        <v>93388.161633101292</v>
      </c>
    </row>
    <row r="29" spans="1:18" ht="13" x14ac:dyDescent="0.15">
      <c r="A29" s="2" t="s">
        <v>267</v>
      </c>
      <c r="B29" s="7">
        <f t="shared" ref="B29:R29" si="8">(B$4+B$5)*0.1</f>
        <v>740.43004910220498</v>
      </c>
      <c r="C29" s="7">
        <f t="shared" si="8"/>
        <v>846.20577040251999</v>
      </c>
      <c r="D29" s="7">
        <f t="shared" si="8"/>
        <v>951.98149170283511</v>
      </c>
      <c r="E29" s="7">
        <f t="shared" si="8"/>
        <v>1004.8693523529925</v>
      </c>
      <c r="F29" s="7">
        <f t="shared" si="8"/>
        <v>1004.8693523529925</v>
      </c>
      <c r="G29" s="7">
        <f t="shared" si="8"/>
        <v>1004.8693523529925</v>
      </c>
      <c r="H29" s="7">
        <f t="shared" si="8"/>
        <v>1004.8693523529925</v>
      </c>
      <c r="I29" s="7">
        <f t="shared" si="8"/>
        <v>1004.8693523529925</v>
      </c>
      <c r="J29" s="7">
        <f t="shared" si="8"/>
        <v>1004.8693523529925</v>
      </c>
      <c r="K29" s="7">
        <f t="shared" si="8"/>
        <v>1004.8693523529925</v>
      </c>
      <c r="L29" s="7">
        <f t="shared" si="8"/>
        <v>1004.8693523529925</v>
      </c>
      <c r="M29" s="7">
        <f t="shared" si="8"/>
        <v>641.33485714285712</v>
      </c>
      <c r="N29" s="7">
        <f t="shared" si="8"/>
        <v>11218.906987174356</v>
      </c>
      <c r="O29" s="7">
        <f t="shared" si="8"/>
        <v>86138.882468818338</v>
      </c>
      <c r="P29" s="7">
        <f t="shared" si="8"/>
        <v>178411.39274805193</v>
      </c>
      <c r="Q29" s="7">
        <f t="shared" si="8"/>
        <v>367527.469060987</v>
      </c>
      <c r="R29" s="7">
        <f t="shared" si="8"/>
        <v>373552.64653240517</v>
      </c>
    </row>
    <row r="30" spans="1:18" ht="13" x14ac:dyDescent="0.15">
      <c r="A30" s="1" t="s">
        <v>268</v>
      </c>
      <c r="B30" s="7">
        <f t="shared" ref="B30:M30" si="9">SUM(B25:B29)</f>
        <v>1842.6450736533075</v>
      </c>
      <c r="C30" s="7">
        <f t="shared" si="9"/>
        <v>2001.3086556037802</v>
      </c>
      <c r="D30" s="7">
        <f t="shared" si="9"/>
        <v>2159.9722375542528</v>
      </c>
      <c r="E30" s="7">
        <f t="shared" si="9"/>
        <v>2239.3040285294887</v>
      </c>
      <c r="F30" s="7">
        <f t="shared" si="9"/>
        <v>2239.3040285294887</v>
      </c>
      <c r="G30" s="7">
        <f t="shared" si="9"/>
        <v>2239.3040285294887</v>
      </c>
      <c r="H30" s="7">
        <f t="shared" si="9"/>
        <v>2239.3040285294887</v>
      </c>
      <c r="I30" s="7">
        <f t="shared" si="9"/>
        <v>2239.3040285294887</v>
      </c>
      <c r="J30" s="7">
        <f t="shared" si="9"/>
        <v>2239.3040285294887</v>
      </c>
      <c r="K30" s="7">
        <f t="shared" si="9"/>
        <v>2239.3040285294887</v>
      </c>
      <c r="L30" s="7">
        <f t="shared" si="9"/>
        <v>2239.3040285294887</v>
      </c>
      <c r="M30" s="7">
        <f t="shared" si="9"/>
        <v>2126.0022857142858</v>
      </c>
      <c r="N30" s="7">
        <f>SUM(B30:M30)</f>
        <v>26044.360480761534</v>
      </c>
      <c r="O30" s="7">
        <f t="shared" ref="O30:R30" si="10">SUM(O25:O29)</f>
        <v>176008.32370322751</v>
      </c>
      <c r="P30" s="7">
        <f t="shared" si="10"/>
        <v>352217.08912207792</v>
      </c>
      <c r="Q30" s="7">
        <f t="shared" si="10"/>
        <v>720491.2035914805</v>
      </c>
      <c r="R30" s="7">
        <f t="shared" si="10"/>
        <v>732984.96979860775</v>
      </c>
    </row>
    <row r="31" spans="1:18" ht="13" x14ac:dyDescent="0.15">
      <c r="A31" s="48" t="s">
        <v>136</v>
      </c>
      <c r="B31" s="42">
        <f t="shared" ref="B31:R31" si="11">B30/B6</f>
        <v>0.24886146583158983</v>
      </c>
      <c r="C31" s="42">
        <f t="shared" si="11"/>
        <v>0.23650378260264113</v>
      </c>
      <c r="D31" s="42">
        <f t="shared" si="11"/>
        <v>0.22689225120234766</v>
      </c>
      <c r="E31" s="42">
        <f t="shared" si="11"/>
        <v>0.22284529061275041</v>
      </c>
      <c r="F31" s="42">
        <f t="shared" si="11"/>
        <v>0.22284529061275041</v>
      </c>
      <c r="G31" s="42">
        <f t="shared" si="11"/>
        <v>0.22284529061275041</v>
      </c>
      <c r="H31" s="42">
        <f t="shared" si="11"/>
        <v>0.22284529061275041</v>
      </c>
      <c r="I31" s="42">
        <f t="shared" si="11"/>
        <v>0.22284529061275041</v>
      </c>
      <c r="J31" s="42">
        <f t="shared" si="11"/>
        <v>0.22284529061275041</v>
      </c>
      <c r="K31" s="42">
        <f t="shared" si="11"/>
        <v>0.22284529061275041</v>
      </c>
      <c r="L31" s="42">
        <f t="shared" si="11"/>
        <v>0.22284529061275041</v>
      </c>
      <c r="M31" s="42">
        <f t="shared" si="11"/>
        <v>0.33149645026088448</v>
      </c>
      <c r="N31" s="42">
        <f t="shared" si="11"/>
        <v>0.23214703990803995</v>
      </c>
      <c r="O31" s="42">
        <f t="shared" si="11"/>
        <v>0.20433086506194376</v>
      </c>
      <c r="P31" s="42">
        <f t="shared" si="11"/>
        <v>0.19741849648551874</v>
      </c>
      <c r="Q31" s="42">
        <f t="shared" si="11"/>
        <v>0.19603737522865894</v>
      </c>
      <c r="R31" s="42">
        <f t="shared" si="11"/>
        <v>0.19621999110506164</v>
      </c>
    </row>
    <row r="32" spans="1:18" ht="13" x14ac:dyDescent="0.15">
      <c r="A32" s="1"/>
    </row>
    <row r="33" spans="1:18" ht="13" x14ac:dyDescent="0.15">
      <c r="A33" s="1" t="s">
        <v>269</v>
      </c>
      <c r="B33" s="7">
        <f t="shared" ref="B33:N33" si="12">B4+B5-(B30+B18)</f>
        <v>2478.6777437154333</v>
      </c>
      <c r="C33" s="7">
        <f t="shared" si="12"/>
        <v>3261.418078531924</v>
      </c>
      <c r="D33" s="7">
        <f t="shared" si="12"/>
        <v>4044.1584133484157</v>
      </c>
      <c r="E33" s="7">
        <f t="shared" si="12"/>
        <v>4435.5285807566615</v>
      </c>
      <c r="F33" s="7">
        <f t="shared" si="12"/>
        <v>4435.5285807566615</v>
      </c>
      <c r="G33" s="7">
        <f t="shared" si="12"/>
        <v>4435.5285807566615</v>
      </c>
      <c r="H33" s="7">
        <f t="shared" si="12"/>
        <v>4435.5285807566615</v>
      </c>
      <c r="I33" s="7">
        <f t="shared" si="12"/>
        <v>4435.5285807566615</v>
      </c>
      <c r="J33" s="7">
        <f t="shared" si="12"/>
        <v>4435.5285807566615</v>
      </c>
      <c r="K33" s="7">
        <f t="shared" si="12"/>
        <v>4435.5285807566615</v>
      </c>
      <c r="L33" s="7">
        <f t="shared" si="12"/>
        <v>4435.5285807566615</v>
      </c>
      <c r="M33" s="7">
        <f t="shared" si="12"/>
        <v>2311.3462857142849</v>
      </c>
      <c r="N33" s="7">
        <f t="shared" si="12"/>
        <v>46814.561424590087</v>
      </c>
      <c r="O33" s="7">
        <f t="shared" ref="O33:R33" si="13">O6-(O30+O18)</f>
        <v>355768.59114825778</v>
      </c>
      <c r="P33" s="7">
        <f t="shared" si="13"/>
        <v>771308.19420259725</v>
      </c>
      <c r="Q33" s="7">
        <f t="shared" si="13"/>
        <v>1633606.1987067014</v>
      </c>
      <c r="R33" s="7">
        <f t="shared" si="13"/>
        <v>1663373.5578631065</v>
      </c>
    </row>
    <row r="34" spans="1:18" ht="13" x14ac:dyDescent="0.15">
      <c r="A34" s="40" t="s">
        <v>113</v>
      </c>
      <c r="B34" s="42">
        <f t="shared" ref="B34:R34" si="14">B33/B6</f>
        <v>0.33476190583038995</v>
      </c>
      <c r="C34" s="42">
        <f t="shared" si="14"/>
        <v>0.38541666727001228</v>
      </c>
      <c r="D34" s="42">
        <f t="shared" si="14"/>
        <v>0.42481481505638519</v>
      </c>
      <c r="E34" s="42">
        <f t="shared" si="14"/>
        <v>0.44140350886117391</v>
      </c>
      <c r="F34" s="42">
        <f t="shared" si="14"/>
        <v>0.44140350886117391</v>
      </c>
      <c r="G34" s="42">
        <f t="shared" si="14"/>
        <v>0.44140350886117391</v>
      </c>
      <c r="H34" s="42">
        <f t="shared" si="14"/>
        <v>0.44140350886117391</v>
      </c>
      <c r="I34" s="42">
        <f t="shared" si="14"/>
        <v>0.44140350886117391</v>
      </c>
      <c r="J34" s="42">
        <f t="shared" si="14"/>
        <v>0.44140350886117391</v>
      </c>
      <c r="K34" s="42">
        <f t="shared" si="14"/>
        <v>0.44140350886117391</v>
      </c>
      <c r="L34" s="42">
        <f t="shared" si="14"/>
        <v>0.44140350886117391</v>
      </c>
      <c r="M34" s="42">
        <f t="shared" si="14"/>
        <v>0.36039617369486493</v>
      </c>
      <c r="N34" s="42">
        <f t="shared" si="14"/>
        <v>0.41728273064487731</v>
      </c>
      <c r="O34" s="42">
        <f t="shared" si="14"/>
        <v>0.41301742134516722</v>
      </c>
      <c r="P34" s="42">
        <f t="shared" si="14"/>
        <v>0.43232003423224169</v>
      </c>
      <c r="Q34" s="42">
        <f t="shared" si="14"/>
        <v>0.44448547012839007</v>
      </c>
      <c r="R34" s="42">
        <f t="shared" si="14"/>
        <v>0.44528490784465935</v>
      </c>
    </row>
    <row r="35" spans="1:18" ht="13" x14ac:dyDescent="0.15">
      <c r="A35" s="1"/>
    </row>
    <row r="36" spans="1:18" ht="13" x14ac:dyDescent="0.15">
      <c r="A36" s="1" t="s">
        <v>116</v>
      </c>
    </row>
    <row r="37" spans="1:18" ht="14" x14ac:dyDescent="0.15">
      <c r="A37" s="2" t="s">
        <v>270</v>
      </c>
      <c r="B37" s="117">
        <f>('Use of Funds'!$B$7/'Appendix 2'!$B$17)/12</f>
        <v>25714.285714285714</v>
      </c>
      <c r="C37" s="117">
        <f>('Use of Funds'!$B$7/'Appendix 2'!$B$17)/12</f>
        <v>25714.285714285714</v>
      </c>
      <c r="D37" s="117">
        <f>('Use of Funds'!$B$7/'Appendix 2'!$B$17)/12</f>
        <v>25714.285714285714</v>
      </c>
      <c r="E37" s="117">
        <f>('Use of Funds'!$B$7/'Appendix 2'!$B$17)/12</f>
        <v>25714.285714285714</v>
      </c>
      <c r="F37" s="117">
        <f>('Use of Funds'!$B$7/'Appendix 2'!$B$17)/12</f>
        <v>25714.285714285714</v>
      </c>
      <c r="G37" s="117">
        <f>('Use of Funds'!$B$7/'Appendix 2'!$B$17)/12</f>
        <v>25714.285714285714</v>
      </c>
      <c r="H37" s="117">
        <f>('Use of Funds'!$B$7/'Appendix 2'!$B$17)/12</f>
        <v>25714.285714285714</v>
      </c>
      <c r="I37" s="117">
        <f>('Use of Funds'!$B$7/'Appendix 2'!$B$17)/12</f>
        <v>25714.285714285714</v>
      </c>
      <c r="J37" s="117">
        <f>('Use of Funds'!$B$7/'Appendix 2'!$B$17)/12</f>
        <v>25714.285714285714</v>
      </c>
      <c r="K37" s="117">
        <f>('Use of Funds'!$B$7/'Appendix 2'!$B$17)/12</f>
        <v>25714.285714285714</v>
      </c>
      <c r="L37" s="117">
        <f>('Use of Funds'!$B$7/'Appendix 2'!$B$17)/12</f>
        <v>25714.285714285714</v>
      </c>
      <c r="M37" s="117">
        <f>('Use of Funds'!$B$7/'Appendix 2'!$B$17)/12</f>
        <v>25714.285714285714</v>
      </c>
      <c r="N37" s="7">
        <f>('Use of Funds'!$B$7/'Appendix 2'!$B$17)</f>
        <v>308571.42857142858</v>
      </c>
      <c r="O37" s="7">
        <f>('Use of Funds'!$B$7/'Appendix 2'!$B$17)</f>
        <v>308571.42857142858</v>
      </c>
      <c r="P37" s="7">
        <f>('Use of Funds'!$B$7/'Appendix 2'!$B$17)</f>
        <v>308571.42857142858</v>
      </c>
      <c r="Q37" s="7">
        <f>('Use of Funds'!$B$7/'Appendix 2'!$B$17)</f>
        <v>308571.42857142858</v>
      </c>
      <c r="R37" s="7">
        <f>('Use of Funds'!$B$7/'Appendix 2'!$B$17)</f>
        <v>308571.42857142858</v>
      </c>
    </row>
    <row r="38" spans="1:18" ht="14" x14ac:dyDescent="0.15">
      <c r="A38" s="2" t="s">
        <v>271</v>
      </c>
      <c r="B38" s="118" t="e">
        <f>(#REF!/'Appendix 2'!$B$17)/12</f>
        <v>#REF!</v>
      </c>
      <c r="C38" s="118" t="e">
        <f>(#REF!/'Appendix 2'!$B$17)/12</f>
        <v>#REF!</v>
      </c>
      <c r="D38" s="118" t="e">
        <f>(#REF!/'Appendix 2'!$B$17)/12</f>
        <v>#REF!</v>
      </c>
      <c r="E38" s="118" t="e">
        <f>(#REF!/'Appendix 2'!$B$17)/12</f>
        <v>#REF!</v>
      </c>
      <c r="F38" s="118" t="e">
        <f>(#REF!/'Appendix 2'!$B$17)/12</f>
        <v>#REF!</v>
      </c>
      <c r="G38" s="118" t="e">
        <f>(#REF!/'Appendix 2'!$B$17)/12</f>
        <v>#REF!</v>
      </c>
      <c r="H38" s="118" t="e">
        <f>(#REF!/'Appendix 2'!$B$17)/12</f>
        <v>#REF!</v>
      </c>
      <c r="I38" s="118" t="e">
        <f>(#REF!/'Appendix 2'!$B$17)/12</f>
        <v>#REF!</v>
      </c>
      <c r="J38" s="118" t="e">
        <f>(#REF!/'Appendix 2'!$B$17)/12</f>
        <v>#REF!</v>
      </c>
      <c r="K38" s="118" t="e">
        <f>(#REF!/'Appendix 2'!$B$17)/12</f>
        <v>#REF!</v>
      </c>
      <c r="L38" s="118" t="e">
        <f>(#REF!/'Appendix 2'!$B$17)/12</f>
        <v>#REF!</v>
      </c>
      <c r="M38" s="118" t="e">
        <f>(#REF!/'Appendix 2'!$B$17)/12</f>
        <v>#REF!</v>
      </c>
      <c r="N38" s="118" t="e">
        <f>(#REF!/'Appendix 2'!$B$17)</f>
        <v>#REF!</v>
      </c>
      <c r="O38" s="118" t="e">
        <f>(#REF!/'Appendix 2'!$B$17)</f>
        <v>#REF!</v>
      </c>
      <c r="P38" s="118" t="e">
        <f>(#REF!/'Appendix 2'!$B$17)</f>
        <v>#REF!</v>
      </c>
      <c r="Q38" s="118" t="e">
        <f>(#REF!/'Appendix 2'!$B$17)</f>
        <v>#REF!</v>
      </c>
      <c r="R38" s="118" t="e">
        <f>(#REF!/'Appendix 2'!$B$17)</f>
        <v>#REF!</v>
      </c>
    </row>
    <row r="39" spans="1:18" ht="13" x14ac:dyDescent="0.15">
      <c r="A39" s="2" t="s">
        <v>272</v>
      </c>
      <c r="O39" t="e">
        <f t="shared" ref="O39:R39" si="15">('[1]Use of Funds (US Growth)'!$B$11+'[1]Use of Funds (US Growth)'!$B$19)/7</f>
        <v>#REF!</v>
      </c>
      <c r="P39" t="e">
        <f t="shared" si="15"/>
        <v>#REF!</v>
      </c>
      <c r="Q39" t="e">
        <f t="shared" si="15"/>
        <v>#REF!</v>
      </c>
      <c r="R39" t="e">
        <f t="shared" si="15"/>
        <v>#REF!</v>
      </c>
    </row>
    <row r="40" spans="1:18" ht="13" x14ac:dyDescent="0.15">
      <c r="A40" s="2" t="s">
        <v>273</v>
      </c>
      <c r="P40" t="e">
        <f t="shared" ref="P40:R40" si="16">('[1]Use of Funds (US Growth)'!$B$12+'[1]Use of Funds (US Growth)'!$B$20)/7</f>
        <v>#REF!</v>
      </c>
      <c r="Q40" t="e">
        <f t="shared" si="16"/>
        <v>#REF!</v>
      </c>
      <c r="R40" t="e">
        <f t="shared" si="16"/>
        <v>#REF!</v>
      </c>
    </row>
    <row r="41" spans="1:18" ht="13" x14ac:dyDescent="0.15">
      <c r="A41" s="1" t="s">
        <v>125</v>
      </c>
      <c r="B41" s="8" t="e">
        <f t="shared" ref="B41:R41" si="17">SUM(B37:B40)</f>
        <v>#REF!</v>
      </c>
      <c r="C41" s="8" t="e">
        <f t="shared" si="17"/>
        <v>#REF!</v>
      </c>
      <c r="D41" s="8" t="e">
        <f t="shared" si="17"/>
        <v>#REF!</v>
      </c>
      <c r="E41" s="8" t="e">
        <f t="shared" si="17"/>
        <v>#REF!</v>
      </c>
      <c r="F41" s="8" t="e">
        <f t="shared" si="17"/>
        <v>#REF!</v>
      </c>
      <c r="G41" s="8" t="e">
        <f t="shared" si="17"/>
        <v>#REF!</v>
      </c>
      <c r="H41" s="8" t="e">
        <f t="shared" si="17"/>
        <v>#REF!</v>
      </c>
      <c r="I41" s="8" t="e">
        <f t="shared" si="17"/>
        <v>#REF!</v>
      </c>
      <c r="J41" s="8" t="e">
        <f t="shared" si="17"/>
        <v>#REF!</v>
      </c>
      <c r="K41" s="8" t="e">
        <f t="shared" si="17"/>
        <v>#REF!</v>
      </c>
      <c r="L41" s="8" t="e">
        <f t="shared" si="17"/>
        <v>#REF!</v>
      </c>
      <c r="M41" s="8" t="e">
        <f t="shared" si="17"/>
        <v>#REF!</v>
      </c>
      <c r="N41" s="8" t="e">
        <f t="shared" si="17"/>
        <v>#REF!</v>
      </c>
      <c r="O41" s="8" t="e">
        <f t="shared" si="17"/>
        <v>#REF!</v>
      </c>
      <c r="P41" s="8" t="e">
        <f t="shared" si="17"/>
        <v>#REF!</v>
      </c>
      <c r="Q41" s="8" t="e">
        <f t="shared" si="17"/>
        <v>#REF!</v>
      </c>
      <c r="R41" s="8" t="e">
        <f t="shared" si="17"/>
        <v>#REF!</v>
      </c>
    </row>
    <row r="42" spans="1:18" ht="13" x14ac:dyDescent="0.15">
      <c r="A42" s="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13" x14ac:dyDescent="0.15">
      <c r="A43" s="1" t="s">
        <v>274</v>
      </c>
      <c r="B43" s="30">
        <f t="shared" ref="B43:R43" si="18">B33-B37</f>
        <v>-23235.60797057028</v>
      </c>
      <c r="C43" s="30">
        <f t="shared" si="18"/>
        <v>-22452.867635753792</v>
      </c>
      <c r="D43" s="30">
        <f t="shared" si="18"/>
        <v>-21670.127300937296</v>
      </c>
      <c r="E43" s="30">
        <f t="shared" si="18"/>
        <v>-21278.757133529052</v>
      </c>
      <c r="F43" s="30">
        <f t="shared" si="18"/>
        <v>-21278.757133529052</v>
      </c>
      <c r="G43" s="30">
        <f t="shared" si="18"/>
        <v>-21278.757133529052</v>
      </c>
      <c r="H43" s="30">
        <f t="shared" si="18"/>
        <v>-21278.757133529052</v>
      </c>
      <c r="I43" s="30">
        <f t="shared" si="18"/>
        <v>-21278.757133529052</v>
      </c>
      <c r="J43" s="30">
        <f t="shared" si="18"/>
        <v>-21278.757133529052</v>
      </c>
      <c r="K43" s="30">
        <f t="shared" si="18"/>
        <v>-21278.757133529052</v>
      </c>
      <c r="L43" s="30">
        <f t="shared" si="18"/>
        <v>-21278.757133529052</v>
      </c>
      <c r="M43" s="30">
        <f t="shared" si="18"/>
        <v>-23402.93942857143</v>
      </c>
      <c r="N43" s="30">
        <f t="shared" si="18"/>
        <v>-261756.86714683849</v>
      </c>
      <c r="O43" s="30">
        <f t="shared" si="18"/>
        <v>47197.1625768292</v>
      </c>
      <c r="P43" s="30">
        <f t="shared" si="18"/>
        <v>462736.76563116867</v>
      </c>
      <c r="Q43" s="30">
        <f t="shared" si="18"/>
        <v>1325034.7701352728</v>
      </c>
      <c r="R43" s="30">
        <f t="shared" si="18"/>
        <v>1354802.1292916778</v>
      </c>
    </row>
    <row r="44" spans="1:18" ht="13" x14ac:dyDescent="0.15">
      <c r="A44" s="1" t="s">
        <v>275</v>
      </c>
      <c r="B44" s="7">
        <f t="shared" ref="B44:R44" si="19">SUM(B43)</f>
        <v>-23235.60797057028</v>
      </c>
      <c r="C44" s="7">
        <f t="shared" si="19"/>
        <v>-22452.867635753792</v>
      </c>
      <c r="D44" s="7">
        <f t="shared" si="19"/>
        <v>-21670.127300937296</v>
      </c>
      <c r="E44" s="7">
        <f t="shared" si="19"/>
        <v>-21278.757133529052</v>
      </c>
      <c r="F44" s="7">
        <f t="shared" si="19"/>
        <v>-21278.757133529052</v>
      </c>
      <c r="G44" s="7">
        <f t="shared" si="19"/>
        <v>-21278.757133529052</v>
      </c>
      <c r="H44" s="7">
        <f t="shared" si="19"/>
        <v>-21278.757133529052</v>
      </c>
      <c r="I44" s="7">
        <f t="shared" si="19"/>
        <v>-21278.757133529052</v>
      </c>
      <c r="J44" s="7">
        <f t="shared" si="19"/>
        <v>-21278.757133529052</v>
      </c>
      <c r="K44" s="7">
        <f t="shared" si="19"/>
        <v>-21278.757133529052</v>
      </c>
      <c r="L44" s="7">
        <f t="shared" si="19"/>
        <v>-21278.757133529052</v>
      </c>
      <c r="M44" s="7">
        <f t="shared" si="19"/>
        <v>-23402.93942857143</v>
      </c>
      <c r="N44" s="7">
        <f t="shared" si="19"/>
        <v>-261756.86714683849</v>
      </c>
      <c r="O44" s="7">
        <f t="shared" si="19"/>
        <v>47197.1625768292</v>
      </c>
      <c r="P44" s="7">
        <f t="shared" si="19"/>
        <v>462736.76563116867</v>
      </c>
      <c r="Q44" s="7">
        <f t="shared" si="19"/>
        <v>1325034.7701352728</v>
      </c>
      <c r="R44" s="7">
        <f t="shared" si="19"/>
        <v>1354802.1292916778</v>
      </c>
    </row>
    <row r="45" spans="1:18" ht="13" x14ac:dyDescent="0.15">
      <c r="A45" s="1"/>
    </row>
    <row r="46" spans="1:18" ht="13" x14ac:dyDescent="0.15">
      <c r="A46" s="1" t="s">
        <v>276</v>
      </c>
    </row>
    <row r="47" spans="1:18" ht="13" x14ac:dyDescent="0.15">
      <c r="A47" s="2" t="s">
        <v>209</v>
      </c>
      <c r="B47" s="69">
        <f>'Amortization Table (Loan X)'!$C9*-1</f>
        <v>0</v>
      </c>
      <c r="C47" s="69">
        <f>'Amortization Table (Loan X)'!$C9*-1</f>
        <v>0</v>
      </c>
      <c r="D47" s="69">
        <f>'Amortization Table (Loan X)'!$C9*-1</f>
        <v>0</v>
      </c>
      <c r="E47" s="69">
        <f>'Amortization Table (Loan X)'!$C9*-1</f>
        <v>0</v>
      </c>
      <c r="F47" s="69">
        <f>'Amortization Table (Loan X)'!$C9*-1</f>
        <v>0</v>
      </c>
      <c r="G47" s="69">
        <f>'Amortization Table (Loan X)'!$C9*-1</f>
        <v>0</v>
      </c>
      <c r="H47" s="69">
        <f>'Amortization Table (Loan X)'!$C9*-1</f>
        <v>0</v>
      </c>
      <c r="I47" s="69">
        <f>'Amortization Table (Loan X)'!$C9*-1</f>
        <v>0</v>
      </c>
      <c r="J47" s="69">
        <f>'Amortization Table (Loan X)'!$C9*-1</f>
        <v>0</v>
      </c>
      <c r="K47" s="69">
        <f>'Amortization Table (Loan X)'!$C9*-1</f>
        <v>0</v>
      </c>
      <c r="L47" s="69">
        <f>'Amortization Table (Loan X)'!$C9*-1</f>
        <v>0</v>
      </c>
      <c r="M47" s="69">
        <f>'Amortization Table (Loan X)'!$C9*-1</f>
        <v>0</v>
      </c>
      <c r="N47" s="69">
        <f>SUM(B47:M47)</f>
        <v>0</v>
      </c>
      <c r="O47" s="69">
        <f>'Amortization Table (Loan X)'!$C9*-1</f>
        <v>0</v>
      </c>
      <c r="P47" s="69">
        <f>'Amortization Table (Loan X)'!$C9*-1</f>
        <v>0</v>
      </c>
      <c r="Q47" s="69">
        <f>'Amortization Table (Loan X)'!$C9*-1</f>
        <v>0</v>
      </c>
      <c r="R47" s="69">
        <f>'Amortization Table (Loan X)'!$C9*-1</f>
        <v>0</v>
      </c>
    </row>
    <row r="48" spans="1:18" ht="13" x14ac:dyDescent="0.15">
      <c r="A48" s="5" t="s">
        <v>277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75" t="e">
        <f t="shared" ref="O48:R48" si="20">'[2]Amortization Table (FSA Operati'!$B$4*12*-1</f>
        <v>#REF!</v>
      </c>
      <c r="P48" s="75" t="e">
        <f t="shared" si="20"/>
        <v>#REF!</v>
      </c>
      <c r="Q48" s="75" t="e">
        <f t="shared" si="20"/>
        <v>#REF!</v>
      </c>
      <c r="R48" s="75" t="e">
        <f t="shared" si="20"/>
        <v>#REF!</v>
      </c>
    </row>
    <row r="49" spans="1:18" ht="13" x14ac:dyDescent="0.15">
      <c r="A49" s="5" t="s">
        <v>278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74">
        <v>0</v>
      </c>
      <c r="Q49" s="74">
        <v>0</v>
      </c>
      <c r="R49" s="74">
        <v>0</v>
      </c>
    </row>
    <row r="50" spans="1:18" ht="13" x14ac:dyDescent="0.15">
      <c r="A50" s="1" t="s">
        <v>279</v>
      </c>
      <c r="B50" s="119">
        <f t="shared" ref="B50:R50" si="21">SUM(B47:B49)</f>
        <v>0</v>
      </c>
      <c r="C50" s="119">
        <f t="shared" si="21"/>
        <v>0</v>
      </c>
      <c r="D50" s="119">
        <f t="shared" si="21"/>
        <v>0</v>
      </c>
      <c r="E50" s="119">
        <f t="shared" si="21"/>
        <v>0</v>
      </c>
      <c r="F50" s="119">
        <f t="shared" si="21"/>
        <v>0</v>
      </c>
      <c r="G50" s="119">
        <f t="shared" si="21"/>
        <v>0</v>
      </c>
      <c r="H50" s="119">
        <f t="shared" si="21"/>
        <v>0</v>
      </c>
      <c r="I50" s="119">
        <f t="shared" si="21"/>
        <v>0</v>
      </c>
      <c r="J50" s="119">
        <f t="shared" si="21"/>
        <v>0</v>
      </c>
      <c r="K50" s="119">
        <f t="shared" si="21"/>
        <v>0</v>
      </c>
      <c r="L50" s="119">
        <f t="shared" si="21"/>
        <v>0</v>
      </c>
      <c r="M50" s="119">
        <f t="shared" si="21"/>
        <v>0</v>
      </c>
      <c r="N50" s="119">
        <f t="shared" si="21"/>
        <v>0</v>
      </c>
      <c r="O50" s="8" t="e">
        <f t="shared" si="21"/>
        <v>#REF!</v>
      </c>
      <c r="P50" s="8" t="e">
        <f t="shared" si="21"/>
        <v>#REF!</v>
      </c>
      <c r="Q50" s="8" t="e">
        <f t="shared" si="21"/>
        <v>#REF!</v>
      </c>
      <c r="R50" s="8" t="e">
        <f t="shared" si="21"/>
        <v>#REF!</v>
      </c>
    </row>
    <row r="51" spans="1:18" ht="13" x14ac:dyDescent="0.15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13" x14ac:dyDescent="0.15">
      <c r="A52" s="1" t="s">
        <v>280</v>
      </c>
      <c r="B52" s="119">
        <f t="shared" ref="B52:R52" si="22">SUM(B47:B50)</f>
        <v>0</v>
      </c>
      <c r="C52" s="119">
        <f t="shared" si="22"/>
        <v>0</v>
      </c>
      <c r="D52" s="119">
        <f t="shared" si="22"/>
        <v>0</v>
      </c>
      <c r="E52" s="119">
        <f t="shared" si="22"/>
        <v>0</v>
      </c>
      <c r="F52" s="119">
        <f t="shared" si="22"/>
        <v>0</v>
      </c>
      <c r="G52" s="119">
        <f t="shared" si="22"/>
        <v>0</v>
      </c>
      <c r="H52" s="119">
        <f t="shared" si="22"/>
        <v>0</v>
      </c>
      <c r="I52" s="119">
        <f t="shared" si="22"/>
        <v>0</v>
      </c>
      <c r="J52" s="119">
        <f t="shared" si="22"/>
        <v>0</v>
      </c>
      <c r="K52" s="119">
        <f t="shared" si="22"/>
        <v>0</v>
      </c>
      <c r="L52" s="119">
        <f t="shared" si="22"/>
        <v>0</v>
      </c>
      <c r="M52" s="119">
        <f t="shared" si="22"/>
        <v>0</v>
      </c>
      <c r="N52" s="119">
        <f t="shared" si="22"/>
        <v>0</v>
      </c>
      <c r="O52" s="8" t="e">
        <f t="shared" si="22"/>
        <v>#REF!</v>
      </c>
      <c r="P52" s="8" t="e">
        <f t="shared" si="22"/>
        <v>#REF!</v>
      </c>
      <c r="Q52" s="8" t="e">
        <f t="shared" si="22"/>
        <v>#REF!</v>
      </c>
      <c r="R52" s="8" t="e">
        <f t="shared" si="22"/>
        <v>#REF!</v>
      </c>
    </row>
    <row r="54" spans="1:18" ht="13" x14ac:dyDescent="0.15">
      <c r="A54" s="2" t="s">
        <v>281</v>
      </c>
      <c r="B54" s="7">
        <f t="shared" ref="B54:R54" si="23">B44-B50</f>
        <v>-23235.60797057028</v>
      </c>
      <c r="C54" s="7">
        <f t="shared" si="23"/>
        <v>-22452.867635753792</v>
      </c>
      <c r="D54" s="7">
        <f t="shared" si="23"/>
        <v>-21670.127300937296</v>
      </c>
      <c r="E54" s="7">
        <f t="shared" si="23"/>
        <v>-21278.757133529052</v>
      </c>
      <c r="F54" s="7">
        <f t="shared" si="23"/>
        <v>-21278.757133529052</v>
      </c>
      <c r="G54" s="7">
        <f t="shared" si="23"/>
        <v>-21278.757133529052</v>
      </c>
      <c r="H54" s="7">
        <f t="shared" si="23"/>
        <v>-21278.757133529052</v>
      </c>
      <c r="I54" s="7">
        <f t="shared" si="23"/>
        <v>-21278.757133529052</v>
      </c>
      <c r="J54" s="7">
        <f t="shared" si="23"/>
        <v>-21278.757133529052</v>
      </c>
      <c r="K54" s="7">
        <f t="shared" si="23"/>
        <v>-21278.757133529052</v>
      </c>
      <c r="L54" s="7">
        <f t="shared" si="23"/>
        <v>-21278.757133529052</v>
      </c>
      <c r="M54" s="7">
        <f t="shared" si="23"/>
        <v>-23402.93942857143</v>
      </c>
      <c r="N54" s="7">
        <f t="shared" si="23"/>
        <v>-261756.86714683849</v>
      </c>
      <c r="O54" s="7" t="e">
        <f t="shared" si="23"/>
        <v>#REF!</v>
      </c>
      <c r="P54" s="7" t="e">
        <f t="shared" si="23"/>
        <v>#REF!</v>
      </c>
      <c r="Q54" s="7" t="e">
        <f t="shared" si="23"/>
        <v>#REF!</v>
      </c>
      <c r="R54" s="7" t="e">
        <f t="shared" si="23"/>
        <v>#REF!</v>
      </c>
    </row>
    <row r="55" spans="1:18" ht="13" x14ac:dyDescent="0.15">
      <c r="A55" s="1" t="s">
        <v>282</v>
      </c>
      <c r="B55" s="30">
        <f t="shared" ref="B55:R55" si="24">B54</f>
        <v>-23235.60797057028</v>
      </c>
      <c r="C55" s="30">
        <f t="shared" si="24"/>
        <v>-22452.867635753792</v>
      </c>
      <c r="D55" s="30">
        <f t="shared" si="24"/>
        <v>-21670.127300937296</v>
      </c>
      <c r="E55" s="30">
        <f t="shared" si="24"/>
        <v>-21278.757133529052</v>
      </c>
      <c r="F55" s="30">
        <f t="shared" si="24"/>
        <v>-21278.757133529052</v>
      </c>
      <c r="G55" s="30">
        <f t="shared" si="24"/>
        <v>-21278.757133529052</v>
      </c>
      <c r="H55" s="30">
        <f t="shared" si="24"/>
        <v>-21278.757133529052</v>
      </c>
      <c r="I55" s="30">
        <f t="shared" si="24"/>
        <v>-21278.757133529052</v>
      </c>
      <c r="J55" s="30">
        <f t="shared" si="24"/>
        <v>-21278.757133529052</v>
      </c>
      <c r="K55" s="30">
        <f t="shared" si="24"/>
        <v>-21278.757133529052</v>
      </c>
      <c r="L55" s="30">
        <f t="shared" si="24"/>
        <v>-21278.757133529052</v>
      </c>
      <c r="M55" s="30">
        <f t="shared" si="24"/>
        <v>-23402.93942857143</v>
      </c>
      <c r="N55" s="30">
        <f t="shared" si="24"/>
        <v>-261756.86714683849</v>
      </c>
      <c r="O55" s="30" t="e">
        <f t="shared" si="24"/>
        <v>#REF!</v>
      </c>
      <c r="P55" s="30" t="e">
        <f t="shared" si="24"/>
        <v>#REF!</v>
      </c>
      <c r="Q55" s="30" t="e">
        <f t="shared" si="24"/>
        <v>#REF!</v>
      </c>
      <c r="R55" s="30" t="e">
        <f t="shared" si="24"/>
        <v>#REF!</v>
      </c>
    </row>
    <row r="56" spans="1:18" ht="13" x14ac:dyDescent="0.15">
      <c r="A56" s="1"/>
    </row>
    <row r="57" spans="1:18" ht="13" x14ac:dyDescent="0.15">
      <c r="A57" s="2" t="s">
        <v>283</v>
      </c>
      <c r="B57" s="4">
        <f t="shared" ref="B57:R57" si="25">B54*0.4</f>
        <v>-9294.2431882281126</v>
      </c>
      <c r="C57" s="4">
        <f t="shared" si="25"/>
        <v>-8981.1470543015166</v>
      </c>
      <c r="D57" s="4">
        <f t="shared" si="25"/>
        <v>-8668.0509203749189</v>
      </c>
      <c r="E57" s="4">
        <f t="shared" si="25"/>
        <v>-8511.5028534116209</v>
      </c>
      <c r="F57" s="4">
        <f t="shared" si="25"/>
        <v>-8511.5028534116209</v>
      </c>
      <c r="G57" s="4">
        <f t="shared" si="25"/>
        <v>-8511.5028534116209</v>
      </c>
      <c r="H57" s="4">
        <f t="shared" si="25"/>
        <v>-8511.5028534116209</v>
      </c>
      <c r="I57" s="4">
        <f t="shared" si="25"/>
        <v>-8511.5028534116209</v>
      </c>
      <c r="J57" s="4">
        <f t="shared" si="25"/>
        <v>-8511.5028534116209</v>
      </c>
      <c r="K57" s="4">
        <f t="shared" si="25"/>
        <v>-8511.5028534116209</v>
      </c>
      <c r="L57" s="4">
        <f t="shared" si="25"/>
        <v>-8511.5028534116209</v>
      </c>
      <c r="M57" s="4">
        <f t="shared" si="25"/>
        <v>-9361.1757714285723</v>
      </c>
      <c r="N57" s="4">
        <f t="shared" si="25"/>
        <v>-104702.74685873539</v>
      </c>
      <c r="O57" s="4" t="e">
        <f t="shared" si="25"/>
        <v>#REF!</v>
      </c>
      <c r="P57" s="4" t="e">
        <f t="shared" si="25"/>
        <v>#REF!</v>
      </c>
      <c r="Q57" s="4" t="e">
        <f t="shared" si="25"/>
        <v>#REF!</v>
      </c>
      <c r="R57" s="4" t="e">
        <f t="shared" si="25"/>
        <v>#REF!</v>
      </c>
    </row>
    <row r="58" spans="1:18" ht="13" x14ac:dyDescent="0.15">
      <c r="A58" s="1" t="s">
        <v>284</v>
      </c>
      <c r="B58" s="80">
        <f t="shared" ref="B58:R58" si="26">B55*0.4</f>
        <v>-9294.2431882281126</v>
      </c>
      <c r="C58" s="80">
        <f t="shared" si="26"/>
        <v>-8981.1470543015166</v>
      </c>
      <c r="D58" s="80">
        <f t="shared" si="26"/>
        <v>-8668.0509203749189</v>
      </c>
      <c r="E58" s="80">
        <f t="shared" si="26"/>
        <v>-8511.5028534116209</v>
      </c>
      <c r="F58" s="80">
        <f t="shared" si="26"/>
        <v>-8511.5028534116209</v>
      </c>
      <c r="G58" s="80">
        <f t="shared" si="26"/>
        <v>-8511.5028534116209</v>
      </c>
      <c r="H58" s="80">
        <f t="shared" si="26"/>
        <v>-8511.5028534116209</v>
      </c>
      <c r="I58" s="80">
        <f t="shared" si="26"/>
        <v>-8511.5028534116209</v>
      </c>
      <c r="J58" s="80">
        <f t="shared" si="26"/>
        <v>-8511.5028534116209</v>
      </c>
      <c r="K58" s="80">
        <f t="shared" si="26"/>
        <v>-8511.5028534116209</v>
      </c>
      <c r="L58" s="80">
        <f t="shared" si="26"/>
        <v>-8511.5028534116209</v>
      </c>
      <c r="M58" s="80">
        <f t="shared" si="26"/>
        <v>-9361.1757714285723</v>
      </c>
      <c r="N58" s="80">
        <f t="shared" si="26"/>
        <v>-104702.74685873539</v>
      </c>
      <c r="O58" s="80" t="e">
        <f t="shared" si="26"/>
        <v>#REF!</v>
      </c>
      <c r="P58" s="80" t="e">
        <f t="shared" si="26"/>
        <v>#REF!</v>
      </c>
      <c r="Q58" s="80" t="e">
        <f t="shared" si="26"/>
        <v>#REF!</v>
      </c>
      <c r="R58" s="80" t="e">
        <f t="shared" si="26"/>
        <v>#REF!</v>
      </c>
    </row>
    <row r="60" spans="1:18" ht="13" x14ac:dyDescent="0.15">
      <c r="A60" s="2" t="s">
        <v>285</v>
      </c>
      <c r="B60" s="7">
        <f t="shared" ref="B60:R60" si="27">B54-B57</f>
        <v>-13941.364782342167</v>
      </c>
      <c r="C60" s="7">
        <f t="shared" si="27"/>
        <v>-13471.720581452275</v>
      </c>
      <c r="D60" s="7">
        <f t="shared" si="27"/>
        <v>-13002.076380562377</v>
      </c>
      <c r="E60" s="7">
        <f t="shared" si="27"/>
        <v>-12767.254280117431</v>
      </c>
      <c r="F60" s="7">
        <f t="shared" si="27"/>
        <v>-12767.254280117431</v>
      </c>
      <c r="G60" s="7">
        <f t="shared" si="27"/>
        <v>-12767.254280117431</v>
      </c>
      <c r="H60" s="7">
        <f t="shared" si="27"/>
        <v>-12767.254280117431</v>
      </c>
      <c r="I60" s="7">
        <f t="shared" si="27"/>
        <v>-12767.254280117431</v>
      </c>
      <c r="J60" s="7">
        <f t="shared" si="27"/>
        <v>-12767.254280117431</v>
      </c>
      <c r="K60" s="7">
        <f t="shared" si="27"/>
        <v>-12767.254280117431</v>
      </c>
      <c r="L60" s="7">
        <f t="shared" si="27"/>
        <v>-12767.254280117431</v>
      </c>
      <c r="M60" s="7">
        <f t="shared" si="27"/>
        <v>-14041.763657142857</v>
      </c>
      <c r="N60" s="7">
        <f t="shared" si="27"/>
        <v>-157054.12028810309</v>
      </c>
      <c r="O60" s="7" t="e">
        <f t="shared" si="27"/>
        <v>#REF!</v>
      </c>
      <c r="P60" s="7" t="e">
        <f t="shared" si="27"/>
        <v>#REF!</v>
      </c>
      <c r="Q60" s="7" t="e">
        <f t="shared" si="27"/>
        <v>#REF!</v>
      </c>
      <c r="R60" s="7" t="e">
        <f t="shared" si="27"/>
        <v>#REF!</v>
      </c>
    </row>
    <row r="61" spans="1:18" ht="13" x14ac:dyDescent="0.15">
      <c r="A61" s="48" t="s">
        <v>136</v>
      </c>
      <c r="B61" s="42">
        <f t="shared" ref="B61:R61" si="28">B60/(B4+B5)</f>
        <v>-1.882873986441598</v>
      </c>
      <c r="C61" s="42">
        <f t="shared" si="28"/>
        <v>-1.5920147383353458</v>
      </c>
      <c r="D61" s="42">
        <f t="shared" si="28"/>
        <v>-1.3657908786971491</v>
      </c>
      <c r="E61" s="42">
        <f t="shared" si="28"/>
        <v>-1.2705387272705404</v>
      </c>
      <c r="F61" s="42">
        <f t="shared" si="28"/>
        <v>-1.2705387272705404</v>
      </c>
      <c r="G61" s="42">
        <f t="shared" si="28"/>
        <v>-1.2705387272705404</v>
      </c>
      <c r="H61" s="42">
        <f t="shared" si="28"/>
        <v>-1.2705387272705404</v>
      </c>
      <c r="I61" s="42">
        <f t="shared" si="28"/>
        <v>-1.2705387272705404</v>
      </c>
      <c r="J61" s="42">
        <f t="shared" si="28"/>
        <v>-1.2705387272705404</v>
      </c>
      <c r="K61" s="42">
        <f t="shared" si="28"/>
        <v>-1.2705387272705404</v>
      </c>
      <c r="L61" s="42">
        <f t="shared" si="28"/>
        <v>-1.2705387272705404</v>
      </c>
      <c r="M61" s="42">
        <f t="shared" si="28"/>
        <v>-2.189458985544436</v>
      </c>
      <c r="N61" s="42">
        <f t="shared" si="28"/>
        <v>-1.3999057169085189</v>
      </c>
      <c r="O61" s="42" t="e">
        <f t="shared" si="28"/>
        <v>#REF!</v>
      </c>
      <c r="P61" s="42" t="e">
        <f t="shared" si="28"/>
        <v>#REF!</v>
      </c>
      <c r="Q61" s="42" t="e">
        <f t="shared" si="28"/>
        <v>#REF!</v>
      </c>
      <c r="R61" s="42" t="e">
        <f t="shared" si="28"/>
        <v>#REF!</v>
      </c>
    </row>
    <row r="62" spans="1:18" ht="13" x14ac:dyDescent="0.15">
      <c r="A62" s="1" t="s">
        <v>286</v>
      </c>
      <c r="B62" s="30">
        <f t="shared" ref="B62:R62" si="29">B55-B58</f>
        <v>-13941.364782342167</v>
      </c>
      <c r="C62" s="30">
        <f t="shared" si="29"/>
        <v>-13471.720581452275</v>
      </c>
      <c r="D62" s="30">
        <f t="shared" si="29"/>
        <v>-13002.076380562377</v>
      </c>
      <c r="E62" s="30">
        <f t="shared" si="29"/>
        <v>-12767.254280117431</v>
      </c>
      <c r="F62" s="30">
        <f t="shared" si="29"/>
        <v>-12767.254280117431</v>
      </c>
      <c r="G62" s="30">
        <f t="shared" si="29"/>
        <v>-12767.254280117431</v>
      </c>
      <c r="H62" s="30">
        <f t="shared" si="29"/>
        <v>-12767.254280117431</v>
      </c>
      <c r="I62" s="30">
        <f t="shared" si="29"/>
        <v>-12767.254280117431</v>
      </c>
      <c r="J62" s="30">
        <f t="shared" si="29"/>
        <v>-12767.254280117431</v>
      </c>
      <c r="K62" s="30">
        <f t="shared" si="29"/>
        <v>-12767.254280117431</v>
      </c>
      <c r="L62" s="30">
        <f t="shared" si="29"/>
        <v>-12767.254280117431</v>
      </c>
      <c r="M62" s="30">
        <f t="shared" si="29"/>
        <v>-14041.763657142857</v>
      </c>
      <c r="N62" s="30">
        <f t="shared" si="29"/>
        <v>-157054.12028810309</v>
      </c>
      <c r="O62" s="30" t="e">
        <f t="shared" si="29"/>
        <v>#REF!</v>
      </c>
      <c r="P62" s="30" t="e">
        <f t="shared" si="29"/>
        <v>#REF!</v>
      </c>
      <c r="Q62" s="30" t="e">
        <f t="shared" si="29"/>
        <v>#REF!</v>
      </c>
      <c r="R62" s="30" t="e">
        <f t="shared" si="29"/>
        <v>#REF!</v>
      </c>
    </row>
    <row r="63" spans="1:18" ht="13" x14ac:dyDescent="0.15">
      <c r="A63" s="2" t="s">
        <v>136</v>
      </c>
      <c r="B63" s="38">
        <f t="shared" ref="B63:R63" si="30">B62/B6</f>
        <v>-1.882873986441598</v>
      </c>
      <c r="C63" s="38">
        <f t="shared" si="30"/>
        <v>-1.5920147383353458</v>
      </c>
      <c r="D63" s="38">
        <f t="shared" si="30"/>
        <v>-1.3657908786971491</v>
      </c>
      <c r="E63" s="38">
        <f t="shared" si="30"/>
        <v>-1.2705387272705404</v>
      </c>
      <c r="F63" s="38">
        <f t="shared" si="30"/>
        <v>-1.2705387272705404</v>
      </c>
      <c r="G63" s="38">
        <f t="shared" si="30"/>
        <v>-1.2705387272705404</v>
      </c>
      <c r="H63" s="38">
        <f t="shared" si="30"/>
        <v>-1.2705387272705404</v>
      </c>
      <c r="I63" s="38">
        <f t="shared" si="30"/>
        <v>-1.2705387272705404</v>
      </c>
      <c r="J63" s="38">
        <f t="shared" si="30"/>
        <v>-1.2705387272705404</v>
      </c>
      <c r="K63" s="38">
        <f t="shared" si="30"/>
        <v>-1.2705387272705404</v>
      </c>
      <c r="L63" s="38">
        <f t="shared" si="30"/>
        <v>-1.2705387272705404</v>
      </c>
      <c r="M63" s="38">
        <f t="shared" si="30"/>
        <v>-2.189458985544436</v>
      </c>
      <c r="N63" s="38">
        <f t="shared" si="30"/>
        <v>-1.3999057169085189</v>
      </c>
      <c r="O63" s="38" t="e">
        <f t="shared" si="30"/>
        <v>#REF!</v>
      </c>
      <c r="P63" s="38" t="e">
        <f t="shared" si="30"/>
        <v>#REF!</v>
      </c>
      <c r="Q63" s="38" t="e">
        <f t="shared" si="30"/>
        <v>#REF!</v>
      </c>
      <c r="R63" s="38" t="e">
        <f t="shared" si="30"/>
        <v>#REF!</v>
      </c>
    </row>
    <row r="64" spans="1:18" ht="13" x14ac:dyDescent="0.15">
      <c r="N64" s="38"/>
    </row>
    <row r="65" spans="1:2" ht="13" x14ac:dyDescent="0.15">
      <c r="A65" s="2" t="s">
        <v>287</v>
      </c>
      <c r="B65" s="56">
        <f>'Sources of Funds'!B4/(N62+N52)</f>
        <v>-26.653786556640231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/>
  </sheetViews>
  <sheetFormatPr baseColWidth="10" defaultColWidth="14.5" defaultRowHeight="15.75" customHeight="1" x14ac:dyDescent="0.15"/>
  <cols>
    <col min="1" max="1" width="44.6640625" customWidth="1"/>
    <col min="3" max="3" width="14.6640625" customWidth="1"/>
    <col min="4" max="4" width="32.5" customWidth="1"/>
  </cols>
  <sheetData>
    <row r="1" spans="1:2" ht="13" x14ac:dyDescent="0.15">
      <c r="A1" s="1" t="s">
        <v>60</v>
      </c>
      <c r="B1" s="1"/>
    </row>
    <row r="2" spans="1:2" ht="13" x14ac:dyDescent="0.15">
      <c r="A2" s="2" t="s">
        <v>187</v>
      </c>
      <c r="B2" s="12">
        <f t="shared" ref="B2:B3" si="0">136/1440</f>
        <v>9.4444444444444442E-2</v>
      </c>
    </row>
    <row r="3" spans="1:2" ht="13" x14ac:dyDescent="0.15">
      <c r="A3" s="2" t="s">
        <v>188</v>
      </c>
      <c r="B3" s="12">
        <f t="shared" si="0"/>
        <v>9.4444444444444442E-2</v>
      </c>
    </row>
    <row r="4" spans="1:2" ht="13" x14ac:dyDescent="0.15">
      <c r="A4" s="2" t="s">
        <v>190</v>
      </c>
      <c r="B4" s="2">
        <v>72</v>
      </c>
    </row>
    <row r="5" spans="1:2" ht="13" x14ac:dyDescent="0.15">
      <c r="A5" s="2" t="s">
        <v>192</v>
      </c>
      <c r="B5" s="2">
        <v>18</v>
      </c>
    </row>
    <row r="6" spans="1:2" ht="13" x14ac:dyDescent="0.15">
      <c r="A6" s="2" t="s">
        <v>193</v>
      </c>
      <c r="B6" s="56">
        <f>(B2*B4)</f>
        <v>6.8</v>
      </c>
    </row>
    <row r="7" spans="1:2" ht="13" x14ac:dyDescent="0.15">
      <c r="A7" s="2" t="s">
        <v>195</v>
      </c>
      <c r="B7" s="56">
        <f>B3*B5</f>
        <v>1.7</v>
      </c>
    </row>
    <row r="8" spans="1:2" ht="13" x14ac:dyDescent="0.15">
      <c r="A8" s="2" t="s">
        <v>196</v>
      </c>
      <c r="B8" s="56">
        <f>(72*80)/1440</f>
        <v>4</v>
      </c>
    </row>
    <row r="9" spans="1:2" ht="13" x14ac:dyDescent="0.15">
      <c r="A9" s="2" t="s">
        <v>230</v>
      </c>
      <c r="B9" s="10">
        <f>1080/1440</f>
        <v>0.75</v>
      </c>
    </row>
    <row r="10" spans="1:2" ht="13" x14ac:dyDescent="0.15">
      <c r="A10" s="2" t="s">
        <v>231</v>
      </c>
      <c r="B10" s="109">
        <f>900/320</f>
        <v>2.8125</v>
      </c>
    </row>
    <row r="11" spans="1:2" ht="13" x14ac:dyDescent="0.15">
      <c r="A11" s="2" t="s">
        <v>233</v>
      </c>
      <c r="B11" s="109">
        <f>1100/320</f>
        <v>3.4375</v>
      </c>
    </row>
    <row r="12" spans="1:2" ht="13" x14ac:dyDescent="0.15">
      <c r="A12" s="2" t="s">
        <v>234</v>
      </c>
      <c r="B12" s="2">
        <v>4.33</v>
      </c>
    </row>
    <row r="13" spans="1:2" ht="13" x14ac:dyDescent="0.15">
      <c r="A13" s="2" t="s">
        <v>235</v>
      </c>
      <c r="B13" s="63">
        <v>4</v>
      </c>
    </row>
    <row r="14" spans="1:2" ht="13" x14ac:dyDescent="0.15">
      <c r="A14" s="2" t="s">
        <v>236</v>
      </c>
      <c r="B14" s="4">
        <v>1</v>
      </c>
    </row>
    <row r="15" spans="1:2" ht="13" x14ac:dyDescent="0.15">
      <c r="A15" s="2" t="s">
        <v>237</v>
      </c>
      <c r="B15" s="110">
        <v>12</v>
      </c>
    </row>
    <row r="16" spans="1:2" ht="13" x14ac:dyDescent="0.15">
      <c r="A16" s="2" t="s">
        <v>238</v>
      </c>
      <c r="B16" s="2">
        <v>0.4</v>
      </c>
    </row>
    <row r="17" spans="1:18" ht="13" x14ac:dyDescent="0.15">
      <c r="A17" s="2" t="s">
        <v>68</v>
      </c>
      <c r="B17" s="2">
        <v>7</v>
      </c>
    </row>
    <row r="19" spans="1:18" ht="13" x14ac:dyDescent="0.15">
      <c r="A19" s="1" t="s">
        <v>69</v>
      </c>
    </row>
    <row r="20" spans="1:18" ht="13" x14ac:dyDescent="0.15">
      <c r="D20" s="18" t="s">
        <v>239</v>
      </c>
      <c r="J20" s="18" t="s">
        <v>240</v>
      </c>
      <c r="P20" s="111" t="s">
        <v>241</v>
      </c>
    </row>
    <row r="21" spans="1:18" ht="13" x14ac:dyDescent="0.15">
      <c r="A21" s="1" t="s">
        <v>242</v>
      </c>
      <c r="B21" s="19"/>
      <c r="C21" s="19"/>
      <c r="D21" s="20"/>
      <c r="E21" s="19"/>
      <c r="F21" s="21"/>
      <c r="G21" s="22"/>
      <c r="H21" s="22"/>
      <c r="I21" s="23"/>
      <c r="J21" s="23"/>
      <c r="K21" s="22"/>
      <c r="L21" s="22"/>
      <c r="M21" s="22"/>
      <c r="N21" s="24"/>
      <c r="O21" s="28"/>
      <c r="P21" s="28"/>
      <c r="Q21" s="28"/>
      <c r="R21" s="28"/>
    </row>
    <row r="22" spans="1:18" ht="13" x14ac:dyDescent="0.15">
      <c r="A22" s="29"/>
      <c r="B22" s="31" t="s">
        <v>82</v>
      </c>
      <c r="C22" s="31" t="s">
        <v>83</v>
      </c>
      <c r="D22" s="31" t="s">
        <v>84</v>
      </c>
      <c r="E22" s="31" t="s">
        <v>85</v>
      </c>
      <c r="F22" s="31" t="s">
        <v>86</v>
      </c>
      <c r="G22" s="31" t="s">
        <v>87</v>
      </c>
      <c r="H22" s="31" t="s">
        <v>88</v>
      </c>
      <c r="I22" s="31" t="s">
        <v>89</v>
      </c>
      <c r="J22" s="31" t="s">
        <v>90</v>
      </c>
      <c r="K22" s="31" t="s">
        <v>91</v>
      </c>
      <c r="L22" s="31" t="s">
        <v>92</v>
      </c>
      <c r="M22" s="31" t="s">
        <v>93</v>
      </c>
      <c r="N22" s="31" t="s">
        <v>6</v>
      </c>
      <c r="O22" s="31" t="s">
        <v>9</v>
      </c>
      <c r="P22" s="31" t="s">
        <v>10</v>
      </c>
      <c r="Q22" s="31" t="s">
        <v>11</v>
      </c>
      <c r="R22" s="31" t="s">
        <v>12</v>
      </c>
    </row>
    <row r="23" spans="1:18" ht="8.25" customHeight="1" x14ac:dyDescent="0.15">
      <c r="A23" s="2"/>
      <c r="B23" s="14"/>
    </row>
    <row r="24" spans="1:18" ht="13" x14ac:dyDescent="0.15">
      <c r="A24" s="2" t="s">
        <v>243</v>
      </c>
      <c r="B24" s="112">
        <f t="shared" ref="B24:L24" si="1">$B$8*$B$26</f>
        <v>2880</v>
      </c>
      <c r="C24" s="112">
        <f t="shared" si="1"/>
        <v>2880</v>
      </c>
      <c r="D24" s="112">
        <f t="shared" si="1"/>
        <v>2880</v>
      </c>
      <c r="E24" s="112">
        <f t="shared" si="1"/>
        <v>2880</v>
      </c>
      <c r="F24" s="112">
        <f t="shared" si="1"/>
        <v>2880</v>
      </c>
      <c r="G24" s="112">
        <f t="shared" si="1"/>
        <v>2880</v>
      </c>
      <c r="H24" s="112">
        <f t="shared" si="1"/>
        <v>2880</v>
      </c>
      <c r="I24" s="112">
        <f t="shared" si="1"/>
        <v>2880</v>
      </c>
      <c r="J24" s="112">
        <f t="shared" si="1"/>
        <v>2880</v>
      </c>
      <c r="K24" s="112">
        <f t="shared" si="1"/>
        <v>2880</v>
      </c>
      <c r="L24" s="112">
        <f t="shared" si="1"/>
        <v>2880</v>
      </c>
      <c r="M24" s="112">
        <v>5400</v>
      </c>
      <c r="N24" s="112">
        <f>$B$8*B$26</f>
        <v>2880</v>
      </c>
      <c r="O24" s="112">
        <f t="shared" ref="O24:R24" si="2">$B$8*O$26</f>
        <v>28800</v>
      </c>
      <c r="P24" s="112">
        <f t="shared" si="2"/>
        <v>57600</v>
      </c>
      <c r="Q24" s="112">
        <f t="shared" si="2"/>
        <v>115200</v>
      </c>
      <c r="R24" s="112">
        <f t="shared" si="2"/>
        <v>115200</v>
      </c>
    </row>
    <row r="25" spans="1:18" ht="13" x14ac:dyDescent="0.15">
      <c r="A25" s="2" t="s">
        <v>244</v>
      </c>
      <c r="B25" s="14">
        <v>14</v>
      </c>
      <c r="C25" s="14">
        <v>14</v>
      </c>
      <c r="D25" s="14">
        <v>14</v>
      </c>
      <c r="E25" s="14">
        <v>14</v>
      </c>
      <c r="F25" s="14">
        <v>14</v>
      </c>
      <c r="G25" s="14">
        <v>14</v>
      </c>
      <c r="H25" s="14">
        <v>14</v>
      </c>
      <c r="I25" s="14">
        <v>14</v>
      </c>
      <c r="J25" s="14">
        <v>14</v>
      </c>
      <c r="K25" s="14">
        <v>14</v>
      </c>
      <c r="L25" s="14">
        <v>14</v>
      </c>
      <c r="M25" s="14">
        <v>14</v>
      </c>
      <c r="N25" s="14">
        <v>14</v>
      </c>
      <c r="O25" s="14">
        <v>14</v>
      </c>
      <c r="P25" s="14">
        <v>14</v>
      </c>
      <c r="Q25" s="14">
        <v>14</v>
      </c>
      <c r="R25" s="14">
        <v>14</v>
      </c>
    </row>
    <row r="26" spans="1:18" ht="13" x14ac:dyDescent="0.15">
      <c r="A26" s="2" t="s">
        <v>245</v>
      </c>
      <c r="B26" s="14">
        <v>720</v>
      </c>
      <c r="C26" s="14">
        <v>720</v>
      </c>
      <c r="D26" s="14">
        <v>720</v>
      </c>
      <c r="E26" s="14">
        <v>720</v>
      </c>
      <c r="F26" s="14">
        <v>720</v>
      </c>
      <c r="G26" s="14">
        <v>720</v>
      </c>
      <c r="H26" s="14">
        <v>720</v>
      </c>
      <c r="I26" s="14">
        <v>720</v>
      </c>
      <c r="J26" s="14">
        <v>720</v>
      </c>
      <c r="K26" s="14">
        <v>720</v>
      </c>
      <c r="L26" s="14">
        <v>720</v>
      </c>
      <c r="M26" s="14">
        <v>1440</v>
      </c>
      <c r="N26" s="14">
        <v>720</v>
      </c>
      <c r="O26" s="14">
        <f>7200</f>
        <v>7200</v>
      </c>
      <c r="P26" s="14">
        <f t="shared" ref="P26:Q26" si="3">O26*2</f>
        <v>14400</v>
      </c>
      <c r="Q26" s="14">
        <f t="shared" si="3"/>
        <v>28800</v>
      </c>
      <c r="R26" s="17">
        <f>Q26</f>
        <v>28800</v>
      </c>
    </row>
    <row r="27" spans="1:18" ht="13" x14ac:dyDescent="0.15">
      <c r="A27" s="2" t="s">
        <v>246</v>
      </c>
      <c r="B27" s="14">
        <v>4.33</v>
      </c>
      <c r="C27" s="14">
        <v>4.33</v>
      </c>
      <c r="D27" s="14">
        <v>4.33</v>
      </c>
      <c r="E27" s="14">
        <v>4.33</v>
      </c>
      <c r="F27" s="14">
        <v>4.33</v>
      </c>
      <c r="G27" s="14">
        <v>4.33</v>
      </c>
      <c r="H27" s="14">
        <v>4.33</v>
      </c>
      <c r="I27" s="14">
        <v>4.33</v>
      </c>
      <c r="J27" s="14">
        <v>4.33</v>
      </c>
      <c r="K27" s="14">
        <v>4.33</v>
      </c>
      <c r="L27" s="14">
        <v>4.33</v>
      </c>
      <c r="M27" s="14">
        <v>4.33</v>
      </c>
      <c r="N27" s="14">
        <v>52</v>
      </c>
      <c r="O27" s="14">
        <v>52</v>
      </c>
      <c r="P27" s="14">
        <v>52</v>
      </c>
      <c r="Q27" s="14">
        <v>52</v>
      </c>
      <c r="R27" s="14">
        <v>52</v>
      </c>
    </row>
    <row r="28" spans="1:18" ht="13" x14ac:dyDescent="0.15">
      <c r="A28" s="2" t="s">
        <v>247</v>
      </c>
      <c r="B28" s="113">
        <v>4</v>
      </c>
      <c r="C28" s="113">
        <v>4</v>
      </c>
      <c r="D28" s="113">
        <v>4</v>
      </c>
      <c r="E28" s="113">
        <v>4</v>
      </c>
      <c r="F28" s="113">
        <v>4</v>
      </c>
      <c r="G28" s="113">
        <v>4</v>
      </c>
      <c r="H28" s="113">
        <v>4</v>
      </c>
      <c r="I28" s="113">
        <v>4</v>
      </c>
      <c r="J28" s="113">
        <v>4</v>
      </c>
      <c r="K28" s="113">
        <v>4</v>
      </c>
      <c r="L28" s="113">
        <v>4</v>
      </c>
      <c r="M28" s="113">
        <v>4</v>
      </c>
      <c r="N28" s="113">
        <v>4</v>
      </c>
      <c r="O28" s="113">
        <f>N28*1.02</f>
        <v>4.08</v>
      </c>
      <c r="P28" s="113">
        <f t="shared" ref="P28:R28" si="4">O28*1.03</f>
        <v>4.2023999999999999</v>
      </c>
      <c r="Q28" s="113">
        <f t="shared" si="4"/>
        <v>4.3284719999999997</v>
      </c>
      <c r="R28" s="113">
        <f t="shared" si="4"/>
        <v>4.4583261599999995</v>
      </c>
    </row>
    <row r="29" spans="1:18" ht="13" x14ac:dyDescent="0.15">
      <c r="A29" s="5" t="s">
        <v>112</v>
      </c>
      <c r="B29" s="39">
        <v>0.7</v>
      </c>
      <c r="C29" s="39">
        <v>0.8</v>
      </c>
      <c r="D29" s="39">
        <v>0.9</v>
      </c>
      <c r="E29" s="39">
        <v>0.95</v>
      </c>
      <c r="F29" s="39">
        <v>0.95</v>
      </c>
      <c r="G29" s="39">
        <v>0.95</v>
      </c>
      <c r="H29" s="39">
        <v>0.95</v>
      </c>
      <c r="I29" s="39">
        <v>0.95</v>
      </c>
      <c r="J29" s="39">
        <v>0.95</v>
      </c>
      <c r="K29" s="39">
        <v>0.95</v>
      </c>
      <c r="L29" s="39">
        <v>0.95</v>
      </c>
      <c r="M29" s="39">
        <v>0.96</v>
      </c>
      <c r="N29" s="39">
        <f>AVERAGE(B29:M29)</f>
        <v>0.91333333333333311</v>
      </c>
      <c r="O29" s="39">
        <v>0.9</v>
      </c>
      <c r="P29" s="41">
        <f>O29</f>
        <v>0.9</v>
      </c>
      <c r="Q29" s="39">
        <v>0.9</v>
      </c>
      <c r="R29" s="41">
        <f>0.95</f>
        <v>0.95</v>
      </c>
    </row>
    <row r="30" spans="1:18" ht="13" x14ac:dyDescent="0.15">
      <c r="A30" s="2" t="s">
        <v>249</v>
      </c>
      <c r="B30" s="114">
        <f t="shared" ref="B30:M30" si="5">(B24/B25)*B27*B29</f>
        <v>623.52</v>
      </c>
      <c r="C30" s="114">
        <f t="shared" si="5"/>
        <v>712.59428571428589</v>
      </c>
      <c r="D30" s="114">
        <f t="shared" si="5"/>
        <v>801.66857142857157</v>
      </c>
      <c r="E30" s="114">
        <f t="shared" si="5"/>
        <v>846.20571428571429</v>
      </c>
      <c r="F30" s="114">
        <f t="shared" si="5"/>
        <v>846.20571428571429</v>
      </c>
      <c r="G30" s="114">
        <f t="shared" si="5"/>
        <v>846.20571428571429</v>
      </c>
      <c r="H30" s="114">
        <f t="shared" si="5"/>
        <v>846.20571428571429</v>
      </c>
      <c r="I30" s="114">
        <f t="shared" si="5"/>
        <v>846.20571428571429</v>
      </c>
      <c r="J30" s="114">
        <f t="shared" si="5"/>
        <v>846.20571428571429</v>
      </c>
      <c r="K30" s="114">
        <f t="shared" si="5"/>
        <v>846.20571428571429</v>
      </c>
      <c r="L30" s="114">
        <f t="shared" si="5"/>
        <v>846.20571428571429</v>
      </c>
      <c r="M30" s="114">
        <f t="shared" si="5"/>
        <v>1603.3371428571427</v>
      </c>
      <c r="N30" s="114">
        <f t="shared" ref="N30:N31" si="6">SUM(B30:M30)</f>
        <v>10510.765714285712</v>
      </c>
      <c r="O30" s="114">
        <f t="shared" ref="O30:R30" si="7">(O24/O25)*O27*O29</f>
        <v>96274.285714285725</v>
      </c>
      <c r="P30" s="114">
        <f t="shared" si="7"/>
        <v>192548.57142857145</v>
      </c>
      <c r="Q30" s="114">
        <f t="shared" si="7"/>
        <v>385097.1428571429</v>
      </c>
      <c r="R30" s="114">
        <f t="shared" si="7"/>
        <v>406491.42857142858</v>
      </c>
    </row>
    <row r="31" spans="1:18" ht="13" x14ac:dyDescent="0.15">
      <c r="A31" s="1" t="s">
        <v>229</v>
      </c>
      <c r="B31" s="115">
        <f t="shared" ref="B31:M31" si="8">B30*B28</f>
        <v>2494.08</v>
      </c>
      <c r="C31" s="115">
        <f t="shared" si="8"/>
        <v>2850.3771428571436</v>
      </c>
      <c r="D31" s="115">
        <f t="shared" si="8"/>
        <v>3206.6742857142863</v>
      </c>
      <c r="E31" s="115">
        <f t="shared" si="8"/>
        <v>3384.8228571428572</v>
      </c>
      <c r="F31" s="115">
        <f t="shared" si="8"/>
        <v>3384.8228571428572</v>
      </c>
      <c r="G31" s="115">
        <f t="shared" si="8"/>
        <v>3384.8228571428572</v>
      </c>
      <c r="H31" s="115">
        <f t="shared" si="8"/>
        <v>3384.8228571428572</v>
      </c>
      <c r="I31" s="115">
        <f t="shared" si="8"/>
        <v>3384.8228571428572</v>
      </c>
      <c r="J31" s="115">
        <f t="shared" si="8"/>
        <v>3384.8228571428572</v>
      </c>
      <c r="K31" s="115">
        <f t="shared" si="8"/>
        <v>3384.8228571428572</v>
      </c>
      <c r="L31" s="115">
        <f t="shared" si="8"/>
        <v>3384.8228571428572</v>
      </c>
      <c r="M31" s="115">
        <f t="shared" si="8"/>
        <v>6413.3485714285707</v>
      </c>
      <c r="N31" s="115">
        <f t="shared" si="6"/>
        <v>42043.062857142846</v>
      </c>
      <c r="O31" s="115">
        <f t="shared" ref="O31:R31" si="9">O30*O28</f>
        <v>392799.08571428579</v>
      </c>
      <c r="P31" s="115">
        <f t="shared" si="9"/>
        <v>809166.1165714286</v>
      </c>
      <c r="Q31" s="115">
        <f t="shared" si="9"/>
        <v>1666882.2001371428</v>
      </c>
      <c r="R31" s="115">
        <f t="shared" si="9"/>
        <v>1812271.3698157712</v>
      </c>
    </row>
    <row r="33" spans="1:18" ht="13" x14ac:dyDescent="0.15">
      <c r="A33" s="1" t="s">
        <v>250</v>
      </c>
      <c r="B33" s="3" t="s">
        <v>82</v>
      </c>
      <c r="C33" s="3" t="s">
        <v>83</v>
      </c>
      <c r="D33" s="3" t="s">
        <v>84</v>
      </c>
      <c r="E33" s="3" t="s">
        <v>85</v>
      </c>
      <c r="F33" s="3" t="s">
        <v>86</v>
      </c>
      <c r="G33" s="3" t="s">
        <v>87</v>
      </c>
      <c r="H33" s="3" t="s">
        <v>88</v>
      </c>
      <c r="I33" s="3" t="s">
        <v>89</v>
      </c>
      <c r="J33" s="3" t="s">
        <v>90</v>
      </c>
      <c r="K33" s="3" t="s">
        <v>91</v>
      </c>
      <c r="L33" s="3" t="s">
        <v>92</v>
      </c>
      <c r="M33" s="3" t="s">
        <v>93</v>
      </c>
      <c r="N33" s="31" t="s">
        <v>6</v>
      </c>
      <c r="O33" s="31" t="s">
        <v>9</v>
      </c>
      <c r="P33" s="31" t="s">
        <v>10</v>
      </c>
      <c r="Q33" s="31" t="s">
        <v>11</v>
      </c>
      <c r="R33" s="31" t="s">
        <v>12</v>
      </c>
    </row>
    <row r="34" spans="1:18" ht="6.75" customHeight="1" x14ac:dyDescent="0.15"/>
    <row r="35" spans="1:18" ht="13" x14ac:dyDescent="0.15">
      <c r="A35" s="2" t="s">
        <v>251</v>
      </c>
      <c r="B35" s="12">
        <f t="shared" ref="B35:N35" si="10">$B$9*B$37</f>
        <v>540</v>
      </c>
      <c r="C35" s="12">
        <f t="shared" si="10"/>
        <v>540</v>
      </c>
      <c r="D35" s="12">
        <f t="shared" si="10"/>
        <v>540</v>
      </c>
      <c r="E35" s="12">
        <f t="shared" si="10"/>
        <v>540</v>
      </c>
      <c r="F35" s="12">
        <f t="shared" si="10"/>
        <v>540</v>
      </c>
      <c r="G35" s="12">
        <f t="shared" si="10"/>
        <v>540</v>
      </c>
      <c r="H35" s="12">
        <f t="shared" si="10"/>
        <v>540</v>
      </c>
      <c r="I35" s="12">
        <f t="shared" si="10"/>
        <v>540</v>
      </c>
      <c r="J35" s="12">
        <f t="shared" si="10"/>
        <v>540</v>
      </c>
      <c r="K35" s="12">
        <f t="shared" si="10"/>
        <v>540</v>
      </c>
      <c r="L35" s="12">
        <f t="shared" si="10"/>
        <v>540</v>
      </c>
      <c r="M35" s="12">
        <f t="shared" si="10"/>
        <v>1080</v>
      </c>
      <c r="N35" s="12">
        <f t="shared" si="10"/>
        <v>540</v>
      </c>
      <c r="O35" s="2">
        <f>N35*6</f>
        <v>3240</v>
      </c>
      <c r="P35" s="2">
        <f t="shared" ref="P35:Q35" si="11">O35*2</f>
        <v>6480</v>
      </c>
      <c r="Q35" s="2">
        <f t="shared" si="11"/>
        <v>12960</v>
      </c>
      <c r="R35" s="2">
        <f>Q35</f>
        <v>12960</v>
      </c>
    </row>
    <row r="36" spans="1:18" ht="13" x14ac:dyDescent="0.15">
      <c r="A36" s="2" t="s">
        <v>252</v>
      </c>
      <c r="B36" s="12">
        <f t="shared" ref="B36:M36" si="12">0.3333333</f>
        <v>0.3333333</v>
      </c>
      <c r="C36" s="10">
        <f t="shared" si="12"/>
        <v>0.3333333</v>
      </c>
      <c r="D36" s="10">
        <f t="shared" si="12"/>
        <v>0.3333333</v>
      </c>
      <c r="E36" s="10">
        <f t="shared" si="12"/>
        <v>0.3333333</v>
      </c>
      <c r="F36" s="10">
        <f t="shared" si="12"/>
        <v>0.3333333</v>
      </c>
      <c r="G36" s="10">
        <f t="shared" si="12"/>
        <v>0.3333333</v>
      </c>
      <c r="H36" s="10">
        <f t="shared" si="12"/>
        <v>0.3333333</v>
      </c>
      <c r="I36" s="10">
        <f t="shared" si="12"/>
        <v>0.3333333</v>
      </c>
      <c r="J36" s="10">
        <f t="shared" si="12"/>
        <v>0.3333333</v>
      </c>
      <c r="K36" s="10">
        <f t="shared" si="12"/>
        <v>0.3333333</v>
      </c>
      <c r="L36" s="10">
        <f t="shared" si="12"/>
        <v>0.3333333</v>
      </c>
      <c r="M36" s="10">
        <f t="shared" si="12"/>
        <v>0.3333333</v>
      </c>
      <c r="N36" s="12">
        <v>0.33329999999999999</v>
      </c>
      <c r="O36" s="12">
        <v>0.33329999999999999</v>
      </c>
      <c r="P36" s="12">
        <v>0.33</v>
      </c>
      <c r="Q36" s="12">
        <v>0.33</v>
      </c>
      <c r="R36" s="12">
        <v>0.33</v>
      </c>
    </row>
    <row r="37" spans="1:18" ht="13" x14ac:dyDescent="0.15">
      <c r="A37" s="2" t="s">
        <v>245</v>
      </c>
      <c r="B37" s="2">
        <v>720</v>
      </c>
      <c r="C37" s="2">
        <v>720</v>
      </c>
      <c r="D37" s="2">
        <v>720</v>
      </c>
      <c r="E37" s="2">
        <v>720</v>
      </c>
      <c r="F37" s="2">
        <v>720</v>
      </c>
      <c r="G37" s="2">
        <v>720</v>
      </c>
      <c r="H37" s="2">
        <v>720</v>
      </c>
      <c r="I37" s="2">
        <v>720</v>
      </c>
      <c r="J37" s="2">
        <v>720</v>
      </c>
      <c r="K37" s="2">
        <v>720</v>
      </c>
      <c r="L37" s="2">
        <v>720</v>
      </c>
      <c r="M37" s="2">
        <v>1440</v>
      </c>
      <c r="N37" s="2">
        <v>720</v>
      </c>
      <c r="O37" s="2">
        <v>7200</v>
      </c>
      <c r="P37" s="2">
        <f t="shared" ref="P37:R37" si="13">P26</f>
        <v>14400</v>
      </c>
      <c r="Q37" s="2">
        <f t="shared" si="13"/>
        <v>28800</v>
      </c>
      <c r="R37" s="2">
        <f t="shared" si="13"/>
        <v>28800</v>
      </c>
    </row>
    <row r="38" spans="1:18" ht="13" x14ac:dyDescent="0.15">
      <c r="A38" s="2" t="s">
        <v>246</v>
      </c>
      <c r="B38" s="2">
        <v>4.33</v>
      </c>
      <c r="C38" s="2">
        <v>4.33</v>
      </c>
      <c r="D38" s="2">
        <v>4.33</v>
      </c>
      <c r="E38" s="2">
        <v>4.33</v>
      </c>
      <c r="F38" s="2">
        <v>4.33</v>
      </c>
      <c r="G38" s="2">
        <v>4.33</v>
      </c>
      <c r="H38" s="2">
        <v>4.33</v>
      </c>
      <c r="I38" s="2">
        <v>4.33</v>
      </c>
      <c r="J38" s="2">
        <v>4.33</v>
      </c>
      <c r="K38" s="2">
        <v>4.33</v>
      </c>
      <c r="L38" s="2">
        <v>4.33</v>
      </c>
      <c r="M38" s="2">
        <v>4.33</v>
      </c>
      <c r="N38" s="2">
        <v>52</v>
      </c>
      <c r="O38" s="2">
        <v>52</v>
      </c>
      <c r="P38" s="2">
        <v>52</v>
      </c>
      <c r="Q38" s="2">
        <v>52</v>
      </c>
      <c r="R38" s="2">
        <v>52</v>
      </c>
    </row>
    <row r="39" spans="1:18" ht="13" x14ac:dyDescent="0.15">
      <c r="A39" s="2" t="s">
        <v>253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0</v>
      </c>
      <c r="N39" s="4">
        <v>1</v>
      </c>
      <c r="O39" s="74">
        <f t="shared" ref="O39:R39" si="14">N39*1.03</f>
        <v>1.03</v>
      </c>
      <c r="P39" s="74">
        <f t="shared" si="14"/>
        <v>1.0609</v>
      </c>
      <c r="Q39" s="74">
        <f t="shared" si="14"/>
        <v>1.092727</v>
      </c>
      <c r="R39" s="74">
        <f t="shared" si="14"/>
        <v>1.1255088100000001</v>
      </c>
    </row>
    <row r="40" spans="1:18" ht="13" x14ac:dyDescent="0.15">
      <c r="A40" s="2" t="s">
        <v>112</v>
      </c>
      <c r="B40" s="9">
        <v>0.7</v>
      </c>
      <c r="C40" s="9">
        <v>0.8</v>
      </c>
      <c r="D40" s="9">
        <v>0.9</v>
      </c>
      <c r="E40" s="9">
        <v>0.95</v>
      </c>
      <c r="F40" s="9">
        <v>0.95</v>
      </c>
      <c r="G40" s="9">
        <v>0.95</v>
      </c>
      <c r="H40" s="9">
        <v>0.95</v>
      </c>
      <c r="I40" s="9">
        <v>0.95</v>
      </c>
      <c r="J40" s="9">
        <v>0.95</v>
      </c>
      <c r="K40" s="9">
        <v>0.95</v>
      </c>
      <c r="L40" s="9">
        <v>0.95</v>
      </c>
      <c r="M40" s="9">
        <v>0.95</v>
      </c>
      <c r="N40" s="35">
        <f>AVERAGE(B40:M40)</f>
        <v>0.91249999999999976</v>
      </c>
      <c r="O40" s="9">
        <v>0.9</v>
      </c>
      <c r="P40" s="9">
        <v>0.9</v>
      </c>
      <c r="Q40" s="9">
        <v>0.9</v>
      </c>
      <c r="R40" s="9">
        <v>0.95</v>
      </c>
    </row>
    <row r="41" spans="1:18" ht="13" x14ac:dyDescent="0.15">
      <c r="A41" s="5" t="s">
        <v>254</v>
      </c>
      <c r="B41" s="116">
        <f t="shared" ref="B41:M41" si="15">(B35/B36)*B38*B40</f>
        <v>4910.2204910220489</v>
      </c>
      <c r="C41" s="116">
        <f t="shared" si="15"/>
        <v>5611.6805611680566</v>
      </c>
      <c r="D41" s="116">
        <f t="shared" si="15"/>
        <v>6313.1406313140633</v>
      </c>
      <c r="E41" s="116">
        <f t="shared" si="15"/>
        <v>6663.8706663870662</v>
      </c>
      <c r="F41" s="116">
        <f t="shared" si="15"/>
        <v>6663.8706663870662</v>
      </c>
      <c r="G41" s="116">
        <f t="shared" si="15"/>
        <v>6663.8706663870662</v>
      </c>
      <c r="H41" s="116">
        <f t="shared" si="15"/>
        <v>6663.8706663870662</v>
      </c>
      <c r="I41" s="116">
        <f t="shared" si="15"/>
        <v>6663.8706663870662</v>
      </c>
      <c r="J41" s="116">
        <f t="shared" si="15"/>
        <v>6663.8706663870662</v>
      </c>
      <c r="K41" s="116">
        <f t="shared" si="15"/>
        <v>6663.8706663870662</v>
      </c>
      <c r="L41" s="116">
        <f t="shared" si="15"/>
        <v>6663.8706663870662</v>
      </c>
      <c r="M41" s="116">
        <f t="shared" si="15"/>
        <v>13327.741332774132</v>
      </c>
      <c r="N41" s="116">
        <f t="shared" ref="N41:N42" si="16">SUM(B41:M41)</f>
        <v>83473.748347374843</v>
      </c>
      <c r="O41" s="116">
        <f t="shared" ref="O41:R41" si="17">(O35/O36)*O38*O40</f>
        <v>454941.494149415</v>
      </c>
      <c r="P41" s="116">
        <f t="shared" si="17"/>
        <v>918981.81818181812</v>
      </c>
      <c r="Q41" s="116">
        <f t="shared" si="17"/>
        <v>1837963.6363636362</v>
      </c>
      <c r="R41" s="116">
        <f t="shared" si="17"/>
        <v>1940072.7272727271</v>
      </c>
    </row>
    <row r="42" spans="1:18" ht="13" x14ac:dyDescent="0.15">
      <c r="A42" s="1" t="s">
        <v>255</v>
      </c>
      <c r="B42" s="7">
        <f t="shared" ref="B42:M42" si="18">B41*B39</f>
        <v>4910.2204910220489</v>
      </c>
      <c r="C42" s="7">
        <f t="shared" si="18"/>
        <v>5611.6805611680566</v>
      </c>
      <c r="D42" s="7">
        <f t="shared" si="18"/>
        <v>6313.1406313140633</v>
      </c>
      <c r="E42" s="7">
        <f t="shared" si="18"/>
        <v>6663.8706663870662</v>
      </c>
      <c r="F42" s="7">
        <f t="shared" si="18"/>
        <v>6663.8706663870662</v>
      </c>
      <c r="G42" s="7">
        <f t="shared" si="18"/>
        <v>6663.8706663870662</v>
      </c>
      <c r="H42" s="7">
        <f t="shared" si="18"/>
        <v>6663.8706663870662</v>
      </c>
      <c r="I42" s="7">
        <f t="shared" si="18"/>
        <v>6663.8706663870662</v>
      </c>
      <c r="J42" s="7">
        <f t="shared" si="18"/>
        <v>6663.8706663870662</v>
      </c>
      <c r="K42" s="7">
        <f t="shared" si="18"/>
        <v>6663.8706663870662</v>
      </c>
      <c r="L42" s="7">
        <f t="shared" si="18"/>
        <v>6663.8706663870662</v>
      </c>
      <c r="M42" s="7">
        <f t="shared" si="18"/>
        <v>0</v>
      </c>
      <c r="N42" s="7">
        <f t="shared" si="16"/>
        <v>70146.007014600706</v>
      </c>
      <c r="O42" s="75">
        <f t="shared" ref="O42:R42" si="19">O41*O39</f>
        <v>468589.73897389747</v>
      </c>
      <c r="P42" s="75">
        <f t="shared" si="19"/>
        <v>974947.8109090908</v>
      </c>
      <c r="Q42" s="75">
        <f t="shared" si="19"/>
        <v>2008392.4904727272</v>
      </c>
      <c r="R42" s="75">
        <f t="shared" si="19"/>
        <v>2183568.9465861819</v>
      </c>
    </row>
    <row r="43" spans="1:18" ht="14.25" customHeight="1" x14ac:dyDescent="0.15"/>
    <row r="44" spans="1:18" ht="14.25" customHeight="1" x14ac:dyDescent="0.15">
      <c r="A44" s="1" t="s">
        <v>134</v>
      </c>
      <c r="B44" s="30">
        <f t="shared" ref="B44:R44" si="20">B42+B31</f>
        <v>7404.3004910220488</v>
      </c>
      <c r="C44" s="30">
        <f t="shared" si="20"/>
        <v>8462.0577040251992</v>
      </c>
      <c r="D44" s="30">
        <f t="shared" si="20"/>
        <v>9519.8149170283505</v>
      </c>
      <c r="E44" s="30">
        <f t="shared" si="20"/>
        <v>10048.693523529924</v>
      </c>
      <c r="F44" s="30">
        <f t="shared" si="20"/>
        <v>10048.693523529924</v>
      </c>
      <c r="G44" s="30">
        <f t="shared" si="20"/>
        <v>10048.693523529924</v>
      </c>
      <c r="H44" s="30">
        <f t="shared" si="20"/>
        <v>10048.693523529924</v>
      </c>
      <c r="I44" s="30">
        <f t="shared" si="20"/>
        <v>10048.693523529924</v>
      </c>
      <c r="J44" s="30">
        <f t="shared" si="20"/>
        <v>10048.693523529924</v>
      </c>
      <c r="K44" s="30">
        <f t="shared" si="20"/>
        <v>10048.693523529924</v>
      </c>
      <c r="L44" s="30">
        <f t="shared" si="20"/>
        <v>10048.693523529924</v>
      </c>
      <c r="M44" s="30">
        <f t="shared" si="20"/>
        <v>6413.3485714285707</v>
      </c>
      <c r="N44" s="30">
        <f t="shared" si="20"/>
        <v>112189.06987174356</v>
      </c>
      <c r="O44" s="76">
        <f t="shared" si="20"/>
        <v>861388.82468818326</v>
      </c>
      <c r="P44" s="76">
        <f t="shared" si="20"/>
        <v>1784113.9274805193</v>
      </c>
      <c r="Q44" s="76">
        <f t="shared" si="20"/>
        <v>3675274.69060987</v>
      </c>
      <c r="R44" s="76">
        <f t="shared" si="20"/>
        <v>3995840.3164019529</v>
      </c>
    </row>
    <row r="45" spans="1:18" ht="6.75" customHeight="1" x14ac:dyDescent="0.15"/>
    <row r="47" spans="1:18" ht="13" x14ac:dyDescent="0.15">
      <c r="A47" s="1"/>
    </row>
    <row r="48" spans="1:18" ht="13" x14ac:dyDescent="0.15">
      <c r="A48" s="2"/>
      <c r="B48" s="7"/>
      <c r="C48" s="2"/>
    </row>
    <row r="49" spans="1:2" ht="13" x14ac:dyDescent="0.15">
      <c r="A49" s="2"/>
      <c r="B49" s="7"/>
    </row>
    <row r="50" spans="1:2" ht="13" x14ac:dyDescent="0.15">
      <c r="A50" s="2"/>
      <c r="B50" s="4"/>
    </row>
    <row r="51" spans="1:2" ht="13" x14ac:dyDescent="0.15">
      <c r="A51" s="2"/>
      <c r="B51" s="4"/>
    </row>
    <row r="52" spans="1:2" ht="13" x14ac:dyDescent="0.15">
      <c r="A52" s="2"/>
      <c r="B52" s="4"/>
    </row>
    <row r="53" spans="1:2" ht="13" x14ac:dyDescent="0.15">
      <c r="A53" s="2"/>
      <c r="B53" s="4"/>
    </row>
    <row r="54" spans="1:2" ht="13" x14ac:dyDescent="0.15">
      <c r="A54" s="2"/>
      <c r="B54" s="9"/>
    </row>
    <row r="55" spans="1:2" ht="13" x14ac:dyDescent="0.15">
      <c r="A55" s="1"/>
    </row>
    <row r="56" spans="1:2" ht="13" x14ac:dyDescent="0.15">
      <c r="A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14.5" defaultRowHeight="15.75" customHeight="1" x14ac:dyDescent="0.15"/>
  <cols>
    <col min="1" max="1" width="26.5" customWidth="1"/>
    <col min="2" max="2" width="14.33203125" customWidth="1"/>
    <col min="3" max="3" width="16.33203125" customWidth="1"/>
    <col min="5" max="5" width="15.6640625" customWidth="1"/>
    <col min="6" max="6" width="14.5" customWidth="1"/>
  </cols>
  <sheetData>
    <row r="1" spans="1:7" ht="15.75" customHeight="1" x14ac:dyDescent="0.15">
      <c r="A1" s="1" t="s">
        <v>3</v>
      </c>
      <c r="B1" s="3" t="s">
        <v>6</v>
      </c>
      <c r="C1" s="3" t="s">
        <v>9</v>
      </c>
      <c r="D1" s="3" t="s">
        <v>10</v>
      </c>
      <c r="E1" s="3" t="s">
        <v>11</v>
      </c>
      <c r="F1" s="3" t="s">
        <v>12</v>
      </c>
    </row>
    <row r="2" spans="1:7" ht="15.75" customHeight="1" x14ac:dyDescent="0.15">
      <c r="A2" s="1" t="s">
        <v>13</v>
      </c>
      <c r="B2" s="6">
        <f>('Statement of Cash Flows'!C13+'Statement of Cash Flows'!C23)</f>
        <v>1364298.9041095893</v>
      </c>
      <c r="C2" s="6">
        <f>'Statement of Cash Flows'!D13</f>
        <v>5279581.1748258313</v>
      </c>
      <c r="D2" s="6">
        <f>'Statement of Cash Flows'!E13</f>
        <v>17592286.151098762</v>
      </c>
      <c r="E2" s="6">
        <f>'Statement of Cash Flows'!F13</f>
        <v>15072127.297605526</v>
      </c>
      <c r="F2" s="6">
        <f>'Statement of Cash Flows'!G13+('P&amp;L'!F21*4)</f>
        <v>100654507.41528746</v>
      </c>
      <c r="G2" s="2" t="s">
        <v>22</v>
      </c>
    </row>
    <row r="3" spans="1:7" ht="15.75" customHeight="1" x14ac:dyDescent="0.15">
      <c r="A3" s="8"/>
    </row>
    <row r="4" spans="1:7" ht="15.75" customHeight="1" x14ac:dyDescent="0.15">
      <c r="A4" s="1" t="s">
        <v>23</v>
      </c>
      <c r="B4" s="9">
        <v>0.15</v>
      </c>
    </row>
    <row r="6" spans="1:7" ht="15.75" customHeight="1" x14ac:dyDescent="0.15">
      <c r="A6" s="1" t="s">
        <v>25</v>
      </c>
    </row>
    <row r="7" spans="1:7" ht="15.75" customHeight="1" x14ac:dyDescent="0.15">
      <c r="B7" s="3" t="s">
        <v>6</v>
      </c>
      <c r="C7" s="3" t="s">
        <v>9</v>
      </c>
      <c r="D7" s="3" t="s">
        <v>10</v>
      </c>
      <c r="E7" s="3" t="s">
        <v>11</v>
      </c>
      <c r="F7" s="3" t="s">
        <v>12</v>
      </c>
    </row>
    <row r="8" spans="1:7" ht="15.75" customHeight="1" x14ac:dyDescent="0.15">
      <c r="A8" s="1" t="s">
        <v>25</v>
      </c>
      <c r="B8" s="10">
        <f>1/((1+$B$4)^1)</f>
        <v>0.86956521739130443</v>
      </c>
      <c r="C8" s="10">
        <f>1/((1+$B$4)^2)</f>
        <v>0.7561436672967865</v>
      </c>
      <c r="D8" s="10">
        <f>1/((1+$B$4)^3)</f>
        <v>0.65751623243198831</v>
      </c>
      <c r="E8" s="10">
        <f>1/((1+$B$4)^4)</f>
        <v>0.57175324559303342</v>
      </c>
      <c r="F8" s="10">
        <f>1/((1+$B$4)^5)</f>
        <v>0.49717673529828987</v>
      </c>
    </row>
    <row r="9" spans="1:7" ht="15.75" customHeight="1" x14ac:dyDescent="0.15">
      <c r="A9" s="1" t="s">
        <v>38</v>
      </c>
      <c r="B9" s="7">
        <f t="shared" ref="B9:F9" si="0">B2*B8</f>
        <v>1186346.8731387735</v>
      </c>
      <c r="C9" s="7">
        <f t="shared" si="0"/>
        <v>3992121.8713238807</v>
      </c>
      <c r="D9" s="7">
        <f t="shared" si="0"/>
        <v>11567213.709935902</v>
      </c>
      <c r="E9" s="7">
        <f t="shared" si="0"/>
        <v>8617537.7003973145</v>
      </c>
      <c r="F9" s="7">
        <f t="shared" si="0"/>
        <v>50043079.389790133</v>
      </c>
    </row>
    <row r="11" spans="1:7" ht="15.75" customHeight="1" x14ac:dyDescent="0.15">
      <c r="A11" s="1" t="s">
        <v>23</v>
      </c>
      <c r="B11" s="11">
        <f>B4</f>
        <v>0.15</v>
      </c>
    </row>
    <row r="12" spans="1:7" ht="15.75" customHeight="1" x14ac:dyDescent="0.15">
      <c r="A12" s="2"/>
      <c r="E12" s="9"/>
    </row>
    <row r="14" spans="1:7" ht="15.75" customHeight="1" x14ac:dyDescent="0.15">
      <c r="A14" s="1" t="s">
        <v>43</v>
      </c>
      <c r="B14" s="13">
        <f>'P&amp;L'!F21*4</f>
        <v>85089057.845662892</v>
      </c>
    </row>
    <row r="16" spans="1:7" ht="15.75" customHeight="1" x14ac:dyDescent="0.15">
      <c r="A16" s="2"/>
      <c r="B16" s="3" t="s">
        <v>45</v>
      </c>
      <c r="C16" s="14"/>
      <c r="D16" s="14"/>
    </row>
    <row r="17" spans="1:4" ht="15.75" customHeight="1" x14ac:dyDescent="0.15">
      <c r="A17" s="1" t="s">
        <v>46</v>
      </c>
      <c r="B17" s="15">
        <f>SUM(B9:F9)</f>
        <v>75406299.544586003</v>
      </c>
      <c r="C17" s="16"/>
      <c r="D17" s="17"/>
    </row>
    <row r="18" spans="1:4" ht="15.75" customHeight="1" x14ac:dyDescent="0.15">
      <c r="A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ColWidth="14.5" defaultRowHeight="15.75" customHeight="1" x14ac:dyDescent="0.15"/>
  <cols>
    <col min="1" max="1" width="50.83203125" customWidth="1"/>
  </cols>
  <sheetData>
    <row r="1" spans="1:3" ht="15.75" customHeight="1" x14ac:dyDescent="0.15">
      <c r="A1" s="1" t="s">
        <v>4</v>
      </c>
    </row>
    <row r="2" spans="1:3" ht="15.75" customHeight="1" x14ac:dyDescent="0.15">
      <c r="A2" s="2" t="s">
        <v>5</v>
      </c>
      <c r="B2" s="4">
        <v>225</v>
      </c>
      <c r="C2" s="2"/>
    </row>
    <row r="3" spans="1:3" ht="15.75" customHeight="1" x14ac:dyDescent="0.15">
      <c r="A3" s="5" t="s">
        <v>8</v>
      </c>
      <c r="B3" s="2">
        <v>32</v>
      </c>
    </row>
    <row r="4" spans="1:3" ht="15.75" customHeight="1" x14ac:dyDescent="0.15">
      <c r="A4" s="5" t="s">
        <v>14</v>
      </c>
      <c r="B4" s="2">
        <v>10</v>
      </c>
    </row>
    <row r="5" spans="1:3" ht="15.75" customHeight="1" x14ac:dyDescent="0.15">
      <c r="A5" s="5" t="s">
        <v>15</v>
      </c>
      <c r="B5" s="2">
        <v>6</v>
      </c>
    </row>
    <row r="6" spans="1:3" ht="15.75" customHeight="1" x14ac:dyDescent="0.15">
      <c r="A6" s="5" t="s">
        <v>16</v>
      </c>
      <c r="B6" s="2">
        <f>B5*4</f>
        <v>24</v>
      </c>
    </row>
    <row r="7" spans="1:3" ht="15.75" customHeight="1" x14ac:dyDescent="0.15">
      <c r="A7" s="1" t="s">
        <v>17</v>
      </c>
      <c r="B7" s="7">
        <f>(B2*B4*B3)*(B5+B6)</f>
        <v>2160000</v>
      </c>
    </row>
    <row r="8" spans="1:3" ht="15.75" customHeight="1" x14ac:dyDescent="0.15">
      <c r="A8" s="1"/>
    </row>
    <row r="9" spans="1:3" ht="15.75" customHeight="1" x14ac:dyDescent="0.15">
      <c r="A9" s="1" t="s">
        <v>18</v>
      </c>
    </row>
    <row r="10" spans="1:3" ht="15.75" customHeight="1" x14ac:dyDescent="0.15">
      <c r="A10" s="2" t="s">
        <v>5</v>
      </c>
      <c r="B10" s="4">
        <v>215</v>
      </c>
    </row>
    <row r="11" spans="1:3" ht="15.75" customHeight="1" x14ac:dyDescent="0.15">
      <c r="A11" s="5" t="s">
        <v>8</v>
      </c>
      <c r="B11" s="2">
        <v>32</v>
      </c>
    </row>
    <row r="12" spans="1:3" ht="15.75" customHeight="1" x14ac:dyDescent="0.15">
      <c r="A12" s="5" t="s">
        <v>14</v>
      </c>
      <c r="B12" s="2">
        <v>10</v>
      </c>
    </row>
    <row r="13" spans="1:3" ht="15.75" customHeight="1" x14ac:dyDescent="0.15">
      <c r="A13" s="5" t="s">
        <v>15</v>
      </c>
      <c r="B13" s="2">
        <v>18</v>
      </c>
    </row>
    <row r="14" spans="1:3" ht="15.75" customHeight="1" x14ac:dyDescent="0.15">
      <c r="A14" s="5" t="s">
        <v>16</v>
      </c>
      <c r="B14" s="2">
        <f>B13*4</f>
        <v>72</v>
      </c>
    </row>
    <row r="15" spans="1:3" ht="15.75" customHeight="1" x14ac:dyDescent="0.15">
      <c r="A15" s="1" t="s">
        <v>20</v>
      </c>
      <c r="B15" s="4">
        <f>B10*B11*B12*(B13+B14)</f>
        <v>6192000</v>
      </c>
    </row>
    <row r="17" spans="1:2" ht="15.75" customHeight="1" x14ac:dyDescent="0.15">
      <c r="A17" s="1" t="s">
        <v>21</v>
      </c>
      <c r="B17" s="4"/>
    </row>
    <row r="18" spans="1:2" ht="15.75" customHeight="1" x14ac:dyDescent="0.15">
      <c r="A18" s="2" t="s">
        <v>5</v>
      </c>
      <c r="B18" s="4">
        <v>200</v>
      </c>
    </row>
    <row r="19" spans="1:2" ht="15.75" customHeight="1" x14ac:dyDescent="0.15">
      <c r="A19" s="5" t="s">
        <v>8</v>
      </c>
      <c r="B19" s="2">
        <v>32</v>
      </c>
    </row>
    <row r="20" spans="1:2" ht="15.75" customHeight="1" x14ac:dyDescent="0.15">
      <c r="A20" s="5" t="s">
        <v>14</v>
      </c>
      <c r="B20" s="2">
        <v>20</v>
      </c>
    </row>
    <row r="21" spans="1:2" ht="15.75" customHeight="1" x14ac:dyDescent="0.15">
      <c r="A21" s="5" t="s">
        <v>15</v>
      </c>
      <c r="B21" s="2">
        <v>54</v>
      </c>
    </row>
    <row r="22" spans="1:2" ht="15.75" customHeight="1" x14ac:dyDescent="0.15">
      <c r="A22" s="5" t="s">
        <v>16</v>
      </c>
      <c r="B22" s="2">
        <f>B21*4</f>
        <v>216</v>
      </c>
    </row>
    <row r="23" spans="1:2" ht="15.75" customHeight="1" x14ac:dyDescent="0.15">
      <c r="A23" s="1" t="s">
        <v>24</v>
      </c>
      <c r="B23" s="7">
        <f>(B18*B19*B20)*(B21+B22)</f>
        <v>34560000</v>
      </c>
    </row>
    <row r="24" spans="1:2" ht="15.75" customHeight="1" x14ac:dyDescent="0.15">
      <c r="A24" s="1"/>
    </row>
    <row r="25" spans="1:2" ht="15.75" customHeight="1" x14ac:dyDescent="0.15">
      <c r="A25" s="1" t="s">
        <v>26</v>
      </c>
    </row>
    <row r="26" spans="1:2" ht="15.75" customHeight="1" x14ac:dyDescent="0.15">
      <c r="A26" s="2" t="s">
        <v>27</v>
      </c>
      <c r="B26" s="7">
        <f>('P&amp;L'!B18+'P&amp;L'!B9)/2</f>
        <v>1026087</v>
      </c>
    </row>
    <row r="27" spans="1:2" ht="15.75" customHeight="1" x14ac:dyDescent="0.15">
      <c r="A27" s="2" t="s">
        <v>29</v>
      </c>
      <c r="B27" s="7">
        <f>('P&amp;L'!C9+'P&amp;L'!C18)/4</f>
        <v>2213097.6384000001</v>
      </c>
    </row>
    <row r="28" spans="1:2" ht="15.75" customHeight="1" x14ac:dyDescent="0.15">
      <c r="A28" s="5" t="s">
        <v>30</v>
      </c>
    </row>
    <row r="29" spans="1:2" ht="15.75" customHeight="1" x14ac:dyDescent="0.15">
      <c r="A29" s="1"/>
    </row>
    <row r="30" spans="1:2" ht="15.75" customHeight="1" x14ac:dyDescent="0.15">
      <c r="A30" s="1" t="s">
        <v>31</v>
      </c>
    </row>
    <row r="31" spans="1:2" ht="15.75" customHeight="1" x14ac:dyDescent="0.15">
      <c r="A31" s="2" t="s">
        <v>32</v>
      </c>
      <c r="B31" s="7">
        <f>1000000</f>
        <v>1000000</v>
      </c>
    </row>
    <row r="32" spans="1:2" ht="15.75" customHeight="1" x14ac:dyDescent="0.15">
      <c r="A32" s="2" t="s">
        <v>33</v>
      </c>
    </row>
    <row r="33" spans="1:2" ht="15.75" customHeight="1" x14ac:dyDescent="0.15">
      <c r="A33" s="2" t="s">
        <v>34</v>
      </c>
    </row>
    <row r="34" spans="1:2" ht="15.75" customHeight="1" x14ac:dyDescent="0.15">
      <c r="A34" s="1"/>
    </row>
    <row r="35" spans="1:2" ht="15.75" customHeight="1" x14ac:dyDescent="0.15">
      <c r="A35" s="1" t="s">
        <v>35</v>
      </c>
      <c r="B35" s="7">
        <f>B7+B26+B31</f>
        <v>4186087</v>
      </c>
    </row>
    <row r="36" spans="1:2" ht="15.75" customHeight="1" x14ac:dyDescent="0.15">
      <c r="A36" s="1" t="s">
        <v>36</v>
      </c>
      <c r="B36" s="7">
        <f>B15+B27+B32</f>
        <v>8405097.6383999996</v>
      </c>
    </row>
    <row r="37" spans="1:2" ht="15.75" customHeight="1" x14ac:dyDescent="0.15">
      <c r="A37" s="1" t="s">
        <v>39</v>
      </c>
      <c r="B37" s="7">
        <f>B23+B28+B33</f>
        <v>34560000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14.5" defaultRowHeight="15.75" customHeight="1" x14ac:dyDescent="0.15"/>
  <cols>
    <col min="1" max="1" width="30.5" customWidth="1"/>
  </cols>
  <sheetData>
    <row r="1" spans="1:2" ht="15.75" customHeight="1" x14ac:dyDescent="0.15">
      <c r="A1" s="1" t="s">
        <v>48</v>
      </c>
    </row>
    <row r="3" spans="1:2" ht="15.75" customHeight="1" x14ac:dyDescent="0.15">
      <c r="A3" s="1" t="s">
        <v>49</v>
      </c>
    </row>
    <row r="4" spans="1:2" ht="15.75" customHeight="1" x14ac:dyDescent="0.15">
      <c r="A4" s="2" t="s">
        <v>50</v>
      </c>
      <c r="B4" s="7">
        <f>'Use of Funds'!B35-B5</f>
        <v>4186087</v>
      </c>
    </row>
    <row r="5" spans="1:2" ht="15.75" customHeight="1" x14ac:dyDescent="0.15">
      <c r="A5" s="2" t="s">
        <v>53</v>
      </c>
      <c r="B5" s="4">
        <v>0</v>
      </c>
    </row>
    <row r="6" spans="1:2" ht="15.75" customHeight="1" x14ac:dyDescent="0.15">
      <c r="A6" s="2" t="s">
        <v>55</v>
      </c>
      <c r="B6" s="7">
        <f>'Use of Funds'!B7+'Use of Funds'!B26</f>
        <v>3186087</v>
      </c>
    </row>
    <row r="7" spans="1:2" ht="15.75" customHeight="1" x14ac:dyDescent="0.15">
      <c r="A7" s="2"/>
    </row>
    <row r="8" spans="1:2" ht="15.75" customHeight="1" x14ac:dyDescent="0.15">
      <c r="A8" s="2" t="s">
        <v>33</v>
      </c>
    </row>
    <row r="9" spans="1:2" ht="15.75" customHeight="1" x14ac:dyDescent="0.15">
      <c r="A9" s="2" t="s">
        <v>58</v>
      </c>
      <c r="B9" s="7">
        <f>'Use of Funds'!B36</f>
        <v>8405097.6383999996</v>
      </c>
    </row>
    <row r="10" spans="1:2" ht="15.75" customHeight="1" x14ac:dyDescent="0.15">
      <c r="A10" s="2" t="s">
        <v>53</v>
      </c>
      <c r="B10" s="4">
        <v>0</v>
      </c>
    </row>
    <row r="12" spans="1:2" ht="15.75" customHeight="1" x14ac:dyDescent="0.15">
      <c r="A12" s="2" t="s">
        <v>34</v>
      </c>
    </row>
    <row r="13" spans="1:2" ht="15.75" customHeight="1" x14ac:dyDescent="0.15">
      <c r="A13" s="2" t="s">
        <v>58</v>
      </c>
      <c r="B13" s="7">
        <f>'Use of Funds'!B37</f>
        <v>34560000</v>
      </c>
    </row>
    <row r="14" spans="1:2" ht="15.75" customHeight="1" x14ac:dyDescent="0.15">
      <c r="A14" s="2" t="s">
        <v>53</v>
      </c>
      <c r="B14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/>
  </sheetViews>
  <sheetFormatPr baseColWidth="10" defaultColWidth="14.5" defaultRowHeight="15.75" customHeight="1" x14ac:dyDescent="0.15"/>
  <cols>
    <col min="1" max="1" width="44.6640625" customWidth="1"/>
    <col min="3" max="3" width="14.6640625" customWidth="1"/>
    <col min="4" max="4" width="32.5" customWidth="1"/>
  </cols>
  <sheetData>
    <row r="1" spans="1:18" ht="13" x14ac:dyDescent="0.15">
      <c r="A1" s="1" t="s">
        <v>60</v>
      </c>
      <c r="B1" s="1"/>
    </row>
    <row r="2" spans="1:18" ht="13" x14ac:dyDescent="0.15">
      <c r="A2" s="2" t="s">
        <v>44</v>
      </c>
      <c r="B2" s="12">
        <v>6</v>
      </c>
    </row>
    <row r="3" spans="1:18" ht="13" x14ac:dyDescent="0.15">
      <c r="A3" s="2" t="s">
        <v>47</v>
      </c>
      <c r="B3" s="12">
        <v>6</v>
      </c>
    </row>
    <row r="4" spans="1:18" ht="13" x14ac:dyDescent="0.15">
      <c r="A4" s="2" t="s">
        <v>61</v>
      </c>
      <c r="B4" s="2">
        <v>18</v>
      </c>
    </row>
    <row r="5" spans="1:18" ht="13" x14ac:dyDescent="0.15">
      <c r="A5" s="2" t="s">
        <v>62</v>
      </c>
      <c r="B5" s="2">
        <v>3000</v>
      </c>
    </row>
    <row r="6" spans="1:18" ht="13" x14ac:dyDescent="0.15">
      <c r="A6" s="2" t="s">
        <v>63</v>
      </c>
      <c r="B6" s="2">
        <v>0.5</v>
      </c>
    </row>
    <row r="7" spans="1:18" ht="13" x14ac:dyDescent="0.15">
      <c r="A7" s="2" t="s">
        <v>64</v>
      </c>
      <c r="B7" s="12">
        <v>0.25</v>
      </c>
    </row>
    <row r="8" spans="1:18" ht="13" x14ac:dyDescent="0.15">
      <c r="A8" s="2" t="s">
        <v>65</v>
      </c>
      <c r="B8" s="4">
        <v>3000</v>
      </c>
    </row>
    <row r="9" spans="1:18" ht="13" x14ac:dyDescent="0.15">
      <c r="A9" s="2" t="s">
        <v>66</v>
      </c>
      <c r="B9" s="4">
        <v>4</v>
      </c>
    </row>
    <row r="10" spans="1:18" ht="13" x14ac:dyDescent="0.15">
      <c r="A10" s="2" t="s">
        <v>67</v>
      </c>
      <c r="B10" s="4">
        <v>16</v>
      </c>
    </row>
    <row r="11" spans="1:18" ht="13" x14ac:dyDescent="0.15">
      <c r="A11" s="2" t="s">
        <v>68</v>
      </c>
      <c r="B11" s="2">
        <v>7</v>
      </c>
    </row>
    <row r="14" spans="1:18" ht="13" x14ac:dyDescent="0.15">
      <c r="A14" s="1" t="s">
        <v>69</v>
      </c>
    </row>
    <row r="15" spans="1:18" ht="13" x14ac:dyDescent="0.15">
      <c r="D15" s="18" t="s">
        <v>70</v>
      </c>
      <c r="J15" s="18" t="s">
        <v>72</v>
      </c>
      <c r="O15" s="18" t="s">
        <v>33</v>
      </c>
      <c r="P15" s="14" t="s">
        <v>34</v>
      </c>
      <c r="Q15" s="14" t="s">
        <v>73</v>
      </c>
    </row>
    <row r="16" spans="1:18" ht="13" x14ac:dyDescent="0.15">
      <c r="A16" s="1" t="s">
        <v>74</v>
      </c>
      <c r="B16" s="19"/>
      <c r="C16" s="19"/>
      <c r="D16" s="20"/>
      <c r="E16" s="19"/>
      <c r="F16" s="21"/>
      <c r="G16" s="21"/>
      <c r="H16" s="22"/>
      <c r="I16" s="23"/>
      <c r="J16" s="23"/>
      <c r="K16" s="22"/>
      <c r="L16" s="22"/>
      <c r="M16" s="22"/>
      <c r="N16" s="24"/>
      <c r="O16" s="26"/>
      <c r="P16" s="27"/>
      <c r="Q16" s="28"/>
      <c r="R16" s="28"/>
    </row>
    <row r="17" spans="1:19" ht="13" x14ac:dyDescent="0.15">
      <c r="A17" s="29"/>
      <c r="B17" s="31" t="s">
        <v>82</v>
      </c>
      <c r="C17" s="31" t="s">
        <v>83</v>
      </c>
      <c r="D17" s="31" t="s">
        <v>84</v>
      </c>
      <c r="E17" s="31" t="s">
        <v>85</v>
      </c>
      <c r="F17" s="31" t="s">
        <v>86</v>
      </c>
      <c r="G17" s="31" t="s">
        <v>87</v>
      </c>
      <c r="H17" s="31" t="s">
        <v>88</v>
      </c>
      <c r="I17" s="31" t="s">
        <v>89</v>
      </c>
      <c r="J17" s="31" t="s">
        <v>90</v>
      </c>
      <c r="K17" s="31" t="s">
        <v>91</v>
      </c>
      <c r="L17" s="31" t="s">
        <v>92</v>
      </c>
      <c r="M17" s="31" t="s">
        <v>93</v>
      </c>
      <c r="N17" s="31" t="s">
        <v>6</v>
      </c>
      <c r="O17" s="31" t="s">
        <v>9</v>
      </c>
      <c r="P17" s="31" t="s">
        <v>10</v>
      </c>
      <c r="Q17" s="31" t="s">
        <v>11</v>
      </c>
      <c r="R17" s="31" t="s">
        <v>12</v>
      </c>
    </row>
    <row r="18" spans="1:19" ht="8.25" customHeight="1" x14ac:dyDescent="0.15">
      <c r="A18" s="2"/>
      <c r="B18" s="14"/>
    </row>
    <row r="19" spans="1:19" ht="13" x14ac:dyDescent="0.15">
      <c r="A19" s="2" t="s">
        <v>96</v>
      </c>
      <c r="B19" s="33">
        <v>3</v>
      </c>
      <c r="C19" s="33">
        <v>5</v>
      </c>
      <c r="D19" s="33">
        <v>8</v>
      </c>
      <c r="E19" s="33">
        <v>10</v>
      </c>
      <c r="F19" s="33">
        <v>12</v>
      </c>
      <c r="G19" s="33">
        <v>15</v>
      </c>
      <c r="H19" s="33">
        <v>15</v>
      </c>
      <c r="I19" s="33">
        <v>15</v>
      </c>
      <c r="J19" s="33">
        <v>15</v>
      </c>
      <c r="K19" s="33">
        <v>15</v>
      </c>
      <c r="L19" s="33">
        <v>15</v>
      </c>
      <c r="M19" s="33">
        <v>15</v>
      </c>
      <c r="N19" s="33">
        <v>15</v>
      </c>
      <c r="O19" s="33">
        <f>45+N19</f>
        <v>60</v>
      </c>
      <c r="P19" s="33">
        <f>135+O19</f>
        <v>195</v>
      </c>
      <c r="Q19" s="33">
        <f>P19+('Use of Funds'!C22/2)</f>
        <v>195</v>
      </c>
      <c r="R19" s="33">
        <f>Q19+('Use of Funds'!D22/2)</f>
        <v>195</v>
      </c>
    </row>
    <row r="20" spans="1:19" ht="13" x14ac:dyDescent="0.15">
      <c r="A20" s="2" t="s">
        <v>101</v>
      </c>
      <c r="B20" s="14">
        <f t="shared" ref="B20:M20" si="0">$B$5*$B$6</f>
        <v>1500</v>
      </c>
      <c r="C20" s="14">
        <f t="shared" si="0"/>
        <v>1500</v>
      </c>
      <c r="D20" s="14">
        <f t="shared" si="0"/>
        <v>1500</v>
      </c>
      <c r="E20" s="14">
        <f t="shared" si="0"/>
        <v>1500</v>
      </c>
      <c r="F20" s="14">
        <f t="shared" si="0"/>
        <v>1500</v>
      </c>
      <c r="G20" s="14">
        <f t="shared" si="0"/>
        <v>1500</v>
      </c>
      <c r="H20" s="14">
        <f t="shared" si="0"/>
        <v>1500</v>
      </c>
      <c r="I20" s="14">
        <f t="shared" si="0"/>
        <v>1500</v>
      </c>
      <c r="J20" s="14">
        <f t="shared" si="0"/>
        <v>1500</v>
      </c>
      <c r="K20" s="14">
        <f t="shared" si="0"/>
        <v>1500</v>
      </c>
      <c r="L20" s="14">
        <f t="shared" si="0"/>
        <v>1500</v>
      </c>
      <c r="M20" s="14">
        <f t="shared" si="0"/>
        <v>1500</v>
      </c>
      <c r="N20" s="14">
        <f>SUM(B20:M20)</f>
        <v>18000</v>
      </c>
      <c r="O20" s="14">
        <f t="shared" ref="O20:R20" si="1">N20</f>
        <v>18000</v>
      </c>
      <c r="P20" s="14">
        <f t="shared" si="1"/>
        <v>18000</v>
      </c>
      <c r="Q20" s="14">
        <f t="shared" si="1"/>
        <v>18000</v>
      </c>
      <c r="R20" s="14">
        <f t="shared" si="1"/>
        <v>18000</v>
      </c>
    </row>
    <row r="21" spans="1:19" ht="13" x14ac:dyDescent="0.15">
      <c r="A21" s="5" t="s">
        <v>108</v>
      </c>
      <c r="B21" s="37">
        <f t="shared" ref="B21:N21" si="2">$B$9</f>
        <v>4</v>
      </c>
      <c r="C21" s="37">
        <f t="shared" si="2"/>
        <v>4</v>
      </c>
      <c r="D21" s="37">
        <f t="shared" si="2"/>
        <v>4</v>
      </c>
      <c r="E21" s="37">
        <f t="shared" si="2"/>
        <v>4</v>
      </c>
      <c r="F21" s="37">
        <f t="shared" si="2"/>
        <v>4</v>
      </c>
      <c r="G21" s="37">
        <f t="shared" si="2"/>
        <v>4</v>
      </c>
      <c r="H21" s="37">
        <f t="shared" si="2"/>
        <v>4</v>
      </c>
      <c r="I21" s="37">
        <f t="shared" si="2"/>
        <v>4</v>
      </c>
      <c r="J21" s="37">
        <f t="shared" si="2"/>
        <v>4</v>
      </c>
      <c r="K21" s="37">
        <f t="shared" si="2"/>
        <v>4</v>
      </c>
      <c r="L21" s="37">
        <f t="shared" si="2"/>
        <v>4</v>
      </c>
      <c r="M21" s="37">
        <f t="shared" si="2"/>
        <v>4</v>
      </c>
      <c r="N21" s="37">
        <f t="shared" si="2"/>
        <v>4</v>
      </c>
      <c r="O21" s="16">
        <f t="shared" ref="O21:R21" si="3">N21*1.02</f>
        <v>4.08</v>
      </c>
      <c r="P21" s="16">
        <f t="shared" si="3"/>
        <v>4.1616</v>
      </c>
      <c r="Q21" s="16">
        <f t="shared" si="3"/>
        <v>4.2448319999999997</v>
      </c>
      <c r="R21" s="16">
        <f t="shared" si="3"/>
        <v>4.3297286399999999</v>
      </c>
    </row>
    <row r="22" spans="1:19" ht="13" x14ac:dyDescent="0.15">
      <c r="A22" s="2" t="s">
        <v>112</v>
      </c>
      <c r="B22" s="39">
        <v>0.6</v>
      </c>
      <c r="C22" s="39">
        <v>0.65</v>
      </c>
      <c r="D22" s="39">
        <v>0.7</v>
      </c>
      <c r="E22" s="39">
        <v>0.7</v>
      </c>
      <c r="F22" s="39">
        <v>0.75</v>
      </c>
      <c r="G22" s="39">
        <v>0.75</v>
      </c>
      <c r="H22" s="39">
        <v>0.8</v>
      </c>
      <c r="I22" s="39">
        <v>0.8</v>
      </c>
      <c r="J22" s="39">
        <v>0.9</v>
      </c>
      <c r="K22" s="39">
        <v>0.9</v>
      </c>
      <c r="L22" s="39">
        <v>0.95</v>
      </c>
      <c r="M22" s="39">
        <v>0.95</v>
      </c>
      <c r="N22" s="41">
        <f>AVERAGE(B22:M22)</f>
        <v>0.78749999999999998</v>
      </c>
      <c r="O22" s="39">
        <v>0.8</v>
      </c>
      <c r="P22" s="39">
        <v>0.8</v>
      </c>
      <c r="Q22" s="39">
        <v>0.85</v>
      </c>
      <c r="R22" s="39">
        <v>0.9</v>
      </c>
    </row>
    <row r="23" spans="1:19" ht="13" x14ac:dyDescent="0.15">
      <c r="A23" s="1" t="s">
        <v>115</v>
      </c>
      <c r="B23" s="15">
        <f t="shared" ref="B23:M23" si="4">B19*B20*B21*B22</f>
        <v>10800</v>
      </c>
      <c r="C23" s="15">
        <f t="shared" si="4"/>
        <v>19500</v>
      </c>
      <c r="D23" s="15">
        <f t="shared" si="4"/>
        <v>33600</v>
      </c>
      <c r="E23" s="15">
        <f t="shared" si="4"/>
        <v>42000</v>
      </c>
      <c r="F23" s="15">
        <f t="shared" si="4"/>
        <v>54000</v>
      </c>
      <c r="G23" s="15">
        <f t="shared" si="4"/>
        <v>67500</v>
      </c>
      <c r="H23" s="15">
        <f t="shared" si="4"/>
        <v>72000</v>
      </c>
      <c r="I23" s="15">
        <f t="shared" si="4"/>
        <v>72000</v>
      </c>
      <c r="J23" s="15">
        <f t="shared" si="4"/>
        <v>81000</v>
      </c>
      <c r="K23" s="15">
        <f t="shared" si="4"/>
        <v>81000</v>
      </c>
      <c r="L23" s="15">
        <f t="shared" si="4"/>
        <v>85500</v>
      </c>
      <c r="M23" s="15">
        <f t="shared" si="4"/>
        <v>85500</v>
      </c>
      <c r="N23" s="15">
        <f>SUM(B23:M23)</f>
        <v>704400</v>
      </c>
      <c r="O23" s="15">
        <f t="shared" ref="O23:R23" si="5">O19*O20*O21*O22</f>
        <v>3525120</v>
      </c>
      <c r="P23" s="15">
        <f t="shared" si="5"/>
        <v>11685772.800000001</v>
      </c>
      <c r="Q23" s="15">
        <f t="shared" si="5"/>
        <v>12664456.271999998</v>
      </c>
      <c r="R23" s="15">
        <f t="shared" si="5"/>
        <v>13677612.77376</v>
      </c>
    </row>
    <row r="25" spans="1:19" ht="13" x14ac:dyDescent="0.15">
      <c r="A25" s="1" t="s">
        <v>120</v>
      </c>
      <c r="B25" s="3" t="s">
        <v>82</v>
      </c>
      <c r="C25" s="3" t="s">
        <v>83</v>
      </c>
      <c r="D25" s="3" t="s">
        <v>84</v>
      </c>
      <c r="E25" s="3" t="s">
        <v>85</v>
      </c>
      <c r="F25" s="3" t="s">
        <v>86</v>
      </c>
      <c r="G25" s="3" t="s">
        <v>87</v>
      </c>
      <c r="H25" s="3" t="s">
        <v>88</v>
      </c>
      <c r="I25" s="3" t="s">
        <v>89</v>
      </c>
      <c r="J25" s="3" t="s">
        <v>90</v>
      </c>
      <c r="K25" s="3" t="s">
        <v>91</v>
      </c>
      <c r="L25" s="3" t="s">
        <v>92</v>
      </c>
      <c r="M25" s="3" t="s">
        <v>93</v>
      </c>
      <c r="N25" s="31" t="s">
        <v>6</v>
      </c>
      <c r="O25" s="31" t="s">
        <v>9</v>
      </c>
      <c r="P25" s="31" t="s">
        <v>10</v>
      </c>
      <c r="Q25" s="31" t="s">
        <v>11</v>
      </c>
      <c r="R25" s="31" t="s">
        <v>12</v>
      </c>
    </row>
    <row r="26" spans="1:19" ht="6.75" customHeight="1" x14ac:dyDescent="0.15"/>
    <row r="27" spans="1:19" ht="13" x14ac:dyDescent="0.15">
      <c r="A27" s="2" t="s">
        <v>96</v>
      </c>
      <c r="B27" s="33">
        <v>2</v>
      </c>
      <c r="C27" s="33">
        <v>4</v>
      </c>
      <c r="D27" s="33">
        <v>6</v>
      </c>
      <c r="E27" s="33">
        <v>7</v>
      </c>
      <c r="F27" s="33">
        <v>9</v>
      </c>
      <c r="G27" s="33">
        <v>11</v>
      </c>
      <c r="H27" s="33">
        <v>12</v>
      </c>
      <c r="I27" s="33">
        <v>12</v>
      </c>
      <c r="J27" s="33">
        <v>12</v>
      </c>
      <c r="K27" s="33">
        <v>12</v>
      </c>
      <c r="L27" s="33">
        <v>12</v>
      </c>
      <c r="M27" s="33">
        <v>12</v>
      </c>
      <c r="N27" s="33">
        <v>12</v>
      </c>
      <c r="O27" s="33">
        <f>36+N27</f>
        <v>48</v>
      </c>
      <c r="P27" s="33">
        <f>108+O27</f>
        <v>156</v>
      </c>
      <c r="Q27" s="33">
        <v>156</v>
      </c>
      <c r="R27" s="33">
        <v>156</v>
      </c>
    </row>
    <row r="28" spans="1:19" ht="13" x14ac:dyDescent="0.15">
      <c r="A28" s="2" t="s">
        <v>123</v>
      </c>
      <c r="B28" s="14">
        <v>1500</v>
      </c>
      <c r="C28" s="14">
        <v>1500</v>
      </c>
      <c r="D28" s="14">
        <v>1500</v>
      </c>
      <c r="E28" s="14">
        <v>1500</v>
      </c>
      <c r="F28" s="14">
        <v>1500</v>
      </c>
      <c r="G28" s="14">
        <v>1500</v>
      </c>
      <c r="H28" s="14">
        <v>1500</v>
      </c>
      <c r="I28" s="14">
        <v>1500</v>
      </c>
      <c r="J28" s="14">
        <v>1500</v>
      </c>
      <c r="K28" s="14">
        <v>1500</v>
      </c>
      <c r="L28" s="14">
        <v>1500</v>
      </c>
      <c r="M28" s="14">
        <v>1500</v>
      </c>
      <c r="N28" s="14">
        <f>SUM(A28:M28)</f>
        <v>18000</v>
      </c>
      <c r="O28" s="14">
        <f>SUM(B28:M28)</f>
        <v>18000</v>
      </c>
      <c r="P28" s="14">
        <f>SUM(B28:M28)</f>
        <v>18000</v>
      </c>
      <c r="Q28" s="14">
        <f>SUM(B28:M28)</f>
        <v>18000</v>
      </c>
      <c r="R28" s="14">
        <f>SUM(B28:M28)</f>
        <v>18000</v>
      </c>
      <c r="S28" s="4"/>
    </row>
    <row r="29" spans="1:19" ht="13" x14ac:dyDescent="0.15">
      <c r="A29" s="5" t="s">
        <v>108</v>
      </c>
      <c r="B29" s="46">
        <v>16</v>
      </c>
      <c r="C29" s="46">
        <v>16</v>
      </c>
      <c r="D29" s="46">
        <v>16</v>
      </c>
      <c r="E29" s="46">
        <v>16</v>
      </c>
      <c r="F29" s="46">
        <v>16</v>
      </c>
      <c r="G29" s="46">
        <v>16</v>
      </c>
      <c r="H29" s="46">
        <v>16</v>
      </c>
      <c r="I29" s="46">
        <v>16</v>
      </c>
      <c r="J29" s="46">
        <v>16</v>
      </c>
      <c r="K29" s="46">
        <v>16</v>
      </c>
      <c r="L29" s="46">
        <v>16</v>
      </c>
      <c r="M29" s="46">
        <v>16</v>
      </c>
      <c r="N29" s="46">
        <v>16</v>
      </c>
      <c r="O29" s="46">
        <v>16</v>
      </c>
      <c r="P29" s="46">
        <v>16</v>
      </c>
      <c r="Q29" s="46">
        <v>16</v>
      </c>
      <c r="R29" s="46">
        <v>16</v>
      </c>
    </row>
    <row r="30" spans="1:19" ht="13" x14ac:dyDescent="0.15">
      <c r="A30" s="5" t="s">
        <v>112</v>
      </c>
      <c r="B30" s="39">
        <v>0.6</v>
      </c>
      <c r="C30" s="39">
        <v>0.65</v>
      </c>
      <c r="D30" s="39">
        <v>0.7</v>
      </c>
      <c r="E30" s="39">
        <v>0.7</v>
      </c>
      <c r="F30" s="39">
        <v>0.75</v>
      </c>
      <c r="G30" s="39">
        <v>0.75</v>
      </c>
      <c r="H30" s="39">
        <v>0.8</v>
      </c>
      <c r="I30" s="39">
        <v>0.8</v>
      </c>
      <c r="J30" s="39">
        <v>0.9</v>
      </c>
      <c r="K30" s="39">
        <v>0.9</v>
      </c>
      <c r="L30" s="39">
        <v>0.95</v>
      </c>
      <c r="M30" s="39">
        <v>0.95</v>
      </c>
      <c r="N30" s="41">
        <f>AVERAGE(B30:M30)</f>
        <v>0.78749999999999998</v>
      </c>
      <c r="O30" s="39">
        <v>0.8</v>
      </c>
      <c r="P30" s="39">
        <v>0.8</v>
      </c>
      <c r="Q30" s="39">
        <v>0.85</v>
      </c>
      <c r="R30" s="39">
        <v>0.9</v>
      </c>
    </row>
    <row r="31" spans="1:19" ht="13" x14ac:dyDescent="0.15">
      <c r="A31" s="1" t="s">
        <v>128</v>
      </c>
      <c r="B31" s="15">
        <f t="shared" ref="B31:R31" si="6">B27*B28*B29*B30</f>
        <v>28800</v>
      </c>
      <c r="C31" s="15">
        <f t="shared" si="6"/>
        <v>62400</v>
      </c>
      <c r="D31" s="15">
        <f t="shared" si="6"/>
        <v>100800</v>
      </c>
      <c r="E31" s="15">
        <f t="shared" si="6"/>
        <v>117599.99999999999</v>
      </c>
      <c r="F31" s="15">
        <f t="shared" si="6"/>
        <v>162000</v>
      </c>
      <c r="G31" s="15">
        <f t="shared" si="6"/>
        <v>198000</v>
      </c>
      <c r="H31" s="15">
        <f t="shared" si="6"/>
        <v>230400</v>
      </c>
      <c r="I31" s="15">
        <f t="shared" si="6"/>
        <v>230400</v>
      </c>
      <c r="J31" s="15">
        <f t="shared" si="6"/>
        <v>259200</v>
      </c>
      <c r="K31" s="15">
        <f t="shared" si="6"/>
        <v>259200</v>
      </c>
      <c r="L31" s="15">
        <f t="shared" si="6"/>
        <v>273600</v>
      </c>
      <c r="M31" s="15">
        <f t="shared" si="6"/>
        <v>273600</v>
      </c>
      <c r="N31" s="15">
        <f t="shared" si="6"/>
        <v>2721600</v>
      </c>
      <c r="O31" s="15">
        <f t="shared" si="6"/>
        <v>11059200</v>
      </c>
      <c r="P31" s="15">
        <f t="shared" si="6"/>
        <v>35942400</v>
      </c>
      <c r="Q31" s="15">
        <f t="shared" si="6"/>
        <v>38188800</v>
      </c>
      <c r="R31" s="15">
        <f t="shared" si="6"/>
        <v>40435200</v>
      </c>
    </row>
    <row r="32" spans="1:19" ht="14.25" customHeight="1" x14ac:dyDescent="0.15"/>
    <row r="33" spans="1:18" ht="14.25" customHeight="1" x14ac:dyDescent="0.15">
      <c r="A33" s="1" t="s">
        <v>134</v>
      </c>
      <c r="B33" s="30">
        <f t="shared" ref="B33:R33" si="7">B31+B23</f>
        <v>39600</v>
      </c>
      <c r="C33" s="30">
        <f t="shared" si="7"/>
        <v>81900</v>
      </c>
      <c r="D33" s="30">
        <f t="shared" si="7"/>
        <v>134400</v>
      </c>
      <c r="E33" s="30">
        <f t="shared" si="7"/>
        <v>159600</v>
      </c>
      <c r="F33" s="30">
        <f t="shared" si="7"/>
        <v>216000</v>
      </c>
      <c r="G33" s="30">
        <f t="shared" si="7"/>
        <v>265500</v>
      </c>
      <c r="H33" s="30">
        <f t="shared" si="7"/>
        <v>302400</v>
      </c>
      <c r="I33" s="30">
        <f t="shared" si="7"/>
        <v>302400</v>
      </c>
      <c r="J33" s="30">
        <f t="shared" si="7"/>
        <v>340200</v>
      </c>
      <c r="K33" s="30">
        <f t="shared" si="7"/>
        <v>340200</v>
      </c>
      <c r="L33" s="30">
        <f t="shared" si="7"/>
        <v>359100</v>
      </c>
      <c r="M33" s="30">
        <f t="shared" si="7"/>
        <v>359100</v>
      </c>
      <c r="N33" s="30">
        <f t="shared" si="7"/>
        <v>3426000</v>
      </c>
      <c r="O33" s="30">
        <f t="shared" si="7"/>
        <v>14584320</v>
      </c>
      <c r="P33" s="30">
        <f t="shared" si="7"/>
        <v>47628172.799999997</v>
      </c>
      <c r="Q33" s="30">
        <f t="shared" si="7"/>
        <v>50853256.272</v>
      </c>
      <c r="R33" s="30">
        <f t="shared" si="7"/>
        <v>54112812.773759998</v>
      </c>
    </row>
    <row r="34" spans="1:18" ht="6.75" customHeight="1" x14ac:dyDescent="0.15"/>
    <row r="36" spans="1:18" ht="13" x14ac:dyDescent="0.15">
      <c r="A36" s="1"/>
    </row>
    <row r="37" spans="1:18" ht="13" x14ac:dyDescent="0.15">
      <c r="A37" s="2"/>
      <c r="B37" s="7"/>
      <c r="C37" s="2"/>
    </row>
    <row r="38" spans="1:18" ht="13" x14ac:dyDescent="0.15">
      <c r="A38" s="2"/>
      <c r="B38" s="7"/>
    </row>
    <row r="39" spans="1:18" ht="13" x14ac:dyDescent="0.15">
      <c r="A39" s="2"/>
      <c r="B39" s="4"/>
    </row>
    <row r="40" spans="1:18" ht="13" x14ac:dyDescent="0.15">
      <c r="A40" s="2"/>
      <c r="B40" s="4"/>
    </row>
    <row r="41" spans="1:18" ht="13" x14ac:dyDescent="0.15">
      <c r="A41" s="2"/>
      <c r="B41" s="4"/>
    </row>
    <row r="42" spans="1:18" ht="13" x14ac:dyDescent="0.15">
      <c r="A42" s="2"/>
      <c r="B42" s="4"/>
    </row>
    <row r="43" spans="1:18" ht="13" x14ac:dyDescent="0.15">
      <c r="A43" s="2"/>
      <c r="B43" s="9"/>
    </row>
    <row r="44" spans="1:18" ht="13" x14ac:dyDescent="0.15">
      <c r="A44" s="1"/>
    </row>
    <row r="45" spans="1:18" ht="13" x14ac:dyDescent="0.15">
      <c r="A4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/>
  </sheetViews>
  <sheetFormatPr baseColWidth="10" defaultColWidth="14.5" defaultRowHeight="15.75" customHeight="1" x14ac:dyDescent="0.15"/>
  <cols>
    <col min="1" max="1" width="46.5" customWidth="1"/>
  </cols>
  <sheetData>
    <row r="2" spans="1:6" ht="13" x14ac:dyDescent="0.15">
      <c r="A2" s="1" t="s">
        <v>75</v>
      </c>
      <c r="B2" s="1" t="s">
        <v>6</v>
      </c>
      <c r="C2" s="1" t="s">
        <v>9</v>
      </c>
      <c r="D2" s="1" t="s">
        <v>10</v>
      </c>
      <c r="E2" s="1" t="s">
        <v>11</v>
      </c>
      <c r="F2" s="1" t="s">
        <v>12</v>
      </c>
    </row>
    <row r="3" spans="1:6" ht="8.25" customHeight="1" x14ac:dyDescent="0.15">
      <c r="A3" s="1"/>
    </row>
    <row r="4" spans="1:6" ht="13" x14ac:dyDescent="0.15">
      <c r="A4" s="2" t="s">
        <v>76</v>
      </c>
      <c r="B4" s="7">
        <f>'Revenue Forecast'!N33</f>
        <v>3426000</v>
      </c>
      <c r="C4" s="7">
        <f>'Revenue Forecast'!O33</f>
        <v>14584320</v>
      </c>
      <c r="D4" s="7">
        <f>'Revenue Forecast'!P33</f>
        <v>47628172.799999997</v>
      </c>
      <c r="E4" s="7">
        <f>'Revenue Forecast'!Q33</f>
        <v>50853256.272</v>
      </c>
      <c r="F4" s="7">
        <f>'Revenue Forecast'!R33</f>
        <v>54112812.773759998</v>
      </c>
    </row>
    <row r="5" spans="1:6" ht="13" x14ac:dyDescent="0.15">
      <c r="A5" s="5" t="s">
        <v>78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  <row r="6" spans="1:6" ht="13" x14ac:dyDescent="0.15">
      <c r="A6" s="1" t="s">
        <v>79</v>
      </c>
      <c r="B6" s="30">
        <f t="shared" ref="B6:F6" si="0">SUM(B4:B5)</f>
        <v>3426000</v>
      </c>
      <c r="C6" s="30">
        <f t="shared" si="0"/>
        <v>14584320</v>
      </c>
      <c r="D6" s="30">
        <f t="shared" si="0"/>
        <v>47628172.799999997</v>
      </c>
      <c r="E6" s="30">
        <f t="shared" si="0"/>
        <v>50853256.272</v>
      </c>
      <c r="F6" s="30">
        <f t="shared" si="0"/>
        <v>54112812.773759998</v>
      </c>
    </row>
    <row r="8" spans="1:6" ht="13" x14ac:dyDescent="0.15">
      <c r="A8" s="1" t="s">
        <v>94</v>
      </c>
    </row>
    <row r="9" spans="1:6" ht="13" x14ac:dyDescent="0.15">
      <c r="A9" s="2" t="s">
        <v>95</v>
      </c>
      <c r="B9" s="4">
        <f>B6*B10</f>
        <v>1366974</v>
      </c>
      <c r="C9" s="4">
        <f t="shared" ref="C9:F9" si="1">C4*C10</f>
        <v>5935526.5536000002</v>
      </c>
      <c r="D9" s="4">
        <f t="shared" si="1"/>
        <v>19771388.041466881</v>
      </c>
      <c r="E9" s="4">
        <f t="shared" si="1"/>
        <v>21532387.070376735</v>
      </c>
      <c r="F9" s="4">
        <f t="shared" si="1"/>
        <v>23370806.076936275</v>
      </c>
    </row>
    <row r="10" spans="1:6" ht="13" x14ac:dyDescent="0.15">
      <c r="A10" s="2" t="s">
        <v>97</v>
      </c>
      <c r="B10" s="34">
        <f>0.399</f>
        <v>0.39900000000000002</v>
      </c>
      <c r="C10" s="34">
        <f t="shared" ref="C10:F10" si="2">B10*1.02</f>
        <v>0.40698000000000001</v>
      </c>
      <c r="D10" s="34">
        <f t="shared" si="2"/>
        <v>0.41511960000000003</v>
      </c>
      <c r="E10" s="34">
        <f t="shared" si="2"/>
        <v>0.42342199200000002</v>
      </c>
      <c r="F10" s="34">
        <f t="shared" si="2"/>
        <v>0.43189043184000003</v>
      </c>
    </row>
    <row r="11" spans="1:6" ht="13" x14ac:dyDescent="0.15">
      <c r="A11" s="1"/>
    </row>
    <row r="12" spans="1:6" ht="13" x14ac:dyDescent="0.15">
      <c r="A12" s="1" t="s">
        <v>100</v>
      </c>
      <c r="B12" s="7">
        <f t="shared" ref="B12:F12" si="3">B4-B9</f>
        <v>2059026</v>
      </c>
      <c r="C12" s="7">
        <f t="shared" si="3"/>
        <v>8648793.4463999998</v>
      </c>
      <c r="D12" s="7">
        <f t="shared" si="3"/>
        <v>27856784.758533116</v>
      </c>
      <c r="E12" s="7">
        <f t="shared" si="3"/>
        <v>29320869.201623265</v>
      </c>
      <c r="F12" s="7">
        <f t="shared" si="3"/>
        <v>30742006.696823724</v>
      </c>
    </row>
    <row r="13" spans="1:6" ht="13" x14ac:dyDescent="0.15">
      <c r="A13" s="2" t="s">
        <v>97</v>
      </c>
      <c r="B13" s="35">
        <f t="shared" ref="B13:F13" si="4">B12/B4</f>
        <v>0.60099999999999998</v>
      </c>
      <c r="C13" s="35">
        <f t="shared" si="4"/>
        <v>0.59301999999999999</v>
      </c>
      <c r="D13" s="35">
        <f t="shared" si="4"/>
        <v>0.58488039999999997</v>
      </c>
      <c r="E13" s="35">
        <f t="shared" si="4"/>
        <v>0.57657800799999992</v>
      </c>
      <c r="F13" s="35">
        <f t="shared" si="4"/>
        <v>0.56810956816000002</v>
      </c>
    </row>
    <row r="14" spans="1:6" ht="13" x14ac:dyDescent="0.15">
      <c r="A14" s="1"/>
    </row>
    <row r="15" spans="1:6" ht="13" x14ac:dyDescent="0.15">
      <c r="A15" s="1" t="s">
        <v>103</v>
      </c>
    </row>
    <row r="16" spans="1:6" ht="13" x14ac:dyDescent="0.15">
      <c r="A16" s="2" t="s">
        <v>104</v>
      </c>
      <c r="B16" s="7">
        <f t="shared" ref="B16:F16" si="5">B6*0.15</f>
        <v>513900</v>
      </c>
      <c r="C16" s="7">
        <f t="shared" si="5"/>
        <v>2187648</v>
      </c>
      <c r="D16" s="7">
        <f t="shared" si="5"/>
        <v>7144225.919999999</v>
      </c>
      <c r="E16" s="7">
        <f t="shared" si="5"/>
        <v>7627988.4408</v>
      </c>
      <c r="F16" s="7">
        <f t="shared" si="5"/>
        <v>8116921.9160639998</v>
      </c>
    </row>
    <row r="17" spans="1:6" ht="13" x14ac:dyDescent="0.15">
      <c r="A17" s="2" t="s">
        <v>106</v>
      </c>
      <c r="B17" s="7">
        <f>B4*0.05</f>
        <v>171300</v>
      </c>
      <c r="C17" s="7">
        <f>C6*0.05</f>
        <v>729216</v>
      </c>
      <c r="D17" s="7">
        <f t="shared" ref="D17:F17" si="6">D6*0.025</f>
        <v>1190704.32</v>
      </c>
      <c r="E17" s="7">
        <f t="shared" si="6"/>
        <v>1271331.4068</v>
      </c>
      <c r="F17" s="7">
        <f t="shared" si="6"/>
        <v>1352820.319344</v>
      </c>
    </row>
    <row r="18" spans="1:6" ht="13" x14ac:dyDescent="0.15">
      <c r="A18" s="1" t="s">
        <v>110</v>
      </c>
      <c r="B18" s="30">
        <f t="shared" ref="B18:F18" si="7">SUM(B16:B17)</f>
        <v>685200</v>
      </c>
      <c r="C18" s="30">
        <f t="shared" si="7"/>
        <v>2916864</v>
      </c>
      <c r="D18" s="30">
        <f t="shared" si="7"/>
        <v>8334930.2399999993</v>
      </c>
      <c r="E18" s="30">
        <f t="shared" si="7"/>
        <v>8899319.8476</v>
      </c>
      <c r="F18" s="30">
        <f t="shared" si="7"/>
        <v>9469742.2354080006</v>
      </c>
    </row>
    <row r="19" spans="1:6" ht="13" x14ac:dyDescent="0.15">
      <c r="A19" s="2" t="s">
        <v>97</v>
      </c>
      <c r="B19" s="38">
        <f t="shared" ref="B19:F19" si="8">B18/B6</f>
        <v>0.2</v>
      </c>
      <c r="C19" s="38">
        <f t="shared" si="8"/>
        <v>0.2</v>
      </c>
      <c r="D19" s="38">
        <f t="shared" si="8"/>
        <v>0.17499999999999999</v>
      </c>
      <c r="E19" s="38">
        <f t="shared" si="8"/>
        <v>0.17499999999999999</v>
      </c>
      <c r="F19" s="38">
        <f t="shared" si="8"/>
        <v>0.17500000000000002</v>
      </c>
    </row>
    <row r="20" spans="1:6" ht="13" x14ac:dyDescent="0.15">
      <c r="A20" s="1"/>
    </row>
    <row r="21" spans="1:6" ht="13" x14ac:dyDescent="0.15">
      <c r="A21" s="1" t="s">
        <v>111</v>
      </c>
      <c r="B21" s="7">
        <f t="shared" ref="B21:F21" si="9">B6-(B9+B18)</f>
        <v>1373826</v>
      </c>
      <c r="C21" s="7">
        <f t="shared" si="9"/>
        <v>5731929.4463999998</v>
      </c>
      <c r="D21" s="7">
        <f t="shared" si="9"/>
        <v>19521854.518533118</v>
      </c>
      <c r="E21" s="7">
        <f t="shared" si="9"/>
        <v>20421549.354023263</v>
      </c>
      <c r="F21" s="7">
        <f t="shared" si="9"/>
        <v>21272264.461415723</v>
      </c>
    </row>
    <row r="22" spans="1:6" ht="13" x14ac:dyDescent="0.15">
      <c r="A22" s="40" t="s">
        <v>113</v>
      </c>
      <c r="B22" s="42">
        <f t="shared" ref="B22:F22" si="10">B21/B6</f>
        <v>0.40100000000000002</v>
      </c>
      <c r="C22" s="42">
        <f t="shared" si="10"/>
        <v>0.39301999999999998</v>
      </c>
      <c r="D22" s="42">
        <f t="shared" si="10"/>
        <v>0.40988039999999998</v>
      </c>
      <c r="E22" s="42">
        <f t="shared" si="10"/>
        <v>0.40157800799999993</v>
      </c>
      <c r="F22" s="42">
        <f t="shared" si="10"/>
        <v>0.39310956815999998</v>
      </c>
    </row>
    <row r="23" spans="1:6" ht="13" x14ac:dyDescent="0.15">
      <c r="A23" s="1"/>
    </row>
    <row r="24" spans="1:6" ht="13" x14ac:dyDescent="0.15">
      <c r="A24" s="1" t="s">
        <v>116</v>
      </c>
    </row>
    <row r="25" spans="1:6" ht="13" x14ac:dyDescent="0.15">
      <c r="A25" s="2" t="s">
        <v>117</v>
      </c>
      <c r="B25" s="7">
        <f>('Use of Funds'!$B$7/7)</f>
        <v>308571.42857142858</v>
      </c>
      <c r="C25" s="7">
        <f>('Use of Funds'!$B$7/7)</f>
        <v>308571.42857142858</v>
      </c>
      <c r="D25" s="7">
        <f>('Use of Funds'!$B$7/7)</f>
        <v>308571.42857142858</v>
      </c>
      <c r="E25" s="7">
        <f>('Use of Funds'!$B$7/7)</f>
        <v>308571.42857142858</v>
      </c>
      <c r="F25" s="7">
        <f>('Use of Funds'!$B$7/7)</f>
        <v>308571.42857142858</v>
      </c>
    </row>
    <row r="26" spans="1:6" ht="13" x14ac:dyDescent="0.15">
      <c r="A26" s="5" t="s">
        <v>122</v>
      </c>
      <c r="B26" s="8"/>
      <c r="C26" s="7">
        <f>'Use of Funds'!B15/7</f>
        <v>884571.42857142852</v>
      </c>
      <c r="D26" s="7">
        <f>'Use of Funds'!B15/7</f>
        <v>884571.42857142852</v>
      </c>
      <c r="E26" s="7">
        <f>'Use of Funds'!$B$15/7</f>
        <v>884571.42857142852</v>
      </c>
      <c r="F26" s="7">
        <f>'Use of Funds'!$B$15/7</f>
        <v>884571.42857142852</v>
      </c>
    </row>
    <row r="27" spans="1:6" ht="13" x14ac:dyDescent="0.15">
      <c r="A27" s="5" t="s">
        <v>124</v>
      </c>
      <c r="B27" s="8"/>
      <c r="C27" s="8"/>
      <c r="D27" s="4">
        <f>'Use of Funds'!B23/7</f>
        <v>4937142.8571428573</v>
      </c>
      <c r="E27" s="4">
        <f>'Use of Funds'!$B$23/7</f>
        <v>4937142.8571428573</v>
      </c>
      <c r="F27" s="4">
        <f>'Use of Funds'!$B$23/7</f>
        <v>4937142.8571428573</v>
      </c>
    </row>
    <row r="28" spans="1:6" ht="13" x14ac:dyDescent="0.15">
      <c r="A28" s="1" t="s">
        <v>125</v>
      </c>
      <c r="B28" s="30">
        <f t="shared" ref="B28:C28" si="11">SUM(B25:B26)</f>
        <v>308571.42857142858</v>
      </c>
      <c r="C28" s="30">
        <f t="shared" si="11"/>
        <v>1193142.857142857</v>
      </c>
      <c r="D28" s="30">
        <f t="shared" ref="D28:F28" si="12">SUM(D25:D27)</f>
        <v>6130285.7142857146</v>
      </c>
      <c r="E28" s="30">
        <f t="shared" si="12"/>
        <v>6130285.7142857146</v>
      </c>
      <c r="F28" s="30">
        <f t="shared" si="12"/>
        <v>6130285.7142857146</v>
      </c>
    </row>
    <row r="29" spans="1:6" ht="13" x14ac:dyDescent="0.15">
      <c r="A29" s="1"/>
      <c r="B29" s="8"/>
      <c r="C29" s="8"/>
      <c r="D29" s="8"/>
      <c r="E29" s="8"/>
      <c r="F29" s="8"/>
    </row>
    <row r="30" spans="1:6" ht="13" x14ac:dyDescent="0.15">
      <c r="A30" s="1" t="s">
        <v>127</v>
      </c>
      <c r="B30" s="30">
        <f>B21-B25</f>
        <v>1065254.5714285714</v>
      </c>
      <c r="C30" s="30">
        <f t="shared" ref="C30:F30" si="13">C21-C28</f>
        <v>4538786.5892571425</v>
      </c>
      <c r="D30" s="30">
        <f t="shared" si="13"/>
        <v>13391568.804247404</v>
      </c>
      <c r="E30" s="30">
        <f t="shared" si="13"/>
        <v>14291263.639737548</v>
      </c>
      <c r="F30" s="30">
        <f t="shared" si="13"/>
        <v>15141978.747130008</v>
      </c>
    </row>
    <row r="31" spans="1:6" ht="13" x14ac:dyDescent="0.15">
      <c r="A31" s="1"/>
    </row>
    <row r="32" spans="1:6" ht="13" x14ac:dyDescent="0.15">
      <c r="A32" s="1" t="s">
        <v>132</v>
      </c>
      <c r="B32" s="4">
        <f t="shared" ref="B32:F32" si="14">B30*0.4</f>
        <v>426101.82857142854</v>
      </c>
      <c r="C32" s="4">
        <f t="shared" si="14"/>
        <v>1815514.635702857</v>
      </c>
      <c r="D32" s="4">
        <f t="shared" si="14"/>
        <v>5356627.521698962</v>
      </c>
      <c r="E32" s="4">
        <f t="shared" si="14"/>
        <v>5716505.4558950197</v>
      </c>
      <c r="F32" s="4">
        <f t="shared" si="14"/>
        <v>6056791.4988520034</v>
      </c>
    </row>
    <row r="34" spans="1:6" ht="13" x14ac:dyDescent="0.15">
      <c r="A34" s="2" t="s">
        <v>133</v>
      </c>
      <c r="B34" s="7">
        <f t="shared" ref="B34:F34" si="15">B30-B32</f>
        <v>639152.74285714282</v>
      </c>
      <c r="C34" s="7">
        <f t="shared" si="15"/>
        <v>2723271.9535542857</v>
      </c>
      <c r="D34" s="7">
        <f t="shared" si="15"/>
        <v>8034941.2825484416</v>
      </c>
      <c r="E34" s="7">
        <f t="shared" si="15"/>
        <v>8574758.1838425286</v>
      </c>
      <c r="F34" s="7">
        <f t="shared" si="15"/>
        <v>9085187.248278005</v>
      </c>
    </row>
    <row r="35" spans="1:6" ht="13" x14ac:dyDescent="0.15">
      <c r="A35" s="48" t="s">
        <v>136</v>
      </c>
      <c r="B35" s="49">
        <f t="shared" ref="B35:F35" si="16">B34/B6</f>
        <v>0.18655946960220163</v>
      </c>
      <c r="C35" s="49">
        <f t="shared" si="16"/>
        <v>0.18672601489505755</v>
      </c>
      <c r="D35" s="49">
        <f t="shared" si="16"/>
        <v>0.16870143887922659</v>
      </c>
      <c r="E35" s="49">
        <f t="shared" si="16"/>
        <v>0.16861768178577433</v>
      </c>
      <c r="F35" s="49">
        <f t="shared" si="16"/>
        <v>0.16789345780752926</v>
      </c>
    </row>
    <row r="36" spans="1:6" ht="13" x14ac:dyDescent="0.15">
      <c r="B36" s="38"/>
    </row>
    <row r="37" spans="1:6" ht="13" x14ac:dyDescent="0.15">
      <c r="A3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baseColWidth="10" defaultColWidth="14.5" defaultRowHeight="15.75" customHeight="1" x14ac:dyDescent="0.15"/>
  <cols>
    <col min="1" max="1" width="35.5" customWidth="1"/>
  </cols>
  <sheetData>
    <row r="1" spans="1:6" ht="13" x14ac:dyDescent="0.15">
      <c r="A1" s="2" t="s">
        <v>114</v>
      </c>
    </row>
    <row r="2" spans="1:6" ht="13" x14ac:dyDescent="0.15">
      <c r="B2" s="43" t="s">
        <v>6</v>
      </c>
      <c r="C2" s="43" t="s">
        <v>9</v>
      </c>
      <c r="D2" s="43" t="s">
        <v>10</v>
      </c>
      <c r="E2" s="43" t="s">
        <v>11</v>
      </c>
      <c r="F2" s="43" t="s">
        <v>12</v>
      </c>
    </row>
    <row r="3" spans="1:6" ht="13" x14ac:dyDescent="0.15">
      <c r="A3" s="44" t="s">
        <v>118</v>
      </c>
    </row>
    <row r="4" spans="1:6" ht="7.5" customHeight="1" x14ac:dyDescent="0.15">
      <c r="A4" s="45"/>
    </row>
    <row r="5" spans="1:6" ht="13" x14ac:dyDescent="0.15">
      <c r="A5" s="44" t="s">
        <v>119</v>
      </c>
    </row>
    <row r="6" spans="1:6" ht="13" x14ac:dyDescent="0.15">
      <c r="A6" s="45" t="s">
        <v>121</v>
      </c>
      <c r="B6" s="6">
        <f>'Statement of Cash Flows'!C29</f>
        <v>3390385.9041095893</v>
      </c>
      <c r="C6" s="6">
        <f>'Statement of Cash Flows'!D29</f>
        <v>10883064.717335422</v>
      </c>
      <c r="D6" s="6">
        <f>'Statement of Cash Flows'!E29</f>
        <v>28475350.86843418</v>
      </c>
      <c r="E6" s="6">
        <f>'Statement of Cash Flows'!F29</f>
        <v>43547478.166039705</v>
      </c>
      <c r="F6" s="6">
        <f>'Statement of Cash Flows'!G29</f>
        <v>58896927.735664278</v>
      </c>
    </row>
    <row r="7" spans="1:6" ht="13" x14ac:dyDescent="0.15">
      <c r="A7" s="45" t="s">
        <v>126</v>
      </c>
      <c r="B7" s="7">
        <f t="shared" ref="B7:F7" si="0">B46</f>
        <v>93863.013698630122</v>
      </c>
      <c r="C7" s="7">
        <f t="shared" si="0"/>
        <v>399570.41095890407</v>
      </c>
      <c r="D7" s="7">
        <f t="shared" si="0"/>
        <v>1304881.4465753424</v>
      </c>
      <c r="E7" s="7">
        <f t="shared" si="0"/>
        <v>1393239.8978630137</v>
      </c>
      <c r="F7" s="7">
        <f t="shared" si="0"/>
        <v>1482542.815719452</v>
      </c>
    </row>
    <row r="8" spans="1:6" ht="13" x14ac:dyDescent="0.15">
      <c r="A8" s="45" t="s">
        <v>129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 ht="13" x14ac:dyDescent="0.15">
      <c r="A9" s="45" t="s">
        <v>130</v>
      </c>
      <c r="B9" s="4">
        <v>0</v>
      </c>
      <c r="C9" s="4">
        <v>0</v>
      </c>
      <c r="D9" s="4">
        <v>0</v>
      </c>
      <c r="E9" s="4">
        <v>0</v>
      </c>
      <c r="F9" s="4">
        <v>0</v>
      </c>
    </row>
    <row r="10" spans="1:6" ht="13" x14ac:dyDescent="0.15">
      <c r="A10" s="44" t="s">
        <v>131</v>
      </c>
      <c r="B10" s="47">
        <f t="shared" ref="B10:F10" si="1">SUM(B6:B9)</f>
        <v>3484248.9178082193</v>
      </c>
      <c r="C10" s="47">
        <f t="shared" si="1"/>
        <v>11282635.128294326</v>
      </c>
      <c r="D10" s="47">
        <f t="shared" si="1"/>
        <v>29780232.315009523</v>
      </c>
      <c r="E10" s="47">
        <f t="shared" si="1"/>
        <v>44940718.063902721</v>
      </c>
      <c r="F10" s="47">
        <f t="shared" si="1"/>
        <v>60379470.551383734</v>
      </c>
    </row>
    <row r="11" spans="1:6" ht="8.25" customHeight="1" x14ac:dyDescent="0.15">
      <c r="A11" s="45"/>
    </row>
    <row r="12" spans="1:6" ht="13" x14ac:dyDescent="0.15">
      <c r="A12" s="44" t="s">
        <v>135</v>
      </c>
    </row>
    <row r="13" spans="1:6" ht="13" x14ac:dyDescent="0.15">
      <c r="A13" s="45" t="s">
        <v>137</v>
      </c>
      <c r="B13" s="7">
        <f>'Use of Funds'!B7</f>
        <v>2160000</v>
      </c>
      <c r="C13" s="7">
        <f>'Use of Funds'!B15+B13</f>
        <v>8352000</v>
      </c>
      <c r="D13" s="4">
        <f>C13+'Use of Funds'!B23</f>
        <v>42912000</v>
      </c>
      <c r="E13" s="7">
        <f>D13+'Statement of Cash Flows'!F17</f>
        <v>42912000</v>
      </c>
      <c r="F13" s="7">
        <f>E13+'Statement of Cash Flows'!G17</f>
        <v>43128000</v>
      </c>
    </row>
    <row r="14" spans="1:6" ht="13" x14ac:dyDescent="0.15">
      <c r="A14" s="50" t="s">
        <v>138</v>
      </c>
      <c r="B14" s="7">
        <f>'P&amp;L'!B25</f>
        <v>308571.42857142858</v>
      </c>
      <c r="C14" s="7">
        <f>B14+'P&amp;L'!C28</f>
        <v>1501714.2857142857</v>
      </c>
      <c r="D14" s="7">
        <f>C14+'P&amp;L'!D28</f>
        <v>7632000</v>
      </c>
      <c r="E14" s="7">
        <f>D14+'P&amp;L'!E28</f>
        <v>13762285.714285715</v>
      </c>
      <c r="F14" s="7">
        <f>E14+'P&amp;L'!F28</f>
        <v>19892571.428571429</v>
      </c>
    </row>
    <row r="15" spans="1:6" ht="13" x14ac:dyDescent="0.15">
      <c r="A15" s="44" t="s">
        <v>146</v>
      </c>
      <c r="B15" s="30">
        <f t="shared" ref="B15:F15" si="2">B13-B14</f>
        <v>1851428.5714285714</v>
      </c>
      <c r="C15" s="30">
        <f t="shared" si="2"/>
        <v>6850285.7142857146</v>
      </c>
      <c r="D15" s="30">
        <f t="shared" si="2"/>
        <v>35280000</v>
      </c>
      <c r="E15" s="30">
        <f t="shared" si="2"/>
        <v>29149714.285714284</v>
      </c>
      <c r="F15" s="30">
        <f t="shared" si="2"/>
        <v>23235428.571428571</v>
      </c>
    </row>
    <row r="16" spans="1:6" ht="13" x14ac:dyDescent="0.15">
      <c r="A16" s="45"/>
    </row>
    <row r="17" spans="1:6" ht="13" x14ac:dyDescent="0.15">
      <c r="A17" s="61" t="s">
        <v>151</v>
      </c>
      <c r="B17" s="64">
        <f t="shared" ref="B17:F17" si="3">B10+B15</f>
        <v>5335677.4892367907</v>
      </c>
      <c r="C17" s="64">
        <f t="shared" si="3"/>
        <v>18132920.842580043</v>
      </c>
      <c r="D17" s="64">
        <f t="shared" si="3"/>
        <v>65060232.315009519</v>
      </c>
      <c r="E17" s="64">
        <f t="shared" si="3"/>
        <v>74090432.349617004</v>
      </c>
      <c r="F17" s="64">
        <f t="shared" si="3"/>
        <v>83614899.122812301</v>
      </c>
    </row>
    <row r="19" spans="1:6" ht="15" x14ac:dyDescent="0.2">
      <c r="A19" s="68" t="s">
        <v>160</v>
      </c>
    </row>
    <row r="20" spans="1:6" ht="6.75" customHeight="1" x14ac:dyDescent="0.2">
      <c r="A20" s="68"/>
    </row>
    <row r="21" spans="1:6" ht="15" x14ac:dyDescent="0.2">
      <c r="A21" s="68" t="s">
        <v>164</v>
      </c>
    </row>
    <row r="22" spans="1:6" ht="13" x14ac:dyDescent="0.15">
      <c r="A22" s="70" t="s">
        <v>165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ht="13" x14ac:dyDescent="0.15">
      <c r="A23" s="70" t="s">
        <v>170</v>
      </c>
      <c r="B23" s="7">
        <f t="shared" ref="B23:F23" si="4">B47</f>
        <v>84335.917808219179</v>
      </c>
      <c r="C23" s="7">
        <f t="shared" si="4"/>
        <v>363796.87206575344</v>
      </c>
      <c r="D23" s="7">
        <f t="shared" si="4"/>
        <v>1155054.1759506937</v>
      </c>
      <c r="E23" s="7">
        <f t="shared" si="4"/>
        <v>1250618.092519592</v>
      </c>
      <c r="F23" s="7">
        <f t="shared" si="4"/>
        <v>1349611.5744799017</v>
      </c>
    </row>
    <row r="24" spans="1:6" ht="13" x14ac:dyDescent="0.15">
      <c r="A24" s="70" t="s">
        <v>171</v>
      </c>
      <c r="B24" s="7">
        <f>'P&amp;L'!B32</f>
        <v>426101.82857142854</v>
      </c>
      <c r="C24" s="7">
        <f>'P&amp;L'!C32</f>
        <v>1815514.635702857</v>
      </c>
      <c r="D24" s="7">
        <f>'P&amp;L'!D32</f>
        <v>5356627.521698962</v>
      </c>
      <c r="E24" s="7">
        <f>'P&amp;L'!E32</f>
        <v>5716505.4558950197</v>
      </c>
      <c r="F24" s="7">
        <f>'P&amp;L'!F32</f>
        <v>6056791.4988520034</v>
      </c>
    </row>
    <row r="25" spans="1:6" ht="15" x14ac:dyDescent="0.2">
      <c r="A25" s="68" t="s">
        <v>176</v>
      </c>
      <c r="B25" s="30">
        <f t="shared" ref="B25:F25" si="5">B23+B24+B26</f>
        <v>510437.74637964775</v>
      </c>
      <c r="C25" s="30">
        <f t="shared" si="5"/>
        <v>2179311.5077686105</v>
      </c>
      <c r="D25" s="30">
        <f t="shared" si="5"/>
        <v>6511681.6976496559</v>
      </c>
      <c r="E25" s="30">
        <f t="shared" si="5"/>
        <v>6967123.5484146122</v>
      </c>
      <c r="F25" s="30">
        <f t="shared" si="5"/>
        <v>7406403.0733319055</v>
      </c>
    </row>
    <row r="26" spans="1:6" ht="13" x14ac:dyDescent="0.15">
      <c r="B26" s="47"/>
      <c r="C26" s="8"/>
      <c r="D26" s="8"/>
      <c r="E26" s="8"/>
      <c r="F26" s="8"/>
    </row>
    <row r="27" spans="1:6" ht="13" x14ac:dyDescent="0.15">
      <c r="A27" s="79" t="s">
        <v>180</v>
      </c>
      <c r="B27" s="80">
        <v>0</v>
      </c>
      <c r="C27" s="80">
        <v>0</v>
      </c>
      <c r="D27" s="80">
        <v>0</v>
      </c>
      <c r="E27" s="80">
        <v>0</v>
      </c>
      <c r="F27" s="80">
        <v>0</v>
      </c>
    </row>
    <row r="28" spans="1:6" ht="15" x14ac:dyDescent="0.2">
      <c r="A28" s="81"/>
    </row>
    <row r="29" spans="1:6" ht="15" x14ac:dyDescent="0.2">
      <c r="A29" s="68" t="s">
        <v>184</v>
      </c>
    </row>
    <row r="30" spans="1:6" ht="15" x14ac:dyDescent="0.2">
      <c r="A30" s="82" t="s">
        <v>185</v>
      </c>
      <c r="B30" s="6">
        <f>'Statement of Cash Flows'!C21</f>
        <v>4186087</v>
      </c>
      <c r="C30" s="6">
        <f>B30+'Statement of Cash Flows'!D21</f>
        <v>12591184.6384</v>
      </c>
      <c r="D30" s="6">
        <f>C30+'Statement of Cash Flows'!E21</f>
        <v>47151184.638400003</v>
      </c>
      <c r="E30" s="6">
        <f t="shared" ref="E30:F30" si="6">D30</f>
        <v>47151184.638400003</v>
      </c>
      <c r="F30" s="6">
        <f t="shared" si="6"/>
        <v>47151184.638400003</v>
      </c>
    </row>
    <row r="31" spans="1:6" ht="15" x14ac:dyDescent="0.2">
      <c r="A31" s="82" t="s">
        <v>194</v>
      </c>
      <c r="B31" s="7">
        <f>'P&amp;L'!B34</f>
        <v>639152.74285714282</v>
      </c>
      <c r="C31" s="7">
        <f>'P&amp;L'!C34+B31</f>
        <v>3362424.6964114285</v>
      </c>
      <c r="D31" s="7">
        <f>'P&amp;L'!D34+C31</f>
        <v>11397365.97895987</v>
      </c>
      <c r="E31" s="7">
        <f>'P&amp;L'!E34+D31</f>
        <v>19972124.162802398</v>
      </c>
      <c r="F31" s="7">
        <f>'P&amp;L'!F34+E31</f>
        <v>29057311.411080405</v>
      </c>
    </row>
    <row r="32" spans="1:6" ht="15" x14ac:dyDescent="0.2">
      <c r="A32" s="68" t="s">
        <v>201</v>
      </c>
      <c r="B32" s="47">
        <f t="shared" ref="B32:F32" si="7">B30+B31</f>
        <v>4825239.7428571433</v>
      </c>
      <c r="C32" s="47">
        <f t="shared" si="7"/>
        <v>15953609.334811429</v>
      </c>
      <c r="D32" s="47">
        <f t="shared" si="7"/>
        <v>58548550.617359877</v>
      </c>
      <c r="E32" s="47">
        <f t="shared" si="7"/>
        <v>67123308.801202402</v>
      </c>
      <c r="F32" s="47">
        <f t="shared" si="7"/>
        <v>76208496.049480408</v>
      </c>
    </row>
    <row r="33" spans="1:6" ht="15" x14ac:dyDescent="0.2">
      <c r="A33" s="82"/>
    </row>
    <row r="34" spans="1:6" ht="15" x14ac:dyDescent="0.2">
      <c r="A34" s="88" t="s">
        <v>203</v>
      </c>
      <c r="B34" s="94">
        <f t="shared" ref="B34:F34" si="8">B25+B32</f>
        <v>5335677.4892367907</v>
      </c>
      <c r="C34" s="94">
        <f t="shared" si="8"/>
        <v>18132920.842580039</v>
      </c>
      <c r="D34" s="94">
        <f t="shared" si="8"/>
        <v>65060232.315009534</v>
      </c>
      <c r="E34" s="94">
        <f t="shared" si="8"/>
        <v>74090432.349617019</v>
      </c>
      <c r="F34" s="94">
        <f t="shared" si="8"/>
        <v>83614899.122812316</v>
      </c>
    </row>
    <row r="36" spans="1:6" ht="15" x14ac:dyDescent="0.2">
      <c r="A36" s="97" t="s">
        <v>208</v>
      </c>
      <c r="B36" s="99">
        <f t="shared" ref="B36:F36" si="9">B17-B34</f>
        <v>0</v>
      </c>
      <c r="C36" s="99">
        <f t="shared" si="9"/>
        <v>0</v>
      </c>
      <c r="D36" s="99">
        <f t="shared" si="9"/>
        <v>0</v>
      </c>
      <c r="E36" s="99">
        <f t="shared" si="9"/>
        <v>0</v>
      </c>
      <c r="F36" s="99">
        <f t="shared" si="9"/>
        <v>0</v>
      </c>
    </row>
    <row r="37" spans="1:6" ht="15" x14ac:dyDescent="0.2">
      <c r="A37" s="81"/>
    </row>
    <row r="38" spans="1:6" ht="15" x14ac:dyDescent="0.2">
      <c r="A38" s="82" t="s">
        <v>214</v>
      </c>
    </row>
    <row r="39" spans="1:6" ht="15" x14ac:dyDescent="0.2">
      <c r="A39" s="82" t="s">
        <v>215</v>
      </c>
    </row>
    <row r="40" spans="1:6" ht="15" x14ac:dyDescent="0.2">
      <c r="A40" s="82" t="s">
        <v>216</v>
      </c>
      <c r="B40" s="102">
        <v>10</v>
      </c>
      <c r="C40" s="102">
        <v>10</v>
      </c>
      <c r="D40" s="102">
        <v>10</v>
      </c>
      <c r="E40" s="102">
        <v>10</v>
      </c>
      <c r="F40" s="102">
        <v>10</v>
      </c>
    </row>
    <row r="41" spans="1:6" ht="15" x14ac:dyDescent="0.2">
      <c r="A41" s="82" t="s">
        <v>219</v>
      </c>
      <c r="B41" s="102">
        <v>15</v>
      </c>
      <c r="C41" s="102">
        <v>15</v>
      </c>
      <c r="D41" s="102">
        <v>15</v>
      </c>
      <c r="E41" s="102">
        <v>15</v>
      </c>
      <c r="F41" s="102">
        <v>15</v>
      </c>
    </row>
    <row r="42" spans="1:6" ht="15" x14ac:dyDescent="0.2">
      <c r="A42" s="81"/>
    </row>
    <row r="43" spans="1:6" ht="15" x14ac:dyDescent="0.2">
      <c r="A43" s="82" t="s">
        <v>75</v>
      </c>
      <c r="B43" s="7">
        <f>'P&amp;L'!B6</f>
        <v>3426000</v>
      </c>
      <c r="C43" s="7">
        <f>'P&amp;L'!C6</f>
        <v>14584320</v>
      </c>
      <c r="D43" s="7">
        <f>'P&amp;L'!D6</f>
        <v>47628172.799999997</v>
      </c>
      <c r="E43" s="7">
        <f>'P&amp;L'!E6</f>
        <v>50853256.272</v>
      </c>
      <c r="F43" s="7">
        <f>'P&amp;L'!F6</f>
        <v>54112812.773759998</v>
      </c>
    </row>
    <row r="44" spans="1:6" ht="15" x14ac:dyDescent="0.2">
      <c r="A44" s="82" t="s">
        <v>223</v>
      </c>
      <c r="B44" s="7">
        <f>'P&amp;L'!B18+'P&amp;L'!B9</f>
        <v>2052174</v>
      </c>
      <c r="C44" s="7">
        <f>'P&amp;L'!C18+'P&amp;L'!C9</f>
        <v>8852390.5536000002</v>
      </c>
      <c r="D44" s="7">
        <f>'P&amp;L'!D18+'P&amp;L'!D9</f>
        <v>28106318.281466879</v>
      </c>
      <c r="E44" s="7">
        <f>'P&amp;L'!E18+'P&amp;L'!E9</f>
        <v>30431706.917976737</v>
      </c>
      <c r="F44" s="7">
        <f>'P&amp;L'!F18+'P&amp;L'!F9</f>
        <v>32840548.312344275</v>
      </c>
    </row>
    <row r="45" spans="1:6" ht="15" x14ac:dyDescent="0.2">
      <c r="A45" s="81"/>
    </row>
    <row r="46" spans="1:6" ht="15" x14ac:dyDescent="0.2">
      <c r="A46" s="82" t="s">
        <v>216</v>
      </c>
      <c r="B46" s="7">
        <f t="shared" ref="B46:F46" si="10">(B43/365)*B40</f>
        <v>93863.013698630122</v>
      </c>
      <c r="C46" s="7">
        <f t="shared" si="10"/>
        <v>399570.41095890407</v>
      </c>
      <c r="D46" s="7">
        <f t="shared" si="10"/>
        <v>1304881.4465753424</v>
      </c>
      <c r="E46" s="7">
        <f t="shared" si="10"/>
        <v>1393239.8978630137</v>
      </c>
      <c r="F46" s="7">
        <f t="shared" si="10"/>
        <v>1482542.815719452</v>
      </c>
    </row>
    <row r="47" spans="1:6" ht="15" x14ac:dyDescent="0.2">
      <c r="A47" s="82" t="s">
        <v>228</v>
      </c>
      <c r="B47" s="7">
        <f t="shared" ref="B47:F47" si="11">(B44/365)*B41</f>
        <v>84335.917808219179</v>
      </c>
      <c r="C47" s="7">
        <f t="shared" si="11"/>
        <v>363796.87206575344</v>
      </c>
      <c r="D47" s="7">
        <f t="shared" si="11"/>
        <v>1155054.1759506937</v>
      </c>
      <c r="E47" s="7">
        <f t="shared" si="11"/>
        <v>1250618.092519592</v>
      </c>
      <c r="F47" s="7">
        <f t="shared" si="11"/>
        <v>1349611.5744799017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.15"/>
  <cols>
    <col min="1" max="1" width="43.6640625" customWidth="1"/>
    <col min="2" max="2" width="3.1640625" customWidth="1"/>
    <col min="7" max="7" width="16.83203125" customWidth="1"/>
    <col min="8" max="8" width="46.5" customWidth="1"/>
  </cols>
  <sheetData>
    <row r="1" spans="1:7" ht="15.75" customHeight="1" x14ac:dyDescent="0.15">
      <c r="A1" s="51"/>
      <c r="B1" s="52"/>
      <c r="C1" s="53" t="s">
        <v>6</v>
      </c>
      <c r="D1" s="53" t="s">
        <v>9</v>
      </c>
      <c r="E1" s="53" t="s">
        <v>10</v>
      </c>
      <c r="F1" s="53" t="s">
        <v>11</v>
      </c>
      <c r="G1" s="53" t="s">
        <v>12</v>
      </c>
    </row>
    <row r="2" spans="1:7" ht="15.75" customHeight="1" x14ac:dyDescent="0.15">
      <c r="A2" s="54" t="s">
        <v>144</v>
      </c>
      <c r="B2" s="55"/>
      <c r="C2" s="55"/>
      <c r="D2" s="55"/>
      <c r="E2" s="55"/>
    </row>
    <row r="3" spans="1:7" ht="15.75" customHeight="1" x14ac:dyDescent="0.15">
      <c r="A3" s="57" t="s">
        <v>133</v>
      </c>
      <c r="B3" s="59"/>
      <c r="C3" s="60">
        <f>'P&amp;L'!B34</f>
        <v>639152.74285714282</v>
      </c>
      <c r="D3" s="60">
        <f>'P&amp;L'!C34</f>
        <v>2723271.9535542857</v>
      </c>
      <c r="E3" s="60">
        <f>'P&amp;L'!D34</f>
        <v>8034941.2825484416</v>
      </c>
      <c r="F3" s="60">
        <f>'P&amp;L'!E34</f>
        <v>8574758.1838425286</v>
      </c>
      <c r="G3" s="60">
        <f>'P&amp;L'!F34</f>
        <v>9085187.248278005</v>
      </c>
    </row>
    <row r="4" spans="1:7" ht="15.75" customHeight="1" x14ac:dyDescent="0.15">
      <c r="A4" s="57" t="s">
        <v>155</v>
      </c>
      <c r="B4" s="59"/>
      <c r="C4" s="59"/>
      <c r="D4" s="59"/>
      <c r="E4" s="59"/>
    </row>
    <row r="5" spans="1:7" ht="15.75" customHeight="1" x14ac:dyDescent="0.15">
      <c r="A5" s="65" t="s">
        <v>156</v>
      </c>
      <c r="B5" s="59"/>
      <c r="C5" s="67">
        <v>0</v>
      </c>
      <c r="D5" s="67">
        <v>0</v>
      </c>
      <c r="E5" s="67">
        <v>0</v>
      </c>
      <c r="F5" s="67">
        <v>0</v>
      </c>
      <c r="G5" s="67">
        <v>0</v>
      </c>
    </row>
    <row r="6" spans="1:7" ht="15.75" customHeight="1" x14ac:dyDescent="0.15">
      <c r="A6" s="71" t="s">
        <v>163</v>
      </c>
      <c r="B6" s="59"/>
      <c r="C6" s="72">
        <f>'P&amp;L'!B28</f>
        <v>308571.42857142858</v>
      </c>
      <c r="D6" s="72">
        <f>'P&amp;L'!C28</f>
        <v>1193142.857142857</v>
      </c>
      <c r="E6" s="72">
        <f>'P&amp;L'!D28</f>
        <v>6130285.7142857146</v>
      </c>
      <c r="F6" s="72">
        <f>'P&amp;L'!E28</f>
        <v>6130285.7142857146</v>
      </c>
      <c r="G6" s="72">
        <f>'P&amp;L'!F28</f>
        <v>6130285.7142857146</v>
      </c>
    </row>
    <row r="7" spans="1:7" ht="15.75" customHeight="1" x14ac:dyDescent="0.15">
      <c r="A7" s="71" t="s">
        <v>173</v>
      </c>
      <c r="B7" s="59"/>
      <c r="C7" s="72">
        <v>0</v>
      </c>
      <c r="D7" s="73">
        <v>0</v>
      </c>
      <c r="E7" s="73">
        <v>0</v>
      </c>
      <c r="F7" s="73">
        <v>0</v>
      </c>
      <c r="G7" s="73">
        <v>0</v>
      </c>
    </row>
    <row r="8" spans="1:7" ht="15.75" customHeight="1" x14ac:dyDescent="0.15">
      <c r="A8" s="71" t="s">
        <v>174</v>
      </c>
      <c r="B8" s="59"/>
      <c r="C8" s="73">
        <f>'Balance Sheet'!B7</f>
        <v>93863.013698630122</v>
      </c>
      <c r="D8" s="73">
        <f>'Balance Sheet'!C7-'Balance Sheet'!B7</f>
        <v>305707.39726027392</v>
      </c>
      <c r="E8" s="73">
        <f>'Balance Sheet'!D7-'Balance Sheet'!C7</f>
        <v>905311.03561643837</v>
      </c>
      <c r="F8" s="73">
        <f>'Balance Sheet'!E7-'Balance Sheet'!D7</f>
        <v>88358.451287671225</v>
      </c>
      <c r="G8" s="73">
        <f>'Balance Sheet'!F7-'Balance Sheet'!E7</f>
        <v>89302.917856438318</v>
      </c>
    </row>
    <row r="9" spans="1:7" ht="15.75" customHeight="1" x14ac:dyDescent="0.15">
      <c r="A9" s="71" t="s">
        <v>177</v>
      </c>
      <c r="B9" s="59"/>
      <c r="C9" s="77">
        <v>0</v>
      </c>
      <c r="D9" s="77">
        <v>0</v>
      </c>
      <c r="E9" s="77">
        <v>0</v>
      </c>
      <c r="F9" s="77">
        <v>0</v>
      </c>
      <c r="G9" s="77">
        <v>0</v>
      </c>
    </row>
    <row r="10" spans="1:7" ht="15.75" customHeight="1" x14ac:dyDescent="0.15">
      <c r="A10" s="57" t="s">
        <v>178</v>
      </c>
      <c r="B10" s="59"/>
      <c r="C10" s="60">
        <f>'Balance Sheet'!B23</f>
        <v>84335.917808219179</v>
      </c>
      <c r="D10" s="78">
        <f>'Balance Sheet'!C23-'Balance Sheet'!B23</f>
        <v>279460.95425753423</v>
      </c>
      <c r="E10" s="78">
        <f>'Balance Sheet'!D23-'Balance Sheet'!C23</f>
        <v>791257.30388494022</v>
      </c>
      <c r="F10" s="78">
        <f>'Balance Sheet'!E23-'Balance Sheet'!D23</f>
        <v>95563.916568898363</v>
      </c>
      <c r="G10" s="78">
        <f>'Balance Sheet'!F23-'Balance Sheet'!E23</f>
        <v>98993.481960309669</v>
      </c>
    </row>
    <row r="11" spans="1:7" ht="15.75" customHeight="1" x14ac:dyDescent="0.15">
      <c r="A11" s="57" t="s">
        <v>183</v>
      </c>
      <c r="B11" s="59"/>
      <c r="C11" s="60">
        <f>'P&amp;L'!B32</f>
        <v>426101.82857142854</v>
      </c>
      <c r="D11" s="60">
        <f>'P&amp;L'!C32-'P&amp;L'!B32</f>
        <v>1389412.8071314285</v>
      </c>
      <c r="E11" s="60">
        <f>'P&amp;L'!D32-'P&amp;L'!C32</f>
        <v>3541112.8859961051</v>
      </c>
      <c r="F11" s="60">
        <f>'P&amp;L'!E32-'P&amp;L'!D32</f>
        <v>359877.93419605773</v>
      </c>
      <c r="G11" s="60">
        <f>'P&amp;L'!F32-'P&amp;L'!E32</f>
        <v>340286.04295698367</v>
      </c>
    </row>
    <row r="12" spans="1:7" ht="15.75" customHeight="1" x14ac:dyDescent="0.15">
      <c r="A12" s="57" t="s">
        <v>189</v>
      </c>
      <c r="B12" s="59"/>
      <c r="C12" s="59"/>
      <c r="D12" s="59"/>
      <c r="E12" s="59"/>
    </row>
    <row r="13" spans="1:7" ht="15.75" customHeight="1" x14ac:dyDescent="0.15">
      <c r="A13" s="57" t="s">
        <v>191</v>
      </c>
      <c r="B13" s="59"/>
      <c r="C13" s="60">
        <f t="shared" ref="C13:G13" si="0">(C3+C6+C10+C11)-(C8)-C5</f>
        <v>1364298.9041095893</v>
      </c>
      <c r="D13" s="60">
        <f t="shared" si="0"/>
        <v>5279581.1748258313</v>
      </c>
      <c r="E13" s="60">
        <f t="shared" si="0"/>
        <v>17592286.151098762</v>
      </c>
      <c r="F13" s="60">
        <f t="shared" si="0"/>
        <v>15072127.297605526</v>
      </c>
      <c r="G13" s="60">
        <f t="shared" si="0"/>
        <v>15565449.569624575</v>
      </c>
    </row>
    <row r="14" spans="1:7" ht="15.75" customHeight="1" x14ac:dyDescent="0.15">
      <c r="A14" s="84"/>
      <c r="B14" s="59"/>
      <c r="C14" s="59"/>
      <c r="D14" s="59"/>
      <c r="E14" s="59"/>
    </row>
    <row r="15" spans="1:7" ht="15.75" customHeight="1" x14ac:dyDescent="0.15">
      <c r="A15" s="85" t="s">
        <v>198</v>
      </c>
      <c r="B15" s="59"/>
      <c r="C15" s="59"/>
      <c r="D15" s="59"/>
      <c r="E15" s="59"/>
    </row>
    <row r="16" spans="1:7" ht="15.75" customHeight="1" x14ac:dyDescent="0.15">
      <c r="A16" s="86"/>
      <c r="B16" s="59"/>
      <c r="C16" s="59"/>
      <c r="D16" s="59"/>
      <c r="E16" s="59"/>
    </row>
    <row r="17" spans="1:8" ht="15.75" customHeight="1" x14ac:dyDescent="0.15">
      <c r="A17" s="57" t="s">
        <v>202</v>
      </c>
      <c r="B17" s="59"/>
      <c r="C17" s="60">
        <f>'Use of Funds'!B7</f>
        <v>2160000</v>
      </c>
      <c r="D17" s="87">
        <f>'Use of Funds'!B15</f>
        <v>6192000</v>
      </c>
      <c r="E17" s="87">
        <f>'Use of Funds'!B23</f>
        <v>34560000</v>
      </c>
      <c r="F17" s="87">
        <v>0</v>
      </c>
      <c r="G17" s="90">
        <f>C17/10</f>
        <v>216000</v>
      </c>
      <c r="H17" s="92" t="s">
        <v>204</v>
      </c>
    </row>
    <row r="18" spans="1:8" ht="15.75" customHeight="1" x14ac:dyDescent="0.15">
      <c r="A18" s="84"/>
      <c r="B18" s="59"/>
      <c r="C18" s="59"/>
      <c r="D18" s="59"/>
      <c r="E18" s="59"/>
    </row>
    <row r="19" spans="1:8" ht="15.75" customHeight="1" x14ac:dyDescent="0.15">
      <c r="A19" s="85" t="s">
        <v>206</v>
      </c>
      <c r="B19" s="59"/>
      <c r="C19" s="59"/>
      <c r="D19" s="59"/>
      <c r="E19" s="59"/>
    </row>
    <row r="20" spans="1:8" ht="15.75" customHeight="1" x14ac:dyDescent="0.15">
      <c r="A20" s="86"/>
      <c r="B20" s="59"/>
      <c r="C20" s="59"/>
      <c r="D20" s="59"/>
      <c r="E20" s="59"/>
    </row>
    <row r="21" spans="1:8" ht="15.75" customHeight="1" x14ac:dyDescent="0.15">
      <c r="A21" s="71" t="s">
        <v>207</v>
      </c>
      <c r="B21" s="59"/>
      <c r="C21" s="72">
        <f>'Sources of Funds'!B4</f>
        <v>4186087</v>
      </c>
      <c r="D21" s="95">
        <f>'Use of Funds'!B36</f>
        <v>8405097.6383999996</v>
      </c>
      <c r="E21" s="95">
        <f>'Use of Funds'!B37</f>
        <v>34560000</v>
      </c>
      <c r="F21" s="2">
        <v>0</v>
      </c>
      <c r="G21" s="2">
        <v>0</v>
      </c>
    </row>
    <row r="22" spans="1:8" ht="15.75" customHeight="1" x14ac:dyDescent="0.15">
      <c r="A22" s="65" t="s">
        <v>209</v>
      </c>
      <c r="B22" s="59"/>
      <c r="C22" s="72">
        <f>'Sources of Funds'!B5</f>
        <v>0</v>
      </c>
      <c r="D22" s="77">
        <v>0</v>
      </c>
      <c r="E22" s="77">
        <v>0</v>
      </c>
      <c r="F22" s="2">
        <v>0</v>
      </c>
      <c r="G22" s="2">
        <v>0</v>
      </c>
    </row>
    <row r="23" spans="1:8" ht="15.75" customHeight="1" x14ac:dyDescent="0.15">
      <c r="A23" s="65" t="s">
        <v>210</v>
      </c>
      <c r="B23" s="59"/>
      <c r="C23" s="67">
        <v>0</v>
      </c>
      <c r="D23" s="95">
        <v>0</v>
      </c>
      <c r="E23" s="95">
        <v>0</v>
      </c>
      <c r="F23" s="4">
        <v>0</v>
      </c>
      <c r="G23" s="4">
        <v>0</v>
      </c>
    </row>
    <row r="24" spans="1:8" ht="15.75" customHeight="1" x14ac:dyDescent="0.15">
      <c r="A24" s="71" t="s">
        <v>211</v>
      </c>
      <c r="B24" s="59"/>
      <c r="C24" s="72">
        <f>('Amortization Table (Loan X)'!B2-'Amortization Table (Loan X)'!F20)</f>
        <v>0</v>
      </c>
      <c r="D24" s="73">
        <f>('Amortization Table (Loan X)'!F20-'Amortization Table (Loan X)'!F32)</f>
        <v>0</v>
      </c>
      <c r="E24" s="73">
        <f>('Amortization Table (Loan X)'!F32-'Amortization Table (Loan X)'!F44)</f>
        <v>0</v>
      </c>
      <c r="F24" s="73">
        <f>('Amortization Table (Loan X)'!F44-'Amortization Table (Loan X)'!F56)</f>
        <v>0</v>
      </c>
      <c r="G24" s="73">
        <f>('Amortization Table (Loan X)'!G44-'Amortization Table (Loan X)'!G56)</f>
        <v>0</v>
      </c>
    </row>
    <row r="25" spans="1:8" ht="15.75" customHeight="1" x14ac:dyDescent="0.15">
      <c r="A25" s="57" t="s">
        <v>55</v>
      </c>
      <c r="B25" s="59"/>
      <c r="C25" s="60">
        <f t="shared" ref="C25:G25" si="1">SUM(C21:C23)-C24</f>
        <v>4186087</v>
      </c>
      <c r="D25" s="60">
        <f t="shared" si="1"/>
        <v>8405097.6383999996</v>
      </c>
      <c r="E25" s="60">
        <f t="shared" si="1"/>
        <v>34560000</v>
      </c>
      <c r="F25" s="60">
        <f t="shared" si="1"/>
        <v>0</v>
      </c>
      <c r="G25" s="60">
        <f t="shared" si="1"/>
        <v>0</v>
      </c>
    </row>
    <row r="26" spans="1:8" ht="15.75" customHeight="1" x14ac:dyDescent="0.15">
      <c r="A26" s="86"/>
      <c r="B26" s="59"/>
      <c r="C26" s="59"/>
      <c r="D26" s="59"/>
      <c r="E26" s="59"/>
    </row>
    <row r="27" spans="1:8" ht="15.75" customHeight="1" x14ac:dyDescent="0.15">
      <c r="A27" s="57" t="s">
        <v>217</v>
      </c>
      <c r="B27" s="59"/>
      <c r="C27" s="60">
        <f>(C13-C17)+C25</f>
        <v>3390385.9041095893</v>
      </c>
      <c r="D27" s="60">
        <f t="shared" ref="D27:G27" si="2">(D25+D13)-D17</f>
        <v>7492678.8132258318</v>
      </c>
      <c r="E27" s="60">
        <f t="shared" si="2"/>
        <v>17592286.151098758</v>
      </c>
      <c r="F27" s="60">
        <f t="shared" si="2"/>
        <v>15072127.297605526</v>
      </c>
      <c r="G27" s="60">
        <f t="shared" si="2"/>
        <v>15349449.569624575</v>
      </c>
    </row>
    <row r="28" spans="1:8" ht="15.75" customHeight="1" x14ac:dyDescent="0.15">
      <c r="A28" s="71" t="s">
        <v>221</v>
      </c>
      <c r="B28" s="59"/>
      <c r="C28" s="72">
        <v>0</v>
      </c>
      <c r="D28" s="73">
        <f>C27</f>
        <v>3390385.9041095893</v>
      </c>
      <c r="E28" s="73">
        <f t="shared" ref="E28:G28" si="3">D29</f>
        <v>10883064.717335422</v>
      </c>
      <c r="F28" s="73">
        <f t="shared" si="3"/>
        <v>28475350.86843418</v>
      </c>
      <c r="G28" s="73">
        <f t="shared" si="3"/>
        <v>43547478.166039705</v>
      </c>
    </row>
    <row r="29" spans="1:8" ht="15.75" customHeight="1" x14ac:dyDescent="0.15">
      <c r="A29" s="106" t="s">
        <v>227</v>
      </c>
      <c r="B29" s="59"/>
      <c r="C29" s="73">
        <f t="shared" ref="C29:G29" si="4">SUM(C27:C28)</f>
        <v>3390385.9041095893</v>
      </c>
      <c r="D29" s="73">
        <f t="shared" si="4"/>
        <v>10883064.717335422</v>
      </c>
      <c r="E29" s="73">
        <f t="shared" si="4"/>
        <v>28475350.86843418</v>
      </c>
      <c r="F29" s="73">
        <f t="shared" si="4"/>
        <v>43547478.166039705</v>
      </c>
      <c r="G29" s="73">
        <f t="shared" si="4"/>
        <v>58896927.735664278</v>
      </c>
    </row>
    <row r="31" spans="1:8" ht="15.75" customHeight="1" x14ac:dyDescent="0.15">
      <c r="A3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/>
  </sheetViews>
  <sheetFormatPr baseColWidth="10" defaultColWidth="14.5" defaultRowHeight="15.75" customHeight="1" x14ac:dyDescent="0.15"/>
  <cols>
    <col min="1" max="1" width="52.5" customWidth="1"/>
    <col min="3" max="3" width="17.6640625" customWidth="1"/>
  </cols>
  <sheetData>
    <row r="1" spans="1:3" ht="15.75" customHeight="1" x14ac:dyDescent="0.15">
      <c r="A1" s="1" t="s">
        <v>139</v>
      </c>
    </row>
    <row r="2" spans="1:3" ht="15.75" customHeight="1" x14ac:dyDescent="0.15">
      <c r="A2" s="2" t="s">
        <v>140</v>
      </c>
      <c r="B2" s="12">
        <f>300/960</f>
        <v>0.3125</v>
      </c>
    </row>
    <row r="3" spans="1:3" ht="15.75" customHeight="1" x14ac:dyDescent="0.15">
      <c r="A3" s="2" t="s">
        <v>141</v>
      </c>
      <c r="B3" s="12">
        <f>700/1440</f>
        <v>0.4861111111111111</v>
      </c>
    </row>
    <row r="4" spans="1:3" ht="15.75" customHeight="1" x14ac:dyDescent="0.15">
      <c r="A4" s="2" t="s">
        <v>142</v>
      </c>
      <c r="B4" s="10">
        <f>4*B2</f>
        <v>1.25</v>
      </c>
    </row>
    <row r="5" spans="1:3" ht="15.75" customHeight="1" x14ac:dyDescent="0.15">
      <c r="A5" s="2" t="s">
        <v>143</v>
      </c>
      <c r="B5" s="10">
        <f>2.7*B2</f>
        <v>0.84375</v>
      </c>
    </row>
    <row r="6" spans="1:3" ht="15.75" customHeight="1" x14ac:dyDescent="0.15">
      <c r="A6" s="2" t="s">
        <v>145</v>
      </c>
      <c r="B6" s="56">
        <f>2000/720</f>
        <v>2.7777777777777777</v>
      </c>
    </row>
    <row r="7" spans="1:3" ht="15.75" customHeight="1" x14ac:dyDescent="0.15">
      <c r="A7" s="2" t="s">
        <v>147</v>
      </c>
      <c r="B7" s="58">
        <f>12/1440</f>
        <v>8.3333333333333332E-3</v>
      </c>
    </row>
    <row r="8" spans="1:3" ht="15.75" customHeight="1" x14ac:dyDescent="0.15">
      <c r="A8" s="2" t="s">
        <v>148</v>
      </c>
      <c r="B8" s="10">
        <f>200/1440</f>
        <v>0.1388888888888889</v>
      </c>
    </row>
    <row r="9" spans="1:3" ht="15.75" customHeight="1" x14ac:dyDescent="0.15">
      <c r="A9" s="2" t="s">
        <v>149</v>
      </c>
      <c r="B9" s="10">
        <f>100/1440</f>
        <v>6.9444444444444448E-2</v>
      </c>
    </row>
    <row r="10" spans="1:3" ht="15.75" customHeight="1" x14ac:dyDescent="0.15">
      <c r="A10" s="2" t="s">
        <v>150</v>
      </c>
      <c r="B10" s="56">
        <f>300/1440</f>
        <v>0.20833333333333334</v>
      </c>
    </row>
    <row r="12" spans="1:3" ht="15.75" customHeight="1" x14ac:dyDescent="0.15">
      <c r="A12" s="1" t="s">
        <v>152</v>
      </c>
    </row>
    <row r="13" spans="1:3" ht="15.75" customHeight="1" x14ac:dyDescent="0.15">
      <c r="A13" s="2" t="s">
        <v>153</v>
      </c>
      <c r="B13" s="62">
        <f>0.01</f>
        <v>0.01</v>
      </c>
      <c r="C13" s="2"/>
    </row>
    <row r="14" spans="1:3" ht="15.75" customHeight="1" x14ac:dyDescent="0.15">
      <c r="A14" s="2" t="s">
        <v>154</v>
      </c>
      <c r="B14" s="63">
        <v>0.1</v>
      </c>
    </row>
    <row r="15" spans="1:3" ht="15.75" customHeight="1" x14ac:dyDescent="0.15">
      <c r="A15" s="2" t="s">
        <v>142</v>
      </c>
      <c r="B15" s="62">
        <f>0.008</f>
        <v>8.0000000000000002E-3</v>
      </c>
      <c r="C15" s="2" t="s">
        <v>157</v>
      </c>
    </row>
    <row r="16" spans="1:3" ht="15.75" customHeight="1" x14ac:dyDescent="0.15">
      <c r="A16" s="2" t="s">
        <v>143</v>
      </c>
      <c r="B16" s="66">
        <v>1E-3</v>
      </c>
      <c r="C16" s="2" t="s">
        <v>158</v>
      </c>
    </row>
    <row r="17" spans="1:3" ht="15.75" customHeight="1" x14ac:dyDescent="0.15">
      <c r="A17" s="2" t="s">
        <v>159</v>
      </c>
      <c r="B17" s="63">
        <v>0.05</v>
      </c>
    </row>
    <row r="18" spans="1:3" ht="15.75" customHeight="1" x14ac:dyDescent="0.15">
      <c r="A18" s="2" t="s">
        <v>161</v>
      </c>
      <c r="B18" s="63">
        <v>15</v>
      </c>
    </row>
    <row r="19" spans="1:3" ht="15.75" customHeight="1" x14ac:dyDescent="0.15">
      <c r="A19" s="2" t="s">
        <v>162</v>
      </c>
      <c r="B19" s="69">
        <f>0.5</f>
        <v>0.5</v>
      </c>
    </row>
    <row r="20" spans="1:3" ht="15.75" customHeight="1" x14ac:dyDescent="0.15">
      <c r="A20" s="2" t="s">
        <v>166</v>
      </c>
      <c r="B20" s="63">
        <v>0.5</v>
      </c>
    </row>
    <row r="21" spans="1:3" ht="15.75" customHeight="1" x14ac:dyDescent="0.15">
      <c r="A21" s="2" t="s">
        <v>167</v>
      </c>
      <c r="B21" s="63">
        <v>0.25</v>
      </c>
      <c r="C21" s="2"/>
    </row>
    <row r="22" spans="1:3" ht="15.75" customHeight="1" x14ac:dyDescent="0.15">
      <c r="A22" s="2" t="s">
        <v>150</v>
      </c>
      <c r="B22" s="63">
        <f>0.25</f>
        <v>0.25</v>
      </c>
      <c r="C22" s="2" t="s">
        <v>168</v>
      </c>
    </row>
    <row r="24" spans="1:3" ht="15.75" customHeight="1" x14ac:dyDescent="0.15">
      <c r="A24" s="1" t="s">
        <v>169</v>
      </c>
    </row>
    <row r="25" spans="1:3" ht="15.75" customHeight="1" x14ac:dyDescent="0.15">
      <c r="A25" s="2" t="s">
        <v>140</v>
      </c>
      <c r="B25" s="62">
        <f t="shared" ref="B25:B32" si="0">B2*B13</f>
        <v>3.1250000000000002E-3</v>
      </c>
      <c r="C25" s="62">
        <f t="shared" ref="C25:C34" si="1">B25*1440</f>
        <v>4.5</v>
      </c>
    </row>
    <row r="26" spans="1:3" ht="15.75" customHeight="1" x14ac:dyDescent="0.15">
      <c r="A26" s="2" t="s">
        <v>141</v>
      </c>
      <c r="B26" s="69">
        <f t="shared" si="0"/>
        <v>4.8611111111111112E-2</v>
      </c>
      <c r="C26" s="69">
        <f t="shared" si="1"/>
        <v>70</v>
      </c>
    </row>
    <row r="27" spans="1:3" ht="15.75" customHeight="1" x14ac:dyDescent="0.15">
      <c r="A27" s="2" t="s">
        <v>142</v>
      </c>
      <c r="B27" s="62">
        <f t="shared" si="0"/>
        <v>0.01</v>
      </c>
      <c r="C27" s="62">
        <f t="shared" si="1"/>
        <v>14.4</v>
      </c>
    </row>
    <row r="28" spans="1:3" ht="15.75" customHeight="1" x14ac:dyDescent="0.15">
      <c r="A28" s="2" t="s">
        <v>143</v>
      </c>
      <c r="B28" s="62">
        <f t="shared" si="0"/>
        <v>8.4374999999999999E-4</v>
      </c>
      <c r="C28" s="62">
        <f t="shared" si="1"/>
        <v>1.2150000000000001</v>
      </c>
    </row>
    <row r="29" spans="1:3" ht="15.75" customHeight="1" x14ac:dyDescent="0.15">
      <c r="A29" s="2" t="s">
        <v>172</v>
      </c>
      <c r="B29" s="69">
        <f t="shared" si="0"/>
        <v>0.1388888888888889</v>
      </c>
      <c r="C29" s="69">
        <f t="shared" si="1"/>
        <v>200</v>
      </c>
    </row>
    <row r="30" spans="1:3" ht="15.75" customHeight="1" x14ac:dyDescent="0.15">
      <c r="A30" s="2" t="s">
        <v>147</v>
      </c>
      <c r="B30" s="69">
        <f t="shared" si="0"/>
        <v>0.125</v>
      </c>
      <c r="C30" s="69">
        <f t="shared" si="1"/>
        <v>180</v>
      </c>
    </row>
    <row r="31" spans="1:3" ht="15.75" customHeight="1" x14ac:dyDescent="0.15">
      <c r="A31" s="2" t="s">
        <v>148</v>
      </c>
      <c r="B31" s="69">
        <f t="shared" si="0"/>
        <v>6.9444444444444448E-2</v>
      </c>
      <c r="C31" s="69">
        <f t="shared" si="1"/>
        <v>100</v>
      </c>
    </row>
    <row r="32" spans="1:3" ht="15.75" customHeight="1" x14ac:dyDescent="0.15">
      <c r="A32" s="2" t="s">
        <v>149</v>
      </c>
      <c r="B32" s="69">
        <f t="shared" si="0"/>
        <v>3.4722222222222224E-2</v>
      </c>
      <c r="C32" s="69">
        <f t="shared" si="1"/>
        <v>50</v>
      </c>
    </row>
    <row r="33" spans="1:4" ht="15.75" customHeight="1" x14ac:dyDescent="0.15">
      <c r="A33" s="2" t="s">
        <v>150</v>
      </c>
      <c r="B33" s="69">
        <f>B10*B22</f>
        <v>5.2083333333333336E-2</v>
      </c>
      <c r="C33" s="69">
        <f t="shared" si="1"/>
        <v>75</v>
      </c>
    </row>
    <row r="34" spans="1:4" ht="15.75" customHeight="1" x14ac:dyDescent="0.15">
      <c r="A34" s="5" t="s">
        <v>167</v>
      </c>
      <c r="B34" s="74">
        <v>0.25</v>
      </c>
      <c r="C34" s="75">
        <f t="shared" si="1"/>
        <v>360</v>
      </c>
    </row>
    <row r="35" spans="1:4" ht="15.75" customHeight="1" x14ac:dyDescent="0.15">
      <c r="A35" s="1" t="s">
        <v>175</v>
      </c>
      <c r="B35" s="76">
        <f>SUM(B25:B34)</f>
        <v>0.73271875000000009</v>
      </c>
      <c r="C35" s="75">
        <f>B35*960</f>
        <v>703.41000000000008</v>
      </c>
      <c r="D35" s="75">
        <f>(C35*52)/12</f>
        <v>3048.1100000000006</v>
      </c>
    </row>
    <row r="36" spans="1:4" ht="15.75" customHeight="1" x14ac:dyDescent="0.15">
      <c r="A36" s="1"/>
      <c r="B36" s="76"/>
    </row>
    <row r="37" spans="1:4" ht="15.75" customHeight="1" x14ac:dyDescent="0.15">
      <c r="A37" s="1" t="s">
        <v>179</v>
      </c>
      <c r="B37" s="76">
        <f>(B25+B26+B27+B28+B29+B30+B31+B33)/B47</f>
        <v>7.4666087962962965E-2</v>
      </c>
    </row>
    <row r="38" spans="1:4" ht="15.75" customHeight="1" x14ac:dyDescent="0.15">
      <c r="A38" s="1" t="s">
        <v>181</v>
      </c>
      <c r="B38" s="76">
        <f>B37*12</f>
        <v>0.89599305555555553</v>
      </c>
    </row>
    <row r="39" spans="1:4" ht="15.75" customHeight="1" x14ac:dyDescent="0.15">
      <c r="A39" s="1" t="s">
        <v>182</v>
      </c>
      <c r="B39" s="76">
        <f>(B25+B26+B27+B28+B29+B30+B32+B33)/B48</f>
        <v>0.20663715277777778</v>
      </c>
    </row>
    <row r="40" spans="1:4" ht="15.75" customHeight="1" x14ac:dyDescent="0.15">
      <c r="A40" s="1" t="s">
        <v>186</v>
      </c>
      <c r="B40" s="76">
        <f>B39*B52</f>
        <v>8.2654861111111116E-2</v>
      </c>
    </row>
    <row r="42" spans="1:4" ht="15.75" customHeight="1" x14ac:dyDescent="0.15">
      <c r="A42" s="1" t="s">
        <v>60</v>
      </c>
      <c r="B42" s="1"/>
    </row>
    <row r="43" spans="1:4" ht="15.75" customHeight="1" x14ac:dyDescent="0.15">
      <c r="A43" s="2" t="s">
        <v>187</v>
      </c>
      <c r="B43" s="12">
        <f>80/960</f>
        <v>8.3333333333333329E-2</v>
      </c>
    </row>
    <row r="44" spans="1:4" ht="15.75" customHeight="1" x14ac:dyDescent="0.15">
      <c r="A44" s="2" t="s">
        <v>188</v>
      </c>
      <c r="B44" s="12">
        <f>120/1440</f>
        <v>8.3333333333333329E-2</v>
      </c>
    </row>
    <row r="45" spans="1:4" ht="15.75" customHeight="1" x14ac:dyDescent="0.15">
      <c r="A45" s="2" t="s">
        <v>190</v>
      </c>
      <c r="B45">
        <f>72</f>
        <v>72</v>
      </c>
    </row>
    <row r="46" spans="1:4" ht="15.75" customHeight="1" x14ac:dyDescent="0.15">
      <c r="A46" s="2" t="s">
        <v>192</v>
      </c>
      <c r="B46" s="2">
        <v>24</v>
      </c>
    </row>
    <row r="47" spans="1:4" ht="15.75" customHeight="1" x14ac:dyDescent="0.15">
      <c r="A47" s="2" t="s">
        <v>193</v>
      </c>
      <c r="B47" s="83">
        <f t="shared" ref="B47:B48" si="2">(B43*B45)</f>
        <v>6</v>
      </c>
    </row>
    <row r="48" spans="1:4" ht="15.75" customHeight="1" x14ac:dyDescent="0.15">
      <c r="A48" s="2" t="s">
        <v>195</v>
      </c>
      <c r="B48" s="83">
        <f t="shared" si="2"/>
        <v>2</v>
      </c>
    </row>
    <row r="49" spans="1:2" ht="13" x14ac:dyDescent="0.15">
      <c r="A49" s="2" t="s">
        <v>196</v>
      </c>
      <c r="B49" s="56">
        <f>B47/2</f>
        <v>3</v>
      </c>
    </row>
    <row r="50" spans="1:2" ht="13" x14ac:dyDescent="0.15">
      <c r="A50" s="2" t="s">
        <v>197</v>
      </c>
      <c r="B50" s="10">
        <f>B$4/4</f>
        <v>0.3125</v>
      </c>
    </row>
    <row r="51" spans="1:2" ht="13" x14ac:dyDescent="0.15">
      <c r="A51" s="2" t="s">
        <v>199</v>
      </c>
      <c r="B51" s="2">
        <v>12</v>
      </c>
    </row>
    <row r="52" spans="1:2" ht="13" x14ac:dyDescent="0.15">
      <c r="A52" s="2" t="s">
        <v>200</v>
      </c>
      <c r="B52" s="2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Valuation</vt:lpstr>
      <vt:lpstr>Use of Funds</vt:lpstr>
      <vt:lpstr>Sources of Funds</vt:lpstr>
      <vt:lpstr>Revenue Forecast</vt:lpstr>
      <vt:lpstr>P&amp;L</vt:lpstr>
      <vt:lpstr>Balance Sheet</vt:lpstr>
      <vt:lpstr>Statement of Cash Flows</vt:lpstr>
      <vt:lpstr>Cost of Revenue - US Greenhouse</vt:lpstr>
      <vt:lpstr>Amortization Table (Loan X)</vt:lpstr>
      <vt:lpstr>Appendix 1</vt:lpstr>
      <vt:lpstr>Appendix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2016-12-02T04:47:56Z</dcterms:created>
  <dcterms:modified xsi:type="dcterms:W3CDTF">2016-12-02T05:09:10Z</dcterms:modified>
</cp:coreProperties>
</file>