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L:\Modern\FieldVisits\"/>
    </mc:Choice>
  </mc:AlternateContent>
  <xr:revisionPtr revIDLastSave="0" documentId="13_ncr:1_{66E77ABE-4056-41F2-843D-0D23E97BC0E9}" xr6:coauthVersionLast="41" xr6:coauthVersionMax="41" xr10:uidLastSave="{00000000-0000-0000-0000-000000000000}"/>
  <bookViews>
    <workbookView xWindow="28680" yWindow="330" windowWidth="25440" windowHeight="15390" xr2:uid="{71A28ABF-6EC9-403B-9C03-B119F5D736D4}"/>
  </bookViews>
  <sheets>
    <sheet name="K17" sheetId="1" r:id="rId1"/>
    <sheet name="K17A" sheetId="7" r:id="rId2"/>
    <sheet name="K17B" sheetId="8" r:id="rId3"/>
    <sheet name="K17C" sheetId="11" r:id="rId4"/>
    <sheet name="FedSampCores13-K17C_2013.06.06" sheetId="12" r:id="rId5"/>
    <sheet name="Probe13-K17C_2013.08.01" sheetId="13" r:id="rId6"/>
    <sheet name="Probe07-K17_2012.08.13" sheetId="4" r:id="rId7"/>
    <sheet name="Probe07-K17_2013.06.06" sheetId="2" r:id="rId8"/>
    <sheet name="FedSampCores13-K17A_2013.06.06" sheetId="5" r:id="rId9"/>
    <sheet name="Probe13-K17A_2013.08.01" sheetId="10" r:id="rId10"/>
    <sheet name="FedSampCores13-K17B_2013.06.06" sheetId="6" r:id="rId11"/>
    <sheet name="Probe13-K17B_2013.08.01" sheetId="9"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6" i="8" l="1"/>
  <c r="I2" i="6"/>
  <c r="I1" i="6"/>
  <c r="C33" i="8"/>
  <c r="C32" i="8"/>
  <c r="C31" i="8"/>
  <c r="I30" i="8"/>
  <c r="G30" i="8"/>
  <c r="E30" i="8"/>
  <c r="I27" i="8"/>
  <c r="P27" i="8"/>
  <c r="V27" i="8"/>
  <c r="E26" i="8"/>
  <c r="L26" i="8"/>
  <c r="L27" i="8"/>
  <c r="I26" i="8"/>
  <c r="P26" i="8"/>
  <c r="Q26" i="8"/>
  <c r="U26" i="8"/>
  <c r="G27" i="8"/>
  <c r="T27" i="8"/>
  <c r="E27" i="8"/>
  <c r="D23" i="8"/>
  <c r="E23" i="8"/>
  <c r="E22" i="8"/>
  <c r="I21" i="7"/>
  <c r="G21" i="7"/>
  <c r="V25" i="1"/>
  <c r="G40" i="1"/>
  <c r="E40" i="1"/>
  <c r="I2" i="2"/>
  <c r="I3" i="2"/>
  <c r="I15" i="11"/>
  <c r="P15" i="11"/>
  <c r="Q15" i="11"/>
  <c r="S15" i="11"/>
  <c r="I3" i="13"/>
  <c r="I24" i="11"/>
  <c r="P24" i="11"/>
  <c r="U15" i="11"/>
  <c r="V24" i="11"/>
  <c r="C36" i="11"/>
  <c r="I3" i="12"/>
  <c r="P23" i="11"/>
  <c r="U23" i="11"/>
  <c r="T24" i="11"/>
  <c r="C35" i="11"/>
  <c r="C34" i="11"/>
  <c r="E14" i="12"/>
  <c r="I10" i="11"/>
  <c r="P10" i="11"/>
  <c r="Q10" i="11"/>
  <c r="S10" i="11"/>
  <c r="I8" i="11"/>
  <c r="P8" i="11"/>
  <c r="Q8" i="11"/>
  <c r="S8" i="11"/>
  <c r="E12" i="12"/>
  <c r="E13" i="12"/>
  <c r="I4" i="12"/>
  <c r="E24" i="11"/>
  <c r="I2" i="13"/>
  <c r="G24" i="11"/>
  <c r="L24" i="11"/>
  <c r="E23" i="11"/>
  <c r="I2" i="12"/>
  <c r="G23" i="11"/>
  <c r="L23" i="11"/>
  <c r="I1" i="13"/>
  <c r="I33" i="11"/>
  <c r="G33" i="11"/>
  <c r="I23" i="11"/>
  <c r="I1" i="12"/>
  <c r="O12" i="12"/>
  <c r="V7" i="11"/>
  <c r="V15" i="11"/>
  <c r="T15" i="11"/>
  <c r="C15" i="11"/>
  <c r="L15" i="11"/>
  <c r="C10" i="11"/>
  <c r="L10" i="11"/>
  <c r="J15" i="11"/>
  <c r="H15" i="11"/>
  <c r="I14" i="11"/>
  <c r="P14" i="11"/>
  <c r="Q14" i="11"/>
  <c r="S14" i="11"/>
  <c r="U14" i="11"/>
  <c r="I9" i="11"/>
  <c r="P9" i="11"/>
  <c r="S9" i="11"/>
  <c r="T14" i="11"/>
  <c r="C14" i="11"/>
  <c r="L14" i="11"/>
  <c r="C9" i="11"/>
  <c r="L9" i="11"/>
  <c r="J14" i="11"/>
  <c r="H14" i="11"/>
  <c r="P13" i="11"/>
  <c r="Q13" i="11"/>
  <c r="S13" i="11"/>
  <c r="U13" i="11"/>
  <c r="T13" i="11"/>
  <c r="C13" i="11"/>
  <c r="L13" i="11"/>
  <c r="C8" i="11"/>
  <c r="L8" i="11"/>
  <c r="J13" i="11"/>
  <c r="P12" i="11"/>
  <c r="Q12" i="11"/>
  <c r="S12" i="11"/>
  <c r="U12" i="11"/>
  <c r="C12" i="11"/>
  <c r="L12" i="11"/>
  <c r="P11" i="11"/>
  <c r="Q11" i="11"/>
  <c r="S11" i="11"/>
  <c r="U11" i="11"/>
  <c r="C11" i="11"/>
  <c r="L11" i="11"/>
  <c r="H10" i="11"/>
  <c r="H9" i="11"/>
  <c r="T8" i="11"/>
  <c r="H8" i="11"/>
  <c r="U7" i="11"/>
  <c r="L7" i="11"/>
  <c r="N7" i="11"/>
  <c r="I7" i="11"/>
  <c r="U6" i="11"/>
  <c r="L6" i="11"/>
  <c r="N6" i="11"/>
  <c r="I6" i="11"/>
  <c r="P25" i="1"/>
  <c r="C43" i="1"/>
  <c r="I2" i="9"/>
  <c r="I14" i="8"/>
  <c r="P14" i="8"/>
  <c r="Q14" i="8"/>
  <c r="S14" i="8"/>
  <c r="U14" i="8"/>
  <c r="I3" i="6"/>
  <c r="E12" i="6"/>
  <c r="I9" i="8"/>
  <c r="P9" i="8"/>
  <c r="S9" i="8"/>
  <c r="V7" i="8"/>
  <c r="V15" i="8"/>
  <c r="I15" i="8"/>
  <c r="P15" i="8"/>
  <c r="Q15" i="8"/>
  <c r="S15" i="8"/>
  <c r="U15" i="8"/>
  <c r="I10" i="8"/>
  <c r="P10" i="8"/>
  <c r="Q10" i="8"/>
  <c r="S10" i="8"/>
  <c r="T15" i="8"/>
  <c r="C15" i="8"/>
  <c r="L15" i="8"/>
  <c r="C10" i="8"/>
  <c r="L10" i="8"/>
  <c r="J15" i="8"/>
  <c r="H15" i="8"/>
  <c r="T14" i="8"/>
  <c r="C14" i="8"/>
  <c r="L14" i="8"/>
  <c r="C9" i="8"/>
  <c r="L9" i="8"/>
  <c r="J14" i="8"/>
  <c r="H14" i="8"/>
  <c r="P13" i="8"/>
  <c r="Q13" i="8"/>
  <c r="S13" i="8"/>
  <c r="U13" i="8"/>
  <c r="I8" i="8"/>
  <c r="P8" i="8"/>
  <c r="Q8" i="8"/>
  <c r="S8" i="8"/>
  <c r="T13" i="8"/>
  <c r="C13" i="8"/>
  <c r="L13" i="8"/>
  <c r="C8" i="8"/>
  <c r="L8" i="8"/>
  <c r="J13" i="8"/>
  <c r="P12" i="8"/>
  <c r="Q12" i="8"/>
  <c r="S12" i="8"/>
  <c r="U12" i="8"/>
  <c r="C12" i="8"/>
  <c r="L12" i="8"/>
  <c r="P11" i="8"/>
  <c r="Q11" i="8"/>
  <c r="S11" i="8"/>
  <c r="U11" i="8"/>
  <c r="C11" i="8"/>
  <c r="L11" i="8"/>
  <c r="H10" i="8"/>
  <c r="H9" i="8"/>
  <c r="T8" i="8"/>
  <c r="H8" i="8"/>
  <c r="U7" i="8"/>
  <c r="L7" i="8"/>
  <c r="N7" i="8"/>
  <c r="I7" i="8"/>
  <c r="U6" i="8"/>
  <c r="L6" i="8"/>
  <c r="N6" i="8"/>
  <c r="I6" i="8"/>
  <c r="E25" i="1"/>
  <c r="L25" i="1"/>
  <c r="P11" i="1"/>
  <c r="Q11" i="1"/>
  <c r="S11" i="1"/>
  <c r="Q12" i="1"/>
  <c r="Q13" i="1"/>
  <c r="Q14" i="1"/>
  <c r="Q15" i="1"/>
  <c r="I15" i="1"/>
  <c r="P15" i="1"/>
  <c r="S15" i="1"/>
  <c r="I14" i="1"/>
  <c r="P14" i="1"/>
  <c r="S14" i="1"/>
  <c r="P13" i="1"/>
  <c r="S13" i="1"/>
  <c r="P12" i="1"/>
  <c r="S12" i="1"/>
  <c r="U15" i="1"/>
  <c r="I10" i="1"/>
  <c r="P10" i="1"/>
  <c r="Q10" i="1"/>
  <c r="S10" i="1"/>
  <c r="T15" i="1"/>
  <c r="C15" i="1"/>
  <c r="L15" i="1"/>
  <c r="C10" i="1"/>
  <c r="L10" i="1"/>
  <c r="J15" i="1"/>
  <c r="H15" i="1"/>
  <c r="U14" i="1"/>
  <c r="I9" i="1"/>
  <c r="P9" i="1"/>
  <c r="S9" i="1"/>
  <c r="T14" i="1"/>
  <c r="C14" i="1"/>
  <c r="L14" i="1"/>
  <c r="C9" i="1"/>
  <c r="L9" i="1"/>
  <c r="J14" i="1"/>
  <c r="H14" i="1"/>
  <c r="U13" i="1"/>
  <c r="I8" i="1"/>
  <c r="P8" i="1"/>
  <c r="Q8" i="1"/>
  <c r="S8" i="1"/>
  <c r="T13" i="1"/>
  <c r="C13" i="1"/>
  <c r="L13" i="1"/>
  <c r="C8" i="1"/>
  <c r="L8" i="1"/>
  <c r="J13" i="1"/>
  <c r="U12" i="1"/>
  <c r="C12" i="1"/>
  <c r="L12" i="1"/>
  <c r="U11" i="1"/>
  <c r="C11" i="1"/>
  <c r="L11" i="1"/>
  <c r="H10" i="1"/>
  <c r="H9" i="1"/>
  <c r="T8" i="1"/>
  <c r="H8" i="1"/>
  <c r="L7" i="1"/>
  <c r="N7" i="1"/>
  <c r="U7" i="1"/>
  <c r="I7" i="1"/>
  <c r="L6" i="1"/>
  <c r="N6" i="1"/>
  <c r="U6" i="1"/>
  <c r="I6" i="1"/>
  <c r="P29" i="1"/>
  <c r="X29" i="1"/>
  <c r="D29" i="1"/>
  <c r="E29" i="1"/>
  <c r="D28" i="1"/>
  <c r="E28" i="1"/>
  <c r="E31" i="1"/>
  <c r="L31" i="1"/>
  <c r="I1" i="5"/>
  <c r="O12" i="5"/>
  <c r="I2" i="10"/>
  <c r="G15" i="7"/>
  <c r="P15" i="7"/>
  <c r="V15" i="7"/>
  <c r="C24" i="7"/>
  <c r="I3" i="5"/>
  <c r="P14" i="7"/>
  <c r="U14" i="7"/>
  <c r="T15" i="7"/>
  <c r="C23" i="7"/>
  <c r="C22" i="7"/>
  <c r="P7" i="7"/>
  <c r="S7" i="7"/>
  <c r="U7" i="7"/>
  <c r="I6" i="7"/>
  <c r="P6" i="7"/>
  <c r="S6" i="7"/>
  <c r="T7" i="7"/>
  <c r="C7" i="7"/>
  <c r="L7" i="7"/>
  <c r="C6" i="7"/>
  <c r="L6" i="7"/>
  <c r="H6" i="7"/>
  <c r="G14" i="7"/>
  <c r="E14" i="7"/>
  <c r="L14" i="7"/>
  <c r="E15" i="7"/>
  <c r="N15" i="7"/>
  <c r="L15" i="7"/>
  <c r="E12" i="5"/>
  <c r="E13" i="5"/>
  <c r="E14" i="5"/>
  <c r="I4" i="5"/>
  <c r="I14" i="7"/>
  <c r="I24" i="1"/>
  <c r="I3" i="4"/>
  <c r="G22" i="1"/>
  <c r="D23" i="1"/>
  <c r="E23" i="1"/>
  <c r="E22" i="1"/>
  <c r="I3" i="9"/>
  <c r="K39" i="7"/>
  <c r="I39" i="7"/>
  <c r="P39" i="7"/>
  <c r="Q40" i="7"/>
  <c r="O40" i="7"/>
  <c r="I3" i="10"/>
  <c r="J39" i="7"/>
  <c r="I15" i="6"/>
  <c r="I4" i="6"/>
  <c r="O12" i="6"/>
  <c r="Q24" i="8"/>
  <c r="I24" i="8"/>
  <c r="G22" i="8"/>
  <c r="G40" i="7"/>
  <c r="G39" i="7"/>
  <c r="H40" i="7"/>
  <c r="B12" i="6"/>
  <c r="G1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01BBEB9A-1FF3-413D-82FE-0D364F15285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0CF22C85-28FB-4D97-92FF-0F9E355309C0}">
      <text>
        <r>
          <rPr>
            <sz val="8"/>
            <color indexed="81"/>
            <rFont val="Tahoma"/>
            <family val="2"/>
          </rPr>
          <t>This is the amount of snow that is above the summer surface.  The value should always be positive or zero.</t>
        </r>
      </text>
    </comment>
    <comment ref="A3" authorId="0" shapeId="0" xr:uid="{831C3C6D-8D59-4D38-8A39-B7807FA20148}">
      <text>
        <r>
          <rPr>
            <b/>
            <sz val="8"/>
            <color indexed="81"/>
            <rFont val="Tahoma"/>
            <family val="2"/>
          </rPr>
          <t>GAAdmin:</t>
        </r>
        <r>
          <rPr>
            <sz val="8"/>
            <color indexed="81"/>
            <rFont val="Tahoma"/>
            <family val="2"/>
          </rPr>
          <t xml:space="preserve">
The stake with which the observations were made.</t>
        </r>
      </text>
    </comment>
    <comment ref="B3" authorId="0" shapeId="0" xr:uid="{CB17A041-80E2-457F-AA2F-32C166CFAC1F}">
      <text>
        <r>
          <rPr>
            <b/>
            <sz val="8"/>
            <color indexed="81"/>
            <rFont val="Tahoma"/>
            <family val="2"/>
          </rPr>
          <t>GAAdmin:</t>
        </r>
        <r>
          <rPr>
            <sz val="8"/>
            <color indexed="81"/>
            <rFont val="Tahoma"/>
            <family val="2"/>
          </rPr>
          <t xml:space="preserve">
Date of observations</t>
        </r>
      </text>
    </comment>
    <comment ref="C3" authorId="0" shapeId="0" xr:uid="{F2E86AA4-C95F-4001-940E-D5A9B709E761}">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CCED0497-1C61-47C9-9E5F-048A07C6CD7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D15935CA-03CC-4EDF-B72A-26CDD98E5D35}">
      <text>
        <r>
          <rPr>
            <sz val="8"/>
            <color indexed="81"/>
            <rFont val="Tahoma"/>
            <family val="2"/>
          </rPr>
          <t>Type of surface strata:
Glacier Ice, Snow, Superimposed Ice, Old Firn or New Firn.  For the Fall surveys this should be the surface strata beneath any fresh snow.</t>
        </r>
      </text>
    </comment>
    <comment ref="G3" authorId="0" shapeId="0" xr:uid="{AA653554-4529-4E40-B23C-4336DCCF958D}">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2638544A-BE81-4289-8CD7-0169E269F753}">
      <text>
        <r>
          <rPr>
            <b/>
            <sz val="8"/>
            <color indexed="81"/>
            <rFont val="Tahoma"/>
            <family val="2"/>
          </rPr>
          <t>GAAdmin:</t>
        </r>
        <r>
          <rPr>
            <sz val="8"/>
            <color indexed="81"/>
            <rFont val="Tahoma"/>
            <family val="2"/>
          </rPr>
          <t xml:space="preserve">
Average depth of snow from probing
</t>
        </r>
      </text>
    </comment>
    <comment ref="I3" authorId="0" shapeId="0" xr:uid="{694D4165-0F7D-49C4-A30C-FDD41CBE512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F288FB49-501B-4C7D-BA9B-83BA10C534A6}">
      <text>
        <r>
          <rPr>
            <b/>
            <sz val="8"/>
            <color indexed="81"/>
            <rFont val="Tahoma"/>
            <family val="2"/>
          </rPr>
          <t>GAAdmin:</t>
        </r>
        <r>
          <rPr>
            <sz val="8"/>
            <color indexed="81"/>
            <rFont val="Tahoma"/>
            <family val="2"/>
          </rPr>
          <t xml:space="preserve">
number of observations of snow depth</t>
        </r>
      </text>
    </comment>
    <comment ref="L3" authorId="0" shapeId="0" xr:uid="{CA212D8F-F97D-469B-9B88-FD9764229D28}">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782CCF17-537A-4A93-9950-F4CFBFABD6E5}">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CDC2FA61-FB8A-410E-B759-052BDB628152}">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EF6C2961-9111-41FE-900C-4B9AE2A56A9D}">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E0C1DAF-FDA8-4CEF-86D8-DBDB899C080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9E9ABB0-0EDB-462B-B081-6EBBEB2E8066}">
      <text>
        <r>
          <rPr>
            <sz val="8"/>
            <color indexed="81"/>
            <rFont val="Tahoma"/>
            <family val="2"/>
          </rPr>
          <t>Average density of the material above ss.</t>
        </r>
      </text>
    </comment>
    <comment ref="R3" authorId="0" shapeId="0" xr:uid="{CFAF206D-DC41-4A0D-9294-F8651BF1E142}">
      <text>
        <r>
          <rPr>
            <b/>
            <sz val="8"/>
            <color indexed="81"/>
            <rFont val="Tahoma"/>
            <family val="2"/>
          </rPr>
          <t>GAAdmin:</t>
        </r>
        <r>
          <rPr>
            <sz val="8"/>
            <color indexed="81"/>
            <rFont val="Tahoma"/>
            <family val="2"/>
          </rPr>
          <t xml:space="preserve">
Is the Density Estimated (E) or is it Measured (M) ?</t>
        </r>
      </text>
    </comment>
    <comment ref="S3" authorId="0" shapeId="0" xr:uid="{52AA0F64-0BF3-40BD-A431-50DA3DE3C319}">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DCE046DD-C4B1-4329-8C7B-C495F5AF8E83}">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V3" authorId="0" shapeId="0" xr:uid="{F6F31AFA-9CE0-405D-B2CF-36374439DBA8}">
      <text>
        <r>
          <rPr>
            <sz val="8"/>
            <color indexed="81"/>
            <rFont val="Tahoma"/>
            <family val="2"/>
          </rPr>
          <t>This is the accumulative balance since 1991.  It is the sum of all net balances since the monitoring began.</t>
        </r>
      </text>
    </comment>
    <comment ref="L4" authorId="0" shapeId="0" xr:uid="{7BECC852-E81A-4C81-9A2B-271FCE0D144D}">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70E5391D-F81B-4C4D-AA31-3E441B22C4C9}">
      <text/>
    </comment>
    <comment ref="J5" authorId="1" shapeId="0" xr:uid="{62283711-08C4-44F7-A113-360804BCA93D}">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G9" authorId="1" shapeId="0" xr:uid="{BECBF7F4-AD55-469C-922F-3BE0A9D2BDD7}">
      <text>
        <r>
          <rPr>
            <b/>
            <sz val="9"/>
            <color indexed="81"/>
            <rFont val="Tahoma"/>
            <family val="2"/>
          </rPr>
          <t>Rob Burrows:</t>
        </r>
        <r>
          <rPr>
            <sz val="9"/>
            <color indexed="81"/>
            <rFont val="Tahoma"/>
            <family val="2"/>
          </rPr>
          <t xml:space="preserve">
This probe probably did not reach all the way to the last year's SS.  See cell K81.</t>
        </r>
      </text>
    </comment>
    <comment ref="Q11" authorId="1" shapeId="0" xr:uid="{6F10EE3A-BE89-47F0-AD7A-29E465C8359E}">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A19" authorId="0" shapeId="0" xr:uid="{FC112848-F38F-40B0-BF45-3E39142C1816}">
      <text>
        <r>
          <rPr>
            <b/>
            <sz val="8"/>
            <color indexed="81"/>
            <rFont val="Tahoma"/>
            <family val="2"/>
          </rPr>
          <t>GAAdmin:</t>
        </r>
        <r>
          <rPr>
            <sz val="8"/>
            <color indexed="81"/>
            <rFont val="Tahoma"/>
            <family val="2"/>
          </rPr>
          <t xml:space="preserve">
The stake with which the observations were made.</t>
        </r>
      </text>
    </comment>
    <comment ref="B19" authorId="0" shapeId="0" xr:uid="{A03E4B82-1956-47CA-BBF3-EE7D6462AEA3}">
      <text>
        <r>
          <rPr>
            <b/>
            <sz val="8"/>
            <color indexed="81"/>
            <rFont val="Tahoma"/>
            <family val="2"/>
          </rPr>
          <t>GAAdmin:</t>
        </r>
        <r>
          <rPr>
            <sz val="8"/>
            <color indexed="81"/>
            <rFont val="Tahoma"/>
            <family val="2"/>
          </rPr>
          <t xml:space="preserve">
Date of observations</t>
        </r>
      </text>
    </comment>
    <comment ref="C19" authorId="2" shapeId="0" xr:uid="{8484066F-EF71-4B3B-B736-4BDB9029F5DA}">
      <text>
        <r>
          <rPr>
            <b/>
            <sz val="9"/>
            <color indexed="81"/>
            <rFont val="Tahoma"/>
            <family val="2"/>
          </rPr>
          <t>cmcneil:</t>
        </r>
        <r>
          <rPr>
            <sz val="9"/>
            <color indexed="81"/>
            <rFont val="Tahoma"/>
            <family val="2"/>
          </rPr>
          <t xml:space="preserve">
Total length of stake</t>
        </r>
      </text>
    </comment>
    <comment ref="D19" authorId="2" shapeId="0" xr:uid="{646722C3-2FAA-49A5-B7B8-05DCD2BBE540}">
      <text>
        <r>
          <rPr>
            <b/>
            <sz val="9"/>
            <color indexed="81"/>
            <rFont val="Tahoma"/>
            <family val="2"/>
          </rPr>
          <t>cmcneil:</t>
        </r>
        <r>
          <rPr>
            <sz val="9"/>
            <color indexed="81"/>
            <rFont val="Tahoma"/>
            <family val="2"/>
          </rPr>
          <t xml:space="preserve">
Length of stake above the surface noted in column D</t>
        </r>
      </text>
    </comment>
    <comment ref="E19" authorId="2" shapeId="0" xr:uid="{B6D2F4E7-FD9D-4224-AD5F-32BC29797020}">
      <text>
        <r>
          <rPr>
            <b/>
            <sz val="9"/>
            <color indexed="81"/>
            <rFont val="Tahoma"/>
            <family val="2"/>
          </rPr>
          <t>cmcneil:</t>
        </r>
        <r>
          <rPr>
            <sz val="9"/>
            <color indexed="81"/>
            <rFont val="Tahoma"/>
            <family val="2"/>
          </rPr>
          <t xml:space="preserve">
Length of stake still below the surface noted in column D</t>
        </r>
      </text>
    </comment>
    <comment ref="F19" authorId="0" shapeId="0" xr:uid="{0264C54D-3ECB-4C66-8094-887912F7B91C}">
      <text>
        <r>
          <rPr>
            <sz val="8"/>
            <color indexed="81"/>
            <rFont val="Tahoma"/>
            <family val="2"/>
          </rPr>
          <t>Type of surface strata:
Glacier Ice, Snow, Superimposed Ice, Old Firn or New Firn.  For the Fall surveys this should be the surface strata beneath any fresh snow.</t>
        </r>
      </text>
    </comment>
    <comment ref="G19" authorId="0" shapeId="0" xr:uid="{024FC35E-9571-4D29-8972-2C64BF4DC132}">
      <text>
        <r>
          <rPr>
            <b/>
            <sz val="8"/>
            <color indexed="81"/>
            <rFont val="Tahoma"/>
            <family val="2"/>
          </rPr>
          <t>GAAdmin:</t>
        </r>
        <r>
          <rPr>
            <sz val="8"/>
            <color indexed="81"/>
            <rFont val="Tahoma"/>
            <family val="2"/>
          </rPr>
          <t xml:space="preserve">
Average depth of snow as determined in snow pit.</t>
        </r>
      </text>
    </comment>
    <comment ref="H19" authorId="0" shapeId="0" xr:uid="{8DA4C6B1-31C8-4B1A-8653-FE1F4BF4579F}">
      <text>
        <r>
          <rPr>
            <b/>
            <sz val="8"/>
            <color indexed="81"/>
            <rFont val="Tahoma"/>
            <family val="2"/>
          </rPr>
          <t>GAAdmin:</t>
        </r>
        <r>
          <rPr>
            <sz val="8"/>
            <color indexed="81"/>
            <rFont val="Tahoma"/>
            <family val="2"/>
          </rPr>
          <t xml:space="preserve">
Average depth of snow from probing
</t>
        </r>
      </text>
    </comment>
    <comment ref="I19" authorId="0" shapeId="0" xr:uid="{870CF73D-5C32-4204-9DF9-860AE2245BEB}">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9" authorId="0" shapeId="0" xr:uid="{6B7EDB83-EB95-4639-A067-601D354D45F1}">
      <text>
        <r>
          <rPr>
            <b/>
            <sz val="8"/>
            <color indexed="81"/>
            <rFont val="Tahoma"/>
            <family val="2"/>
          </rPr>
          <t>GAAdmin:</t>
        </r>
        <r>
          <rPr>
            <sz val="8"/>
            <color indexed="81"/>
            <rFont val="Tahoma"/>
            <family val="2"/>
          </rPr>
          <t xml:space="preserve">
Standard Error</t>
        </r>
      </text>
    </comment>
    <comment ref="K19" authorId="0" shapeId="0" xr:uid="{3C1B1365-51CC-4003-AB72-44A4F53EA572}">
      <text>
        <r>
          <rPr>
            <b/>
            <sz val="8"/>
            <color indexed="81"/>
            <rFont val="Tahoma"/>
            <family val="2"/>
          </rPr>
          <t>GAAdmin:</t>
        </r>
        <r>
          <rPr>
            <sz val="8"/>
            <color indexed="81"/>
            <rFont val="Tahoma"/>
            <family val="2"/>
          </rPr>
          <t xml:space="preserve">
number of observations of snow depth</t>
        </r>
      </text>
    </comment>
    <comment ref="M19" authorId="0" shapeId="0" xr:uid="{6156D274-69CE-420D-BD5B-5922A8D583C6}">
      <text>
        <r>
          <rPr>
            <b/>
            <sz val="8"/>
            <color indexed="81"/>
            <rFont val="Tahoma"/>
            <family val="2"/>
          </rPr>
          <t>GAAdmin:</t>
        </r>
        <r>
          <rPr>
            <sz val="8"/>
            <color indexed="81"/>
            <rFont val="Tahoma"/>
            <family val="2"/>
          </rPr>
          <t xml:space="preserve">
This density is estimated and is based on the surface strata of the previous survey.</t>
        </r>
      </text>
    </comment>
    <comment ref="O19" authorId="0" shapeId="0" xr:uid="{58E13E0C-8E63-41D3-AFA0-FC476C903FA0}">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9" authorId="0" shapeId="0" xr:uid="{9A780352-F393-4E7A-9C40-A54CAE145813}">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9" authorId="0" shapeId="0" xr:uid="{F455BAA3-5C1E-4A2A-9B2D-15D84DFCFF8E}">
      <text>
        <r>
          <rPr>
            <sz val="8"/>
            <color indexed="81"/>
            <rFont val="Tahoma"/>
            <family val="2"/>
          </rPr>
          <t>Average density of the material above ss.</t>
        </r>
      </text>
    </comment>
    <comment ref="T19" authorId="2" shapeId="0" xr:uid="{856B33EA-FDDC-4C70-87B9-3C910A59DA7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9" authorId="2" shapeId="0" xr:uid="{C9E382A8-E9B9-49FB-B0CD-C511879FEBE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9" authorId="2" shapeId="0" xr:uid="{4F9CFD79-05DC-43DA-9DF3-ED001405E71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9" authorId="2" shapeId="0" xr:uid="{C3D51F24-7739-40A3-A8D6-CE5E37314B11}">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9" authorId="2" shapeId="0" xr:uid="{76B183A0-08CE-44D3-9C16-C880EA968185}">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F23" authorId="3" shapeId="0" xr:uid="{0E34ED80-79FD-4ECD-9D35-D1D5FD706BB1}">
      <text>
        <r>
          <rPr>
            <b/>
            <sz val="9"/>
            <color indexed="81"/>
            <rFont val="Tahoma"/>
            <family val="2"/>
          </rPr>
          <t>ehbaker:</t>
        </r>
        <r>
          <rPr>
            <sz val="9"/>
            <color indexed="81"/>
            <rFont val="Tahoma"/>
            <family val="2"/>
          </rPr>
          <t xml:space="preserve">
2012 summer surface</t>
        </r>
      </text>
    </comment>
    <comment ref="Q25" authorId="3" shapeId="0" xr:uid="{425E1717-8B01-49A5-B4D2-4265AE286200}">
      <text>
        <r>
          <rPr>
            <b/>
            <sz val="9"/>
            <color indexed="81"/>
            <rFont val="Tahoma"/>
            <family val="2"/>
          </rPr>
          <t>ehbaker:</t>
        </r>
        <r>
          <rPr>
            <sz val="9"/>
            <color indexed="81"/>
            <rFont val="Tahoma"/>
            <family val="2"/>
          </rPr>
          <t xml:space="preserve">
All Nfirn densities for 2013 as estimated from new firn measured on 8/21/14 at stake 17-B.</t>
        </r>
      </text>
    </comment>
    <comment ref="W25" authorId="3" shapeId="0" xr:uid="{1172F248-4B66-4092-A6A1-8F427ECD8B28}">
      <text>
        <r>
          <rPr>
            <b/>
            <sz val="9"/>
            <color indexed="81"/>
            <rFont val="Tahoma"/>
            <family val="2"/>
          </rPr>
          <t>ehbaker:</t>
        </r>
        <r>
          <rPr>
            <sz val="9"/>
            <color indexed="81"/>
            <rFont val="Tahoma"/>
            <family val="2"/>
          </rPr>
          <t xml:space="preserve">
2012 summer surface found at 4.75 in fall 2012, and 4.77 in fall 2013</t>
        </r>
      </text>
    </comment>
    <comment ref="Q29" authorId="3" shapeId="0" xr:uid="{ECA8EB04-A340-414B-8B74-C446F9EF61BE}">
      <text>
        <r>
          <rPr>
            <b/>
            <sz val="9"/>
            <color indexed="81"/>
            <rFont val="Tahoma"/>
            <family val="2"/>
          </rPr>
          <t>ehbaker:</t>
        </r>
        <r>
          <rPr>
            <sz val="9"/>
            <color indexed="81"/>
            <rFont val="Tahoma"/>
            <family val="2"/>
          </rPr>
          <t xml:space="preserve">
Estimated density of fresh snow</t>
        </r>
      </text>
    </comment>
    <comment ref="G31" authorId="3" shapeId="0" xr:uid="{662FEABC-7DA5-4793-ABCA-0B5DA6C7D672}">
      <text>
        <r>
          <rPr>
            <b/>
            <sz val="9"/>
            <color indexed="81"/>
            <rFont val="Tahoma"/>
            <family val="2"/>
          </rPr>
          <t>ehbaker:</t>
        </r>
        <r>
          <rPr>
            <sz val="9"/>
            <color indexed="81"/>
            <rFont val="Tahoma"/>
            <family val="2"/>
          </rPr>
          <t xml:space="preserve">
Only single measurement; no additional info</t>
        </r>
      </text>
    </comment>
    <comment ref="Q31" authorId="3" shapeId="0" xr:uid="{D72FC97E-6A2A-4BDF-B663-965207E97965}">
      <text>
        <r>
          <rPr>
            <b/>
            <sz val="9"/>
            <color indexed="81"/>
            <rFont val="Tahoma"/>
            <family val="2"/>
          </rPr>
          <t>ehbaker:</t>
        </r>
        <r>
          <rPr>
            <sz val="9"/>
            <color indexed="81"/>
            <rFont val="Tahoma"/>
            <family val="2"/>
          </rPr>
          <t xml:space="preserve">
new firn</t>
        </r>
      </text>
    </comment>
    <comment ref="C43" authorId="3" shapeId="0" xr:uid="{2E1C2DF0-6E24-445B-9844-184DF3359ECB}">
      <text>
        <r>
          <rPr>
            <b/>
            <sz val="9"/>
            <color indexed="81"/>
            <rFont val="Tahoma"/>
            <family val="2"/>
          </rPr>
          <t>ehbaker:</t>
        </r>
        <r>
          <rPr>
            <sz val="9"/>
            <color indexed="81"/>
            <rFont val="Tahoma"/>
            <family val="2"/>
          </rPr>
          <t xml:space="preserve">
From 07-K17 stake only</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94E2EA46-429F-478E-8AD9-9CBD571744C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CD99137D-265E-4258-855B-411556137241}">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7315CAD-32BA-4D1C-B9E6-66673737AE0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88A9669-2152-49AA-8898-1BF88EB508D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F14829A-0FBD-4C83-B612-701A07C7B9D4}">
      <text>
        <r>
          <rPr>
            <sz val="8"/>
            <color indexed="81"/>
            <rFont val="Tahoma"/>
            <family val="2"/>
          </rPr>
          <t xml:space="preserve">Sipre coring auger=45.6cm2 
large tube 41.05 cm2       
small tube 25.6   cm2          
Snow Metrics 1000 cm^3
</t>
        </r>
      </text>
    </comment>
    <comment ref="A10" authorId="2" shapeId="0" xr:uid="{6A69AEF5-2074-4C58-990C-A03C636B45E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BC712B0B-CF80-4FB7-B3E1-87AF4C821FA5}">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C95A4DCA-9D04-4902-95F0-10A75E248986}">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FFF3533B-67CC-402D-BD58-44AA93816D6E}">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G10" authorId="2" shapeId="0" xr:uid="{CBBCB2A2-F519-4256-8545-946B55D6514B}">
      <text>
        <r>
          <rPr>
            <b/>
            <sz val="9"/>
            <color indexed="81"/>
            <rFont val="Tahoma"/>
            <family val="2"/>
          </rPr>
          <t>ehbaker:</t>
        </r>
        <r>
          <rPr>
            <sz val="9"/>
            <color indexed="81"/>
            <rFont val="Tahoma"/>
            <family val="2"/>
          </rPr>
          <t xml:space="preserve">
Only applicable for density measurements that are vertically stacked (3 on top of each other, vs 3 separate holes)
</t>
        </r>
      </text>
    </comment>
    <comment ref="H10" authorId="0" shapeId="0" xr:uid="{5E4D3658-096C-4454-9D25-F6D3F26D71D9}">
      <text>
        <r>
          <rPr>
            <b/>
            <sz val="9"/>
            <color indexed="81"/>
            <rFont val="Tahoma"/>
            <family val="2"/>
          </rPr>
          <t>cmcneil:</t>
        </r>
        <r>
          <rPr>
            <sz val="9"/>
            <color indexed="81"/>
            <rFont val="Tahoma"/>
            <family val="2"/>
          </rPr>
          <t xml:space="preserve">
What was used to measure snow depth</t>
        </r>
      </text>
    </comment>
    <comment ref="I10" authorId="0" shapeId="0" xr:uid="{D8DCF866-E454-4C04-BC75-BEAA72A9D68E}">
      <text>
        <r>
          <rPr>
            <b/>
            <sz val="9"/>
            <color indexed="81"/>
            <rFont val="Tahoma"/>
            <family val="2"/>
          </rPr>
          <t>cmcneil:</t>
        </r>
        <r>
          <rPr>
            <sz val="9"/>
            <color indexed="81"/>
            <rFont val="Tahoma"/>
            <family val="2"/>
          </rPr>
          <t xml:space="preserve">
snow depth observed</t>
        </r>
      </text>
    </comment>
    <comment ref="O10" authorId="2" shapeId="0" xr:uid="{65E4685C-16CE-4FE2-95B9-C7BE574A59E1}">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83A2C325-B0FA-4ABA-BF2C-5ED1C9119BF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5DD977E-AD89-479A-AEFC-6E76E56E168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6375CF1-0E10-44E9-8487-64D15CFABDB9}">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2F1E017-777C-4510-88E0-59E6B70A2AE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DFD10EF-E8A1-47F7-9790-2675AAB3CB62}">
      <text>
        <r>
          <rPr>
            <sz val="8"/>
            <color indexed="81"/>
            <rFont val="Tahoma"/>
            <family val="2"/>
          </rPr>
          <t xml:space="preserve">Sipre coring auger=45.6cm2 
large tube 41.05 cm2       
small tube 25.6   cm2          
Snow Metrics 1000 cm^3
</t>
        </r>
      </text>
    </comment>
    <comment ref="A10" authorId="2" shapeId="0" xr:uid="{077227EC-F6E1-4D58-A160-07688F32C45C}">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BEA51DA4-2767-46EF-AFFD-6DA012C66365}">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B296C57F-1627-4DF6-A7B4-5C252FC605E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5619ADE4-3F6B-479B-A944-744E516F2E09}">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G10" authorId="2" shapeId="0" xr:uid="{2DEB150B-090D-45E9-A183-EE9C8F125587}">
      <text>
        <r>
          <rPr>
            <b/>
            <sz val="9"/>
            <color indexed="81"/>
            <rFont val="Tahoma"/>
            <family val="2"/>
          </rPr>
          <t>ehbaker:</t>
        </r>
        <r>
          <rPr>
            <sz val="9"/>
            <color indexed="81"/>
            <rFont val="Tahoma"/>
            <family val="2"/>
          </rPr>
          <t xml:space="preserve">
Only applicable for density measurements that are vertically stacked (3 on top of each other, vs 3 separate holes)
</t>
        </r>
      </text>
    </comment>
    <comment ref="H10" authorId="0" shapeId="0" xr:uid="{4A11121F-7542-4DD5-9C2D-8CCD66AB3061}">
      <text>
        <r>
          <rPr>
            <b/>
            <sz val="9"/>
            <color indexed="81"/>
            <rFont val="Tahoma"/>
            <family val="2"/>
          </rPr>
          <t>cmcneil:</t>
        </r>
        <r>
          <rPr>
            <sz val="9"/>
            <color indexed="81"/>
            <rFont val="Tahoma"/>
            <family val="2"/>
          </rPr>
          <t xml:space="preserve">
What was used to measure snow depth</t>
        </r>
      </text>
    </comment>
    <comment ref="I10" authorId="0" shapeId="0" xr:uid="{78D04642-6AFA-403F-8735-31AC97152C48}">
      <text>
        <r>
          <rPr>
            <b/>
            <sz val="9"/>
            <color indexed="81"/>
            <rFont val="Tahoma"/>
            <family val="2"/>
          </rPr>
          <t>cmcneil:</t>
        </r>
        <r>
          <rPr>
            <sz val="9"/>
            <color indexed="81"/>
            <rFont val="Tahoma"/>
            <family val="2"/>
          </rPr>
          <t xml:space="preserve">
snow depth observed</t>
        </r>
      </text>
    </comment>
    <comment ref="O10" authorId="2" shapeId="0" xr:uid="{BDE79FF8-AE98-4DC8-9879-51D1F3FEEABB}">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C09FC77B-5F8C-46A6-87A4-F8AE8A5352C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F7C1AEDD-574B-4536-935D-9FC1F3311C3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67D2DD9-EEEC-4D20-8550-E6AE89E6900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D93C140-89E4-49C2-AE45-A4BA58131D9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E609FF2-4B8E-43AD-BA16-6349DC46E0C4}">
      <text>
        <r>
          <rPr>
            <sz val="8"/>
            <color indexed="81"/>
            <rFont val="Tahoma"/>
            <family val="2"/>
          </rPr>
          <t xml:space="preserve">Sipre coring auger=45.6cm2 
large tube 41.05 cm2       
small tube 25.6   cm2          
Snow Metrics 1000 cm^3
</t>
        </r>
      </text>
    </comment>
    <comment ref="A10" authorId="2" shapeId="0" xr:uid="{EF11342D-0729-4172-95DB-0B6F75953E8A}">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030460EC-2F30-47DE-A12B-D79592BC3C7A}">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AE8FBF2-DC60-4F6A-A3C5-7676ADBC2951}">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5C4E3F72-9937-4809-A9E0-BE1ED4FD1DC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G10" authorId="2" shapeId="0" xr:uid="{324BDA98-C7B5-4623-AE40-ECF1CFB65982}">
      <text>
        <r>
          <rPr>
            <b/>
            <sz val="9"/>
            <color indexed="81"/>
            <rFont val="Tahoma"/>
            <family val="2"/>
          </rPr>
          <t>ehbaker:</t>
        </r>
        <r>
          <rPr>
            <sz val="9"/>
            <color indexed="81"/>
            <rFont val="Tahoma"/>
            <family val="2"/>
          </rPr>
          <t xml:space="preserve">
Only applicable for density measurements that are vertically stacked (3 on top of each other, vs 3 separate holes)
</t>
        </r>
      </text>
    </comment>
    <comment ref="H10" authorId="0" shapeId="0" xr:uid="{CEB6CDA1-09F2-4A96-874D-104DDBC2EA13}">
      <text>
        <r>
          <rPr>
            <b/>
            <sz val="9"/>
            <color indexed="81"/>
            <rFont val="Tahoma"/>
            <family val="2"/>
          </rPr>
          <t>cmcneil:</t>
        </r>
        <r>
          <rPr>
            <sz val="9"/>
            <color indexed="81"/>
            <rFont val="Tahoma"/>
            <family val="2"/>
          </rPr>
          <t xml:space="preserve">
What was used to measure snow depth</t>
        </r>
      </text>
    </comment>
    <comment ref="I10" authorId="0" shapeId="0" xr:uid="{0425B407-D677-4B9C-95C7-EAD55101B0A1}">
      <text>
        <r>
          <rPr>
            <b/>
            <sz val="9"/>
            <color indexed="81"/>
            <rFont val="Tahoma"/>
            <family val="2"/>
          </rPr>
          <t>cmcneil:</t>
        </r>
        <r>
          <rPr>
            <sz val="9"/>
            <color indexed="81"/>
            <rFont val="Tahoma"/>
            <family val="2"/>
          </rPr>
          <t xml:space="preserve">
snow depth observed</t>
        </r>
      </text>
    </comment>
    <comment ref="O10" authorId="2" shapeId="0" xr:uid="{23E19672-D908-4589-BE2D-50B7A664EB33}">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9DD0F744-4410-465D-82F1-F9BCB8152B5D}">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343EBCAD-F255-4BCA-AC30-B1C84B2470F4}">
      <text>
        <r>
          <rPr>
            <sz val="8"/>
            <color indexed="81"/>
            <rFont val="Tahoma"/>
            <family val="2"/>
          </rPr>
          <t>This is the amount of snow that is above the summer surface.  The value should always be positive or zero.</t>
        </r>
      </text>
    </comment>
    <comment ref="A3" authorId="0" shapeId="0" xr:uid="{D3868AAE-440D-4D9F-9EA4-1C10C25AB3B0}">
      <text>
        <r>
          <rPr>
            <b/>
            <sz val="8"/>
            <color indexed="81"/>
            <rFont val="Tahoma"/>
            <family val="2"/>
          </rPr>
          <t>GAAdmin:</t>
        </r>
        <r>
          <rPr>
            <sz val="8"/>
            <color indexed="81"/>
            <rFont val="Tahoma"/>
            <family val="2"/>
          </rPr>
          <t xml:space="preserve">
The stake with which the observations were made.</t>
        </r>
      </text>
    </comment>
    <comment ref="B3" authorId="0" shapeId="0" xr:uid="{C5B56326-7A44-4E78-B25E-F3E14ACCC005}">
      <text>
        <r>
          <rPr>
            <b/>
            <sz val="8"/>
            <color indexed="81"/>
            <rFont val="Tahoma"/>
            <family val="2"/>
          </rPr>
          <t>GAAdmin:</t>
        </r>
        <r>
          <rPr>
            <sz val="8"/>
            <color indexed="81"/>
            <rFont val="Tahoma"/>
            <family val="2"/>
          </rPr>
          <t xml:space="preserve">
Date of observations</t>
        </r>
      </text>
    </comment>
    <comment ref="C3" authorId="0" shapeId="0" xr:uid="{2C554918-0DE2-47A7-A941-64A815602258}">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084F67E5-5241-4AC5-B687-49122D1F8984}">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647AC0DC-392C-4C73-B9C6-92D8A7159A1E}">
      <text>
        <r>
          <rPr>
            <sz val="8"/>
            <color indexed="81"/>
            <rFont val="Tahoma"/>
            <family val="2"/>
          </rPr>
          <t>Type of surface strata:
Glacier Ice, Snow, Superimposed Ice, Old Firn or New Firn.  For the Fall surveys this should be the surface strata beneath any fresh snow.</t>
        </r>
      </text>
    </comment>
    <comment ref="G3" authorId="0" shapeId="0" xr:uid="{103E2FEC-DC71-4134-B73D-13E63F1B5AD1}">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B2124316-713D-4B39-AA91-5C3788821E06}">
      <text>
        <r>
          <rPr>
            <b/>
            <sz val="8"/>
            <color indexed="81"/>
            <rFont val="Tahoma"/>
            <family val="2"/>
          </rPr>
          <t>GAAdmin:</t>
        </r>
        <r>
          <rPr>
            <sz val="8"/>
            <color indexed="81"/>
            <rFont val="Tahoma"/>
            <family val="2"/>
          </rPr>
          <t xml:space="preserve">
Average depth of snow from probing
</t>
        </r>
      </text>
    </comment>
    <comment ref="I3" authorId="0" shapeId="0" xr:uid="{3D83B089-17E5-4323-9CA7-D955AA635677}">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E651DCD9-901B-4E31-821B-3656E5D63234}">
      <text>
        <r>
          <rPr>
            <b/>
            <sz val="8"/>
            <color indexed="81"/>
            <rFont val="Tahoma"/>
            <family val="2"/>
          </rPr>
          <t>GAAdmin:</t>
        </r>
        <r>
          <rPr>
            <sz val="8"/>
            <color indexed="81"/>
            <rFont val="Tahoma"/>
            <family val="2"/>
          </rPr>
          <t xml:space="preserve">
number of observations of snow depth</t>
        </r>
      </text>
    </comment>
    <comment ref="L3" authorId="0" shapeId="0" xr:uid="{972F05A1-B2DE-4D60-B36C-843645234F92}">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661C3C2A-46D3-4333-808F-5364BADA17A3}">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77EC1A9C-693A-49E1-B785-AFC2DED5C3D7}">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20D0E96C-953F-45CD-9754-C03137AF798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CB7A1BC9-8A99-4DAA-A77E-FE6DDB68E115}">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99C98693-C55B-41BD-B698-8BF30CA9D1FC}">
      <text>
        <r>
          <rPr>
            <sz val="8"/>
            <color indexed="81"/>
            <rFont val="Tahoma"/>
            <family val="2"/>
          </rPr>
          <t>Average density of the material above ss.</t>
        </r>
      </text>
    </comment>
    <comment ref="R3" authorId="0" shapeId="0" xr:uid="{B0F9DACB-9BAB-43D5-AC1D-B0A612C70986}">
      <text>
        <r>
          <rPr>
            <b/>
            <sz val="8"/>
            <color indexed="81"/>
            <rFont val="Tahoma"/>
            <family val="2"/>
          </rPr>
          <t>GAAdmin:</t>
        </r>
        <r>
          <rPr>
            <sz val="8"/>
            <color indexed="81"/>
            <rFont val="Tahoma"/>
            <family val="2"/>
          </rPr>
          <t xml:space="preserve">
Is the Density Estimated (E) or is it Measured (M) ?</t>
        </r>
      </text>
    </comment>
    <comment ref="S3" authorId="0" shapeId="0" xr:uid="{4052285B-40E0-4CF9-8D44-87E97B5D5FEE}">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35A65797-6E9B-44A8-946A-962BED05769F}">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V3" authorId="0" shapeId="0" xr:uid="{D002FAE9-E192-45CF-866F-A41303F45122}">
      <text>
        <r>
          <rPr>
            <sz val="8"/>
            <color indexed="81"/>
            <rFont val="Tahoma"/>
            <family val="2"/>
          </rPr>
          <t>This is the accumulative balance since 1991.  It is the sum of all net balances since the monitoring began.</t>
        </r>
      </text>
    </comment>
    <comment ref="L4" authorId="0" shapeId="0" xr:uid="{ADE6C5D4-0581-4B4E-A5FE-7117351036F4}">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5E429F0C-2EEA-4A1C-9DF3-A7B4769DD7D9}">
      <text/>
    </comment>
    <comment ref="J5" authorId="1" shapeId="0" xr:uid="{D343B3C0-B28D-4545-8742-A1FF5B485849}">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A11" authorId="0" shapeId="0" xr:uid="{13D2070F-3EF0-4BE4-8ADA-D40991D84AB5}">
      <text>
        <r>
          <rPr>
            <b/>
            <sz val="8"/>
            <color indexed="81"/>
            <rFont val="Tahoma"/>
            <family val="2"/>
          </rPr>
          <t>GAAdmin:</t>
        </r>
        <r>
          <rPr>
            <sz val="8"/>
            <color indexed="81"/>
            <rFont val="Tahoma"/>
            <family val="2"/>
          </rPr>
          <t xml:space="preserve">
The stake with which the observations were made.</t>
        </r>
      </text>
    </comment>
    <comment ref="B11" authorId="0" shapeId="0" xr:uid="{1B918089-4B46-4497-AA3F-603A6431ACD8}">
      <text>
        <r>
          <rPr>
            <b/>
            <sz val="8"/>
            <color indexed="81"/>
            <rFont val="Tahoma"/>
            <family val="2"/>
          </rPr>
          <t>GAAdmin:</t>
        </r>
        <r>
          <rPr>
            <sz val="8"/>
            <color indexed="81"/>
            <rFont val="Tahoma"/>
            <family val="2"/>
          </rPr>
          <t xml:space="preserve">
Date of observations</t>
        </r>
      </text>
    </comment>
    <comment ref="C11" authorId="2" shapeId="0" xr:uid="{6F35B238-44C3-4B62-A05A-2B3CE673D007}">
      <text>
        <r>
          <rPr>
            <b/>
            <sz val="9"/>
            <color indexed="81"/>
            <rFont val="Tahoma"/>
            <family val="2"/>
          </rPr>
          <t>cmcneil:</t>
        </r>
        <r>
          <rPr>
            <sz val="9"/>
            <color indexed="81"/>
            <rFont val="Tahoma"/>
            <family val="2"/>
          </rPr>
          <t xml:space="preserve">
Total length of stake</t>
        </r>
      </text>
    </comment>
    <comment ref="D11" authorId="2" shapeId="0" xr:uid="{ED4B5949-FBA3-44DE-ACC0-4C0E813EB0E2}">
      <text>
        <r>
          <rPr>
            <b/>
            <sz val="9"/>
            <color indexed="81"/>
            <rFont val="Tahoma"/>
            <family val="2"/>
          </rPr>
          <t>cmcneil:</t>
        </r>
        <r>
          <rPr>
            <sz val="9"/>
            <color indexed="81"/>
            <rFont val="Tahoma"/>
            <family val="2"/>
          </rPr>
          <t xml:space="preserve">
Length of stake above the surface noted in column D</t>
        </r>
      </text>
    </comment>
    <comment ref="E11" authorId="2" shapeId="0" xr:uid="{EA3F201F-CCD4-4B97-ABD0-1ECFBDB10BCD}">
      <text>
        <r>
          <rPr>
            <b/>
            <sz val="9"/>
            <color indexed="81"/>
            <rFont val="Tahoma"/>
            <family val="2"/>
          </rPr>
          <t>cmcneil:</t>
        </r>
        <r>
          <rPr>
            <sz val="9"/>
            <color indexed="81"/>
            <rFont val="Tahoma"/>
            <family val="2"/>
          </rPr>
          <t xml:space="preserve">
Length of stake still below the surface noted in column D</t>
        </r>
      </text>
    </comment>
    <comment ref="F11" authorId="0" shapeId="0" xr:uid="{D2D12AEF-C63C-43C1-BBD2-33CD775C440C}">
      <text>
        <r>
          <rPr>
            <sz val="8"/>
            <color indexed="81"/>
            <rFont val="Tahoma"/>
            <family val="2"/>
          </rPr>
          <t>Type of surface strata:
Glacier Ice, Snow, Superimposed Ice, Old Firn or New Firn.  For the Fall surveys this should be the surface strata beneath any fresh snow.</t>
        </r>
      </text>
    </comment>
    <comment ref="G11" authorId="0" shapeId="0" xr:uid="{DDDDA0CC-8A86-4FB1-8795-27C4C2EAB1E6}">
      <text>
        <r>
          <rPr>
            <b/>
            <sz val="8"/>
            <color indexed="81"/>
            <rFont val="Tahoma"/>
            <family val="2"/>
          </rPr>
          <t>GAAdmin:</t>
        </r>
        <r>
          <rPr>
            <sz val="8"/>
            <color indexed="81"/>
            <rFont val="Tahoma"/>
            <family val="2"/>
          </rPr>
          <t xml:space="preserve">
Average depth of snow as determined in snow pit.</t>
        </r>
      </text>
    </comment>
    <comment ref="H11" authorId="0" shapeId="0" xr:uid="{04F48E98-62AB-41DD-B779-7A578DF1E7C6}">
      <text>
        <r>
          <rPr>
            <b/>
            <sz val="8"/>
            <color indexed="81"/>
            <rFont val="Tahoma"/>
            <family val="2"/>
          </rPr>
          <t>GAAdmin:</t>
        </r>
        <r>
          <rPr>
            <sz val="8"/>
            <color indexed="81"/>
            <rFont val="Tahoma"/>
            <family val="2"/>
          </rPr>
          <t xml:space="preserve">
Average depth of snow from probing
</t>
        </r>
      </text>
    </comment>
    <comment ref="I11" authorId="0" shapeId="0" xr:uid="{40BB1DFB-92C3-4BA5-9B97-6CF675FB6084}">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1" authorId="0" shapeId="0" xr:uid="{8537921A-7FEB-4A66-9E95-FFA4FC38BE91}">
      <text>
        <r>
          <rPr>
            <b/>
            <sz val="8"/>
            <color indexed="81"/>
            <rFont val="Tahoma"/>
            <family val="2"/>
          </rPr>
          <t>GAAdmin:</t>
        </r>
        <r>
          <rPr>
            <sz val="8"/>
            <color indexed="81"/>
            <rFont val="Tahoma"/>
            <family val="2"/>
          </rPr>
          <t xml:space="preserve">
Standard Error</t>
        </r>
      </text>
    </comment>
    <comment ref="K11" authorId="0" shapeId="0" xr:uid="{5FB9D504-9BA0-486D-8956-DB9C5DBFF483}">
      <text>
        <r>
          <rPr>
            <b/>
            <sz val="8"/>
            <color indexed="81"/>
            <rFont val="Tahoma"/>
            <family val="2"/>
          </rPr>
          <t>GAAdmin:</t>
        </r>
        <r>
          <rPr>
            <sz val="8"/>
            <color indexed="81"/>
            <rFont val="Tahoma"/>
            <family val="2"/>
          </rPr>
          <t xml:space="preserve">
number of observations of snow depth</t>
        </r>
      </text>
    </comment>
    <comment ref="M11" authorId="0" shapeId="0" xr:uid="{102A7143-1BF4-4CF9-A806-7C60D1CC5A97}">
      <text>
        <r>
          <rPr>
            <b/>
            <sz val="8"/>
            <color indexed="81"/>
            <rFont val="Tahoma"/>
            <family val="2"/>
          </rPr>
          <t>GAAdmin:</t>
        </r>
        <r>
          <rPr>
            <sz val="8"/>
            <color indexed="81"/>
            <rFont val="Tahoma"/>
            <family val="2"/>
          </rPr>
          <t xml:space="preserve">
This density is estimated and is based on the surface strata of the previous survey.</t>
        </r>
      </text>
    </comment>
    <comment ref="O11" authorId="0" shapeId="0" xr:uid="{57102983-5CC2-475F-8C66-A2E8CD14D867}">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1" authorId="0" shapeId="0" xr:uid="{2E5A2EE3-1615-40DA-A500-559354DD324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1" authorId="0" shapeId="0" xr:uid="{BB965ACC-9BE7-4452-8D60-CB04DA8ABFDD}">
      <text>
        <r>
          <rPr>
            <sz val="8"/>
            <color indexed="81"/>
            <rFont val="Tahoma"/>
            <family val="2"/>
          </rPr>
          <t>Average density of the material above ss.</t>
        </r>
      </text>
    </comment>
    <comment ref="T11" authorId="2" shapeId="0" xr:uid="{76C8E900-43A7-4475-A98E-B7EE3F4DACE1}">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1" authorId="2" shapeId="0" xr:uid="{1E4DF3C4-35F6-4641-BBF4-F7B20787E197}">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1" authorId="2" shapeId="0" xr:uid="{EBD2E628-EB8E-4F7D-A2D2-B92D848828D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1" authorId="2" shapeId="0" xr:uid="{ABF48EF8-6595-4BF8-8DFB-8B280C1B95AB}">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1" authorId="2" shapeId="0" xr:uid="{9800DC64-505C-4E30-BF08-3994C8467013}">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14" authorId="3" shapeId="0" xr:uid="{1E01C10E-4441-470B-BB43-8E9E02DD2B7B}">
      <text>
        <r>
          <rPr>
            <b/>
            <sz val="9"/>
            <color indexed="81"/>
            <rFont val="Tahoma"/>
            <family val="2"/>
          </rPr>
          <t>ehbaker:</t>
        </r>
        <r>
          <rPr>
            <sz val="9"/>
            <color indexed="81"/>
            <rFont val="Tahoma"/>
            <family val="2"/>
          </rPr>
          <t xml:space="preserve">
Measured density of 0.22. Quite low for bulk density…
</t>
        </r>
      </text>
    </comment>
    <comment ref="N15" authorId="3" shapeId="0" xr:uid="{6A383AC7-AE5B-4438-975C-8F53914A6F4C}">
      <text>
        <r>
          <rPr>
            <b/>
            <sz val="9"/>
            <color indexed="81"/>
            <rFont val="Tahoma"/>
            <family val="2"/>
          </rPr>
          <t>ehbaker:</t>
        </r>
        <r>
          <rPr>
            <sz val="9"/>
            <color indexed="81"/>
            <rFont val="Tahoma"/>
            <family val="2"/>
          </rPr>
          <t xml:space="preserve">
Pretty close to 1.55m probed (assuming) measurement; good.</t>
        </r>
      </text>
    </comment>
    <comment ref="Q15" authorId="3" shapeId="0" xr:uid="{45166746-34CC-4E54-A0A1-74993F9F0017}">
      <text>
        <r>
          <rPr>
            <b/>
            <sz val="9"/>
            <color indexed="81"/>
            <rFont val="Tahoma"/>
            <family val="2"/>
          </rPr>
          <t>ehbaker:</t>
        </r>
        <r>
          <rPr>
            <sz val="9"/>
            <color indexed="81"/>
            <rFont val="Tahoma"/>
            <family val="2"/>
          </rPr>
          <t xml:space="preserve">
new firn estimated density</t>
        </r>
      </text>
    </comment>
    <comment ref="C27" authorId="3" shapeId="0" xr:uid="{05198241-C63B-4ACC-AFDB-2FAD157227C8}">
      <text>
        <r>
          <rPr>
            <b/>
            <sz val="9"/>
            <color indexed="81"/>
            <rFont val="Tahoma"/>
            <family val="2"/>
          </rPr>
          <t>ehbaker:</t>
        </r>
        <r>
          <rPr>
            <sz val="9"/>
            <color indexed="81"/>
            <rFont val="Tahoma"/>
            <family val="2"/>
          </rPr>
          <t xml:space="preserve">
No snow on surface on 8/1/2013</t>
        </r>
      </text>
    </comment>
    <comment ref="A37" authorId="2" shapeId="0" xr:uid="{BEC35C76-DE52-4E87-B2A8-12709CE7260C}">
      <text>
        <r>
          <rPr>
            <b/>
            <sz val="9"/>
            <color indexed="81"/>
            <rFont val="Tahoma"/>
            <family val="2"/>
          </rPr>
          <t>cmcneil:</t>
        </r>
        <r>
          <rPr>
            <sz val="9"/>
            <color indexed="81"/>
            <rFont val="Tahoma"/>
            <family val="2"/>
          </rPr>
          <t xml:space="preserve">
Date of site visit</t>
        </r>
      </text>
    </comment>
    <comment ref="B37" authorId="2" shapeId="0" xr:uid="{07E491AC-4761-406D-A9D2-95D91814083F}">
      <text>
        <r>
          <rPr>
            <b/>
            <sz val="9"/>
            <color indexed="81"/>
            <rFont val="Tahoma"/>
            <family val="2"/>
          </rPr>
          <t>cmcneil:</t>
        </r>
        <r>
          <rPr>
            <sz val="9"/>
            <color indexed="81"/>
            <rFont val="Tahoma"/>
            <family val="2"/>
          </rPr>
          <t xml:space="preserve">
Notebook field data can be found in</t>
        </r>
      </text>
    </comment>
    <comment ref="C37" authorId="2" shapeId="0" xr:uid="{8E78477C-7D8A-4C8B-9C77-2CB5020C1A63}">
      <text>
        <r>
          <rPr>
            <b/>
            <sz val="9"/>
            <color indexed="81"/>
            <rFont val="Tahoma"/>
            <family val="2"/>
          </rPr>
          <t>cmcneil:</t>
        </r>
        <r>
          <rPr>
            <sz val="9"/>
            <color indexed="81"/>
            <rFont val="Tahoma"/>
            <family val="2"/>
          </rPr>
          <t xml:space="preserve">
Name of the stake, eg. 17AU</t>
        </r>
      </text>
    </comment>
    <comment ref="D37" authorId="2" shapeId="0" xr:uid="{5F14B90B-516A-403D-8520-8D56820FADF8}">
      <text>
        <r>
          <rPr>
            <b/>
            <sz val="9"/>
            <color indexed="81"/>
            <rFont val="Tahoma"/>
            <family val="2"/>
          </rPr>
          <t>cmcneil:</t>
        </r>
        <r>
          <rPr>
            <sz val="9"/>
            <color indexed="81"/>
            <rFont val="Tahoma"/>
            <family val="2"/>
          </rPr>
          <t xml:space="preserve">
What the surface was during the site visit. Example: Snow, Firn, or Ice</t>
        </r>
      </text>
    </comment>
    <comment ref="E37" authorId="2" shapeId="0" xr:uid="{8482EAE1-F9CF-4892-9582-0DF8AE173C8C}">
      <text>
        <r>
          <rPr>
            <b/>
            <sz val="9"/>
            <color indexed="81"/>
            <rFont val="Tahoma"/>
            <family val="2"/>
          </rPr>
          <t>cmcneil:</t>
        </r>
        <r>
          <rPr>
            <sz val="9"/>
            <color indexed="81"/>
            <rFont val="Tahoma"/>
            <family val="2"/>
          </rPr>
          <t xml:space="preserve">
Total length of stake</t>
        </r>
      </text>
    </comment>
    <comment ref="F37" authorId="2" shapeId="0" xr:uid="{33B24198-A4B7-4FC1-9F0D-22CB4338010E}">
      <text>
        <r>
          <rPr>
            <b/>
            <sz val="9"/>
            <color indexed="81"/>
            <rFont val="Tahoma"/>
            <family val="2"/>
          </rPr>
          <t>cmcneil:</t>
        </r>
        <r>
          <rPr>
            <sz val="9"/>
            <color indexed="81"/>
            <rFont val="Tahoma"/>
            <family val="2"/>
          </rPr>
          <t xml:space="preserve">
Length of stake above the surface noted in column D</t>
        </r>
      </text>
    </comment>
    <comment ref="G37" authorId="2" shapeId="0" xr:uid="{E6D2C57A-8F57-4602-B2A3-AA2720D78F99}">
      <text>
        <r>
          <rPr>
            <b/>
            <sz val="9"/>
            <color indexed="81"/>
            <rFont val="Tahoma"/>
            <family val="2"/>
          </rPr>
          <t>cmcneil:</t>
        </r>
        <r>
          <rPr>
            <sz val="9"/>
            <color indexed="81"/>
            <rFont val="Tahoma"/>
            <family val="2"/>
          </rPr>
          <t xml:space="preserve">
Length of stake still below the surface noted in column D</t>
        </r>
      </text>
    </comment>
    <comment ref="H37" authorId="2" shapeId="0" xr:uid="{D6029053-0973-4DD8-9E80-F44B8ED913B2}">
      <text>
        <r>
          <rPr>
            <b/>
            <sz val="9"/>
            <color indexed="81"/>
            <rFont val="Tahoma"/>
            <family val="2"/>
          </rPr>
          <t>cmcneil:</t>
        </r>
        <r>
          <rPr>
            <sz val="9"/>
            <color indexed="81"/>
            <rFont val="Tahoma"/>
            <family val="2"/>
          </rPr>
          <t xml:space="preserve">
Change in stake since previous site visits</t>
        </r>
      </text>
    </comment>
    <comment ref="I37" authorId="2" shapeId="0" xr:uid="{B047DE60-2E66-4ED2-87F8-5AF89C1BCE34}">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37" authorId="2" shapeId="0" xr:uid="{7CEB5D66-944F-478C-8F7B-FE8CB907113B}">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37" authorId="2" shapeId="0" xr:uid="{F540594B-124B-4544-9106-73513CB62624}">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37" authorId="2" shapeId="0" xr:uid="{195A20A3-3551-4A7A-9063-5F456B6E7E78}">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37" authorId="2" shapeId="0" xr:uid="{E868EDE6-A3FC-42A1-A0B4-803C1A713817}">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37" authorId="2" shapeId="0" xr:uid="{5D434059-6080-4679-B541-B882C4A1BFE6}">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37" authorId="2" shapeId="0" xr:uid="{C4267ADE-4067-497F-A3D6-1E016A83C76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37" authorId="2" shapeId="0" xr:uid="{898DE533-7995-430E-8E06-A366A9ED4E1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37" authorId="2" shapeId="0" xr:uid="{4B1C75E5-F526-4F28-B3DB-422F0685B7A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37" authorId="2" shapeId="0" xr:uid="{19AB8D33-C2C8-49CF-ACF9-8BD24F5BA767}">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37" authorId="2" shapeId="0" xr:uid="{0ADCD27E-DD85-4FCC-BBFB-2692C6B3595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37" authorId="2" shapeId="0" xr:uid="{AC0A0D9C-F21D-492B-98C1-96A761398370}">
      <text>
        <r>
          <rPr>
            <b/>
            <sz val="9"/>
            <color indexed="81"/>
            <rFont val="Tahoma"/>
            <family val="2"/>
          </rPr>
          <t>cmcneil:</t>
        </r>
        <r>
          <rPr>
            <sz val="9"/>
            <color indexed="81"/>
            <rFont val="Tahoma"/>
            <family val="2"/>
          </rPr>
          <t xml:space="preserve">
UTM easting of stake measured with GPS</t>
        </r>
      </text>
    </comment>
    <comment ref="U37" authorId="2" shapeId="0" xr:uid="{1ABAA9D6-5091-41F6-9699-979A1738542F}">
      <text>
        <r>
          <rPr>
            <b/>
            <sz val="9"/>
            <color indexed="81"/>
            <rFont val="Tahoma"/>
            <family val="2"/>
          </rPr>
          <t>cmcneil:</t>
        </r>
        <r>
          <rPr>
            <sz val="9"/>
            <color indexed="81"/>
            <rFont val="Tahoma"/>
            <family val="2"/>
          </rPr>
          <t xml:space="preserve">
UTM Northing of stake measured with GPS</t>
        </r>
      </text>
    </comment>
    <comment ref="V37" authorId="2" shapeId="0" xr:uid="{C5B61FBC-A5C9-4D02-9C5E-E3FB1ED87544}">
      <text>
        <r>
          <rPr>
            <b/>
            <sz val="9"/>
            <color indexed="81"/>
            <rFont val="Tahoma"/>
            <family val="2"/>
          </rPr>
          <t>cmcneil:</t>
        </r>
        <r>
          <rPr>
            <sz val="9"/>
            <color indexed="81"/>
            <rFont val="Tahoma"/>
            <family val="2"/>
          </rPr>
          <t xml:space="preserve">
Elevation of stake measured with GPS as height above ellipsoid</t>
        </r>
      </text>
    </comment>
    <comment ref="W37" authorId="2" shapeId="0" xr:uid="{F407A12B-757E-4B0D-BC12-818235C35D8E}">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40" authorId="3" shapeId="0" xr:uid="{504F624C-6F0A-4168-AD50-DDD043280733}">
      <text>
        <r>
          <rPr>
            <b/>
            <sz val="9"/>
            <color indexed="81"/>
            <rFont val="Tahoma"/>
            <family val="2"/>
          </rPr>
          <t>ehbaker:</t>
        </r>
        <r>
          <rPr>
            <sz val="9"/>
            <color indexed="81"/>
            <rFont val="Tahoma"/>
            <family val="2"/>
          </rPr>
          <t xml:space="preserve">
All Nfirn densities for 2013 as estimated from new firn measured on 8/21/14 at stake 17-B. No field notes for 2013 fall field visit.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5A696BF2-82E6-4631-AB64-A6C2403F1D5C}">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6938837F-87C2-4DB4-BD0A-D0D2749B75A9}">
      <text>
        <r>
          <rPr>
            <sz val="8"/>
            <color indexed="81"/>
            <rFont val="Tahoma"/>
            <family val="2"/>
          </rPr>
          <t>This is the amount of snow that is above the summer surface.  The value should always be positive or zero.</t>
        </r>
      </text>
    </comment>
    <comment ref="A3" authorId="0" shapeId="0" xr:uid="{1AC438DE-6F37-4228-9C89-57B643D2352B}">
      <text>
        <r>
          <rPr>
            <b/>
            <sz val="8"/>
            <color indexed="81"/>
            <rFont val="Tahoma"/>
            <family val="2"/>
          </rPr>
          <t>GAAdmin:</t>
        </r>
        <r>
          <rPr>
            <sz val="8"/>
            <color indexed="81"/>
            <rFont val="Tahoma"/>
            <family val="2"/>
          </rPr>
          <t xml:space="preserve">
The stake with which the observations were made.</t>
        </r>
      </text>
    </comment>
    <comment ref="B3" authorId="0" shapeId="0" xr:uid="{AE166FE3-0E5B-4000-874A-6A388D2104E1}">
      <text>
        <r>
          <rPr>
            <b/>
            <sz val="8"/>
            <color indexed="81"/>
            <rFont val="Tahoma"/>
            <family val="2"/>
          </rPr>
          <t>GAAdmin:</t>
        </r>
        <r>
          <rPr>
            <sz val="8"/>
            <color indexed="81"/>
            <rFont val="Tahoma"/>
            <family val="2"/>
          </rPr>
          <t xml:space="preserve">
Date of observations</t>
        </r>
      </text>
    </comment>
    <comment ref="C3" authorId="0" shapeId="0" xr:uid="{155F952B-7756-4F63-95F1-33EBBE0B464E}">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D7664458-ED1E-4D38-A3F3-6ECC5E07B7D5}">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5C7AC01E-9751-428A-BA13-5F72E46BC74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02D959A7-CA40-4B45-AFB3-A830A56179F0}">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BCF28CC7-3A51-48DA-B28C-507B54195607}">
      <text>
        <r>
          <rPr>
            <b/>
            <sz val="8"/>
            <color indexed="81"/>
            <rFont val="Tahoma"/>
            <family val="2"/>
          </rPr>
          <t>GAAdmin:</t>
        </r>
        <r>
          <rPr>
            <sz val="8"/>
            <color indexed="81"/>
            <rFont val="Tahoma"/>
            <family val="2"/>
          </rPr>
          <t xml:space="preserve">
Average depth of snow from probing
</t>
        </r>
      </text>
    </comment>
    <comment ref="I3" authorId="0" shapeId="0" xr:uid="{A827730D-1962-4512-B3C9-3BB075067FB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283D8B19-B889-45EA-8613-BA6C243BCDE1}">
      <text>
        <r>
          <rPr>
            <b/>
            <sz val="8"/>
            <color indexed="81"/>
            <rFont val="Tahoma"/>
            <family val="2"/>
          </rPr>
          <t>GAAdmin:</t>
        </r>
        <r>
          <rPr>
            <sz val="8"/>
            <color indexed="81"/>
            <rFont val="Tahoma"/>
            <family val="2"/>
          </rPr>
          <t xml:space="preserve">
number of observations of snow depth</t>
        </r>
      </text>
    </comment>
    <comment ref="L3" authorId="0" shapeId="0" xr:uid="{731D8229-77BF-4E42-A3CA-B318CFF24263}">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9D2602F2-DC0B-4122-B53C-79F27FC21663}">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B06582CA-0B05-47A5-8EFD-39ABBAACE0C4}">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7A838725-CBE2-4200-B170-AA353CC0D866}">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98E8EDF0-2C4A-4689-A5DE-E287959F035D}">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CA70A318-8919-4347-A1B5-2EB7AD865DE8}">
      <text>
        <r>
          <rPr>
            <sz val="8"/>
            <color indexed="81"/>
            <rFont val="Tahoma"/>
            <family val="2"/>
          </rPr>
          <t>Average density of the material above ss.</t>
        </r>
      </text>
    </comment>
    <comment ref="R3" authorId="0" shapeId="0" xr:uid="{2D95654A-654E-4E7C-AE48-89D344ACD06E}">
      <text>
        <r>
          <rPr>
            <b/>
            <sz val="8"/>
            <color indexed="81"/>
            <rFont val="Tahoma"/>
            <family val="2"/>
          </rPr>
          <t>GAAdmin:</t>
        </r>
        <r>
          <rPr>
            <sz val="8"/>
            <color indexed="81"/>
            <rFont val="Tahoma"/>
            <family val="2"/>
          </rPr>
          <t xml:space="preserve">
Is the Density Estimated (E) or is it Measured (M) ?</t>
        </r>
      </text>
    </comment>
    <comment ref="S3" authorId="0" shapeId="0" xr:uid="{0AA3604D-4C9A-4912-A6B8-C210A216AE0D}">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C4D33FAC-469F-40CB-910B-9D4C76F6B271}">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V3" authorId="0" shapeId="0" xr:uid="{626B2315-17A8-4C71-84E3-73C234F8C5DF}">
      <text>
        <r>
          <rPr>
            <sz val="8"/>
            <color indexed="81"/>
            <rFont val="Tahoma"/>
            <family val="2"/>
          </rPr>
          <t>This is the accumulative balance since 1991.  It is the sum of all net balances since the monitoring began.</t>
        </r>
      </text>
    </comment>
    <comment ref="L4" authorId="0" shapeId="0" xr:uid="{960FF4E1-26C9-4337-97EB-7418060EFDED}">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75CE3C67-1F59-4FA2-A1D9-40B82F20F865}">
      <text/>
    </comment>
    <comment ref="J5" authorId="1" shapeId="0" xr:uid="{B3E34348-A288-4189-878B-B2F72C5A7218}">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G9" authorId="1" shapeId="0" xr:uid="{1435E604-1706-4945-890E-85AADE2BB6BF}">
      <text>
        <r>
          <rPr>
            <b/>
            <sz val="9"/>
            <color indexed="81"/>
            <rFont val="Tahoma"/>
            <family val="2"/>
          </rPr>
          <t>Rob Burrows:</t>
        </r>
        <r>
          <rPr>
            <sz val="9"/>
            <color indexed="81"/>
            <rFont val="Tahoma"/>
            <family val="2"/>
          </rPr>
          <t xml:space="preserve">
This probe probably did not reach all the way to the last year's SS.  See cell K81.</t>
        </r>
      </text>
    </comment>
    <comment ref="Q11" authorId="1" shapeId="0" xr:uid="{BF2E7DD5-B8C8-4916-AB0A-BDC5D7263064}">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A19" authorId="0" shapeId="0" xr:uid="{EBBECA4A-2928-4710-8173-6BF03AD8971D}">
      <text>
        <r>
          <rPr>
            <b/>
            <sz val="8"/>
            <color indexed="81"/>
            <rFont val="Tahoma"/>
            <family val="2"/>
          </rPr>
          <t>GAAdmin:</t>
        </r>
        <r>
          <rPr>
            <sz val="8"/>
            <color indexed="81"/>
            <rFont val="Tahoma"/>
            <family val="2"/>
          </rPr>
          <t xml:space="preserve">
The stake with which the observations were made.</t>
        </r>
      </text>
    </comment>
    <comment ref="B19" authorId="0" shapeId="0" xr:uid="{23B08328-3305-46EC-A3BF-6A9A6D909546}">
      <text>
        <r>
          <rPr>
            <b/>
            <sz val="8"/>
            <color indexed="81"/>
            <rFont val="Tahoma"/>
            <family val="2"/>
          </rPr>
          <t>GAAdmin:</t>
        </r>
        <r>
          <rPr>
            <sz val="8"/>
            <color indexed="81"/>
            <rFont val="Tahoma"/>
            <family val="2"/>
          </rPr>
          <t xml:space="preserve">
Date of observations</t>
        </r>
      </text>
    </comment>
    <comment ref="C19" authorId="2" shapeId="0" xr:uid="{F9FFF0CA-007C-4C60-968B-4B92EEF86BCC}">
      <text>
        <r>
          <rPr>
            <b/>
            <sz val="9"/>
            <color indexed="81"/>
            <rFont val="Tahoma"/>
            <family val="2"/>
          </rPr>
          <t>cmcneil:</t>
        </r>
        <r>
          <rPr>
            <sz val="9"/>
            <color indexed="81"/>
            <rFont val="Tahoma"/>
            <family val="2"/>
          </rPr>
          <t xml:space="preserve">
Total length of stake</t>
        </r>
      </text>
    </comment>
    <comment ref="D19" authorId="2" shapeId="0" xr:uid="{078A073F-4F0A-408D-822B-2B9D5CE49713}">
      <text>
        <r>
          <rPr>
            <b/>
            <sz val="9"/>
            <color indexed="81"/>
            <rFont val="Tahoma"/>
            <family val="2"/>
          </rPr>
          <t>cmcneil:</t>
        </r>
        <r>
          <rPr>
            <sz val="9"/>
            <color indexed="81"/>
            <rFont val="Tahoma"/>
            <family val="2"/>
          </rPr>
          <t xml:space="preserve">
Length of stake above the surface noted in column D</t>
        </r>
      </text>
    </comment>
    <comment ref="E19" authorId="2" shapeId="0" xr:uid="{9FDCBF5A-F5CC-4CFC-AAB9-6D2F0A21F087}">
      <text>
        <r>
          <rPr>
            <b/>
            <sz val="9"/>
            <color indexed="81"/>
            <rFont val="Tahoma"/>
            <family val="2"/>
          </rPr>
          <t>cmcneil:</t>
        </r>
        <r>
          <rPr>
            <sz val="9"/>
            <color indexed="81"/>
            <rFont val="Tahoma"/>
            <family val="2"/>
          </rPr>
          <t xml:space="preserve">
Length of stake still below the surface noted in column D</t>
        </r>
      </text>
    </comment>
    <comment ref="F19" authorId="0" shapeId="0" xr:uid="{FA53956A-CE31-4092-9764-59C85C950BF3}">
      <text>
        <r>
          <rPr>
            <sz val="8"/>
            <color indexed="81"/>
            <rFont val="Tahoma"/>
            <family val="2"/>
          </rPr>
          <t>Type of surface strata:
Glacier Ice, Snow, Superimposed Ice, Old Firn or New Firn.  For the Fall surveys this should be the surface strata beneath any fresh snow.</t>
        </r>
      </text>
    </comment>
    <comment ref="G19" authorId="0" shapeId="0" xr:uid="{B247AD96-AC08-4626-9FE1-158AD576DD57}">
      <text>
        <r>
          <rPr>
            <b/>
            <sz val="8"/>
            <color indexed="81"/>
            <rFont val="Tahoma"/>
            <family val="2"/>
          </rPr>
          <t>GAAdmin:</t>
        </r>
        <r>
          <rPr>
            <sz val="8"/>
            <color indexed="81"/>
            <rFont val="Tahoma"/>
            <family val="2"/>
          </rPr>
          <t xml:space="preserve">
Average depth of snow as determined in snow pit.</t>
        </r>
      </text>
    </comment>
    <comment ref="H19" authorId="0" shapeId="0" xr:uid="{B65A41E0-DE52-4927-AE12-DF6CC4C68EA0}">
      <text>
        <r>
          <rPr>
            <b/>
            <sz val="8"/>
            <color indexed="81"/>
            <rFont val="Tahoma"/>
            <family val="2"/>
          </rPr>
          <t>GAAdmin:</t>
        </r>
        <r>
          <rPr>
            <sz val="8"/>
            <color indexed="81"/>
            <rFont val="Tahoma"/>
            <family val="2"/>
          </rPr>
          <t xml:space="preserve">
Average depth of snow from probing
</t>
        </r>
      </text>
    </comment>
    <comment ref="I19" authorId="0" shapeId="0" xr:uid="{525CD560-53CB-441D-A64D-3ACB8EABA8B7}">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9" authorId="0" shapeId="0" xr:uid="{AEEE2535-1ED3-4537-B190-2680B810D8B3}">
      <text>
        <r>
          <rPr>
            <b/>
            <sz val="8"/>
            <color indexed="81"/>
            <rFont val="Tahoma"/>
            <family val="2"/>
          </rPr>
          <t>GAAdmin:</t>
        </r>
        <r>
          <rPr>
            <sz val="8"/>
            <color indexed="81"/>
            <rFont val="Tahoma"/>
            <family val="2"/>
          </rPr>
          <t xml:space="preserve">
Standard Error</t>
        </r>
      </text>
    </comment>
    <comment ref="K19" authorId="0" shapeId="0" xr:uid="{9C2E60E4-8A20-40A1-83D9-4E5C3180D1D0}">
      <text>
        <r>
          <rPr>
            <b/>
            <sz val="8"/>
            <color indexed="81"/>
            <rFont val="Tahoma"/>
            <family val="2"/>
          </rPr>
          <t>GAAdmin:</t>
        </r>
        <r>
          <rPr>
            <sz val="8"/>
            <color indexed="81"/>
            <rFont val="Tahoma"/>
            <family val="2"/>
          </rPr>
          <t xml:space="preserve">
number of observations of snow depth</t>
        </r>
      </text>
    </comment>
    <comment ref="M19" authorId="0" shapeId="0" xr:uid="{5D638693-34A1-4EF8-ABAD-3211A6A2012E}">
      <text>
        <r>
          <rPr>
            <b/>
            <sz val="8"/>
            <color indexed="81"/>
            <rFont val="Tahoma"/>
            <family val="2"/>
          </rPr>
          <t>GAAdmin:</t>
        </r>
        <r>
          <rPr>
            <sz val="8"/>
            <color indexed="81"/>
            <rFont val="Tahoma"/>
            <family val="2"/>
          </rPr>
          <t xml:space="preserve">
This density is estimated and is based on the surface strata of the previous survey.</t>
        </r>
      </text>
    </comment>
    <comment ref="O19" authorId="0" shapeId="0" xr:uid="{4BF8674D-200C-4857-B629-41E72972D300}">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9" authorId="0" shapeId="0" xr:uid="{E19F855E-C85A-4CF8-915B-34043620375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9" authorId="0" shapeId="0" xr:uid="{08F8919F-E334-4C2D-BF42-92AD3D8389BA}">
      <text>
        <r>
          <rPr>
            <sz val="8"/>
            <color indexed="81"/>
            <rFont val="Tahoma"/>
            <family val="2"/>
          </rPr>
          <t>Average density of the material above ss.</t>
        </r>
      </text>
    </comment>
    <comment ref="T19" authorId="2" shapeId="0" xr:uid="{E62C1411-02AD-492D-B011-5F1201C74D2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9" authorId="2" shapeId="0" xr:uid="{47B82B18-D69B-4BE8-AE28-7D95D8FB662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9" authorId="2" shapeId="0" xr:uid="{0DF75BCA-1197-425F-AAA1-84FB376A55D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9" authorId="2" shapeId="0" xr:uid="{3F4C9C99-7311-4372-ADB6-0D4549D178FF}">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9" authorId="2" shapeId="0" xr:uid="{0E456E76-9B24-4C08-8D3C-00B5C0A435B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26" authorId="3" shapeId="0" xr:uid="{92FBA3DA-7514-4D7D-A54D-27943F354503}">
      <text>
        <r>
          <rPr>
            <b/>
            <sz val="9"/>
            <color indexed="81"/>
            <rFont val="Tahoma"/>
            <charset val="1"/>
          </rPr>
          <t>ehbaker:</t>
        </r>
        <r>
          <rPr>
            <sz val="9"/>
            <color indexed="81"/>
            <rFont val="Tahoma"/>
            <charset val="1"/>
          </rPr>
          <t xml:space="preserve">
this is somewhat suspect; mismatch between probed depth of surface from spring, and that observed in fall. Not used in bw or ba, however, so leaving here.</t>
        </r>
      </text>
    </comment>
    <comment ref="U26" authorId="3" shapeId="0" xr:uid="{C5BE2371-85A9-4629-ADFB-E6D135605CB1}">
      <text>
        <r>
          <rPr>
            <b/>
            <sz val="9"/>
            <color indexed="81"/>
            <rFont val="Tahoma"/>
            <family val="2"/>
          </rPr>
          <t>ehbaker:</t>
        </r>
        <r>
          <rPr>
            <sz val="9"/>
            <color indexed="81"/>
            <rFont val="Tahoma"/>
            <family val="2"/>
          </rPr>
          <t xml:space="preserve">
Calculated from measured density and probed depth @ index site</t>
        </r>
      </text>
    </comment>
    <comment ref="Q27" authorId="3" shapeId="0" xr:uid="{9FD11117-AA3D-4358-9F94-AB1294A6200A}">
      <text>
        <r>
          <rPr>
            <b/>
            <sz val="9"/>
            <color indexed="81"/>
            <rFont val="Tahoma"/>
            <family val="2"/>
          </rPr>
          <t>ehbaker:</t>
        </r>
        <r>
          <rPr>
            <sz val="9"/>
            <color indexed="81"/>
            <rFont val="Tahoma"/>
            <family val="2"/>
          </rPr>
          <t xml:space="preserve">
Assumed density for new firn</t>
        </r>
      </text>
    </comment>
    <comment ref="C36" authorId="3" shapeId="0" xr:uid="{9BFCD660-C9DB-4A54-9670-36C6E628DF08}">
      <text>
        <r>
          <rPr>
            <b/>
            <sz val="9"/>
            <color indexed="81"/>
            <rFont val="Tahoma"/>
            <family val="2"/>
          </rPr>
          <t>ehbaker:</t>
        </r>
        <r>
          <rPr>
            <sz val="9"/>
            <color indexed="81"/>
            <rFont val="Tahoma"/>
            <family val="2"/>
          </rPr>
          <t xml:space="preserve">
No new snow on surface during 8/1/2013 visit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26D75261-5B08-447E-8A19-386F5011F5E4}">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C2DC365D-6C28-447E-ABFE-4E20C4576249}">
      <text>
        <r>
          <rPr>
            <sz val="8"/>
            <color indexed="81"/>
            <rFont val="Tahoma"/>
            <family val="2"/>
          </rPr>
          <t>This is the amount of snow that is above the summer surface.  The value should always be positive or zero.</t>
        </r>
      </text>
    </comment>
    <comment ref="A3" authorId="0" shapeId="0" xr:uid="{665D2009-E866-4E4E-8FD9-7D922D0A974F}">
      <text>
        <r>
          <rPr>
            <b/>
            <sz val="8"/>
            <color indexed="81"/>
            <rFont val="Tahoma"/>
            <family val="2"/>
          </rPr>
          <t>GAAdmin:</t>
        </r>
        <r>
          <rPr>
            <sz val="8"/>
            <color indexed="81"/>
            <rFont val="Tahoma"/>
            <family val="2"/>
          </rPr>
          <t xml:space="preserve">
The stake with which the observations were made.</t>
        </r>
      </text>
    </comment>
    <comment ref="B3" authorId="0" shapeId="0" xr:uid="{29A910CE-8D83-45FB-A23F-6DA186EDB22C}">
      <text>
        <r>
          <rPr>
            <b/>
            <sz val="8"/>
            <color indexed="81"/>
            <rFont val="Tahoma"/>
            <family val="2"/>
          </rPr>
          <t>GAAdmin:</t>
        </r>
        <r>
          <rPr>
            <sz val="8"/>
            <color indexed="81"/>
            <rFont val="Tahoma"/>
            <family val="2"/>
          </rPr>
          <t xml:space="preserve">
Date of observations</t>
        </r>
      </text>
    </comment>
    <comment ref="C3" authorId="0" shapeId="0" xr:uid="{98D1838F-2366-41E0-95F4-8B4A2422E8B6}">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D9F9DFDF-9CD7-4443-B8EA-6773797EDB3E}">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8D884CC5-27A0-488D-A07D-AA7A177BAD48}">
      <text>
        <r>
          <rPr>
            <sz val="8"/>
            <color indexed="81"/>
            <rFont val="Tahoma"/>
            <family val="2"/>
          </rPr>
          <t>Type of surface strata:
Glacier Ice, Snow, Superimposed Ice, Old Firn or New Firn.  For the Fall surveys this should be the surface strata beneath any fresh snow.</t>
        </r>
      </text>
    </comment>
    <comment ref="G3" authorId="0" shapeId="0" xr:uid="{679C4ED2-020A-4693-A251-470D806F0B82}">
      <text>
        <r>
          <rPr>
            <b/>
            <sz val="8"/>
            <color indexed="81"/>
            <rFont val="Tahoma"/>
            <family val="2"/>
          </rPr>
          <t>GAAdmin:</t>
        </r>
        <r>
          <rPr>
            <sz val="8"/>
            <color indexed="81"/>
            <rFont val="Tahoma"/>
            <family val="2"/>
          </rPr>
          <t xml:space="preserve">
Average depth of snow as determined in snow pit or depth at stake location.</t>
        </r>
      </text>
    </comment>
    <comment ref="H3" authorId="0" shapeId="0" xr:uid="{D8F11D8E-6ACD-4A8E-B508-9A81FA61C34F}">
      <text>
        <r>
          <rPr>
            <b/>
            <sz val="8"/>
            <color indexed="81"/>
            <rFont val="Tahoma"/>
            <family val="2"/>
          </rPr>
          <t>GAAdmin:</t>
        </r>
        <r>
          <rPr>
            <sz val="8"/>
            <color indexed="81"/>
            <rFont val="Tahoma"/>
            <family val="2"/>
          </rPr>
          <t xml:space="preserve">
Average depth of snow from probing
</t>
        </r>
      </text>
    </comment>
    <comment ref="I3" authorId="0" shapeId="0" xr:uid="{D59F980C-242E-44CA-85B9-B915FE06C427}">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K3" authorId="0" shapeId="0" xr:uid="{2365AC8F-BA4E-4D3F-A176-08BA9EB45FDE}">
      <text>
        <r>
          <rPr>
            <b/>
            <sz val="8"/>
            <color indexed="81"/>
            <rFont val="Tahoma"/>
            <family val="2"/>
          </rPr>
          <t>GAAdmin:</t>
        </r>
        <r>
          <rPr>
            <sz val="8"/>
            <color indexed="81"/>
            <rFont val="Tahoma"/>
            <family val="2"/>
          </rPr>
          <t xml:space="preserve">
number of observations of snow depth</t>
        </r>
      </text>
    </comment>
    <comment ref="L3" authorId="0" shapeId="0" xr:uid="{62F0D151-7DA0-45EA-8CC4-100087949DE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B5906D03-1732-4996-9CF6-8486572999F8}">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FC2F23F6-D5DC-45A2-B1DD-57064F706CB6}">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BCC3EB8C-4B95-49F1-863A-54995F976DF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2A704F0F-6560-46CC-9E05-592C710E3E55}">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CF8379A5-0B90-4D12-A623-5F760368B1E7}">
      <text>
        <r>
          <rPr>
            <sz val="8"/>
            <color indexed="81"/>
            <rFont val="Tahoma"/>
            <family val="2"/>
          </rPr>
          <t>Average density of the material above ss.</t>
        </r>
      </text>
    </comment>
    <comment ref="R3" authorId="0" shapeId="0" xr:uid="{9A1B6FC5-8C37-4615-B512-C98CE099C105}">
      <text>
        <r>
          <rPr>
            <b/>
            <sz val="8"/>
            <color indexed="81"/>
            <rFont val="Tahoma"/>
            <family val="2"/>
          </rPr>
          <t>GAAdmin:</t>
        </r>
        <r>
          <rPr>
            <sz val="8"/>
            <color indexed="81"/>
            <rFont val="Tahoma"/>
            <family val="2"/>
          </rPr>
          <t xml:space="preserve">
Is the Density Estimated (E) or is it Measured (M) ?</t>
        </r>
      </text>
    </comment>
    <comment ref="S3" authorId="0" shapeId="0" xr:uid="{891BA76E-B9ED-4EEB-8ED5-7E0B31461B4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8081CB30-3733-4EBA-8DA5-6A9BD70E710C}">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V3" authorId="0" shapeId="0" xr:uid="{465D5AAF-4C14-4FE4-81FE-AE23D3DBF9CD}">
      <text>
        <r>
          <rPr>
            <sz val="8"/>
            <color indexed="81"/>
            <rFont val="Tahoma"/>
            <family val="2"/>
          </rPr>
          <t>This is the accumulative balance since 1991.  It is the sum of all net balances since the monitoring began.</t>
        </r>
      </text>
    </comment>
    <comment ref="L4" authorId="0" shapeId="0" xr:uid="{EEEF0561-8A64-4C0E-8C79-14EC355AC33F}">
      <text>
        <r>
          <rPr>
            <sz val="8"/>
            <color indexed="81"/>
            <rFont val="Tahoma"/>
            <family val="2"/>
          </rPr>
          <t xml:space="preserve">This is both calculated and measured.  What goes in this column is an average or the "best value".  This is done so that there is a check on the entered value.  Identifying the summer surface correctly is VERY important!  That is why there is a built in check.
</t>
        </r>
      </text>
    </comment>
    <comment ref="S4" authorId="0" shapeId="0" xr:uid="{EEDFC175-BAD3-4433-8B87-0DED71CA674F}">
      <text/>
    </comment>
    <comment ref="J5" authorId="1" shapeId="0" xr:uid="{3130E4BD-9CAE-4B4E-8F5A-85AE4A2710E8}">
      <text>
        <r>
          <rPr>
            <b/>
            <sz val="9"/>
            <color indexed="81"/>
            <rFont val="Tahoma"/>
            <family val="2"/>
          </rPr>
          <t>Rob Burrows:</t>
        </r>
        <r>
          <rPr>
            <sz val="9"/>
            <color indexed="81"/>
            <rFont val="Tahoma"/>
            <family val="2"/>
          </rPr>
          <t xml:space="preserve">
This value should be close to zero in a negative balance year.  In positive balance years it should be close to the depth of firn retained (and compared to any probe or pit measurements)</t>
        </r>
      </text>
    </comment>
    <comment ref="G9" authorId="1" shapeId="0" xr:uid="{B8E6F169-FF2E-43BC-9576-DCB4740B8CC3}">
      <text>
        <r>
          <rPr>
            <b/>
            <sz val="9"/>
            <color indexed="81"/>
            <rFont val="Tahoma"/>
            <family val="2"/>
          </rPr>
          <t>Rob Burrows:</t>
        </r>
        <r>
          <rPr>
            <sz val="9"/>
            <color indexed="81"/>
            <rFont val="Tahoma"/>
            <family val="2"/>
          </rPr>
          <t xml:space="preserve">
This probe probably did not reach all the way to the last year's SS.  See cell K81.</t>
        </r>
      </text>
    </comment>
    <comment ref="Q11" authorId="1" shapeId="0" xr:uid="{D5BD7318-A9F5-4579-9B1E-F7EAF0B532AE}">
      <text>
        <r>
          <rPr>
            <b/>
            <sz val="9"/>
            <color indexed="81"/>
            <rFont val="Tahoma"/>
            <family val="2"/>
          </rPr>
          <t>Rob Burrows:</t>
        </r>
        <r>
          <rPr>
            <sz val="9"/>
            <color indexed="81"/>
            <rFont val="Tahoma"/>
            <family val="2"/>
          </rPr>
          <t xml:space="preserve">
All Nfirn densities for 2013 as estimated from new firn measured on 8/21/14 at stake 17-B.</t>
        </r>
      </text>
    </comment>
    <comment ref="A20" authorId="0" shapeId="0" xr:uid="{96ED65DD-CBA0-4BF4-A4A1-109002C90DC6}">
      <text>
        <r>
          <rPr>
            <b/>
            <sz val="8"/>
            <color indexed="81"/>
            <rFont val="Tahoma"/>
            <family val="2"/>
          </rPr>
          <t>GAAdmin:</t>
        </r>
        <r>
          <rPr>
            <sz val="8"/>
            <color indexed="81"/>
            <rFont val="Tahoma"/>
            <family val="2"/>
          </rPr>
          <t xml:space="preserve">
The stake with which the observations were made.</t>
        </r>
      </text>
    </comment>
    <comment ref="B20" authorId="0" shapeId="0" xr:uid="{38F92842-11A3-4350-89FD-F28154FB4A98}">
      <text>
        <r>
          <rPr>
            <b/>
            <sz val="8"/>
            <color indexed="81"/>
            <rFont val="Tahoma"/>
            <family val="2"/>
          </rPr>
          <t>GAAdmin:</t>
        </r>
        <r>
          <rPr>
            <sz val="8"/>
            <color indexed="81"/>
            <rFont val="Tahoma"/>
            <family val="2"/>
          </rPr>
          <t xml:space="preserve">
Date of observations</t>
        </r>
      </text>
    </comment>
    <comment ref="C20" authorId="2" shapeId="0" xr:uid="{772DD841-0828-476F-92DD-C30223AE823E}">
      <text>
        <r>
          <rPr>
            <b/>
            <sz val="9"/>
            <color indexed="81"/>
            <rFont val="Tahoma"/>
            <family val="2"/>
          </rPr>
          <t>cmcneil:</t>
        </r>
        <r>
          <rPr>
            <sz val="9"/>
            <color indexed="81"/>
            <rFont val="Tahoma"/>
            <family val="2"/>
          </rPr>
          <t xml:space="preserve">
Total length of stake</t>
        </r>
      </text>
    </comment>
    <comment ref="D20" authorId="2" shapeId="0" xr:uid="{7553944B-A3E0-4397-A0F5-ECE4B852883C}">
      <text>
        <r>
          <rPr>
            <b/>
            <sz val="9"/>
            <color indexed="81"/>
            <rFont val="Tahoma"/>
            <family val="2"/>
          </rPr>
          <t>cmcneil:</t>
        </r>
        <r>
          <rPr>
            <sz val="9"/>
            <color indexed="81"/>
            <rFont val="Tahoma"/>
            <family val="2"/>
          </rPr>
          <t xml:space="preserve">
Length of stake above the surface noted in column D</t>
        </r>
      </text>
    </comment>
    <comment ref="E20" authorId="2" shapeId="0" xr:uid="{634A756F-07DC-4039-B4F2-7F816072FBBB}">
      <text>
        <r>
          <rPr>
            <b/>
            <sz val="9"/>
            <color indexed="81"/>
            <rFont val="Tahoma"/>
            <family val="2"/>
          </rPr>
          <t>cmcneil:</t>
        </r>
        <r>
          <rPr>
            <sz val="9"/>
            <color indexed="81"/>
            <rFont val="Tahoma"/>
            <family val="2"/>
          </rPr>
          <t xml:space="preserve">
Length of stake still below the surface noted in column D</t>
        </r>
      </text>
    </comment>
    <comment ref="F20" authorId="0" shapeId="0" xr:uid="{935E4A83-9740-4311-8DC4-9186F41A325E}">
      <text>
        <r>
          <rPr>
            <sz val="8"/>
            <color indexed="81"/>
            <rFont val="Tahoma"/>
            <family val="2"/>
          </rPr>
          <t>Type of surface strata:
Glacier Ice, Snow, Superimposed Ice, Old Firn or New Firn.  For the Fall surveys this should be the surface strata beneath any fresh snow.</t>
        </r>
      </text>
    </comment>
    <comment ref="G20" authorId="0" shapeId="0" xr:uid="{9F08EFDC-4073-434D-BA95-71F243E09C11}">
      <text>
        <r>
          <rPr>
            <b/>
            <sz val="8"/>
            <color indexed="81"/>
            <rFont val="Tahoma"/>
            <family val="2"/>
          </rPr>
          <t>GAAdmin:</t>
        </r>
        <r>
          <rPr>
            <sz val="8"/>
            <color indexed="81"/>
            <rFont val="Tahoma"/>
            <family val="2"/>
          </rPr>
          <t xml:space="preserve">
Average depth of snow as determined in snow pit.</t>
        </r>
      </text>
    </comment>
    <comment ref="H20" authorId="0" shapeId="0" xr:uid="{8BC3A28A-E12E-4B1D-9B46-29DF18337B3F}">
      <text>
        <r>
          <rPr>
            <b/>
            <sz val="8"/>
            <color indexed="81"/>
            <rFont val="Tahoma"/>
            <family val="2"/>
          </rPr>
          <t>GAAdmin:</t>
        </r>
        <r>
          <rPr>
            <sz val="8"/>
            <color indexed="81"/>
            <rFont val="Tahoma"/>
            <family val="2"/>
          </rPr>
          <t xml:space="preserve">
Average depth of snow from probing
</t>
        </r>
      </text>
    </comment>
    <comment ref="I20" authorId="0" shapeId="0" xr:uid="{357AC511-D0ED-40C0-9F81-4DFFEFC5EBD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20" authorId="0" shapeId="0" xr:uid="{ADFE410D-C9F5-44E5-B7D1-1EF6EE12E304}">
      <text>
        <r>
          <rPr>
            <b/>
            <sz val="8"/>
            <color indexed="81"/>
            <rFont val="Tahoma"/>
            <family val="2"/>
          </rPr>
          <t>GAAdmin:</t>
        </r>
        <r>
          <rPr>
            <sz val="8"/>
            <color indexed="81"/>
            <rFont val="Tahoma"/>
            <family val="2"/>
          </rPr>
          <t xml:space="preserve">
Standard Error</t>
        </r>
      </text>
    </comment>
    <comment ref="K20" authorId="0" shapeId="0" xr:uid="{FB13CF0D-F3C7-4DAA-99D2-F218FEC0EEBF}">
      <text>
        <r>
          <rPr>
            <b/>
            <sz val="8"/>
            <color indexed="81"/>
            <rFont val="Tahoma"/>
            <family val="2"/>
          </rPr>
          <t>GAAdmin:</t>
        </r>
        <r>
          <rPr>
            <sz val="8"/>
            <color indexed="81"/>
            <rFont val="Tahoma"/>
            <family val="2"/>
          </rPr>
          <t xml:space="preserve">
number of observations of snow depth</t>
        </r>
      </text>
    </comment>
    <comment ref="M20" authorId="0" shapeId="0" xr:uid="{97901F8F-D4FF-4938-A2AB-B2A672CE8E52}">
      <text>
        <r>
          <rPr>
            <b/>
            <sz val="8"/>
            <color indexed="81"/>
            <rFont val="Tahoma"/>
            <family val="2"/>
          </rPr>
          <t>GAAdmin:</t>
        </r>
        <r>
          <rPr>
            <sz val="8"/>
            <color indexed="81"/>
            <rFont val="Tahoma"/>
            <family val="2"/>
          </rPr>
          <t xml:space="preserve">
This density is estimated and is based on the surface strata of the previous survey.</t>
        </r>
      </text>
    </comment>
    <comment ref="O20" authorId="0" shapeId="0" xr:uid="{A927E7F9-1B40-4999-B7CA-2742B8D4BF65}">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20" authorId="0" shapeId="0" xr:uid="{4E6269BA-D78C-4D8D-930D-2597952975D3}">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20" authorId="0" shapeId="0" xr:uid="{6BAD115D-F9AA-46AA-876F-BB4171BD693D}">
      <text>
        <r>
          <rPr>
            <sz val="8"/>
            <color indexed="81"/>
            <rFont val="Tahoma"/>
            <family val="2"/>
          </rPr>
          <t>Average density of the material above ss.</t>
        </r>
      </text>
    </comment>
    <comment ref="T20" authorId="2" shapeId="0" xr:uid="{2FBE5764-7DDD-4DF0-BAF7-4D56FDF940A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20" authorId="2" shapeId="0" xr:uid="{3A6FC02D-C4A3-4EB7-A556-B8812E4A147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20" authorId="2" shapeId="0" xr:uid="{6E60F679-9D5C-4B89-8848-22A2AB6468E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20" authorId="2" shapeId="0" xr:uid="{467F0E9C-88A3-4A2E-A004-DDEBC4B41C2A}">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20" authorId="2" shapeId="0" xr:uid="{35DC45CC-06B4-4F98-8E73-C8CAF0E4966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24" authorId="3" shapeId="0" xr:uid="{FC7CBF38-F6E1-4740-8FF2-CA4E71D8A503}">
      <text>
        <r>
          <rPr>
            <b/>
            <sz val="9"/>
            <color indexed="81"/>
            <rFont val="Tahoma"/>
            <family val="2"/>
          </rPr>
          <t>ehbaker:</t>
        </r>
        <r>
          <rPr>
            <sz val="9"/>
            <color indexed="81"/>
            <rFont val="Tahoma"/>
            <family val="2"/>
          </rPr>
          <t xml:space="preserve">
Good - 4.06 and 4.07 ~ match</t>
        </r>
      </text>
    </comment>
    <comment ref="Q24" authorId="3" shapeId="0" xr:uid="{BBE97509-FA3B-40BD-A684-C40CA4652BFE}">
      <text>
        <r>
          <rPr>
            <b/>
            <sz val="9"/>
            <color indexed="81"/>
            <rFont val="Tahoma"/>
            <family val="2"/>
          </rPr>
          <t>ehbaker:</t>
        </r>
        <r>
          <rPr>
            <sz val="9"/>
            <color indexed="81"/>
            <rFont val="Tahoma"/>
            <family val="2"/>
          </rPr>
          <t xml:space="preserve">
Assumed density for new firn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FB04B1BB-BCD8-45D7-A7E3-2C1B5EB2001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FC3203DE-DF98-430C-B0E1-38F0BC68852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C130C42-2D1A-40F8-97F8-BD9BD380C7C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EE02DC5-8716-490B-AD30-CD4674C14FD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EF4E105D-53C9-48AE-B168-87E528BFAB76}">
      <text>
        <r>
          <rPr>
            <sz val="8"/>
            <color indexed="81"/>
            <rFont val="Tahoma"/>
            <family val="2"/>
          </rPr>
          <t xml:space="preserve">Sipre coring auger=45.6cm2 
large tube 41.05 cm2       
small tube 25.6   cm2          
Snow Metrics 1000 cm^3
</t>
        </r>
      </text>
    </comment>
    <comment ref="A10" authorId="2" shapeId="0" xr:uid="{7CA04C1C-1AB3-4975-836D-3A23BF07909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67C7FE22-019B-4387-8AD5-EB914C35C0E3}">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2ECF3F7D-F331-4345-87BE-541E5DC448EE}">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064D72E1-8AEC-4560-8069-94654E65465D}">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2F168506-2933-4BF3-92E9-C2CA82DD7A51}">
      <text>
        <r>
          <rPr>
            <b/>
            <sz val="9"/>
            <color indexed="81"/>
            <rFont val="Tahoma"/>
            <family val="2"/>
          </rPr>
          <t>cmcneil:</t>
        </r>
        <r>
          <rPr>
            <sz val="9"/>
            <color indexed="81"/>
            <rFont val="Tahoma"/>
            <family val="2"/>
          </rPr>
          <t xml:space="preserve">
What was used to measure snow depth</t>
        </r>
      </text>
    </comment>
    <comment ref="I10" authorId="0" shapeId="0" xr:uid="{6290312E-7A54-4B2F-96EC-C9CDB84B167A}">
      <text>
        <r>
          <rPr>
            <b/>
            <sz val="9"/>
            <color indexed="81"/>
            <rFont val="Tahoma"/>
            <family val="2"/>
          </rPr>
          <t>cmcneil:</t>
        </r>
        <r>
          <rPr>
            <sz val="9"/>
            <color indexed="81"/>
            <rFont val="Tahoma"/>
            <family val="2"/>
          </rPr>
          <t xml:space="preserve">
snow depth observed</t>
        </r>
      </text>
    </comment>
    <comment ref="O10" authorId="2" shapeId="0" xr:uid="{2A138098-59A3-4A1B-BE2C-863EDAA1AA8A}">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8BAEA727-56D9-42D3-90EB-16F67F3D2C0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2BEB134F-AE86-406F-AA89-0B4732E73A6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66E3E9A-86CE-4FEE-B3C0-9C516BF4138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B3113050-24B7-497B-986F-2535B2D7DC1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AAF5D05-28B2-407C-B79F-BD7040BBEA08}">
      <text>
        <r>
          <rPr>
            <sz val="8"/>
            <color indexed="81"/>
            <rFont val="Tahoma"/>
            <family val="2"/>
          </rPr>
          <t xml:space="preserve">Sipre coring auger=45.6cm2 
large tube 41.05 cm2       
small tube 25.6   cm2          
Snow Metrics 1000 cm^3
</t>
        </r>
      </text>
    </comment>
    <comment ref="A10" authorId="2" shapeId="0" xr:uid="{BF706B6E-4AAC-45EC-A2F9-639EAD7F4C04}">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DDCBA62A-1C52-4FF6-8E04-AE2525EF2D35}">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ABA89F2F-F074-408C-8362-136DD218EB7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AE60FD9C-4A8B-42EB-BC27-90D58D9294C6}">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F6317A86-7C3D-432C-8138-FD832960D43E}">
      <text>
        <r>
          <rPr>
            <b/>
            <sz val="9"/>
            <color indexed="81"/>
            <rFont val="Tahoma"/>
            <family val="2"/>
          </rPr>
          <t>cmcneil:</t>
        </r>
        <r>
          <rPr>
            <sz val="9"/>
            <color indexed="81"/>
            <rFont val="Tahoma"/>
            <family val="2"/>
          </rPr>
          <t xml:space="preserve">
What was used to measure snow depth</t>
        </r>
      </text>
    </comment>
    <comment ref="I10" authorId="0" shapeId="0" xr:uid="{77FE9D55-98AB-4BD7-A9BC-5A86C5A8A217}">
      <text>
        <r>
          <rPr>
            <b/>
            <sz val="9"/>
            <color indexed="81"/>
            <rFont val="Tahoma"/>
            <family val="2"/>
          </rPr>
          <t>cmcneil:</t>
        </r>
        <r>
          <rPr>
            <sz val="9"/>
            <color indexed="81"/>
            <rFont val="Tahoma"/>
            <family val="2"/>
          </rPr>
          <t xml:space="preserve">
snow depth observed</t>
        </r>
      </text>
    </comment>
    <comment ref="O10" authorId="2" shapeId="0" xr:uid="{4043954E-9D15-438E-A77F-5D5452A3E5A1}">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962BA3C7-63EE-4434-9BBC-2E10E850365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A71E898-A3B4-4231-852E-AD616CF094B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A24117C-4467-4F66-AEC7-07B4AC5494D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334D2B7-0C31-4843-B0BC-3CB02843A513}">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D425B68-B1C2-4369-99B2-F1D1EE347A68}">
      <text>
        <r>
          <rPr>
            <sz val="8"/>
            <color indexed="81"/>
            <rFont val="Tahoma"/>
            <family val="2"/>
          </rPr>
          <t xml:space="preserve">Sipre coring auger=45.6cm2 
large tube 41.05 cm2       
small tube 25.6   cm2          
Snow Metrics 1000 cm^3
</t>
        </r>
      </text>
    </comment>
    <comment ref="A10" authorId="2" shapeId="0" xr:uid="{2B871A45-C49E-4CEC-933F-1CBD5CD81FC1}">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CFE77C26-9041-4552-B191-18F04CBF5C7B}">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E58D8C7A-C05F-4D9B-9EAD-D5FD052A6A9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7F7A2632-7176-42B9-9605-BA5630866759}">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962CB9A9-E975-4179-8DE2-1CB83866AC18}">
      <text>
        <r>
          <rPr>
            <b/>
            <sz val="9"/>
            <color indexed="81"/>
            <rFont val="Tahoma"/>
            <family val="2"/>
          </rPr>
          <t>cmcneil:</t>
        </r>
        <r>
          <rPr>
            <sz val="9"/>
            <color indexed="81"/>
            <rFont val="Tahoma"/>
            <family val="2"/>
          </rPr>
          <t xml:space="preserve">
What was used to measure snow depth</t>
        </r>
      </text>
    </comment>
    <comment ref="I10" authorId="0" shapeId="0" xr:uid="{5059615B-AB79-4745-B436-F539BA0502D2}">
      <text>
        <r>
          <rPr>
            <b/>
            <sz val="9"/>
            <color indexed="81"/>
            <rFont val="Tahoma"/>
            <family val="2"/>
          </rPr>
          <t>cmcneil:</t>
        </r>
        <r>
          <rPr>
            <sz val="9"/>
            <color indexed="81"/>
            <rFont val="Tahoma"/>
            <family val="2"/>
          </rPr>
          <t xml:space="preserve">
snow depth observed</t>
        </r>
      </text>
    </comment>
    <comment ref="O10" authorId="2" shapeId="0" xr:uid="{5382ABD0-474E-41D5-AE5A-161D7F0900D7}">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F7BE8849-DC15-4928-862F-11388D22AFB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9BC7ECD-7800-43BD-BA0B-0D30FE754F3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DBF177D-DCB2-4CC1-8070-9B8A1C57DC84}">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B493ECB-5CBC-40F2-B497-665605859E4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93A98FD-7FD4-4927-B5CA-2DF7836A01D4}">
      <text>
        <r>
          <rPr>
            <sz val="8"/>
            <color indexed="81"/>
            <rFont val="Tahoma"/>
            <family val="2"/>
          </rPr>
          <t xml:space="preserve">Sipre coring auger=45.6cm2 
large tube 41.05 cm2       
small tube 25.6   cm2          
Snow Metrics 1000 cm^3
</t>
        </r>
      </text>
    </comment>
    <comment ref="A10" authorId="2" shapeId="0" xr:uid="{E020126E-4EFD-4885-BC4D-B15C97EF3039}">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987AB7D3-7D5C-4361-9248-EDD435803EC9}">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B64E574E-2A86-4214-B61D-33792B22A18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295D43D4-6153-4D05-B9E2-6D2C18C0C80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34FB83EB-5864-4E40-86EA-A0A8E65E8CB1}">
      <text>
        <r>
          <rPr>
            <b/>
            <sz val="9"/>
            <color indexed="81"/>
            <rFont val="Tahoma"/>
            <family val="2"/>
          </rPr>
          <t>cmcneil:</t>
        </r>
        <r>
          <rPr>
            <sz val="9"/>
            <color indexed="81"/>
            <rFont val="Tahoma"/>
            <family val="2"/>
          </rPr>
          <t xml:space="preserve">
What was used to measure snow depth</t>
        </r>
      </text>
    </comment>
    <comment ref="I10" authorId="0" shapeId="0" xr:uid="{D7C559A8-2CE0-4D9F-9CEA-44F3102E62D8}">
      <text>
        <r>
          <rPr>
            <b/>
            <sz val="9"/>
            <color indexed="81"/>
            <rFont val="Tahoma"/>
            <family val="2"/>
          </rPr>
          <t>cmcneil:</t>
        </r>
        <r>
          <rPr>
            <sz val="9"/>
            <color indexed="81"/>
            <rFont val="Tahoma"/>
            <family val="2"/>
          </rPr>
          <t xml:space="preserve">
snow depth observed</t>
        </r>
      </text>
    </comment>
    <comment ref="O10" authorId="2" shapeId="0" xr:uid="{A81545B3-264F-427D-AC9F-2B0599685CE5}">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07CE9206-4817-45A9-BC1A-4B315C5BE08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87F68050-254F-4842-8B39-2696A1E066C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1A2D427E-3047-4524-91D6-613AEACEA23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7326C148-6FB2-40A0-A9F7-B6253C85DCD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94140BD-D2A9-49C1-B713-C6CF70B94974}">
      <text>
        <r>
          <rPr>
            <sz val="8"/>
            <color indexed="81"/>
            <rFont val="Tahoma"/>
            <family val="2"/>
          </rPr>
          <t xml:space="preserve">Sipre coring auger=45.6cm2 
large tube 41.05 cm2       
small tube 25.6   cm2          
Snow Metrics 1000 cm^3
</t>
        </r>
      </text>
    </comment>
    <comment ref="A10" authorId="2" shapeId="0" xr:uid="{22163FCE-ECEB-4C89-B4C9-6C9304F4112E}">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BFA5FCC7-5920-45EC-91AF-6B859ECB30AF}">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2D89F236-B839-493C-8A45-C8DE861E6D0F}">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19EA2C50-AF47-4BBC-8485-E3FD045EE84C}">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G10" authorId="2" shapeId="0" xr:uid="{DABE6933-32A5-4051-A24C-E0DC0A7F48D8}">
      <text>
        <r>
          <rPr>
            <b/>
            <sz val="9"/>
            <color indexed="81"/>
            <rFont val="Tahoma"/>
            <family val="2"/>
          </rPr>
          <t>ehbaker:</t>
        </r>
        <r>
          <rPr>
            <sz val="9"/>
            <color indexed="81"/>
            <rFont val="Tahoma"/>
            <family val="2"/>
          </rPr>
          <t xml:space="preserve">
Only applicable for density measurements that are vertically stacked (3 on top of each other, vs 3 separate holes)
</t>
        </r>
      </text>
    </comment>
    <comment ref="H10" authorId="0" shapeId="0" xr:uid="{FE19DF43-35EA-48E1-946C-4E468DCA403D}">
      <text>
        <r>
          <rPr>
            <b/>
            <sz val="9"/>
            <color indexed="81"/>
            <rFont val="Tahoma"/>
            <family val="2"/>
          </rPr>
          <t>cmcneil:</t>
        </r>
        <r>
          <rPr>
            <sz val="9"/>
            <color indexed="81"/>
            <rFont val="Tahoma"/>
            <family val="2"/>
          </rPr>
          <t xml:space="preserve">
What was used to measure snow depth</t>
        </r>
      </text>
    </comment>
    <comment ref="I10" authorId="0" shapeId="0" xr:uid="{C77308FD-0B32-4A27-8015-6D90B6C5C6CE}">
      <text>
        <r>
          <rPr>
            <b/>
            <sz val="9"/>
            <color indexed="81"/>
            <rFont val="Tahoma"/>
            <family val="2"/>
          </rPr>
          <t>cmcneil:</t>
        </r>
        <r>
          <rPr>
            <sz val="9"/>
            <color indexed="81"/>
            <rFont val="Tahoma"/>
            <family val="2"/>
          </rPr>
          <t xml:space="preserve">
snow depth observed</t>
        </r>
      </text>
    </comment>
    <comment ref="O10" authorId="2" shapeId="0" xr:uid="{1B2A729A-BEB0-4F2C-B3EE-B5D6CC977CEF}">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<sst xmlns="http://schemas.openxmlformats.org/spreadsheetml/2006/main" count="1152" uniqueCount="218">
  <si>
    <t>Stake  Location</t>
  </si>
  <si>
    <t>UTM(WGS84)</t>
  </si>
  <si>
    <t>Stake Lengths</t>
  </si>
  <si>
    <t>*depth above previous year's surface (e.g. 2005 surface if current year is 2006). New independent measurement, from the date indicated</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</si>
  <si>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</si>
  <si>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</si>
  <si>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</si>
  <si>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</si>
  <si>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</si>
  <si>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</si>
  <si>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</si>
  <si>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</si>
  <si>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</si>
  <si>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</si>
  <si>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</si>
  <si>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</si>
  <si>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</si>
  <si>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</si>
  <si>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</si>
  <si>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</si>
  <si>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</si>
  <si>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</si>
  <si>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</si>
  <si>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</si>
  <si>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Easting</t>
  </si>
  <si>
    <t>Northing</t>
  </si>
  <si>
    <t>Elevation</t>
  </si>
  <si>
    <t>Comments</t>
  </si>
  <si>
    <t>(mm/dd/yyyy)</t>
  </si>
  <si>
    <t>(meters)</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</si>
  <si>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</si>
  <si>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</si>
  <si>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</si>
  <si>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</si>
  <si>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</si>
  <si>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</si>
  <si>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</si>
  <si>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</si>
  <si>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</si>
  <si>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</si>
  <si>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</si>
  <si>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</si>
  <si>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</si>
  <si>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</si>
  <si>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</si>
  <si>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</si>
  <si>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2013_06_06_Kah07_Field_Datasheet.pdf</t>
  </si>
  <si>
    <t>07-K17</t>
  </si>
  <si>
    <t xml:space="preserve"> Glacier:</t>
  </si>
  <si>
    <t>Kahiltna</t>
  </si>
  <si>
    <t>Total snowpit depth (cm):</t>
  </si>
  <si>
    <t>* for the federal sampler, this is simply the depth of the deepest density measurement</t>
  </si>
  <si>
    <t>Location:</t>
  </si>
  <si>
    <t>K17</t>
  </si>
  <si>
    <t>Depth of previous years' summer surface (cm):</t>
  </si>
  <si>
    <t xml:space="preserve">    Date:</t>
  </si>
  <si>
    <t>Average snow Depth (m):</t>
  </si>
  <si>
    <t xml:space="preserve">  Notebook:</t>
  </si>
  <si>
    <t>Column average density (g/cm^3):</t>
  </si>
  <si>
    <t>Not measured</t>
  </si>
  <si>
    <t>Sampler Type</t>
  </si>
  <si>
    <t>No density</t>
  </si>
  <si>
    <t>Additional Snow Depth Measurements</t>
  </si>
  <si>
    <t>Hobo Temperature Sensors Recovered</t>
  </si>
  <si>
    <t>Density Usability Assessment</t>
  </si>
  <si>
    <t>Depth of Snow Sampled</t>
  </si>
  <si>
    <t>Recovered Core Length</t>
  </si>
  <si>
    <t>Sample Weight</t>
  </si>
  <si>
    <t>Cutter Weight</t>
  </si>
  <si>
    <t>Density</t>
  </si>
  <si>
    <t>Type of measurement</t>
  </si>
  <si>
    <t>Snow Depth</t>
  </si>
  <si>
    <t>Logger Number</t>
  </si>
  <si>
    <t>Action</t>
  </si>
  <si>
    <t>Time</t>
  </si>
  <si>
    <t>Density Coverage</t>
  </si>
  <si>
    <t>in</t>
  </si>
  <si>
    <t>in w.e.</t>
  </si>
  <si>
    <t>g/cm^3</t>
  </si>
  <si>
    <t>(cm)</t>
  </si>
  <si>
    <t>AK local time</t>
  </si>
  <si>
    <t>fraction</t>
  </si>
  <si>
    <t>no density measurements</t>
  </si>
  <si>
    <t>No snowpit</t>
  </si>
  <si>
    <t>Stake not found, probably buried</t>
  </si>
  <si>
    <t>Probe</t>
  </si>
  <si>
    <t>Snow</t>
  </si>
  <si>
    <t>not found</t>
  </si>
  <si>
    <t>2012_08_13_Kah07_Field_Datasheet.pdf</t>
  </si>
  <si>
    <t>No density measurement</t>
  </si>
  <si>
    <t>No measurement</t>
  </si>
  <si>
    <t>New Snow</t>
  </si>
  <si>
    <t>13-K17A</t>
  </si>
  <si>
    <t>2013_06_06_K17A_Field_Datasheet.pdf</t>
  </si>
  <si>
    <t>Total Core Depth(cm):</t>
  </si>
  <si>
    <t>Average Snow Depth (m):</t>
  </si>
  <si>
    <t>Column Average Density (g/cm^3):</t>
  </si>
  <si>
    <t>Federal Sampler</t>
  </si>
  <si>
    <t xml:space="preserve"> </t>
  </si>
  <si>
    <t>K17A</t>
  </si>
  <si>
    <t>2013_06_06_Kah_Field_Datasheet.pdf</t>
  </si>
  <si>
    <t>Depth-Weighted Density</t>
  </si>
  <si>
    <t>stake/pit</t>
  </si>
  <si>
    <t>probe</t>
  </si>
  <si>
    <t>*not specifically noted; this is probe  @ the stake</t>
  </si>
  <si>
    <t>NA (new stake)</t>
  </si>
  <si>
    <t>New Firn</t>
  </si>
  <si>
    <t>All Nfirn densities for 2013 as estimated from new firn measured on 8/21/14 at stake 17-B. No field notes for 2013 fall field visit. Infered as difference between annual and summer balance.  Summer balance measured directly; annual infered from accumulation in fall.</t>
  </si>
  <si>
    <t>13-K17B</t>
  </si>
  <si>
    <t>probe at stake</t>
  </si>
  <si>
    <t xml:space="preserve">probe  </t>
  </si>
  <si>
    <t>Depth of Previous Year's Summer Surface at stake (cm):</t>
  </si>
  <si>
    <t>*single sample</t>
  </si>
  <si>
    <t>*probe at stake</t>
  </si>
  <si>
    <t>density</t>
  </si>
  <si>
    <t>NO FIELD DATA SHEET! From K17A.xlsx</t>
  </si>
  <si>
    <t>NA</t>
  </si>
  <si>
    <t>K17B</t>
  </si>
  <si>
    <t>No field notes; from K17B.xls</t>
  </si>
  <si>
    <t>new firn</t>
  </si>
  <si>
    <t>no hobos placed or recovered</t>
  </si>
  <si>
    <t>no density measured</t>
  </si>
  <si>
    <t>(meters) - not including 'summer accumulation', unless specifically noted in separate row</t>
  </si>
  <si>
    <t>No field notes; from K17A.xls</t>
  </si>
  <si>
    <t>not measured</t>
  </si>
  <si>
    <t>summer surface 2012</t>
  </si>
  <si>
    <t>stratigraphic balance</t>
  </si>
  <si>
    <t>new calculation</t>
  </si>
  <si>
    <t>&lt;-----Stake Reading-------&gt;</t>
  </si>
  <si>
    <t>&lt;-----------Snow or New Firn Depth-------------&gt;</t>
  </si>
  <si>
    <t>Ablation</t>
  </si>
  <si>
    <t>Accumulation</t>
  </si>
  <si>
    <t>Balances</t>
  </si>
  <si>
    <t>Stake</t>
  </si>
  <si>
    <t>Strata</t>
  </si>
  <si>
    <t>At Stake</t>
  </si>
  <si>
    <t>Average</t>
  </si>
  <si>
    <t>Previous summer surface</t>
  </si>
  <si>
    <t>Stake Length Change</t>
  </si>
  <si>
    <t>Depth</t>
  </si>
  <si>
    <t xml:space="preserve"> Density</t>
  </si>
  <si>
    <t>Estimated or Measured</t>
  </si>
  <si>
    <t>Name</t>
  </si>
  <si>
    <t>(fall to fall)</t>
  </si>
  <si>
    <t>d</t>
  </si>
  <si>
    <t>r</t>
  </si>
  <si>
    <t>m/d/y</t>
  </si>
  <si>
    <t>m</t>
  </si>
  <si>
    <t xml:space="preserve"> m</t>
  </si>
  <si>
    <t>kg/L</t>
  </si>
  <si>
    <t>m w.e.</t>
  </si>
  <si>
    <t>stake not found</t>
  </si>
  <si>
    <t>Estimated</t>
  </si>
  <si>
    <t>Depth of Previous Year's Summer Surface (m):</t>
  </si>
  <si>
    <t>Total Core Depth (m):</t>
  </si>
  <si>
    <t>Measured</t>
  </si>
  <si>
    <t>Depth of Previous Year's Summer Surface at stake (m):</t>
  </si>
  <si>
    <t xml:space="preserve">Estimated  </t>
  </si>
  <si>
    <t>old calculation</t>
  </si>
  <si>
    <t>13-K17-A30ft</t>
  </si>
  <si>
    <t>-</t>
  </si>
  <si>
    <t>Summer Surf.</t>
  </si>
  <si>
    <t xml:space="preserve"> &lt;-----Old Firn and Ice Losses------&gt;</t>
  </si>
  <si>
    <t xml:space="preserve"> &lt;-----------NFirn, SIce or Snow Amounts----------------&gt;</t>
  </si>
  <si>
    <t>Seasonal</t>
  </si>
  <si>
    <t>Annual</t>
  </si>
  <si>
    <t>Cumulative</t>
  </si>
  <si>
    <t>Tape</t>
  </si>
  <si>
    <t>Survey</t>
  </si>
  <si>
    <t>Pit/Stake</t>
  </si>
  <si>
    <t>n</t>
  </si>
  <si>
    <t>Obsvd.</t>
  </si>
  <si>
    <t>Ice</t>
  </si>
  <si>
    <r>
      <t>E</t>
    </r>
    <r>
      <rPr>
        <sz val="8"/>
        <color indexed="8"/>
        <rFont val="Century Schoolbook"/>
        <family val="1"/>
      </rPr>
      <t>stimated</t>
    </r>
  </si>
  <si>
    <t xml:space="preserve">"Snow" </t>
  </si>
  <si>
    <t>Balance</t>
  </si>
  <si>
    <t>b'</t>
  </si>
  <si>
    <t>b*</t>
  </si>
  <si>
    <t>b**</t>
  </si>
  <si>
    <t>b'ss</t>
  </si>
  <si>
    <t>b'(i)</t>
  </si>
  <si>
    <r>
      <t>b</t>
    </r>
    <r>
      <rPr>
        <b/>
        <i/>
        <vertAlign val="subscript"/>
        <sz val="8"/>
        <color indexed="8"/>
        <rFont val="Century Schoolbook"/>
        <family val="1"/>
      </rPr>
      <t>a</t>
    </r>
    <r>
      <rPr>
        <b/>
        <i/>
        <sz val="8"/>
        <color indexed="8"/>
        <rFont val="Century Schoolbook"/>
        <family val="1"/>
      </rPr>
      <t>(i)</t>
    </r>
  </si>
  <si>
    <t>or</t>
  </si>
  <si>
    <r>
      <t>b</t>
    </r>
    <r>
      <rPr>
        <b/>
        <i/>
        <vertAlign val="subscript"/>
        <sz val="8"/>
        <color indexed="8"/>
        <rFont val="Century Schoolbook"/>
        <family val="1"/>
      </rPr>
      <t>n</t>
    </r>
    <r>
      <rPr>
        <b/>
        <i/>
        <sz val="8"/>
        <color indexed="8"/>
        <rFont val="Century Schoolbook"/>
        <family val="1"/>
      </rPr>
      <t>(f)</t>
    </r>
  </si>
  <si>
    <t>bw &amp; bs</t>
  </si>
  <si>
    <t>ba</t>
  </si>
  <si>
    <r>
      <t>b</t>
    </r>
    <r>
      <rPr>
        <b/>
        <i/>
        <vertAlign val="subscript"/>
        <sz val="8"/>
        <color indexed="9"/>
        <rFont val="Century Schoolbook"/>
        <family val="1"/>
      </rPr>
      <t>c</t>
    </r>
  </si>
  <si>
    <t>Ssurf probe compare</t>
  </si>
  <si>
    <t>m(w)</t>
  </si>
  <si>
    <r>
      <t>M</t>
    </r>
    <r>
      <rPr>
        <sz val="8"/>
        <color indexed="8"/>
        <rFont val="Century Schoolbook"/>
        <family val="1"/>
      </rPr>
      <t>easured</t>
    </r>
  </si>
  <si>
    <t>NFirn</t>
  </si>
  <si>
    <t>NA (no notes from fall 2013)</t>
  </si>
  <si>
    <t>density estimated as 0.30. Measured was 0.22.</t>
  </si>
  <si>
    <t>10-K17</t>
  </si>
  <si>
    <t>new firn depth not probed</t>
  </si>
  <si>
    <t>not noted</t>
  </si>
  <si>
    <t>new snow</t>
  </si>
  <si>
    <t>no spring field notes; no notes in Kahiltna_K17-10.xlsx</t>
  </si>
  <si>
    <t>07-K17-9M</t>
  </si>
  <si>
    <t>Old firn</t>
  </si>
  <si>
    <t>10-K17-6M</t>
  </si>
  <si>
    <t>13-K17-B30ft</t>
  </si>
  <si>
    <t>13-K17-C30ft</t>
  </si>
  <si>
    <t>USGS format</t>
  </si>
  <si>
    <t>13-K17C</t>
  </si>
  <si>
    <t>K17C</t>
  </si>
  <si>
    <t>2013_06_06_K17C_Field_Datasheet.pdf</t>
  </si>
  <si>
    <t>25 m up-glacier</t>
  </si>
  <si>
    <t>Total Core Depth(m):</t>
  </si>
  <si>
    <t>Bulk Density (g/cm^3):</t>
  </si>
  <si>
    <t>probe at pit/stke</t>
  </si>
  <si>
    <t>Off</t>
  </si>
  <si>
    <t>12:00pm</t>
  </si>
  <si>
    <t>No field notes - Kahiltna_K17C.xlsx</t>
  </si>
  <si>
    <t>fall 2012</t>
  </si>
  <si>
    <t>snow</t>
  </si>
  <si>
    <t>K17-10</t>
  </si>
  <si>
    <t>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</si>
</sst>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yy"/>
    <numFmt numFmtId="165" formatCode="?,??0.00"/>
    <numFmt numFmtId="166" formatCode="0.000"/>
    <numFmt numFmtId="167" formatCode="??0"/>
    <numFmt numFmtId="168" formatCode="0.0"/>
    <numFmt numFmtId="169" formatCode="mm/dd/yy"/>
    <numFmt numFmtId="170" formatCode="0.00_)"/>
  </numFmts>
  <fonts count="50" x14ac:knownFonts="1">
    <font>
      <sz val="8"/>
      <color theme="1"/>
      <name val="Arial"/>
      <family val="2"/>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sz val="10"/>
      <name val="Arial"/>
      <family val="2"/>
    </font>
    <font>
      <b/>
      <sz val="10"/>
      <color theme="1"/>
      <name val="Arial"/>
      <family val="2"/>
    </font>
    <font>
      <b/>
      <u/>
      <sz val="10"/>
      <name val="Arial"/>
      <family val="2"/>
    </font>
    <font>
      <b/>
      <vertAlign val="subscript"/>
      <sz val="10"/>
      <color rgb="FF000000"/>
      <name val="Arial"/>
      <family val="2"/>
    </font>
    <font>
      <sz val="10"/>
      <color theme="1"/>
      <name val="Arial"/>
      <family val="2"/>
    </font>
    <font>
      <b/>
      <sz val="9"/>
      <color indexed="81"/>
      <name val="Tahoma"/>
      <family val="2"/>
    </font>
    <font>
      <sz val="9"/>
      <color indexed="81"/>
      <name val="Tahoma"/>
      <family val="2"/>
    </font>
    <font>
      <b/>
      <u/>
      <sz val="18"/>
      <color rgb="FF000000"/>
      <name val="Calibri"/>
      <family val="2"/>
    </font>
    <font>
      <b/>
      <sz val="10"/>
      <color rgb="FF000000"/>
      <name val="Calibri"/>
      <family val="2"/>
    </font>
    <font>
      <sz val="10"/>
      <color theme="1"/>
      <name val="Calibri"/>
      <family val="2"/>
      <scheme val="minor"/>
    </font>
    <font>
      <b/>
      <sz val="8"/>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theme="1"/>
      <name val="Arial"/>
      <family val="2"/>
    </font>
    <font>
      <b/>
      <sz val="8"/>
      <color rgb="FFFF0000"/>
      <name val="Arial"/>
      <family val="2"/>
    </font>
    <font>
      <sz val="8"/>
      <color indexed="81"/>
      <name val="Tahoma"/>
      <family val="2"/>
    </font>
    <font>
      <sz val="8"/>
      <color rgb="FF000000"/>
      <name val="Arial"/>
      <family val="2"/>
    </font>
    <font>
      <b/>
      <sz val="12"/>
      <name val="Arial"/>
      <family val="2"/>
    </font>
    <font>
      <sz val="8"/>
      <color indexed="8"/>
      <name val="Calibri"/>
      <family val="2"/>
      <scheme val="minor"/>
    </font>
    <font>
      <sz val="8"/>
      <name val="Calibri"/>
      <family val="2"/>
      <scheme val="minor"/>
    </font>
    <font>
      <sz val="8"/>
      <color theme="1"/>
      <name val="Calibri"/>
      <family val="2"/>
      <scheme val="minor"/>
    </font>
    <font>
      <b/>
      <sz val="8"/>
      <name val="Calibri"/>
      <family val="2"/>
      <scheme val="minor"/>
    </font>
    <font>
      <b/>
      <sz val="8"/>
      <color indexed="81"/>
      <name val="Tahoma"/>
      <family val="2"/>
    </font>
    <font>
      <sz val="8"/>
      <color rgb="FFFF0000"/>
      <name val="Arial"/>
      <family val="2"/>
    </font>
    <font>
      <sz val="8"/>
      <color theme="1" tint="0.499984740745262"/>
      <name val="Arial"/>
      <family val="2"/>
    </font>
    <font>
      <sz val="8"/>
      <color indexed="8"/>
      <name val="Century Schoolbook"/>
      <family val="1"/>
    </font>
    <font>
      <sz val="8"/>
      <name val="Century Schoolbook"/>
      <family val="1"/>
    </font>
    <font>
      <i/>
      <sz val="8"/>
      <color indexed="8"/>
      <name val="Century Schoolbook"/>
      <family val="1"/>
    </font>
    <font>
      <b/>
      <u/>
      <sz val="8"/>
      <color indexed="8"/>
      <name val="Century Schoolbook"/>
      <family val="1"/>
    </font>
    <font>
      <b/>
      <i/>
      <sz val="8"/>
      <color indexed="8"/>
      <name val="Century Schoolbook"/>
      <family val="1"/>
    </font>
    <font>
      <b/>
      <i/>
      <sz val="8"/>
      <color indexed="8"/>
      <name val="Symbol"/>
      <family val="1"/>
      <charset val="2"/>
    </font>
    <font>
      <b/>
      <i/>
      <vertAlign val="subscript"/>
      <sz val="8"/>
      <color indexed="8"/>
      <name val="Century Schoolbook"/>
      <family val="1"/>
    </font>
    <font>
      <b/>
      <i/>
      <sz val="8"/>
      <color indexed="9"/>
      <name val="Century Schoolbook"/>
      <family val="1"/>
    </font>
    <font>
      <b/>
      <i/>
      <vertAlign val="subscript"/>
      <sz val="8"/>
      <color indexed="9"/>
      <name val="Century Schoolbook"/>
      <family val="1"/>
    </font>
    <font>
      <sz val="8"/>
      <color indexed="9"/>
      <name val="Century Schoolbook"/>
      <family val="1"/>
    </font>
    <font>
      <sz val="8"/>
      <color rgb="FFFF0000"/>
      <name val="Calibri"/>
      <family val="2"/>
      <scheme val="minor"/>
    </font>
    <font>
      <sz val="8"/>
      <color indexed="8"/>
      <name val="Arial"/>
      <family val="2"/>
    </font>
    <font>
      <b/>
      <sz val="11"/>
      <color rgb="FFFF0000"/>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indexed="11"/>
        <bgColor indexed="64"/>
      </patternFill>
    </fill>
    <fill>
      <patternFill patternType="solid">
        <fgColor indexed="46"/>
        <bgColor indexed="64"/>
      </patternFill>
    </fill>
    <fill>
      <patternFill patternType="solid">
        <fgColor theme="5" tint="0.79998168889431442"/>
        <bgColor indexed="64"/>
      </patternFill>
    </fill>
    <fill>
      <patternFill patternType="solid">
        <fgColor indexed="61"/>
        <bgColor indexed="64"/>
      </patternFill>
    </fill>
    <fill>
      <patternFill patternType="solid">
        <fgColor theme="4" tint="0.79998168889431442"/>
        <bgColor indexed="64"/>
      </patternFill>
    </fill>
    <fill>
      <patternFill patternType="solid">
        <fgColor rgb="FFFF00FF"/>
        <bgColor indexed="64"/>
      </patternFill>
    </fill>
    <fill>
      <patternFill patternType="solid">
        <fgColor rgb="FF7D9CA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16" fillId="0" borderId="0" applyNumberFormat="0" applyFill="0" applyBorder="0" applyAlignment="0" applyProtection="0">
      <alignment horizontal="left"/>
      <protection locked="0"/>
    </xf>
    <xf numFmtId="0" fontId="17" fillId="0" borderId="0" applyNumberFormat="0" applyFill="0" applyBorder="0" applyAlignment="0" applyProtection="0">
      <protection locked="0"/>
    </xf>
    <xf numFmtId="0" fontId="18" fillId="0" borderId="0" applyNumberFormat="0" applyFill="0" applyBorder="0" applyAlignment="0" applyProtection="0">
      <alignment horizontal="left"/>
      <protection locked="0"/>
    </xf>
    <xf numFmtId="166" fontId="20" fillId="0" borderId="0" applyFont="0" applyFill="0" applyBorder="0" applyAlignment="0" applyProtection="0"/>
    <xf numFmtId="0" fontId="17" fillId="0" borderId="0" applyNumberFormat="0" applyFill="0" applyBorder="0" applyAlignment="0" applyProtection="0">
      <alignment horizontal="left" vertical="top" wrapText="1"/>
      <protection locked="0"/>
    </xf>
    <xf numFmtId="0" fontId="17"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17" fillId="0" borderId="0" applyNumberFormat="0" applyFill="0" applyBorder="0" applyAlignment="0" applyProtection="0">
      <protection locked="0"/>
    </xf>
  </cellStyleXfs>
  <cellXfs count="576">
    <xf numFmtId="0" fontId="0" fillId="0" borderId="0" xfId="0"/>
    <xf numFmtId="164" fontId="2" fillId="0" borderId="1" xfId="0" applyNumberFormat="1"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4" xfId="0" applyFont="1" applyBorder="1" applyAlignment="1">
      <alignment horizontal="center"/>
    </xf>
    <xf numFmtId="0" fontId="4" fillId="0" borderId="5" xfId="0" applyFont="1" applyBorder="1" applyAlignment="1">
      <alignment horizontal="center"/>
    </xf>
    <xf numFmtId="0" fontId="4" fillId="0" borderId="2" xfId="0" applyFont="1" applyBorder="1" applyAlignment="1">
      <alignment horizontal="center"/>
    </xf>
    <xf numFmtId="4" fontId="3" fillId="0" borderId="2" xfId="0" applyNumberFormat="1" applyFont="1" applyBorder="1" applyAlignment="1">
      <alignment horizontal="center" vertical="top"/>
    </xf>
    <xf numFmtId="4" fontId="3" fillId="0" borderId="6" xfId="0" applyNumberFormat="1" applyFont="1" applyBorder="1" applyAlignment="1">
      <alignment horizontal="center" vertical="top"/>
    </xf>
    <xf numFmtId="4" fontId="5" fillId="0" borderId="2" xfId="0" applyNumberFormat="1" applyFont="1" applyBorder="1" applyAlignment="1">
      <alignment horizontal="center"/>
    </xf>
    <xf numFmtId="4" fontId="3" fillId="0" borderId="1" xfId="0" applyNumberFormat="1" applyFont="1" applyBorder="1" applyAlignment="1">
      <alignment horizontal="center" vertical="top"/>
    </xf>
    <xf numFmtId="4" fontId="4" fillId="0" borderId="2" xfId="0" applyNumberFormat="1" applyFont="1" applyBorder="1" applyAlignment="1">
      <alignment horizontal="center"/>
    </xf>
    <xf numFmtId="4" fontId="3" fillId="0" borderId="8" xfId="0" applyNumberFormat="1" applyFont="1" applyBorder="1" applyAlignment="1">
      <alignment horizontal="center"/>
    </xf>
    <xf numFmtId="0" fontId="4" fillId="0" borderId="3" xfId="0" applyFont="1" applyBorder="1" applyAlignment="1">
      <alignment horizontal="center"/>
    </xf>
    <xf numFmtId="0" fontId="0" fillId="0" borderId="0" xfId="0" applyBorder="1"/>
    <xf numFmtId="164" fontId="2" fillId="0" borderId="9" xfId="0" applyNumberFormat="1" applyFont="1" applyBorder="1" applyAlignment="1">
      <alignment horizontal="center" vertical="top"/>
    </xf>
    <xf numFmtId="0" fontId="3" fillId="0" borderId="0" xfId="0" applyFont="1" applyBorder="1" applyAlignment="1">
      <alignment horizontal="center" vertical="top"/>
    </xf>
    <xf numFmtId="0" fontId="3" fillId="0" borderId="10" xfId="0" applyFont="1" applyBorder="1" applyAlignment="1">
      <alignment horizontal="center" vertical="top"/>
    </xf>
    <xf numFmtId="0" fontId="4" fillId="0" borderId="11" xfId="0" applyFont="1" applyBorder="1" applyAlignment="1">
      <alignment horizontal="center"/>
    </xf>
    <xf numFmtId="4" fontId="3" fillId="0" borderId="0" xfId="0" applyNumberFormat="1" applyFont="1" applyBorder="1" applyAlignment="1">
      <alignment horizontal="center" vertical="top"/>
    </xf>
    <xf numFmtId="4" fontId="3" fillId="0" borderId="12" xfId="0" applyNumberFormat="1" applyFont="1" applyBorder="1" applyAlignment="1">
      <alignment horizontal="center" vertical="top"/>
    </xf>
    <xf numFmtId="4" fontId="3" fillId="0" borderId="0" xfId="0" applyNumberFormat="1" applyFont="1" applyBorder="1" applyAlignment="1">
      <alignment horizontal="center"/>
    </xf>
    <xf numFmtId="0" fontId="4" fillId="0" borderId="0" xfId="0" applyFont="1" applyBorder="1" applyAlignment="1">
      <alignment horizontal="center"/>
    </xf>
    <xf numFmtId="4" fontId="5" fillId="0" borderId="7" xfId="0" applyNumberFormat="1" applyFont="1" applyBorder="1" applyAlignment="1">
      <alignment horizontal="center" vertical="top"/>
    </xf>
    <xf numFmtId="4" fontId="5" fillId="0" borderId="0" xfId="0" applyNumberFormat="1" applyFont="1" applyBorder="1" applyAlignment="1">
      <alignment horizontal="center" vertical="top"/>
    </xf>
    <xf numFmtId="0" fontId="0" fillId="0" borderId="9" xfId="0" applyBorder="1"/>
    <xf numFmtId="0" fontId="0" fillId="0" borderId="13" xfId="0" applyBorder="1"/>
    <xf numFmtId="0" fontId="4"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4" fontId="4" fillId="0" borderId="0" xfId="0" applyNumberFormat="1" applyFont="1" applyBorder="1" applyAlignment="1">
      <alignment horizontal="left"/>
    </xf>
    <xf numFmtId="4" fontId="5" fillId="0" borderId="7" xfId="0" applyNumberFormat="1" applyFont="1" applyBorder="1" applyAlignment="1">
      <alignment horizontal="center"/>
    </xf>
    <xf numFmtId="4" fontId="5" fillId="0" borderId="0" xfId="0" applyNumberFormat="1" applyFont="1" applyBorder="1" applyAlignment="1">
      <alignment horizontal="center"/>
    </xf>
    <xf numFmtId="4" fontId="3" fillId="0" borderId="9" xfId="0" applyNumberFormat="1" applyFont="1" applyBorder="1" applyAlignment="1">
      <alignment horizontal="center"/>
    </xf>
    <xf numFmtId="4" fontId="7" fillId="0" borderId="0" xfId="0" applyNumberFormat="1" applyFont="1" applyBorder="1" applyAlignment="1">
      <alignment horizontal="center"/>
    </xf>
    <xf numFmtId="4" fontId="7" fillId="0" borderId="13" xfId="0" applyNumberFormat="1" applyFont="1" applyBorder="1" applyAlignment="1">
      <alignment horizontal="center"/>
    </xf>
    <xf numFmtId="0" fontId="3" fillId="0" borderId="10" xfId="0" applyFont="1" applyBorder="1" applyAlignment="1">
      <alignment horizontal="center"/>
    </xf>
    <xf numFmtId="4" fontId="3" fillId="0" borderId="0" xfId="0" applyNumberFormat="1" applyFont="1" applyBorder="1" applyAlignment="1">
      <alignment horizontal="center" vertical="center"/>
    </xf>
    <xf numFmtId="4" fontId="5" fillId="0" borderId="7" xfId="0" applyNumberFormat="1" applyFont="1" applyBorder="1" applyAlignment="1">
      <alignment horizontal="center" vertical="center" wrapText="1"/>
    </xf>
    <xf numFmtId="4" fontId="3" fillId="0" borderId="9" xfId="0" applyNumberFormat="1" applyFont="1" applyBorder="1" applyAlignment="1">
      <alignment horizontal="center" vertical="center"/>
    </xf>
    <xf numFmtId="0" fontId="0" fillId="0" borderId="0" xfId="0" applyBorder="1" applyAlignment="1">
      <alignment vertical="center"/>
    </xf>
    <xf numFmtId="4" fontId="6" fillId="3" borderId="2" xfId="0" applyNumberFormat="1" applyFont="1" applyFill="1" applyBorder="1" applyAlignment="1">
      <alignment horizontal="center"/>
    </xf>
    <xf numFmtId="0" fontId="6" fillId="3" borderId="2" xfId="0" applyFont="1" applyFill="1" applyBorder="1"/>
    <xf numFmtId="4" fontId="6" fillId="3" borderId="8" xfId="0" applyNumberFormat="1" applyFont="1" applyFill="1" applyBorder="1" applyAlignment="1">
      <alignment horizontal="center"/>
    </xf>
    <xf numFmtId="0" fontId="14" fillId="2" borderId="22" xfId="0" applyFont="1" applyFill="1" applyBorder="1"/>
    <xf numFmtId="164" fontId="14" fillId="2" borderId="22" xfId="0" applyNumberFormat="1" applyFont="1" applyFill="1" applyBorder="1"/>
    <xf numFmtId="0" fontId="14" fillId="2" borderId="22" xfId="0" applyFont="1" applyFill="1" applyBorder="1" applyAlignment="1">
      <alignment horizontal="center"/>
    </xf>
    <xf numFmtId="164" fontId="6" fillId="3" borderId="22" xfId="0" applyNumberFormat="1" applyFont="1" applyFill="1" applyBorder="1"/>
    <xf numFmtId="0" fontId="4" fillId="2" borderId="9" xfId="0" applyFont="1" applyFill="1" applyBorder="1"/>
    <xf numFmtId="0" fontId="4" fillId="2" borderId="10" xfId="0" applyFont="1" applyFill="1" applyBorder="1" applyAlignment="1">
      <alignment horizontal="right"/>
    </xf>
    <xf numFmtId="2" fontId="4" fillId="2" borderId="0" xfId="0" applyNumberFormat="1" applyFont="1" applyFill="1" applyBorder="1"/>
    <xf numFmtId="0" fontId="4" fillId="2" borderId="0" xfId="0" applyFont="1" applyFill="1" applyBorder="1"/>
    <xf numFmtId="0" fontId="0" fillId="3" borderId="0" xfId="0" applyFill="1" applyBorder="1"/>
    <xf numFmtId="0" fontId="4" fillId="2" borderId="13" xfId="0" applyFont="1" applyFill="1" applyBorder="1"/>
    <xf numFmtId="0" fontId="10" fillId="3" borderId="10" xfId="0" applyFont="1" applyFill="1" applyBorder="1" applyAlignment="1">
      <alignment horizontal="right"/>
    </xf>
    <xf numFmtId="0" fontId="15" fillId="3" borderId="10" xfId="0" applyFont="1" applyFill="1" applyBorder="1" applyAlignment="1">
      <alignment horizontal="right"/>
    </xf>
    <xf numFmtId="0" fontId="4" fillId="2" borderId="14" xfId="0" applyFont="1" applyFill="1" applyBorder="1"/>
    <xf numFmtId="0" fontId="15" fillId="3" borderId="16" xfId="0" applyFont="1" applyFill="1" applyBorder="1" applyAlignment="1">
      <alignment horizontal="right"/>
    </xf>
    <xf numFmtId="2" fontId="4" fillId="2" borderId="15" xfId="0" applyNumberFormat="1" applyFont="1" applyFill="1" applyBorder="1"/>
    <xf numFmtId="0" fontId="4" fillId="2" borderId="15" xfId="0" applyFont="1" applyFill="1" applyBorder="1"/>
    <xf numFmtId="4" fontId="4" fillId="2" borderId="15" xfId="0" applyNumberFormat="1" applyFont="1" applyFill="1" applyBorder="1"/>
    <xf numFmtId="0" fontId="4" fillId="2" borderId="19" xfId="0" applyFont="1" applyFill="1" applyBorder="1"/>
    <xf numFmtId="0" fontId="6" fillId="0" borderId="1" xfId="1" applyFont="1" applyBorder="1" applyAlignment="1" applyProtection="1">
      <alignment horizontal="left"/>
    </xf>
    <xf numFmtId="0" fontId="6" fillId="0" borderId="2" xfId="2" applyFont="1" applyBorder="1" applyAlignment="1" applyProtection="1">
      <alignment horizontal="left"/>
    </xf>
    <xf numFmtId="1" fontId="19" fillId="0" borderId="2" xfId="3" applyNumberFormat="1" applyFont="1" applyBorder="1" applyAlignment="1" applyProtection="1">
      <alignment horizontal="left"/>
      <protection locked="0"/>
    </xf>
    <xf numFmtId="0" fontId="6" fillId="0" borderId="2" xfId="2" applyFont="1" applyBorder="1" applyProtection="1"/>
    <xf numFmtId="1" fontId="19" fillId="0" borderId="2" xfId="3" applyNumberFormat="1" applyFont="1" applyBorder="1" applyAlignment="1" applyProtection="1">
      <alignment horizontal="left"/>
    </xf>
    <xf numFmtId="166" fontId="21" fillId="0" borderId="2" xfId="4" applyFont="1" applyBorder="1"/>
    <xf numFmtId="1" fontId="6" fillId="0" borderId="2" xfId="5" applyNumberFormat="1" applyFont="1" applyBorder="1" applyAlignment="1" applyProtection="1">
      <alignment horizontal="right"/>
    </xf>
    <xf numFmtId="1" fontId="21" fillId="0" borderId="2" xfId="5" applyNumberFormat="1" applyFont="1" applyBorder="1" applyAlignment="1" applyProtection="1">
      <alignment horizontal="left"/>
      <protection locked="0"/>
    </xf>
    <xf numFmtId="166" fontId="17" fillId="0" borderId="0" xfId="4" applyFont="1" applyFill="1" applyBorder="1" applyAlignment="1" applyProtection="1">
      <alignment horizontal="left"/>
    </xf>
    <xf numFmtId="0" fontId="6" fillId="0" borderId="0" xfId="2" applyFont="1" applyProtection="1"/>
    <xf numFmtId="0" fontId="16" fillId="0" borderId="0" xfId="2" applyFont="1" applyProtection="1"/>
    <xf numFmtId="0" fontId="16" fillId="0" borderId="0" xfId="2" applyFont="1" applyBorder="1" applyProtection="1"/>
    <xf numFmtId="0" fontId="6" fillId="0" borderId="9" xfId="1" applyFont="1" applyBorder="1" applyAlignment="1" applyProtection="1">
      <alignment horizontal="left"/>
    </xf>
    <xf numFmtId="0" fontId="6" fillId="0" borderId="0" xfId="2" applyFont="1" applyBorder="1" applyAlignment="1" applyProtection="1">
      <alignment horizontal="left"/>
    </xf>
    <xf numFmtId="1" fontId="19" fillId="0" borderId="0" xfId="3" applyNumberFormat="1" applyFont="1" applyBorder="1" applyAlignment="1" applyProtection="1">
      <alignment horizontal="left"/>
      <protection locked="0"/>
    </xf>
    <xf numFmtId="0" fontId="6" fillId="0" borderId="0" xfId="2" applyFont="1" applyBorder="1" applyProtection="1"/>
    <xf numFmtId="1" fontId="19" fillId="0" borderId="0" xfId="3" applyNumberFormat="1" applyFont="1" applyBorder="1" applyAlignment="1" applyProtection="1">
      <alignment horizontal="left"/>
    </xf>
    <xf numFmtId="166" fontId="21" fillId="0" borderId="0" xfId="4" applyFont="1" applyBorder="1"/>
    <xf numFmtId="1" fontId="6" fillId="0" borderId="0" xfId="5" applyNumberFormat="1" applyFont="1" applyBorder="1" applyAlignment="1" applyProtection="1">
      <alignment horizontal="right"/>
    </xf>
    <xf numFmtId="2" fontId="21" fillId="0" borderId="0" xfId="5" applyNumberFormat="1" applyFont="1" applyBorder="1" applyAlignment="1" applyProtection="1">
      <alignment horizontal="center"/>
    </xf>
    <xf numFmtId="0" fontId="16" fillId="0" borderId="0" xfId="2" applyFont="1" applyBorder="1" applyAlignment="1" applyProtection="1">
      <alignment horizontal="left"/>
    </xf>
    <xf numFmtId="2" fontId="6" fillId="0" borderId="9" xfId="1" applyNumberFormat="1" applyFont="1" applyBorder="1" applyAlignment="1" applyProtection="1">
      <alignment horizontal="left"/>
    </xf>
    <xf numFmtId="14" fontId="6" fillId="0" borderId="0" xfId="2" applyNumberFormat="1" applyFont="1" applyBorder="1" applyAlignment="1" applyProtection="1">
      <alignment horizontal="left"/>
    </xf>
    <xf numFmtId="2" fontId="6" fillId="0" borderId="0" xfId="1" applyNumberFormat="1" applyFont="1" applyBorder="1" applyAlignment="1" applyProtection="1">
      <alignment horizontal="right"/>
    </xf>
    <xf numFmtId="0" fontId="17" fillId="0" borderId="0" xfId="6" applyFont="1" applyAlignment="1" applyProtection="1">
      <alignment vertical="top"/>
    </xf>
    <xf numFmtId="0" fontId="17" fillId="0" borderId="0" xfId="6" applyFont="1" applyBorder="1" applyAlignment="1" applyProtection="1">
      <alignment vertical="top"/>
    </xf>
    <xf numFmtId="0" fontId="21" fillId="0" borderId="0" xfId="0" applyFont="1" applyFill="1" applyBorder="1" applyAlignment="1">
      <alignment horizontal="left"/>
    </xf>
    <xf numFmtId="2" fontId="21" fillId="0" borderId="0" xfId="5" applyNumberFormat="1" applyFont="1" applyBorder="1" applyAlignment="1" applyProtection="1">
      <alignment horizontal="left"/>
    </xf>
    <xf numFmtId="166" fontId="21" fillId="0" borderId="0" xfId="4" applyFont="1" applyFill="1" applyBorder="1" applyAlignment="1" applyProtection="1">
      <alignment horizontal="center"/>
    </xf>
    <xf numFmtId="0" fontId="22" fillId="0" borderId="0" xfId="3" applyFont="1" applyFill="1" applyBorder="1" applyAlignment="1" applyProtection="1">
      <alignment horizontal="left"/>
      <protection locked="0"/>
    </xf>
    <xf numFmtId="0" fontId="10" fillId="0" borderId="0" xfId="7" applyFont="1" applyBorder="1" applyAlignment="1">
      <alignment horizontal="center"/>
    </xf>
    <xf numFmtId="0" fontId="16" fillId="0" borderId="0" xfId="1" applyFont="1" applyBorder="1" applyAlignment="1" applyProtection="1"/>
    <xf numFmtId="0" fontId="16" fillId="0" borderId="0" xfId="1" applyFont="1" applyAlignment="1" applyProtection="1"/>
    <xf numFmtId="166" fontId="17" fillId="0" borderId="0" xfId="4" applyFont="1" applyAlignment="1" applyProtection="1">
      <alignment horizontal="center"/>
    </xf>
    <xf numFmtId="167" fontId="17" fillId="0" borderId="0" xfId="8" applyFont="1" applyBorder="1" applyAlignment="1" applyProtection="1">
      <alignment horizontal="center"/>
    </xf>
    <xf numFmtId="0" fontId="17" fillId="0" borderId="0" xfId="2" applyFont="1" applyBorder="1" applyProtection="1"/>
    <xf numFmtId="0" fontId="17" fillId="0" borderId="0" xfId="2" applyFont="1" applyProtection="1"/>
    <xf numFmtId="0" fontId="16" fillId="0" borderId="0" xfId="1" applyFont="1" applyBorder="1" applyAlignment="1" applyProtection="1">
      <alignment horizontal="center"/>
    </xf>
    <xf numFmtId="14" fontId="16" fillId="0" borderId="0" xfId="1" applyNumberFormat="1" applyFont="1" applyBorder="1" applyAlignment="1" applyProtection="1">
      <alignment horizontal="centerContinuous"/>
    </xf>
    <xf numFmtId="166" fontId="17" fillId="0" borderId="15" xfId="4" applyFont="1" applyBorder="1" applyAlignment="1" applyProtection="1">
      <alignment horizontal="center"/>
    </xf>
    <xf numFmtId="167" fontId="17" fillId="0" borderId="0" xfId="8" applyFont="1" applyAlignment="1" applyProtection="1">
      <alignment horizontal="center"/>
    </xf>
    <xf numFmtId="0" fontId="17" fillId="0" borderId="1" xfId="2" applyFont="1" applyBorder="1" applyProtection="1"/>
    <xf numFmtId="0" fontId="17" fillId="0" borderId="2" xfId="2" applyFont="1" applyBorder="1" applyProtection="1"/>
    <xf numFmtId="0" fontId="17" fillId="0" borderId="12" xfId="2" applyFont="1" applyBorder="1" applyProtection="1"/>
    <xf numFmtId="0" fontId="17" fillId="0" borderId="8" xfId="2" applyFont="1" applyBorder="1" applyProtection="1"/>
    <xf numFmtId="0" fontId="16" fillId="0" borderId="1" xfId="2" applyFont="1" applyBorder="1" applyProtection="1"/>
    <xf numFmtId="0" fontId="16" fillId="0" borderId="2" xfId="2" applyFont="1" applyBorder="1" applyProtection="1"/>
    <xf numFmtId="0" fontId="16" fillId="0" borderId="8" xfId="2" applyFont="1" applyBorder="1" applyProtection="1"/>
    <xf numFmtId="0" fontId="16" fillId="0" borderId="9" xfId="1" applyFont="1" applyBorder="1" applyAlignment="1" applyProtection="1">
      <alignment horizontal="center"/>
    </xf>
    <xf numFmtId="167" fontId="16" fillId="0" borderId="0" xfId="8" applyFont="1" applyBorder="1" applyAlignment="1" applyProtection="1">
      <alignment horizontal="center"/>
    </xf>
    <xf numFmtId="0" fontId="23" fillId="0" borderId="0" xfId="9" applyFont="1" applyBorder="1" applyAlignment="1" applyProtection="1"/>
    <xf numFmtId="0" fontId="16" fillId="0" borderId="13" xfId="1" applyFont="1" applyBorder="1" applyAlignment="1" applyProtection="1">
      <alignment horizontal="center"/>
    </xf>
    <xf numFmtId="167" fontId="16" fillId="0" borderId="13" xfId="8" applyFont="1" applyBorder="1" applyAlignment="1" applyProtection="1">
      <alignment horizontal="center"/>
    </xf>
    <xf numFmtId="0" fontId="16" fillId="0" borderId="9" xfId="2" applyFont="1" applyBorder="1" applyAlignment="1" applyProtection="1">
      <alignment horizontal="left"/>
    </xf>
    <xf numFmtId="0" fontId="16" fillId="0" borderId="13" xfId="2" applyFont="1" applyBorder="1" applyAlignment="1" applyProtection="1">
      <alignment horizontal="left"/>
    </xf>
    <xf numFmtId="0" fontId="24" fillId="0" borderId="14" xfId="1" applyFont="1" applyBorder="1" applyAlignment="1" applyProtection="1">
      <alignment horizontal="center" vertical="center"/>
    </xf>
    <xf numFmtId="0" fontId="24" fillId="0" borderId="15" xfId="1" applyFont="1" applyBorder="1" applyAlignment="1" applyProtection="1">
      <alignment horizontal="center" vertical="center"/>
    </xf>
    <xf numFmtId="167" fontId="24" fillId="0" borderId="0" xfId="8" applyFont="1" applyBorder="1" applyAlignment="1" applyProtection="1">
      <alignment horizontal="center" vertical="center"/>
    </xf>
    <xf numFmtId="0" fontId="24" fillId="0" borderId="0" xfId="1" applyFont="1" applyBorder="1" applyAlignment="1" applyProtection="1">
      <alignment horizontal="center" vertical="center"/>
    </xf>
    <xf numFmtId="0" fontId="17" fillId="0" borderId="0" xfId="1" applyFont="1" applyBorder="1" applyAlignment="1" applyProtection="1">
      <alignment horizontal="center" vertical="center"/>
    </xf>
    <xf numFmtId="167" fontId="17" fillId="0" borderId="19" xfId="8" applyFont="1" applyBorder="1" applyAlignment="1" applyProtection="1">
      <alignment horizontal="center" vertical="center"/>
    </xf>
    <xf numFmtId="167" fontId="17" fillId="0" borderId="15" xfId="8" applyFont="1" applyBorder="1" applyAlignment="1" applyProtection="1">
      <alignment horizontal="center" vertical="center"/>
    </xf>
    <xf numFmtId="0" fontId="17" fillId="0" borderId="19" xfId="1" applyFont="1" applyBorder="1" applyAlignment="1" applyProtection="1">
      <alignment horizontal="center" vertical="center"/>
    </xf>
    <xf numFmtId="0" fontId="17" fillId="0" borderId="14" xfId="2" applyFont="1" applyBorder="1" applyProtection="1"/>
    <xf numFmtId="0" fontId="17" fillId="0" borderId="15" xfId="2" applyFont="1" applyBorder="1" applyProtection="1"/>
    <xf numFmtId="20" fontId="17" fillId="0" borderId="19" xfId="2" applyNumberFormat="1" applyFont="1" applyBorder="1" applyProtection="1"/>
    <xf numFmtId="2" fontId="17" fillId="0" borderId="2" xfId="4" applyNumberFormat="1" applyFont="1" applyBorder="1" applyAlignment="1" applyProtection="1">
      <alignment horizontal="center"/>
    </xf>
    <xf numFmtId="2" fontId="17" fillId="0" borderId="2" xfId="2" applyNumberFormat="1" applyFont="1" applyBorder="1" applyAlignment="1" applyProtection="1">
      <alignment horizontal="center"/>
    </xf>
    <xf numFmtId="20" fontId="17" fillId="0" borderId="0" xfId="2" applyNumberFormat="1" applyFont="1" applyProtection="1"/>
    <xf numFmtId="2" fontId="17" fillId="0" borderId="0" xfId="2" applyNumberFormat="1" applyFont="1" applyProtection="1"/>
    <xf numFmtId="2" fontId="17" fillId="0" borderId="0" xfId="4" applyNumberFormat="1" applyFont="1" applyAlignment="1" applyProtection="1">
      <alignment horizontal="center"/>
    </xf>
    <xf numFmtId="2" fontId="17" fillId="0" borderId="0" xfId="2" applyNumberFormat="1" applyFont="1" applyAlignment="1" applyProtection="1">
      <alignment horizontal="center"/>
    </xf>
    <xf numFmtId="0" fontId="0" fillId="4" borderId="0" xfId="0" applyFill="1"/>
    <xf numFmtId="0" fontId="0" fillId="4" borderId="0" xfId="0" applyFill="1" applyAlignment="1">
      <alignment horizontal="center" vertical="center"/>
    </xf>
    <xf numFmtId="0" fontId="0" fillId="5" borderId="0" xfId="0" applyFill="1"/>
    <xf numFmtId="164" fontId="4" fillId="4" borderId="0" xfId="0" applyNumberFormat="1" applyFont="1" applyFill="1" applyBorder="1" applyAlignment="1">
      <alignment horizontal="center" vertical="center"/>
    </xf>
    <xf numFmtId="2" fontId="0" fillId="4" borderId="0" xfId="0" applyNumberForma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6" fillId="0" borderId="2" xfId="1" applyFont="1" applyBorder="1" applyAlignment="1" applyProtection="1">
      <alignment horizontal="right"/>
    </xf>
    <xf numFmtId="1" fontId="21" fillId="0" borderId="2" xfId="5" applyNumberFormat="1" applyFont="1" applyBorder="1" applyAlignment="1" applyProtection="1">
      <alignment horizontal="center"/>
      <protection locked="0"/>
    </xf>
    <xf numFmtId="2" fontId="16" fillId="0" borderId="0" xfId="2" applyNumberFormat="1" applyFont="1" applyProtection="1"/>
    <xf numFmtId="0" fontId="6" fillId="0" borderId="0" xfId="1" applyFont="1" applyBorder="1" applyAlignment="1" applyProtection="1">
      <alignment horizontal="right"/>
    </xf>
    <xf numFmtId="1" fontId="21" fillId="0" borderId="0" xfId="5" applyNumberFormat="1" applyFont="1" applyAlignment="1" applyProtection="1">
      <alignment horizontal="center"/>
    </xf>
    <xf numFmtId="14" fontId="6" fillId="0" borderId="0" xfId="2" applyNumberFormat="1" applyFont="1" applyBorder="1" applyProtection="1"/>
    <xf numFmtId="0" fontId="21" fillId="0" borderId="0" xfId="5" applyFont="1" applyAlignment="1" applyProtection="1">
      <alignment horizontal="center"/>
    </xf>
    <xf numFmtId="2" fontId="17" fillId="0" borderId="0" xfId="6" applyNumberFormat="1" applyFont="1" applyAlignment="1" applyProtection="1">
      <alignment vertical="top"/>
    </xf>
    <xf numFmtId="2" fontId="21" fillId="0" borderId="0" xfId="5" applyNumberFormat="1" applyFont="1" applyAlignment="1" applyProtection="1">
      <alignment horizontal="center"/>
    </xf>
    <xf numFmtId="0" fontId="16" fillId="0" borderId="0" xfId="2" applyFont="1" applyBorder="1" applyAlignment="1" applyProtection="1">
      <alignment horizontal="center"/>
    </xf>
    <xf numFmtId="0" fontId="10" fillId="0" borderId="0" xfId="7" applyFont="1" applyAlignment="1">
      <alignment horizontal="center"/>
    </xf>
    <xf numFmtId="2" fontId="16" fillId="0" borderId="0" xfId="1" applyNumberFormat="1" applyFont="1" applyAlignment="1" applyProtection="1"/>
    <xf numFmtId="2" fontId="17" fillId="0" borderId="0" xfId="2" applyNumberFormat="1" applyFont="1" applyBorder="1" applyAlignment="1" applyProtection="1">
      <alignment horizontal="center"/>
    </xf>
    <xf numFmtId="0" fontId="17" fillId="0" borderId="0" xfId="2" applyFont="1" applyAlignment="1" applyProtection="1">
      <alignment horizontal="center"/>
    </xf>
    <xf numFmtId="166" fontId="16" fillId="0" borderId="0" xfId="1" applyNumberFormat="1" applyFont="1" applyAlignment="1" applyProtection="1"/>
    <xf numFmtId="0" fontId="16" fillId="0" borderId="0" xfId="1" applyFont="1" applyBorder="1" applyAlignment="1" applyProtection="1">
      <alignment vertical="center"/>
    </xf>
    <xf numFmtId="0" fontId="17" fillId="0" borderId="0" xfId="2" applyFont="1" applyAlignment="1" applyProtection="1">
      <alignment vertical="center" wrapText="1"/>
    </xf>
    <xf numFmtId="0" fontId="17" fillId="0" borderId="0" xfId="2" applyFont="1" applyAlignment="1" applyProtection="1">
      <alignment vertical="center"/>
    </xf>
    <xf numFmtId="166" fontId="17" fillId="0" borderId="0" xfId="4" applyFont="1" applyBorder="1" applyAlignment="1" applyProtection="1">
      <alignment horizontal="center"/>
    </xf>
    <xf numFmtId="2" fontId="17" fillId="0" borderId="0" xfId="2" applyNumberFormat="1" applyFont="1" applyBorder="1" applyProtection="1"/>
    <xf numFmtId="1" fontId="17" fillId="0" borderId="0" xfId="2" applyNumberFormat="1" applyFont="1" applyProtection="1"/>
    <xf numFmtId="0" fontId="16" fillId="0" borderId="13" xfId="2" applyFont="1" applyBorder="1" applyAlignment="1" applyProtection="1">
      <alignment wrapText="1"/>
    </xf>
    <xf numFmtId="0" fontId="17" fillId="0" borderId="8" xfId="2" applyFont="1" applyBorder="1" applyAlignment="1" applyProtection="1">
      <alignment wrapText="1"/>
    </xf>
    <xf numFmtId="0" fontId="17" fillId="0" borderId="19" xfId="2" applyFont="1" applyBorder="1" applyProtection="1"/>
    <xf numFmtId="14" fontId="0" fillId="5" borderId="0" xfId="0" applyNumberFormat="1" applyFill="1" applyAlignment="1">
      <alignment horizontal="center" vertical="center"/>
    </xf>
    <xf numFmtId="2" fontId="0" fillId="5" borderId="0" xfId="0" applyNumberFormat="1" applyFill="1" applyAlignment="1">
      <alignment horizontal="center" vertical="center"/>
    </xf>
    <xf numFmtId="0" fontId="3" fillId="0" borderId="7" xfId="0" applyFont="1" applyBorder="1" applyAlignment="1">
      <alignment horizontal="center"/>
    </xf>
    <xf numFmtId="0" fontId="3" fillId="0" borderId="0" xfId="0" applyFont="1" applyBorder="1" applyAlignment="1">
      <alignment horizontal="center"/>
    </xf>
    <xf numFmtId="0" fontId="3" fillId="0" borderId="13" xfId="0" applyFont="1" applyBorder="1" applyAlignment="1">
      <alignment horizontal="center"/>
    </xf>
    <xf numFmtId="0" fontId="0" fillId="5" borderId="0" xfId="0" applyFill="1" applyAlignment="1">
      <alignment wrapText="1"/>
    </xf>
    <xf numFmtId="166" fontId="16" fillId="0" borderId="0" xfId="4" applyFont="1" applyAlignment="1" applyProtection="1">
      <alignment horizontal="center"/>
    </xf>
    <xf numFmtId="164" fontId="3" fillId="0" borderId="9"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4" fontId="3" fillId="0" borderId="0" xfId="0" applyNumberFormat="1" applyFont="1" applyBorder="1" applyAlignment="1">
      <alignment horizontal="center" vertical="center" wrapText="1"/>
    </xf>
    <xf numFmtId="4" fontId="3" fillId="0" borderId="12" xfId="0" applyNumberFormat="1" applyFont="1" applyBorder="1" applyAlignment="1">
      <alignment horizontal="center" vertical="center" wrapText="1"/>
    </xf>
    <xf numFmtId="4" fontId="3" fillId="0" borderId="9" xfId="0" applyNumberFormat="1" applyFont="1" applyBorder="1" applyAlignment="1">
      <alignment horizontal="center" vertical="center" wrapText="1"/>
    </xf>
    <xf numFmtId="4" fontId="7" fillId="0" borderId="0" xfId="0" applyNumberFormat="1" applyFont="1" applyBorder="1" applyAlignment="1">
      <alignment horizontal="left" vertical="center" wrapText="1"/>
    </xf>
    <xf numFmtId="4" fontId="7" fillId="0" borderId="13" xfId="0" applyNumberFormat="1" applyFont="1" applyBorder="1" applyAlignment="1">
      <alignment horizontal="left" vertical="center" wrapText="1"/>
    </xf>
    <xf numFmtId="2" fontId="6" fillId="0" borderId="0" xfId="0" applyNumberFormat="1" applyFont="1" applyBorder="1" applyAlignment="1">
      <alignment horizontal="center" vertical="center" wrapText="1"/>
    </xf>
    <xf numFmtId="165" fontId="6" fillId="0" borderId="13" xfId="0" applyNumberFormat="1" applyFont="1" applyBorder="1" applyAlignment="1">
      <alignment horizontal="center" vertical="center" wrapText="1"/>
    </xf>
    <xf numFmtId="0" fontId="0" fillId="0" borderId="0" xfId="0" applyBorder="1" applyAlignment="1">
      <alignment vertical="center" wrapText="1"/>
    </xf>
    <xf numFmtId="164" fontId="26" fillId="4" borderId="0" xfId="0" applyNumberFormat="1" applyFont="1" applyFill="1" applyBorder="1" applyAlignment="1">
      <alignment horizontal="center" vertical="center"/>
    </xf>
    <xf numFmtId="1" fontId="17" fillId="0" borderId="0" xfId="4" applyNumberFormat="1" applyFont="1" applyAlignment="1" applyProtection="1">
      <alignment horizontal="center"/>
    </xf>
    <xf numFmtId="1" fontId="17" fillId="0" borderId="2" xfId="2" applyNumberFormat="1" applyFont="1" applyBorder="1" applyProtection="1"/>
    <xf numFmtId="1" fontId="17" fillId="0" borderId="2" xfId="4" applyNumberFormat="1" applyFont="1" applyBorder="1" applyAlignment="1" applyProtection="1">
      <alignment horizontal="center"/>
    </xf>
    <xf numFmtId="1" fontId="0" fillId="0" borderId="0" xfId="0" applyNumberFormat="1"/>
    <xf numFmtId="14" fontId="14" fillId="2" borderId="23" xfId="0" applyNumberFormat="1" applyFont="1" applyFill="1" applyBorder="1"/>
    <xf numFmtId="168" fontId="17" fillId="0" borderId="0" xfId="4" applyNumberFormat="1" applyFont="1" applyAlignment="1" applyProtection="1">
      <alignment horizontal="center"/>
    </xf>
    <xf numFmtId="168" fontId="17" fillId="0" borderId="2" xfId="2" applyNumberFormat="1" applyFont="1" applyBorder="1" applyProtection="1"/>
    <xf numFmtId="168" fontId="17" fillId="0" borderId="2" xfId="4" applyNumberFormat="1" applyFont="1" applyBorder="1" applyAlignment="1" applyProtection="1">
      <alignment horizontal="center"/>
    </xf>
    <xf numFmtId="168" fontId="17" fillId="0" borderId="0" xfId="2" applyNumberFormat="1" applyFont="1" applyProtection="1"/>
    <xf numFmtId="164" fontId="4" fillId="0" borderId="14" xfId="0" applyNumberFormat="1"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4" fontId="0" fillId="0" borderId="15" xfId="0" applyNumberFormat="1" applyFont="1" applyBorder="1" applyAlignment="1">
      <alignment horizontal="center" vertical="center"/>
    </xf>
    <xf numFmtId="4" fontId="0" fillId="0" borderId="15" xfId="0" applyNumberFormat="1" applyFont="1" applyBorder="1" applyAlignment="1">
      <alignment horizontal="center" vertical="center" wrapText="1"/>
    </xf>
    <xf numFmtId="4" fontId="4" fillId="0" borderId="18" xfId="0" applyNumberFormat="1" applyFont="1" applyBorder="1" applyAlignment="1">
      <alignment horizontal="center" vertical="center"/>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center"/>
    </xf>
    <xf numFmtId="4" fontId="10" fillId="0" borderId="15" xfId="0" applyNumberFormat="1" applyFont="1" applyBorder="1" applyAlignment="1">
      <alignment horizontal="center" vertical="center"/>
    </xf>
    <xf numFmtId="4" fontId="10" fillId="0" borderId="19"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4" fillId="0" borderId="19" xfId="0" applyFont="1" applyBorder="1" applyAlignment="1">
      <alignment horizontal="center" vertical="center"/>
    </xf>
    <xf numFmtId="2" fontId="21" fillId="0" borderId="0" xfId="5" applyNumberFormat="1" applyFont="1" applyFill="1" applyAlignment="1" applyProtection="1">
      <alignment horizontal="center"/>
    </xf>
    <xf numFmtId="0" fontId="26" fillId="2" borderId="0" xfId="0" applyFont="1" applyFill="1" applyBorder="1"/>
    <xf numFmtId="14" fontId="26" fillId="2" borderId="0" xfId="0" applyNumberFormat="1" applyFont="1" applyFill="1" applyBorder="1"/>
    <xf numFmtId="0" fontId="27" fillId="0" borderId="15" xfId="2" applyFont="1" applyBorder="1" applyProtection="1"/>
    <xf numFmtId="169" fontId="28" fillId="0" borderId="15" xfId="0" applyNumberFormat="1" applyFont="1" applyFill="1" applyBorder="1" applyAlignment="1" applyProtection="1">
      <alignment horizontal="center"/>
    </xf>
    <xf numFmtId="170" fontId="28" fillId="0" borderId="15" xfId="0" applyNumberFormat="1" applyFont="1" applyFill="1" applyBorder="1" applyAlignment="1" applyProtection="1">
      <alignment horizontal="left"/>
    </xf>
    <xf numFmtId="2" fontId="29" fillId="0" borderId="15" xfId="0" applyNumberFormat="1" applyFont="1" applyFill="1" applyBorder="1" applyAlignment="1">
      <alignment horizontal="center"/>
    </xf>
    <xf numFmtId="170" fontId="28" fillId="0" borderId="15" xfId="0" applyNumberFormat="1" applyFont="1" applyFill="1" applyBorder="1" applyAlignment="1">
      <alignment horizontal="center"/>
    </xf>
    <xf numFmtId="2" fontId="28" fillId="0" borderId="15" xfId="0" applyNumberFormat="1" applyFont="1" applyFill="1" applyBorder="1" applyAlignment="1">
      <alignment horizontal="center"/>
    </xf>
    <xf numFmtId="1" fontId="28" fillId="0" borderId="15" xfId="0" applyNumberFormat="1" applyFont="1" applyFill="1" applyBorder="1" applyAlignment="1">
      <alignment horizontal="center"/>
    </xf>
    <xf numFmtId="2" fontId="28" fillId="0" borderId="15" xfId="0" applyNumberFormat="1" applyFont="1" applyFill="1" applyBorder="1" applyAlignment="1" applyProtection="1">
      <alignment horizontal="center"/>
    </xf>
    <xf numFmtId="0" fontId="30" fillId="0" borderId="15" xfId="0" applyFont="1" applyFill="1" applyBorder="1"/>
    <xf numFmtId="2" fontId="31" fillId="0" borderId="15" xfId="0" applyNumberFormat="1" applyFont="1" applyFill="1" applyBorder="1" applyAlignment="1" applyProtection="1">
      <alignment horizontal="center" vertical="center"/>
    </xf>
    <xf numFmtId="2" fontId="29" fillId="0" borderId="15" xfId="0" applyNumberFormat="1" applyFont="1" applyFill="1" applyBorder="1" applyAlignment="1" applyProtection="1">
      <alignment horizontal="center" vertical="center"/>
    </xf>
    <xf numFmtId="0" fontId="29" fillId="0" borderId="0" xfId="2" applyFont="1" applyFill="1" applyProtection="1"/>
    <xf numFmtId="0" fontId="29" fillId="0" borderId="0" xfId="2" applyFont="1" applyFill="1" applyBorder="1" applyProtection="1"/>
    <xf numFmtId="0" fontId="17" fillId="6" borderId="12" xfId="2" applyFill="1" applyBorder="1" applyAlignment="1" applyProtection="1">
      <alignment horizontal="center" vertical="center"/>
      <protection locked="0"/>
    </xf>
    <xf numFmtId="0" fontId="17" fillId="6" borderId="12" xfId="2" applyFill="1" applyBorder="1" applyAlignment="1" applyProtection="1">
      <alignment horizontal="center" vertical="center"/>
    </xf>
    <xf numFmtId="0" fontId="17" fillId="0" borderId="12" xfId="2" applyBorder="1" applyAlignment="1" applyProtection="1">
      <alignment horizontal="center" vertical="center"/>
      <protection locked="0"/>
    </xf>
    <xf numFmtId="0" fontId="17" fillId="0" borderId="9" xfId="2" applyBorder="1" applyAlignment="1" applyProtection="1">
      <alignment horizontal="center" vertical="center"/>
      <protection locked="0"/>
    </xf>
    <xf numFmtId="0" fontId="17" fillId="0" borderId="0" xfId="2" applyBorder="1" applyAlignment="1" applyProtection="1">
      <alignment horizontal="center" vertical="center"/>
    </xf>
    <xf numFmtId="0" fontId="17" fillId="0" borderId="13" xfId="2" applyBorder="1" applyAlignment="1" applyProtection="1">
      <alignment horizontal="center" vertical="center"/>
    </xf>
    <xf numFmtId="170" fontId="17" fillId="0" borderId="9" xfId="2" applyNumberFormat="1" applyBorder="1" applyAlignment="1" applyProtection="1">
      <alignment horizontal="center" vertical="center"/>
      <protection locked="0"/>
    </xf>
    <xf numFmtId="0" fontId="17" fillId="0" borderId="9" xfId="2" applyBorder="1" applyAlignment="1" applyProtection="1">
      <alignment horizontal="center" vertical="center"/>
    </xf>
    <xf numFmtId="0" fontId="17" fillId="0" borderId="2" xfId="2" applyBorder="1" applyAlignment="1" applyProtection="1">
      <alignment horizontal="center" vertical="center"/>
    </xf>
    <xf numFmtId="0" fontId="17" fillId="0" borderId="8" xfId="2" applyBorder="1" applyAlignment="1" applyProtection="1">
      <alignment horizontal="center" vertical="center"/>
    </xf>
    <xf numFmtId="0" fontId="17" fillId="7" borderId="9" xfId="2" applyFill="1" applyBorder="1" applyAlignment="1" applyProtection="1">
      <alignment horizontal="center" vertical="center"/>
      <protection locked="0"/>
    </xf>
    <xf numFmtId="0" fontId="17" fillId="7" borderId="0" xfId="2" applyFill="1" applyBorder="1" applyAlignment="1" applyProtection="1">
      <alignment horizontal="center" vertical="center" wrapText="1"/>
    </xf>
    <xf numFmtId="0" fontId="17" fillId="7" borderId="13" xfId="2" applyFill="1" applyBorder="1" applyAlignment="1" applyProtection="1">
      <alignment horizontal="center" vertical="center" wrapText="1"/>
    </xf>
    <xf numFmtId="0" fontId="17" fillId="6" borderId="9" xfId="2" applyFill="1" applyBorder="1" applyAlignment="1" applyProtection="1">
      <alignment horizontal="center" vertical="center"/>
      <protection locked="0"/>
    </xf>
    <xf numFmtId="0" fontId="17" fillId="6" borderId="0" xfId="2" applyFill="1" applyBorder="1" applyAlignment="1" applyProtection="1">
      <alignment horizontal="center" vertical="center"/>
      <protection locked="0"/>
    </xf>
    <xf numFmtId="1" fontId="17" fillId="6" borderId="13" xfId="2" applyNumberFormat="1" applyFill="1" applyBorder="1" applyAlignment="1" applyProtection="1">
      <alignment horizontal="center" vertical="center"/>
      <protection locked="0"/>
    </xf>
    <xf numFmtId="0" fontId="17" fillId="0" borderId="12" xfId="2" applyBorder="1" applyAlignment="1" applyProtection="1">
      <alignment horizontal="center" vertical="center" wrapText="1"/>
      <protection locked="0"/>
    </xf>
    <xf numFmtId="0" fontId="17" fillId="0" borderId="0" xfId="2" applyBorder="1" applyAlignment="1" applyProtection="1">
      <alignment horizontal="center" vertical="center" wrapText="1"/>
      <protection locked="0"/>
    </xf>
    <xf numFmtId="0" fontId="17" fillId="0" borderId="13" xfId="2" applyBorder="1" applyAlignment="1" applyProtection="1">
      <alignment horizontal="center" vertical="center"/>
      <protection locked="0"/>
    </xf>
    <xf numFmtId="170" fontId="17" fillId="6" borderId="0" xfId="2" applyNumberFormat="1" applyFill="1" applyBorder="1" applyAlignment="1" applyProtection="1">
      <alignment horizontal="center" vertical="center"/>
    </xf>
    <xf numFmtId="4" fontId="23" fillId="0" borderId="0" xfId="0" applyNumberFormat="1" applyFont="1" applyBorder="1" applyAlignment="1">
      <alignment horizontal="center" vertical="center" wrapText="1"/>
    </xf>
    <xf numFmtId="0" fontId="16" fillId="0" borderId="13" xfId="2" applyFont="1" applyBorder="1" applyAlignment="1" applyProtection="1">
      <alignment horizontal="center" vertical="center"/>
    </xf>
    <xf numFmtId="0" fontId="17" fillId="0" borderId="0" xfId="2" applyBorder="1" applyAlignment="1" applyProtection="1">
      <alignment horizontal="center" vertical="center"/>
      <protection locked="0"/>
    </xf>
    <xf numFmtId="170" fontId="17" fillId="6" borderId="0" xfId="2" applyNumberFormat="1" applyFill="1" applyBorder="1" applyAlignment="1" applyProtection="1">
      <alignment horizontal="center" vertical="center"/>
      <protection locked="0"/>
    </xf>
    <xf numFmtId="4" fontId="10" fillId="0" borderId="0" xfId="0" applyNumberFormat="1" applyFont="1" applyBorder="1" applyAlignment="1">
      <alignment horizontal="center"/>
    </xf>
    <xf numFmtId="0" fontId="17" fillId="6" borderId="24" xfId="2" applyFill="1" applyBorder="1" applyAlignment="1" applyProtection="1">
      <alignment horizontal="center" vertical="center"/>
      <protection locked="0"/>
    </xf>
    <xf numFmtId="0" fontId="17" fillId="7" borderId="14" xfId="2" applyFill="1" applyBorder="1" applyAlignment="1" applyProtection="1">
      <alignment horizontal="center" vertical="center"/>
      <protection locked="0"/>
    </xf>
    <xf numFmtId="0" fontId="17" fillId="7" borderId="15" xfId="2" applyFill="1" applyBorder="1" applyAlignment="1" applyProtection="1">
      <alignment horizontal="center" vertical="center"/>
      <protection locked="0"/>
    </xf>
    <xf numFmtId="0" fontId="17" fillId="7" borderId="19" xfId="2" applyFill="1" applyBorder="1" applyAlignment="1" applyProtection="1">
      <alignment horizontal="center" vertical="center"/>
      <protection locked="0"/>
    </xf>
    <xf numFmtId="0" fontId="17" fillId="6" borderId="24" xfId="2" applyFill="1" applyBorder="1" applyAlignment="1" applyProtection="1">
      <alignment horizontal="center" vertical="center"/>
    </xf>
    <xf numFmtId="0" fontId="17" fillId="6" borderId="14" xfId="2" applyFill="1" applyBorder="1" applyAlignment="1" applyProtection="1">
      <alignment horizontal="center" vertical="center"/>
      <protection locked="0"/>
    </xf>
    <xf numFmtId="0" fontId="17" fillId="6" borderId="15" xfId="2" applyFill="1" applyBorder="1" applyAlignment="1" applyProtection="1">
      <alignment horizontal="center" vertical="center"/>
      <protection locked="0"/>
    </xf>
    <xf numFmtId="1" fontId="17" fillId="6" borderId="19" xfId="2" applyNumberFormat="1" applyFill="1" applyBorder="1" applyAlignment="1" applyProtection="1">
      <alignment horizontal="center" vertical="center"/>
      <protection locked="0"/>
    </xf>
    <xf numFmtId="0" fontId="17" fillId="0" borderId="14" xfId="2" applyBorder="1" applyAlignment="1" applyProtection="1">
      <alignment horizontal="center" vertical="center"/>
      <protection locked="0"/>
    </xf>
    <xf numFmtId="0" fontId="17" fillId="0" borderId="15" xfId="2" applyBorder="1" applyAlignment="1" applyProtection="1">
      <alignment horizontal="center" vertical="center"/>
      <protection locked="0"/>
    </xf>
    <xf numFmtId="0" fontId="17" fillId="0" borderId="19" xfId="2" applyBorder="1" applyAlignment="1" applyProtection="1">
      <alignment horizontal="center" vertical="center"/>
      <protection locked="0"/>
    </xf>
    <xf numFmtId="170" fontId="17" fillId="6" borderId="15" xfId="2" applyNumberFormat="1" applyFill="1" applyBorder="1" applyAlignment="1" applyProtection="1">
      <alignment horizontal="center" vertical="center"/>
      <protection locked="0"/>
    </xf>
    <xf numFmtId="0" fontId="17" fillId="0" borderId="14" xfId="2" applyBorder="1" applyAlignment="1" applyProtection="1">
      <alignment horizontal="center" vertical="center"/>
    </xf>
    <xf numFmtId="0" fontId="17" fillId="0" borderId="15" xfId="2" applyBorder="1" applyAlignment="1" applyProtection="1">
      <alignment horizontal="center" vertical="center"/>
    </xf>
    <xf numFmtId="0" fontId="17" fillId="0" borderId="19" xfId="2"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xf numFmtId="2" fontId="0" fillId="4" borderId="0" xfId="0" applyNumberFormat="1" applyFont="1" applyFill="1"/>
    <xf numFmtId="2" fontId="0" fillId="4" borderId="0" xfId="0" applyNumberFormat="1" applyFont="1" applyFill="1" applyAlignment="1">
      <alignment horizontal="center" vertical="center"/>
    </xf>
    <xf numFmtId="0" fontId="0" fillId="8" borderId="0" xfId="0" applyFont="1" applyFill="1" applyBorder="1" applyAlignment="1">
      <alignment horizontal="center" vertical="center"/>
    </xf>
    <xf numFmtId="0" fontId="0" fillId="8" borderId="0" xfId="0" applyFill="1"/>
    <xf numFmtId="0" fontId="0" fillId="8" borderId="0" xfId="0" applyFill="1" applyAlignment="1">
      <alignment horizontal="center"/>
    </xf>
    <xf numFmtId="2" fontId="0" fillId="8" borderId="0" xfId="0" applyNumberFormat="1" applyFill="1"/>
    <xf numFmtId="14" fontId="0" fillId="8" borderId="0" xfId="0" applyNumberFormat="1" applyFill="1" applyAlignment="1">
      <alignment horizontal="center"/>
    </xf>
    <xf numFmtId="0" fontId="17" fillId="0" borderId="0" xfId="2" applyFill="1" applyBorder="1" applyAlignment="1" applyProtection="1">
      <alignment horizontal="center" vertical="center"/>
      <protection locked="0"/>
    </xf>
    <xf numFmtId="14" fontId="0" fillId="0" borderId="0" xfId="0" applyNumberFormat="1" applyFill="1"/>
    <xf numFmtId="0" fontId="0" fillId="0" borderId="0" xfId="0" applyFill="1" applyAlignment="1">
      <alignment horizontal="center" vertical="center"/>
    </xf>
    <xf numFmtId="0" fontId="0" fillId="0" borderId="0" xfId="0" applyFill="1"/>
    <xf numFmtId="2" fontId="0" fillId="0" borderId="0" xfId="0" applyNumberFormat="1" applyFill="1"/>
    <xf numFmtId="2" fontId="21" fillId="0" borderId="2" xfId="5" applyNumberFormat="1" applyFont="1" applyBorder="1" applyAlignment="1" applyProtection="1">
      <alignment horizontal="center"/>
      <protection locked="0"/>
    </xf>
    <xf numFmtId="0" fontId="33" fillId="0" borderId="25" xfId="0" applyFont="1" applyFill="1" applyBorder="1"/>
    <xf numFmtId="0" fontId="0" fillId="0" borderId="26" xfId="0" applyFill="1" applyBorder="1" applyAlignment="1">
      <alignment horizontal="center" vertical="center"/>
    </xf>
    <xf numFmtId="169" fontId="0" fillId="0" borderId="27" xfId="0" applyNumberFormat="1" applyFill="1" applyBorder="1" applyAlignment="1">
      <alignment horizontal="center" vertical="center"/>
    </xf>
    <xf numFmtId="2" fontId="0" fillId="0" borderId="27" xfId="0" applyNumberFormat="1" applyFill="1" applyBorder="1" applyAlignment="1">
      <alignment horizontal="center" vertical="center"/>
    </xf>
    <xf numFmtId="0" fontId="0" fillId="0" borderId="27" xfId="0" applyFill="1" applyBorder="1" applyAlignment="1">
      <alignment horizontal="center" vertical="center"/>
    </xf>
    <xf numFmtId="0" fontId="0" fillId="0" borderId="21" xfId="0" applyFill="1" applyBorder="1" applyAlignment="1">
      <alignment horizontal="center" vertical="center"/>
    </xf>
    <xf numFmtId="0" fontId="17" fillId="0" borderId="27" xfId="0" applyFont="1" applyFill="1" applyBorder="1" applyAlignment="1">
      <alignment horizontal="center" vertical="center"/>
    </xf>
    <xf numFmtId="2" fontId="17" fillId="0" borderId="21" xfId="0" applyNumberFormat="1" applyFont="1" applyFill="1" applyBorder="1" applyAlignment="1">
      <alignment horizontal="center" vertical="center"/>
    </xf>
    <xf numFmtId="2" fontId="17" fillId="0" borderId="28" xfId="0" applyNumberFormat="1" applyFont="1" applyFill="1" applyBorder="1" applyAlignment="1">
      <alignment horizontal="center" vertical="center"/>
    </xf>
    <xf numFmtId="0" fontId="17" fillId="0" borderId="28" xfId="0" applyFont="1" applyFill="1" applyBorder="1" applyAlignment="1">
      <alignment horizontal="center" vertical="center"/>
    </xf>
    <xf numFmtId="0" fontId="0" fillId="0" borderId="28" xfId="0" applyFill="1" applyBorder="1" applyAlignment="1">
      <alignment horizontal="center" vertical="center"/>
    </xf>
    <xf numFmtId="2" fontId="0" fillId="0" borderId="21" xfId="0" applyNumberFormat="1" applyFill="1" applyBorder="1" applyAlignment="1">
      <alignment horizontal="center" vertical="center"/>
    </xf>
    <xf numFmtId="2" fontId="34" fillId="0" borderId="21" xfId="0" applyNumberFormat="1" applyFont="1" applyFill="1" applyBorder="1" applyAlignment="1">
      <alignment horizontal="center" vertical="center"/>
    </xf>
    <xf numFmtId="2" fontId="34" fillId="0" borderId="28" xfId="0" applyNumberFormat="1" applyFont="1" applyFill="1" applyBorder="1" applyAlignment="1">
      <alignment horizontal="center" vertical="center"/>
    </xf>
    <xf numFmtId="2" fontId="0" fillId="0" borderId="28" xfId="0" applyNumberFormat="1" applyFill="1" applyBorder="1" applyAlignment="1">
      <alignment horizontal="center" vertical="center"/>
    </xf>
    <xf numFmtId="0" fontId="35" fillId="6" borderId="6" xfId="0" applyFont="1" applyFill="1" applyBorder="1" applyProtection="1">
      <protection locked="0"/>
    </xf>
    <xf numFmtId="0" fontId="35" fillId="6" borderId="12" xfId="0" applyFont="1" applyFill="1" applyBorder="1"/>
    <xf numFmtId="0" fontId="35" fillId="6" borderId="12" xfId="0" applyFont="1" applyFill="1" applyBorder="1" applyAlignment="1">
      <alignment horizontal="centerContinuous"/>
    </xf>
    <xf numFmtId="0" fontId="35" fillId="6" borderId="9" xfId="0" applyFont="1" applyFill="1" applyBorder="1" applyAlignment="1" applyProtection="1">
      <protection locked="0"/>
    </xf>
    <xf numFmtId="0" fontId="0" fillId="6" borderId="0" xfId="0" applyFill="1" applyBorder="1" applyAlignment="1"/>
    <xf numFmtId="0" fontId="35" fillId="0" borderId="1" xfId="0" applyFont="1" applyBorder="1" applyAlignment="1" applyProtection="1">
      <alignment horizontal="left"/>
      <protection locked="0"/>
    </xf>
    <xf numFmtId="0" fontId="36" fillId="0" borderId="1" xfId="0" applyFont="1" applyFill="1" applyBorder="1" applyAlignment="1" applyProtection="1">
      <alignment horizontal="center"/>
      <protection locked="0"/>
    </xf>
    <xf numFmtId="0" fontId="36" fillId="0" borderId="2" xfId="0" applyFont="1" applyFill="1" applyBorder="1" applyAlignment="1">
      <alignment horizontal="center"/>
    </xf>
    <xf numFmtId="0" fontId="35" fillId="6" borderId="12" xfId="0" applyFont="1" applyFill="1" applyBorder="1" applyAlignment="1" applyProtection="1">
      <alignment horizontal="center"/>
      <protection locked="0"/>
    </xf>
    <xf numFmtId="0" fontId="35" fillId="7" borderId="9" xfId="0" applyFont="1" applyFill="1" applyBorder="1" applyAlignment="1" applyProtection="1">
      <alignment horizontal="center"/>
      <protection locked="0"/>
    </xf>
    <xf numFmtId="0" fontId="35" fillId="6" borderId="9" xfId="0" applyFont="1" applyFill="1" applyBorder="1" applyAlignment="1" applyProtection="1">
      <alignment horizontal="center"/>
      <protection locked="0"/>
    </xf>
    <xf numFmtId="0" fontId="35" fillId="6" borderId="0" xfId="0" applyFont="1" applyFill="1" applyBorder="1" applyAlignment="1" applyProtection="1">
      <alignment horizontal="center"/>
      <protection locked="0"/>
    </xf>
    <xf numFmtId="0" fontId="37" fillId="6" borderId="0" xfId="0" applyFont="1" applyFill="1" applyBorder="1" applyAlignment="1" applyProtection="1">
      <alignment horizontal="center"/>
      <protection locked="0"/>
    </xf>
    <xf numFmtId="1" fontId="37" fillId="6" borderId="0" xfId="0" applyNumberFormat="1" applyFont="1" applyFill="1" applyBorder="1" applyAlignment="1" applyProtection="1">
      <alignment horizontal="center"/>
      <protection locked="0"/>
    </xf>
    <xf numFmtId="0" fontId="35" fillId="0" borderId="9" xfId="0" applyFont="1" applyBorder="1" applyAlignment="1" applyProtection="1">
      <alignment horizontal="center"/>
      <protection locked="0"/>
    </xf>
    <xf numFmtId="0" fontId="35" fillId="0" borderId="0" xfId="0" applyFont="1" applyBorder="1" applyAlignment="1" applyProtection="1">
      <alignment horizontal="center"/>
      <protection locked="0"/>
    </xf>
    <xf numFmtId="0" fontId="35" fillId="0" borderId="0" xfId="0" applyFont="1" applyBorder="1" applyAlignment="1" applyProtection="1">
      <alignment horizontal="left"/>
      <protection locked="0"/>
    </xf>
    <xf numFmtId="170" fontId="35" fillId="6" borderId="0" xfId="0" applyNumberFormat="1" applyFont="1" applyFill="1" applyBorder="1" applyAlignment="1">
      <alignment horizontal="left"/>
    </xf>
    <xf numFmtId="0" fontId="38" fillId="0" borderId="0" xfId="0" applyFont="1" applyBorder="1" applyAlignment="1" applyProtection="1">
      <alignment horizontal="center"/>
      <protection locked="0"/>
    </xf>
    <xf numFmtId="0" fontId="36" fillId="0" borderId="9" xfId="0" applyFont="1" applyFill="1" applyBorder="1" applyAlignment="1" applyProtection="1">
      <alignment horizontal="center"/>
      <protection locked="0"/>
    </xf>
    <xf numFmtId="0" fontId="36" fillId="0" borderId="0" xfId="0" applyFont="1" applyFill="1" applyBorder="1" applyAlignment="1" applyProtection="1">
      <alignment horizontal="center"/>
      <protection locked="0"/>
    </xf>
    <xf numFmtId="0" fontId="39" fillId="7" borderId="9" xfId="0" applyFont="1" applyFill="1" applyBorder="1" applyAlignment="1" applyProtection="1">
      <alignment horizontal="center"/>
      <protection locked="0"/>
    </xf>
    <xf numFmtId="0" fontId="39" fillId="7" borderId="0" xfId="0" applyFont="1" applyFill="1" applyBorder="1" applyAlignment="1" applyProtection="1">
      <alignment horizontal="center"/>
      <protection locked="0"/>
    </xf>
    <xf numFmtId="0" fontId="37" fillId="6" borderId="12" xfId="0" applyFont="1" applyFill="1" applyBorder="1" applyAlignment="1">
      <alignment horizontal="center"/>
    </xf>
    <xf numFmtId="0" fontId="39" fillId="6" borderId="9" xfId="0" applyFont="1" applyFill="1" applyBorder="1" applyAlignment="1" applyProtection="1">
      <alignment horizontal="center"/>
      <protection locked="0"/>
    </xf>
    <xf numFmtId="0" fontId="39" fillId="6" borderId="0" xfId="0" applyFont="1" applyFill="1" applyBorder="1" applyAlignment="1" applyProtection="1">
      <alignment horizontal="center"/>
      <protection locked="0"/>
    </xf>
    <xf numFmtId="0" fontId="40" fillId="0" borderId="9" xfId="0" applyFont="1" applyBorder="1" applyAlignment="1" applyProtection="1">
      <alignment horizontal="center"/>
      <protection locked="0"/>
    </xf>
    <xf numFmtId="0" fontId="39" fillId="0" borderId="0" xfId="0" applyFont="1" applyBorder="1" applyAlignment="1" applyProtection="1">
      <alignment horizontal="center"/>
      <protection locked="0"/>
    </xf>
    <xf numFmtId="0" fontId="39" fillId="0" borderId="9" xfId="0" applyFont="1" applyBorder="1" applyAlignment="1" applyProtection="1">
      <alignment horizontal="center"/>
      <protection locked="0"/>
    </xf>
    <xf numFmtId="170" fontId="40" fillId="6" borderId="0" xfId="0" applyNumberFormat="1" applyFont="1" applyFill="1" applyBorder="1" applyAlignment="1" applyProtection="1">
      <alignment horizontal="center"/>
      <protection locked="0"/>
    </xf>
    <xf numFmtId="0" fontId="37" fillId="0" borderId="0" xfId="0" applyFont="1" applyBorder="1" applyAlignment="1" applyProtection="1">
      <alignment horizontal="center"/>
      <protection locked="0"/>
    </xf>
    <xf numFmtId="0" fontId="42" fillId="9" borderId="29" xfId="0" applyFont="1" applyFill="1" applyBorder="1" applyAlignment="1" applyProtection="1">
      <alignment horizontal="center"/>
      <protection locked="0"/>
    </xf>
    <xf numFmtId="0" fontId="42" fillId="9" borderId="0" xfId="0" applyFont="1" applyFill="1" applyBorder="1" applyAlignment="1" applyProtection="1">
      <alignment horizontal="center"/>
      <protection locked="0"/>
    </xf>
    <xf numFmtId="0" fontId="35" fillId="6" borderId="24" xfId="0" applyFont="1" applyFill="1" applyBorder="1" applyAlignment="1" applyProtection="1">
      <alignment horizontal="center"/>
      <protection locked="0"/>
    </xf>
    <xf numFmtId="0" fontId="35" fillId="7" borderId="14" xfId="0" applyFont="1" applyFill="1" applyBorder="1" applyAlignment="1" applyProtection="1">
      <alignment horizontal="center"/>
      <protection locked="0"/>
    </xf>
    <xf numFmtId="0" fontId="35" fillId="7" borderId="15" xfId="0" applyFont="1" applyFill="1" applyBorder="1" applyAlignment="1" applyProtection="1">
      <alignment horizontal="center"/>
      <protection locked="0"/>
    </xf>
    <xf numFmtId="0" fontId="35" fillId="6" borderId="24" xfId="0" applyFont="1" applyFill="1" applyBorder="1" applyAlignment="1">
      <alignment horizontal="center"/>
    </xf>
    <xf numFmtId="0" fontId="35" fillId="6" borderId="14" xfId="0" applyFont="1" applyFill="1" applyBorder="1" applyAlignment="1" applyProtection="1">
      <alignment horizontal="center"/>
      <protection locked="0"/>
    </xf>
    <xf numFmtId="0" fontId="35" fillId="6" borderId="15" xfId="0" applyFont="1" applyFill="1" applyBorder="1" applyAlignment="1" applyProtection="1">
      <alignment horizontal="center"/>
      <protection locked="0"/>
    </xf>
    <xf numFmtId="0" fontId="16" fillId="0" borderId="30" xfId="0" applyFont="1" applyFill="1" applyBorder="1" applyAlignment="1">
      <alignment horizontal="center" vertical="center" wrapText="1"/>
    </xf>
    <xf numFmtId="1" fontId="35" fillId="6" borderId="15" xfId="0" applyNumberFormat="1" applyFont="1" applyFill="1" applyBorder="1" applyAlignment="1" applyProtection="1">
      <alignment horizontal="center"/>
      <protection locked="0"/>
    </xf>
    <xf numFmtId="0" fontId="35" fillId="0" borderId="14" xfId="0" applyFont="1" applyBorder="1" applyAlignment="1" applyProtection="1">
      <alignment horizontal="center"/>
      <protection locked="0"/>
    </xf>
    <xf numFmtId="0" fontId="35" fillId="0" borderId="15" xfId="0" applyFont="1" applyBorder="1" applyAlignment="1" applyProtection="1">
      <alignment horizontal="center"/>
      <protection locked="0"/>
    </xf>
    <xf numFmtId="170" fontId="35" fillId="6" borderId="15" xfId="0" applyNumberFormat="1" applyFont="1" applyFill="1" applyBorder="1" applyAlignment="1" applyProtection="1">
      <alignment horizontal="centerContinuous"/>
      <protection locked="0"/>
    </xf>
    <xf numFmtId="0" fontId="38" fillId="0" borderId="15" xfId="0" applyFont="1" applyBorder="1" applyAlignment="1" applyProtection="1">
      <alignment horizontal="center"/>
      <protection locked="0"/>
    </xf>
    <xf numFmtId="0" fontId="44" fillId="9" borderId="31" xfId="0" applyFont="1" applyFill="1" applyBorder="1" applyAlignment="1" applyProtection="1">
      <alignment horizontal="center"/>
      <protection locked="0"/>
    </xf>
    <xf numFmtId="0" fontId="44" fillId="9" borderId="15" xfId="0" applyFont="1" applyFill="1" applyBorder="1" applyAlignment="1" applyProtection="1">
      <alignment horizontal="center"/>
      <protection locked="0"/>
    </xf>
    <xf numFmtId="0" fontId="17" fillId="10" borderId="26" xfId="0" applyFont="1" applyFill="1" applyBorder="1" applyAlignment="1">
      <alignment horizontal="center" vertical="center"/>
    </xf>
    <xf numFmtId="14" fontId="17" fillId="10" borderId="27" xfId="0" applyNumberFormat="1" applyFont="1" applyFill="1" applyBorder="1" applyAlignment="1">
      <alignment horizontal="center" vertical="center"/>
    </xf>
    <xf numFmtId="2" fontId="0" fillId="10" borderId="27" xfId="0" applyNumberFormat="1" applyFill="1" applyBorder="1" applyAlignment="1">
      <alignment horizontal="center" vertical="center"/>
    </xf>
    <xf numFmtId="0" fontId="0" fillId="10" borderId="27" xfId="0" applyFill="1" applyBorder="1" applyAlignment="1">
      <alignment horizontal="center" vertical="center"/>
    </xf>
    <xf numFmtId="0" fontId="0" fillId="10" borderId="21" xfId="0" applyFill="1" applyBorder="1" applyAlignment="1">
      <alignment horizontal="center" vertical="center"/>
    </xf>
    <xf numFmtId="0" fontId="17" fillId="10" borderId="27" xfId="0" applyFont="1" applyFill="1" applyBorder="1" applyAlignment="1">
      <alignment horizontal="center" vertical="center"/>
    </xf>
    <xf numFmtId="2" fontId="0" fillId="10" borderId="21" xfId="0" applyNumberFormat="1" applyFill="1" applyBorder="1" applyAlignment="1">
      <alignment horizontal="center" vertical="center"/>
    </xf>
    <xf numFmtId="2" fontId="17" fillId="10" borderId="28" xfId="0" applyNumberFormat="1" applyFont="1" applyFill="1" applyBorder="1" applyAlignment="1">
      <alignment horizontal="center" vertical="center"/>
    </xf>
    <xf numFmtId="0" fontId="0" fillId="10" borderId="28" xfId="0" applyFill="1" applyBorder="1" applyAlignment="1">
      <alignment horizontal="center" vertical="center"/>
    </xf>
    <xf numFmtId="2" fontId="17" fillId="10" borderId="21" xfId="0" applyNumberFormat="1" applyFont="1" applyFill="1" applyBorder="1" applyAlignment="1">
      <alignment horizontal="center" vertical="center"/>
    </xf>
    <xf numFmtId="2" fontId="0" fillId="10" borderId="28" xfId="0" applyNumberFormat="1" applyFill="1" applyBorder="1" applyAlignment="1">
      <alignment horizontal="center" vertical="center"/>
    </xf>
    <xf numFmtId="2" fontId="0" fillId="10" borderId="32" xfId="0" applyNumberFormat="1" applyFill="1" applyBorder="1" applyAlignment="1">
      <alignment horizontal="center" vertical="center"/>
    </xf>
    <xf numFmtId="0" fontId="0" fillId="8" borderId="0" xfId="0" applyFont="1" applyFill="1" applyAlignment="1">
      <alignment horizontal="center" vertical="center"/>
    </xf>
    <xf numFmtId="14" fontId="0" fillId="8" borderId="0" xfId="0" applyNumberFormat="1" applyFill="1"/>
    <xf numFmtId="0" fontId="33" fillId="8" borderId="25" xfId="0" applyFont="1" applyFill="1" applyBorder="1"/>
    <xf numFmtId="164" fontId="26" fillId="8" borderId="0" xfId="0" applyNumberFormat="1" applyFont="1" applyFill="1" applyBorder="1" applyAlignment="1">
      <alignment horizontal="center" vertical="center"/>
    </xf>
    <xf numFmtId="4" fontId="0" fillId="8" borderId="0" xfId="0" applyNumberFormat="1" applyFont="1" applyFill="1" applyBorder="1" applyAlignment="1">
      <alignment horizontal="center" vertical="center"/>
    </xf>
    <xf numFmtId="0" fontId="26" fillId="8" borderId="0" xfId="0" applyFont="1" applyFill="1" applyBorder="1" applyAlignment="1">
      <alignment horizontal="center" vertical="center"/>
    </xf>
    <xf numFmtId="0" fontId="0" fillId="8" borderId="0" xfId="0" applyFont="1" applyFill="1"/>
    <xf numFmtId="0" fontId="17" fillId="8" borderId="0" xfId="2" applyFill="1" applyProtection="1"/>
    <xf numFmtId="14" fontId="17" fillId="8" borderId="0" xfId="2" applyNumberFormat="1" applyFill="1" applyProtection="1"/>
    <xf numFmtId="0" fontId="17" fillId="8" borderId="0" xfId="2" applyFill="1" applyAlignment="1" applyProtection="1">
      <alignment wrapText="1"/>
    </xf>
    <xf numFmtId="2" fontId="17" fillId="8" borderId="0" xfId="2" applyNumberFormat="1" applyFill="1" applyProtection="1"/>
    <xf numFmtId="0" fontId="45" fillId="8" borderId="33" xfId="0" applyFont="1" applyFill="1" applyBorder="1" applyAlignment="1">
      <alignment horizontal="center" vertical="center"/>
    </xf>
    <xf numFmtId="14" fontId="0" fillId="4" borderId="0" xfId="0" applyNumberFormat="1" applyFill="1"/>
    <xf numFmtId="14" fontId="17" fillId="11" borderId="34" xfId="0" applyNumberFormat="1" applyFont="1" applyFill="1" applyBorder="1" applyAlignment="1">
      <alignment horizontal="center" vertical="center"/>
    </xf>
    <xf numFmtId="14" fontId="0" fillId="11" borderId="35" xfId="0" applyNumberFormat="1" applyFill="1" applyBorder="1" applyAlignment="1">
      <alignment horizontal="center" vertical="center"/>
    </xf>
    <xf numFmtId="0" fontId="0" fillId="11" borderId="36" xfId="0" applyFill="1" applyBorder="1" applyAlignment="1">
      <alignment horizontal="center" vertical="center"/>
    </xf>
    <xf numFmtId="0" fontId="17" fillId="11" borderId="37" xfId="0" applyFont="1" applyFill="1" applyBorder="1" applyAlignment="1">
      <alignment horizontal="center" vertical="center"/>
    </xf>
    <xf numFmtId="170" fontId="46" fillId="11" borderId="36" xfId="0" applyNumberFormat="1" applyFont="1" applyFill="1" applyBorder="1" applyAlignment="1">
      <alignment horizontal="center" vertical="center"/>
    </xf>
    <xf numFmtId="2" fontId="0" fillId="11" borderId="38" xfId="0" applyNumberFormat="1" applyFill="1" applyBorder="1" applyAlignment="1">
      <alignment horizontal="center" vertical="center"/>
    </xf>
    <xf numFmtId="0" fontId="0" fillId="11" borderId="37" xfId="0" applyFill="1" applyBorder="1" applyAlignment="1">
      <alignment horizontal="center" vertical="center"/>
    </xf>
    <xf numFmtId="0" fontId="0" fillId="11" borderId="38" xfId="0" applyFill="1" applyBorder="1" applyAlignment="1">
      <alignment horizontal="center" vertical="center"/>
    </xf>
    <xf numFmtId="2" fontId="0" fillId="11" borderId="36" xfId="0" applyNumberFormat="1" applyFill="1" applyBorder="1" applyAlignment="1">
      <alignment horizontal="center" vertical="center"/>
    </xf>
    <xf numFmtId="2" fontId="17" fillId="11" borderId="36" xfId="0" applyNumberFormat="1" applyFont="1" applyFill="1" applyBorder="1" applyAlignment="1">
      <alignment horizontal="center" vertical="center"/>
    </xf>
    <xf numFmtId="2" fontId="17" fillId="11" borderId="39" xfId="0" applyNumberFormat="1" applyFont="1" applyFill="1" applyBorder="1" applyAlignment="1" applyProtection="1">
      <alignment horizontal="center" vertical="center"/>
    </xf>
    <xf numFmtId="2" fontId="0" fillId="11" borderId="39" xfId="0" applyNumberFormat="1" applyFill="1" applyBorder="1" applyAlignment="1">
      <alignment horizontal="center" vertical="center"/>
    </xf>
    <xf numFmtId="0" fontId="0" fillId="11" borderId="39" xfId="0" applyFill="1" applyBorder="1" applyAlignment="1">
      <alignment horizontal="center" vertical="center"/>
    </xf>
    <xf numFmtId="0" fontId="17" fillId="12" borderId="40" xfId="0" applyFont="1" applyFill="1" applyBorder="1" applyAlignment="1">
      <alignment horizontal="center" vertical="center"/>
    </xf>
    <xf numFmtId="169" fontId="0" fillId="12" borderId="41" xfId="0" applyNumberFormat="1" applyFill="1" applyBorder="1" applyAlignment="1">
      <alignment horizontal="center" vertical="center"/>
    </xf>
    <xf numFmtId="0" fontId="0" fillId="12" borderId="41" xfId="0" applyFill="1" applyBorder="1" applyAlignment="1">
      <alignment horizontal="center" vertical="center"/>
    </xf>
    <xf numFmtId="0" fontId="0" fillId="12" borderId="42" xfId="0" applyFill="1" applyBorder="1" applyAlignment="1">
      <alignment horizontal="center" vertical="center"/>
    </xf>
    <xf numFmtId="0" fontId="17" fillId="12" borderId="41" xfId="0" applyFont="1" applyFill="1" applyBorder="1" applyAlignment="1">
      <alignment horizontal="center" vertical="center"/>
    </xf>
    <xf numFmtId="0" fontId="0" fillId="12" borderId="43" xfId="0" applyFill="1" applyBorder="1" applyAlignment="1">
      <alignment horizontal="center" vertical="center"/>
    </xf>
    <xf numFmtId="2" fontId="0" fillId="12" borderId="42" xfId="0" applyNumberFormat="1" applyFill="1" applyBorder="1" applyAlignment="1">
      <alignment horizontal="center" vertical="center"/>
    </xf>
    <xf numFmtId="2" fontId="17" fillId="12" borderId="42" xfId="0" applyNumberFormat="1" applyFont="1" applyFill="1" applyBorder="1" applyAlignment="1">
      <alignment horizontal="center" vertical="center"/>
    </xf>
    <xf numFmtId="2" fontId="0" fillId="12" borderId="43" xfId="0" applyNumberFormat="1" applyFill="1" applyBorder="1" applyAlignment="1">
      <alignment horizontal="center" vertical="center"/>
    </xf>
    <xf numFmtId="2" fontId="17" fillId="12" borderId="42" xfId="0" applyNumberFormat="1" applyFont="1" applyFill="1" applyBorder="1" applyAlignment="1" applyProtection="1">
      <alignment horizontal="center" vertical="center"/>
    </xf>
    <xf numFmtId="0" fontId="17" fillId="0" borderId="21" xfId="0" applyFont="1" applyFill="1" applyBorder="1" applyAlignment="1">
      <alignment horizontal="center" vertical="center"/>
    </xf>
    <xf numFmtId="0" fontId="0" fillId="0" borderId="45" xfId="0" applyFill="1" applyBorder="1" applyAlignment="1">
      <alignment horizontal="center" vertical="center"/>
    </xf>
    <xf numFmtId="169" fontId="0" fillId="0" borderId="46" xfId="0" applyNumberFormat="1" applyFill="1" applyBorder="1" applyAlignment="1">
      <alignment horizontal="center" vertical="center"/>
    </xf>
    <xf numFmtId="2" fontId="0" fillId="0" borderId="46" xfId="0" applyNumberFormat="1" applyFill="1" applyBorder="1" applyAlignment="1">
      <alignment horizontal="center" vertical="center"/>
    </xf>
    <xf numFmtId="0" fontId="0" fillId="0" borderId="46" xfId="0" applyFill="1" applyBorder="1" applyAlignment="1">
      <alignment horizontal="center" vertical="center"/>
    </xf>
    <xf numFmtId="0" fontId="0" fillId="0" borderId="39" xfId="0" applyFill="1" applyBorder="1" applyAlignment="1">
      <alignment horizontal="center" vertical="center"/>
    </xf>
    <xf numFmtId="0" fontId="17" fillId="0" borderId="46" xfId="0" applyFont="1" applyFill="1" applyBorder="1" applyAlignment="1">
      <alignment horizontal="center" vertical="center"/>
    </xf>
    <xf numFmtId="2" fontId="17" fillId="0" borderId="39" xfId="0" applyNumberFormat="1" applyFont="1" applyFill="1" applyBorder="1" applyAlignment="1">
      <alignment horizontal="center" vertical="center"/>
    </xf>
    <xf numFmtId="2" fontId="17" fillId="0" borderId="32" xfId="0" applyNumberFormat="1" applyFont="1" applyFill="1" applyBorder="1" applyAlignment="1">
      <alignment horizontal="center" vertical="center"/>
    </xf>
    <xf numFmtId="0" fontId="17" fillId="0" borderId="32" xfId="0" applyFont="1" applyFill="1" applyBorder="1" applyAlignment="1">
      <alignment horizontal="center" vertical="center"/>
    </xf>
    <xf numFmtId="0" fontId="0" fillId="0" borderId="32" xfId="0" applyFill="1" applyBorder="1" applyAlignment="1">
      <alignment horizontal="center" vertical="center"/>
    </xf>
    <xf numFmtId="2" fontId="0" fillId="0" borderId="39" xfId="0" applyNumberFormat="1" applyFill="1" applyBorder="1" applyAlignment="1">
      <alignment horizontal="center" vertical="center"/>
    </xf>
    <xf numFmtId="2" fontId="34" fillId="0" borderId="39" xfId="0" applyNumberFormat="1" applyFont="1" applyFill="1" applyBorder="1" applyAlignment="1">
      <alignment horizontal="center" vertical="center"/>
    </xf>
    <xf numFmtId="2" fontId="34" fillId="0" borderId="32" xfId="0" applyNumberFormat="1" applyFont="1" applyFill="1" applyBorder="1" applyAlignment="1">
      <alignment horizontal="center" vertical="center"/>
    </xf>
    <xf numFmtId="2" fontId="0" fillId="0" borderId="32" xfId="0" applyNumberFormat="1" applyFill="1" applyBorder="1" applyAlignment="1">
      <alignment horizontal="center" vertical="center"/>
    </xf>
    <xf numFmtId="0" fontId="17" fillId="0" borderId="39" xfId="0" applyFont="1" applyFill="1" applyBorder="1" applyAlignment="1">
      <alignment horizontal="center" vertical="center"/>
    </xf>
    <xf numFmtId="0" fontId="0" fillId="0" borderId="40" xfId="0" applyFill="1" applyBorder="1" applyAlignment="1">
      <alignment horizontal="center" vertical="center"/>
    </xf>
    <xf numFmtId="169" fontId="0" fillId="0" borderId="41" xfId="0" applyNumberFormat="1" applyFill="1" applyBorder="1" applyAlignment="1">
      <alignment horizontal="center" vertical="center"/>
    </xf>
    <xf numFmtId="2" fontId="0" fillId="0" borderId="41" xfId="0" applyNumberFormat="1" applyFill="1" applyBorder="1" applyAlignment="1">
      <alignment horizontal="center" vertical="center"/>
    </xf>
    <xf numFmtId="0" fontId="0" fillId="0" borderId="41" xfId="0" applyFill="1" applyBorder="1" applyAlignment="1">
      <alignment horizontal="center" vertical="center"/>
    </xf>
    <xf numFmtId="0" fontId="0" fillId="0" borderId="42" xfId="0" applyFill="1" applyBorder="1" applyAlignment="1">
      <alignment horizontal="center" vertical="center"/>
    </xf>
    <xf numFmtId="0" fontId="17" fillId="0" borderId="41" xfId="0" applyFont="1" applyFill="1" applyBorder="1" applyAlignment="1">
      <alignment horizontal="center" vertical="center"/>
    </xf>
    <xf numFmtId="2" fontId="17" fillId="0" borderId="42" xfId="0" applyNumberFormat="1" applyFont="1" applyFill="1" applyBorder="1" applyAlignment="1">
      <alignment horizontal="center" vertical="center"/>
    </xf>
    <xf numFmtId="2" fontId="17" fillId="0" borderId="43" xfId="0" applyNumberFormat="1" applyFont="1" applyFill="1" applyBorder="1" applyAlignment="1">
      <alignment horizontal="center" vertical="center"/>
    </xf>
    <xf numFmtId="0" fontId="17" fillId="0" borderId="43" xfId="0" applyFont="1" applyFill="1" applyBorder="1" applyAlignment="1">
      <alignment horizontal="center" vertical="center"/>
    </xf>
    <xf numFmtId="0" fontId="0" fillId="0" borderId="43" xfId="0" applyFill="1" applyBorder="1" applyAlignment="1">
      <alignment horizontal="center" vertical="center"/>
    </xf>
    <xf numFmtId="2" fontId="0" fillId="0" borderId="42" xfId="0" applyNumberFormat="1" applyFill="1" applyBorder="1" applyAlignment="1">
      <alignment horizontal="center" vertical="center"/>
    </xf>
    <xf numFmtId="2" fontId="34" fillId="0" borderId="42" xfId="0" applyNumberFormat="1" applyFont="1" applyFill="1" applyBorder="1" applyAlignment="1">
      <alignment horizontal="center" vertical="center"/>
    </xf>
    <xf numFmtId="2" fontId="34" fillId="0" borderId="43" xfId="0" applyNumberFormat="1" applyFont="1" applyFill="1" applyBorder="1" applyAlignment="1">
      <alignment horizontal="center" vertical="center"/>
    </xf>
    <xf numFmtId="2" fontId="0" fillId="0" borderId="43" xfId="0" applyNumberFormat="1" applyFill="1" applyBorder="1" applyAlignment="1">
      <alignment horizontal="center" vertical="center"/>
    </xf>
    <xf numFmtId="0" fontId="17" fillId="0" borderId="47" xfId="0" applyFont="1" applyFill="1" applyBorder="1" applyAlignment="1">
      <alignment horizontal="center" vertical="center"/>
    </xf>
    <xf numFmtId="14" fontId="17" fillId="10" borderId="26" xfId="0" applyNumberFormat="1" applyFont="1" applyFill="1" applyBorder="1" applyAlignment="1">
      <alignment horizontal="center" vertical="center"/>
    </xf>
    <xf numFmtId="14" fontId="0" fillId="10" borderId="27" xfId="0" applyNumberFormat="1" applyFill="1" applyBorder="1" applyAlignment="1">
      <alignment horizontal="center" vertical="center"/>
    </xf>
    <xf numFmtId="0" fontId="17" fillId="10" borderId="28" xfId="0" applyFont="1" applyFill="1" applyBorder="1" applyAlignment="1">
      <alignment horizontal="center" vertical="center"/>
    </xf>
    <xf numFmtId="0" fontId="17" fillId="10" borderId="45" xfId="0" applyFont="1" applyFill="1" applyBorder="1" applyAlignment="1">
      <alignment horizontal="center" vertical="center"/>
    </xf>
    <xf numFmtId="14" fontId="17" fillId="10" borderId="46" xfId="0" applyNumberFormat="1" applyFont="1" applyFill="1" applyBorder="1" applyAlignment="1">
      <alignment horizontal="center" vertical="center"/>
    </xf>
    <xf numFmtId="2" fontId="0" fillId="10" borderId="46" xfId="0" applyNumberFormat="1" applyFill="1" applyBorder="1" applyAlignment="1">
      <alignment horizontal="center" vertical="center"/>
    </xf>
    <xf numFmtId="0" fontId="0" fillId="10" borderId="46" xfId="0" applyFill="1" applyBorder="1" applyAlignment="1">
      <alignment horizontal="center" vertical="center"/>
    </xf>
    <xf numFmtId="0" fontId="0" fillId="10" borderId="39" xfId="0" applyFill="1" applyBorder="1" applyAlignment="1">
      <alignment horizontal="center" vertical="center"/>
    </xf>
    <xf numFmtId="0" fontId="17" fillId="10" borderId="46" xfId="0" applyFont="1" applyFill="1" applyBorder="1" applyAlignment="1">
      <alignment horizontal="center" vertical="center"/>
    </xf>
    <xf numFmtId="2" fontId="0" fillId="10" borderId="39" xfId="0" applyNumberFormat="1" applyFill="1" applyBorder="1" applyAlignment="1">
      <alignment horizontal="center" vertical="center"/>
    </xf>
    <xf numFmtId="2" fontId="17" fillId="10" borderId="32" xfId="0" applyNumberFormat="1" applyFont="1" applyFill="1" applyBorder="1" applyAlignment="1">
      <alignment horizontal="center" vertical="center"/>
    </xf>
    <xf numFmtId="0" fontId="17" fillId="10" borderId="32" xfId="0" applyFont="1" applyFill="1" applyBorder="1" applyAlignment="1">
      <alignment horizontal="center" vertical="center"/>
    </xf>
    <xf numFmtId="0" fontId="0" fillId="10" borderId="32" xfId="0" applyFill="1" applyBorder="1" applyAlignment="1">
      <alignment horizontal="center" vertical="center"/>
    </xf>
    <xf numFmtId="2" fontId="16" fillId="10" borderId="39" xfId="0" applyNumberFormat="1" applyFont="1" applyFill="1" applyBorder="1" applyAlignment="1">
      <alignment horizontal="center" vertical="center"/>
    </xf>
    <xf numFmtId="0" fontId="0" fillId="10" borderId="0" xfId="0" applyFill="1"/>
    <xf numFmtId="2" fontId="17" fillId="10" borderId="46" xfId="0" applyNumberFormat="1" applyFont="1" applyFill="1" applyBorder="1" applyAlignment="1">
      <alignment horizontal="center" vertical="center"/>
    </xf>
    <xf numFmtId="0" fontId="17" fillId="10" borderId="39" xfId="0" applyFont="1" applyFill="1" applyBorder="1" applyAlignment="1">
      <alignment horizontal="center" vertical="center"/>
    </xf>
    <xf numFmtId="2" fontId="17" fillId="10" borderId="39" xfId="0" applyNumberFormat="1" applyFont="1" applyFill="1" applyBorder="1" applyAlignment="1">
      <alignment horizontal="center" vertical="center"/>
    </xf>
    <xf numFmtId="0" fontId="0" fillId="10" borderId="40" xfId="0" applyFill="1" applyBorder="1" applyAlignment="1">
      <alignment horizontal="center" vertical="center"/>
    </xf>
    <xf numFmtId="14" fontId="17" fillId="10" borderId="41" xfId="0" applyNumberFormat="1" applyFont="1" applyFill="1" applyBorder="1" applyAlignment="1">
      <alignment horizontal="center" vertical="center"/>
    </xf>
    <xf numFmtId="2" fontId="17" fillId="10" borderId="41" xfId="0" applyNumberFormat="1" applyFont="1" applyFill="1" applyBorder="1" applyAlignment="1">
      <alignment horizontal="center"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17" fillId="10" borderId="41" xfId="0" applyFont="1" applyFill="1" applyBorder="1" applyAlignment="1">
      <alignment horizontal="center" vertical="center"/>
    </xf>
    <xf numFmtId="2" fontId="0" fillId="10" borderId="42" xfId="0" applyNumberFormat="1" applyFill="1" applyBorder="1" applyAlignment="1">
      <alignment horizontal="center" vertical="center"/>
    </xf>
    <xf numFmtId="2" fontId="0" fillId="10" borderId="43" xfId="0" applyNumberFormat="1" applyFill="1" applyBorder="1" applyAlignment="1">
      <alignment horizontal="center" vertical="center"/>
    </xf>
    <xf numFmtId="2" fontId="17" fillId="10" borderId="43" xfId="0" applyNumberFormat="1" applyFont="1" applyFill="1" applyBorder="1" applyAlignment="1">
      <alignment horizontal="center" vertical="center"/>
    </xf>
    <xf numFmtId="0" fontId="0" fillId="10" borderId="43" xfId="0" applyFill="1" applyBorder="1" applyAlignment="1">
      <alignment horizontal="center" vertical="center"/>
    </xf>
    <xf numFmtId="0" fontId="17" fillId="8" borderId="0" xfId="2" applyFill="1" applyAlignment="1" applyProtection="1">
      <alignment horizontal="center"/>
    </xf>
    <xf numFmtId="0" fontId="0" fillId="4" borderId="0" xfId="0" applyFill="1" applyAlignment="1">
      <alignment horizontal="center"/>
    </xf>
    <xf numFmtId="0" fontId="0" fillId="13" borderId="45" xfId="0" applyFill="1" applyBorder="1" applyAlignment="1">
      <alignment horizontal="center" vertical="center"/>
    </xf>
    <xf numFmtId="169" fontId="0" fillId="13" borderId="46" xfId="0" applyNumberFormat="1" applyFill="1" applyBorder="1" applyAlignment="1">
      <alignment horizontal="center" vertical="center"/>
    </xf>
    <xf numFmtId="2" fontId="0" fillId="13" borderId="46" xfId="0" applyNumberFormat="1" applyFill="1" applyBorder="1" applyAlignment="1">
      <alignment horizontal="center" vertical="center"/>
    </xf>
    <xf numFmtId="0" fontId="0" fillId="13" borderId="46" xfId="0" applyFill="1" applyBorder="1" applyAlignment="1">
      <alignment horizontal="center" vertical="center"/>
    </xf>
    <xf numFmtId="0" fontId="0" fillId="13" borderId="39" xfId="0" applyFill="1" applyBorder="1" applyAlignment="1">
      <alignment horizontal="center" vertical="center"/>
    </xf>
    <xf numFmtId="0" fontId="17" fillId="13" borderId="46" xfId="0" applyFont="1" applyFill="1" applyBorder="1" applyAlignment="1">
      <alignment horizontal="center" vertical="center"/>
    </xf>
    <xf numFmtId="2" fontId="17" fillId="13" borderId="39" xfId="0" applyNumberFormat="1" applyFont="1" applyFill="1" applyBorder="1" applyAlignment="1">
      <alignment horizontal="center" vertical="center"/>
    </xf>
    <xf numFmtId="2" fontId="17" fillId="13" borderId="32" xfId="0" applyNumberFormat="1" applyFont="1" applyFill="1" applyBorder="1" applyAlignment="1">
      <alignment horizontal="center" vertical="center"/>
    </xf>
    <xf numFmtId="0" fontId="17" fillId="13" borderId="32" xfId="0" applyFont="1" applyFill="1" applyBorder="1" applyAlignment="1">
      <alignment horizontal="center" vertical="center"/>
    </xf>
    <xf numFmtId="0" fontId="0" fillId="13" borderId="32" xfId="0" applyFill="1" applyBorder="1" applyAlignment="1">
      <alignment horizontal="center" vertical="center"/>
    </xf>
    <xf numFmtId="2" fontId="0" fillId="13" borderId="39" xfId="0" applyNumberFormat="1" applyFill="1" applyBorder="1" applyAlignment="1">
      <alignment horizontal="center" vertical="center"/>
    </xf>
    <xf numFmtId="2" fontId="34" fillId="13" borderId="39" xfId="0" applyNumberFormat="1" applyFont="1" applyFill="1" applyBorder="1" applyAlignment="1">
      <alignment horizontal="center" vertical="center"/>
    </xf>
    <xf numFmtId="2" fontId="34" fillId="13" borderId="32" xfId="0" applyNumberFormat="1" applyFont="1" applyFill="1" applyBorder="1" applyAlignment="1">
      <alignment horizontal="center" vertical="center"/>
    </xf>
    <xf numFmtId="2" fontId="0" fillId="13" borderId="32" xfId="0" applyNumberFormat="1" applyFill="1" applyBorder="1" applyAlignment="1">
      <alignment horizontal="center" vertical="center"/>
    </xf>
    <xf numFmtId="0" fontId="17" fillId="13" borderId="39" xfId="0" applyFont="1" applyFill="1" applyBorder="1" applyAlignment="1">
      <alignment horizontal="center" vertical="center"/>
    </xf>
    <xf numFmtId="0" fontId="0" fillId="13" borderId="0" xfId="0" applyFill="1"/>
    <xf numFmtId="0" fontId="17" fillId="13" borderId="45" xfId="0" applyFont="1" applyFill="1" applyBorder="1" applyAlignment="1">
      <alignment horizontal="center" vertical="center"/>
    </xf>
    <xf numFmtId="14" fontId="17" fillId="13" borderId="46" xfId="0" applyNumberFormat="1" applyFont="1" applyFill="1" applyBorder="1" applyAlignment="1">
      <alignment horizontal="center" vertical="center"/>
    </xf>
    <xf numFmtId="2" fontId="17" fillId="13" borderId="46" xfId="0" applyNumberFormat="1" applyFont="1" applyFill="1" applyBorder="1" applyAlignment="1">
      <alignment horizontal="center" vertical="center"/>
    </xf>
    <xf numFmtId="2" fontId="17" fillId="13" borderId="21" xfId="0" applyNumberFormat="1" applyFont="1" applyFill="1" applyBorder="1" applyAlignment="1">
      <alignment horizontal="center" vertical="center"/>
    </xf>
    <xf numFmtId="2" fontId="17" fillId="13" borderId="28" xfId="0" applyNumberFormat="1" applyFont="1" applyFill="1" applyBorder="1" applyAlignment="1">
      <alignment horizontal="center" vertical="center"/>
    </xf>
    <xf numFmtId="14" fontId="17" fillId="0" borderId="34" xfId="0" applyNumberFormat="1" applyFont="1" applyFill="1" applyBorder="1" applyAlignment="1">
      <alignment horizontal="center" vertical="center"/>
    </xf>
    <xf numFmtId="14" fontId="0" fillId="0" borderId="35" xfId="0" applyNumberFormat="1" applyFill="1" applyBorder="1" applyAlignment="1">
      <alignment horizontal="center" vertical="center"/>
    </xf>
    <xf numFmtId="0" fontId="0" fillId="0" borderId="36" xfId="0" applyFill="1" applyBorder="1" applyAlignment="1">
      <alignment horizontal="center" vertical="center"/>
    </xf>
    <xf numFmtId="0" fontId="17" fillId="0" borderId="37" xfId="0" applyFont="1" applyFill="1" applyBorder="1" applyAlignment="1">
      <alignment horizontal="center" vertical="center"/>
    </xf>
    <xf numFmtId="170" fontId="46" fillId="0" borderId="36" xfId="0" applyNumberFormat="1" applyFont="1" applyFill="1" applyBorder="1" applyAlignment="1">
      <alignment horizontal="center" vertical="center"/>
    </xf>
    <xf numFmtId="2" fontId="0" fillId="0" borderId="38" xfId="0" applyNumberFormat="1"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2" fontId="0" fillId="0" borderId="36" xfId="0" applyNumberFormat="1" applyFill="1" applyBorder="1" applyAlignment="1">
      <alignment horizontal="center" vertical="center"/>
    </xf>
    <xf numFmtId="2" fontId="17" fillId="0" borderId="36" xfId="0" applyNumberFormat="1" applyFont="1" applyFill="1" applyBorder="1" applyAlignment="1">
      <alignment horizontal="center" vertical="center"/>
    </xf>
    <xf numFmtId="2" fontId="17" fillId="0" borderId="39" xfId="0" applyNumberFormat="1" applyFont="1" applyFill="1" applyBorder="1" applyAlignment="1" applyProtection="1">
      <alignment horizontal="center" vertical="center"/>
    </xf>
    <xf numFmtId="0" fontId="17" fillId="0" borderId="40" xfId="0" applyFont="1" applyFill="1" applyBorder="1" applyAlignment="1">
      <alignment horizontal="center" vertical="center"/>
    </xf>
    <xf numFmtId="2" fontId="17" fillId="0" borderId="42" xfId="0" applyNumberFormat="1" applyFont="1" applyFill="1" applyBorder="1" applyAlignment="1" applyProtection="1">
      <alignment horizontal="center" vertical="center"/>
    </xf>
    <xf numFmtId="14" fontId="17" fillId="0" borderId="26" xfId="0" applyNumberFormat="1" applyFont="1" applyFill="1" applyBorder="1" applyAlignment="1">
      <alignment horizontal="center" vertical="center"/>
    </xf>
    <xf numFmtId="14" fontId="0" fillId="0" borderId="27" xfId="0" applyNumberFormat="1" applyFill="1" applyBorder="1" applyAlignment="1">
      <alignment horizontal="center" vertical="center"/>
    </xf>
    <xf numFmtId="0" fontId="17" fillId="0" borderId="45" xfId="0" applyFont="1" applyFill="1" applyBorder="1" applyAlignment="1">
      <alignment horizontal="center" vertical="center"/>
    </xf>
    <xf numFmtId="14" fontId="17" fillId="0" borderId="46" xfId="0" applyNumberFormat="1" applyFont="1" applyFill="1" applyBorder="1" applyAlignment="1">
      <alignment horizontal="center" vertical="center"/>
    </xf>
    <xf numFmtId="2" fontId="16" fillId="0" borderId="39" xfId="0" applyNumberFormat="1" applyFont="1" applyFill="1" applyBorder="1" applyAlignment="1">
      <alignment horizontal="center" vertical="center"/>
    </xf>
    <xf numFmtId="0" fontId="17" fillId="0" borderId="26" xfId="0" applyFont="1" applyFill="1" applyBorder="1" applyAlignment="1">
      <alignment horizontal="center" vertical="center"/>
    </xf>
    <xf numFmtId="14" fontId="17" fillId="0" borderId="27" xfId="0" applyNumberFormat="1" applyFont="1" applyFill="1" applyBorder="1" applyAlignment="1">
      <alignment horizontal="center" vertical="center"/>
    </xf>
    <xf numFmtId="2" fontId="17" fillId="0" borderId="46" xfId="0" applyNumberFormat="1" applyFont="1" applyFill="1" applyBorder="1" applyAlignment="1">
      <alignment horizontal="center" vertical="center"/>
    </xf>
    <xf numFmtId="0" fontId="0" fillId="14" borderId="40" xfId="0" applyFill="1" applyBorder="1" applyAlignment="1">
      <alignment horizontal="center" vertical="center"/>
    </xf>
    <xf numFmtId="169" fontId="0" fillId="14" borderId="41" xfId="0" applyNumberFormat="1" applyFill="1" applyBorder="1" applyAlignment="1">
      <alignment horizontal="center" vertical="center"/>
    </xf>
    <xf numFmtId="2" fontId="0" fillId="14" borderId="41" xfId="0" applyNumberFormat="1" applyFill="1" applyBorder="1" applyAlignment="1">
      <alignment horizontal="center" vertical="center"/>
    </xf>
    <xf numFmtId="0" fontId="0" fillId="14" borderId="41" xfId="0" applyFill="1" applyBorder="1" applyAlignment="1">
      <alignment horizontal="center" vertical="center"/>
    </xf>
    <xf numFmtId="0" fontId="0" fillId="14" borderId="42" xfId="0" applyFill="1" applyBorder="1" applyAlignment="1">
      <alignment horizontal="center" vertical="center"/>
    </xf>
    <xf numFmtId="0" fontId="17" fillId="14" borderId="41" xfId="0" applyFont="1" applyFill="1" applyBorder="1" applyAlignment="1">
      <alignment horizontal="center" vertical="center"/>
    </xf>
    <xf numFmtId="2" fontId="17" fillId="14" borderId="42" xfId="0" applyNumberFormat="1" applyFont="1" applyFill="1" applyBorder="1" applyAlignment="1">
      <alignment horizontal="center" vertical="center"/>
    </xf>
    <xf numFmtId="2" fontId="17" fillId="14" borderId="43" xfId="0" applyNumberFormat="1" applyFont="1" applyFill="1" applyBorder="1" applyAlignment="1">
      <alignment horizontal="center" vertical="center"/>
    </xf>
    <xf numFmtId="0" fontId="17" fillId="14" borderId="43" xfId="0" applyFont="1" applyFill="1" applyBorder="1" applyAlignment="1">
      <alignment horizontal="center" vertical="center"/>
    </xf>
    <xf numFmtId="0" fontId="0" fillId="14" borderId="43" xfId="0" applyFill="1" applyBorder="1" applyAlignment="1">
      <alignment horizontal="center" vertical="center"/>
    </xf>
    <xf numFmtId="2" fontId="0" fillId="14" borderId="42" xfId="0" applyNumberFormat="1" applyFill="1" applyBorder="1" applyAlignment="1">
      <alignment horizontal="center" vertical="center"/>
    </xf>
    <xf numFmtId="2" fontId="34" fillId="14" borderId="42" xfId="0" applyNumberFormat="1" applyFont="1" applyFill="1" applyBorder="1" applyAlignment="1">
      <alignment horizontal="center" vertical="center"/>
    </xf>
    <xf numFmtId="2" fontId="34" fillId="14" borderId="43" xfId="0" applyNumberFormat="1" applyFont="1" applyFill="1" applyBorder="1" applyAlignment="1">
      <alignment horizontal="center" vertical="center"/>
    </xf>
    <xf numFmtId="2" fontId="0" fillId="14" borderId="43" xfId="0" applyNumberFormat="1" applyFill="1" applyBorder="1" applyAlignment="1">
      <alignment horizontal="center" vertical="center"/>
    </xf>
    <xf numFmtId="0" fontId="17" fillId="14" borderId="47" xfId="0" applyFont="1" applyFill="1" applyBorder="1" applyAlignment="1">
      <alignment horizontal="center" vertical="center"/>
    </xf>
    <xf numFmtId="0" fontId="0" fillId="14" borderId="0" xfId="0" applyFill="1"/>
    <xf numFmtId="14" fontId="17" fillId="14" borderId="41" xfId="0" applyNumberFormat="1" applyFont="1" applyFill="1" applyBorder="1" applyAlignment="1">
      <alignment horizontal="center" vertical="center"/>
    </xf>
    <xf numFmtId="2" fontId="17" fillId="14" borderId="41" xfId="0" applyNumberFormat="1" applyFont="1" applyFill="1" applyBorder="1" applyAlignment="1">
      <alignment horizontal="center" vertical="center"/>
    </xf>
    <xf numFmtId="2" fontId="17" fillId="14" borderId="21" xfId="0" applyNumberFormat="1" applyFont="1" applyFill="1" applyBorder="1" applyAlignment="1">
      <alignment horizontal="center" vertical="center"/>
    </xf>
    <xf numFmtId="2" fontId="17" fillId="14" borderId="28" xfId="0" applyNumberFormat="1" applyFont="1" applyFill="1" applyBorder="1" applyAlignment="1">
      <alignment horizontal="center" vertical="center"/>
    </xf>
    <xf numFmtId="2" fontId="0" fillId="14" borderId="32" xfId="0" applyNumberFormat="1" applyFill="1" applyBorder="1" applyAlignment="1">
      <alignment horizontal="center" vertical="center"/>
    </xf>
    <xf numFmtId="1" fontId="17" fillId="0" borderId="2" xfId="2" applyNumberFormat="1" applyFont="1" applyBorder="1" applyAlignment="1" applyProtection="1">
      <alignment horizontal="center"/>
    </xf>
    <xf numFmtId="0" fontId="0" fillId="0" borderId="0" xfId="0" applyAlignment="1">
      <alignment horizontal="center"/>
    </xf>
    <xf numFmtId="2" fontId="0" fillId="0" borderId="0" xfId="0" applyNumberFormat="1" applyAlignment="1">
      <alignment horizontal="center"/>
    </xf>
    <xf numFmtId="0" fontId="17" fillId="4" borderId="0" xfId="2" applyFill="1" applyBorder="1" applyAlignment="1" applyProtection="1">
      <alignment horizontal="center" vertical="center"/>
      <protection locked="0"/>
    </xf>
    <xf numFmtId="2" fontId="0" fillId="4" borderId="0" xfId="0" applyNumberFormat="1" applyFill="1"/>
    <xf numFmtId="2" fontId="0" fillId="4" borderId="0" xfId="0" applyNumberFormat="1" applyFill="1" applyAlignment="1">
      <alignment horizontal="center"/>
    </xf>
    <xf numFmtId="0" fontId="17" fillId="15" borderId="0" xfId="2" applyFill="1" applyBorder="1" applyAlignment="1" applyProtection="1">
      <alignment horizontal="center" vertical="center"/>
      <protection locked="0"/>
    </xf>
    <xf numFmtId="14" fontId="0" fillId="15" borderId="0" xfId="0" applyNumberFormat="1" applyFill="1"/>
    <xf numFmtId="0" fontId="0" fillId="15" borderId="0" xfId="0" applyFill="1"/>
    <xf numFmtId="0" fontId="14" fillId="2" borderId="22" xfId="0" applyFont="1" applyFill="1" applyBorder="1" applyAlignment="1">
      <alignment wrapText="1"/>
    </xf>
    <xf numFmtId="164" fontId="14" fillId="2" borderId="22" xfId="0" applyNumberFormat="1" applyFont="1" applyFill="1" applyBorder="1" applyAlignment="1">
      <alignment wrapText="1"/>
    </xf>
    <xf numFmtId="166" fontId="17" fillId="0" borderId="2" xfId="4" applyFont="1" applyFill="1" applyBorder="1" applyAlignment="1" applyProtection="1">
      <alignment horizontal="left"/>
    </xf>
    <xf numFmtId="0" fontId="17" fillId="0" borderId="0" xfId="2" applyAlignment="1" applyProtection="1"/>
    <xf numFmtId="0" fontId="17" fillId="0" borderId="0" xfId="2" applyBorder="1" applyAlignment="1" applyProtection="1">
      <alignment vertical="center"/>
    </xf>
    <xf numFmtId="0" fontId="47" fillId="0" borderId="0" xfId="0" applyFont="1"/>
    <xf numFmtId="0" fontId="17" fillId="0" borderId="0" xfId="2" applyAlignment="1" applyProtection="1">
      <alignment vertical="center" wrapText="1"/>
    </xf>
    <xf numFmtId="2" fontId="0" fillId="15" borderId="0" xfId="0" applyNumberFormat="1" applyFill="1"/>
    <xf numFmtId="2" fontId="33" fillId="15" borderId="25" xfId="0" applyNumberFormat="1" applyFont="1" applyFill="1" applyBorder="1" applyAlignment="1">
      <alignment horizontal="center" vertical="center"/>
    </xf>
    <xf numFmtId="0" fontId="0" fillId="15" borderId="0" xfId="0" applyFill="1" applyAlignment="1">
      <alignment horizontal="center"/>
    </xf>
    <xf numFmtId="0" fontId="0" fillId="0" borderId="48" xfId="0" applyBorder="1"/>
    <xf numFmtId="0" fontId="6" fillId="0" borderId="37" xfId="0" applyFont="1" applyBorder="1" applyAlignment="1">
      <alignment horizontal="center"/>
    </xf>
    <xf numFmtId="4" fontId="3" fillId="0" borderId="35" xfId="0" applyNumberFormat="1" applyFont="1" applyBorder="1" applyAlignment="1">
      <alignment horizontal="center" vertical="top"/>
    </xf>
    <xf numFmtId="4" fontId="3" fillId="0" borderId="13" xfId="0" applyNumberFormat="1" applyFont="1" applyBorder="1" applyAlignment="1">
      <alignment horizontal="center"/>
    </xf>
    <xf numFmtId="2" fontId="0" fillId="0" borderId="0" xfId="0" applyNumberFormat="1" applyFill="1" applyAlignment="1">
      <alignment horizontal="center" vertical="center"/>
    </xf>
    <xf numFmtId="0" fontId="0" fillId="8" borderId="0" xfId="0" applyFill="1" applyAlignment="1">
      <alignment horizontal="center" vertical="center"/>
    </xf>
    <xf numFmtId="4" fontId="0" fillId="8" borderId="0" xfId="0" applyNumberFormat="1" applyFont="1" applyFill="1" applyBorder="1" applyAlignment="1">
      <alignment horizontal="center" vertical="center" wrapText="1"/>
    </xf>
    <xf numFmtId="0" fontId="4" fillId="8" borderId="0" xfId="0" applyFont="1" applyFill="1" applyBorder="1" applyAlignment="1">
      <alignment horizontal="center" vertical="center"/>
    </xf>
    <xf numFmtId="4" fontId="4" fillId="8" borderId="0" xfId="0" applyNumberFormat="1" applyFont="1" applyFill="1" applyBorder="1" applyAlignment="1">
      <alignment horizontal="center" vertical="center"/>
    </xf>
    <xf numFmtId="4" fontId="10" fillId="8" borderId="0" xfId="0" applyNumberFormat="1" applyFont="1" applyFill="1" applyBorder="1" applyAlignment="1">
      <alignment horizontal="center" vertical="center"/>
    </xf>
    <xf numFmtId="14" fontId="0" fillId="8" borderId="0" xfId="0" applyNumberFormat="1" applyFill="1" applyAlignment="1">
      <alignment horizontal="center" vertical="center"/>
    </xf>
    <xf numFmtId="2" fontId="0" fillId="8" borderId="0" xfId="0" applyNumberFormat="1" applyFill="1" applyAlignment="1">
      <alignment horizontal="center" vertical="center"/>
    </xf>
    <xf numFmtId="2" fontId="33" fillId="8" borderId="25" xfId="0" applyNumberFormat="1" applyFont="1" applyFill="1" applyBorder="1" applyAlignment="1">
      <alignment horizontal="center" vertical="center"/>
    </xf>
    <xf numFmtId="14" fontId="0" fillId="4" borderId="0" xfId="0" applyNumberFormat="1" applyFill="1" applyAlignment="1">
      <alignment horizontal="center" vertical="center"/>
    </xf>
    <xf numFmtId="0" fontId="0" fillId="3" borderId="10" xfId="0" applyFont="1" applyFill="1" applyBorder="1" applyAlignment="1">
      <alignment horizontal="right"/>
    </xf>
    <xf numFmtId="0" fontId="35" fillId="0" borderId="1" xfId="0" applyFont="1" applyBorder="1" applyAlignment="1" applyProtection="1">
      <alignment horizontal="center"/>
      <protection locked="0"/>
    </xf>
    <xf numFmtId="0" fontId="0" fillId="0" borderId="2" xfId="0" applyBorder="1" applyAlignment="1">
      <alignment horizontal="center"/>
    </xf>
    <xf numFmtId="170" fontId="35" fillId="0" borderId="1" xfId="0" applyNumberFormat="1" applyFont="1" applyBorder="1" applyAlignment="1" applyProtection="1">
      <alignment horizontal="left"/>
      <protection locked="0"/>
    </xf>
    <xf numFmtId="0" fontId="0" fillId="0" borderId="2" xfId="0" applyBorder="1" applyAlignment="1"/>
    <xf numFmtId="0" fontId="35" fillId="7" borderId="0" xfId="0" applyFont="1" applyFill="1" applyBorder="1" applyAlignment="1">
      <alignment horizontal="center"/>
    </xf>
    <xf numFmtId="0" fontId="0" fillId="7" borderId="0" xfId="0" applyFill="1" applyBorder="1" applyAlignment="1">
      <alignment horizontal="center"/>
    </xf>
    <xf numFmtId="2" fontId="0" fillId="0" borderId="44" xfId="0" applyNumberFormat="1" applyFill="1" applyBorder="1" applyAlignment="1">
      <alignment horizontal="center" vertical="center"/>
    </xf>
    <xf numFmtId="2" fontId="0" fillId="0" borderId="29" xfId="0" applyNumberFormat="1" applyFill="1" applyBorder="1" applyAlignment="1">
      <alignment horizontal="center" vertical="center"/>
    </xf>
    <xf numFmtId="0" fontId="13" fillId="2" borderId="1"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xf numFmtId="0" fontId="8" fillId="3" borderId="2" xfId="0" applyFont="1" applyFill="1" applyBorder="1" applyAlignment="1">
      <alignment horizontal="center"/>
    </xf>
    <xf numFmtId="0" fontId="17" fillId="7" borderId="1" xfId="2" applyFill="1" applyBorder="1" applyAlignment="1" applyProtection="1">
      <alignment horizontal="center" vertical="center"/>
      <protection locked="0"/>
    </xf>
    <xf numFmtId="0" fontId="17" fillId="7" borderId="2" xfId="2" applyFill="1" applyBorder="1" applyAlignment="1" applyProtection="1">
      <alignment horizontal="center" vertical="center"/>
      <protection locked="0"/>
    </xf>
    <xf numFmtId="0" fontId="17" fillId="7" borderId="8" xfId="2" applyFill="1" applyBorder="1" applyAlignment="1" applyProtection="1">
      <alignment horizontal="center" vertical="center"/>
      <protection locked="0"/>
    </xf>
    <xf numFmtId="0" fontId="17" fillId="6" borderId="1" xfId="2" applyFill="1" applyBorder="1" applyAlignment="1" applyProtection="1">
      <alignment horizontal="center" vertical="center"/>
      <protection locked="0"/>
    </xf>
    <xf numFmtId="0" fontId="17" fillId="6" borderId="2" xfId="2" applyFill="1" applyBorder="1" applyAlignment="1" applyProtection="1">
      <alignment horizontal="center" vertical="center"/>
      <protection locked="0"/>
    </xf>
    <xf numFmtId="0" fontId="17" fillId="6" borderId="8" xfId="2" applyFill="1" applyBorder="1" applyAlignment="1" applyProtection="1">
      <alignment horizontal="center" vertical="center"/>
      <protection locked="0"/>
    </xf>
    <xf numFmtId="0" fontId="35" fillId="7" borderId="9" xfId="0" applyFont="1" applyFill="1" applyBorder="1" applyAlignment="1" applyProtection="1">
      <alignment horizontal="left"/>
      <protection locked="0"/>
    </xf>
    <xf numFmtId="0" fontId="0" fillId="7" borderId="0" xfId="0" applyFill="1" applyBorder="1" applyAlignment="1"/>
    <xf numFmtId="0" fontId="5" fillId="0" borderId="2" xfId="0" applyFont="1" applyBorder="1" applyAlignment="1">
      <alignment horizontal="center"/>
    </xf>
    <xf numFmtId="0" fontId="5" fillId="0" borderId="8" xfId="0" applyFont="1" applyBorder="1" applyAlignment="1">
      <alignment horizontal="center"/>
    </xf>
    <xf numFmtId="0" fontId="5" fillId="0" borderId="0" xfId="0" applyFont="1" applyBorder="1" applyAlignment="1">
      <alignment horizontal="center"/>
    </xf>
    <xf numFmtId="0" fontId="3" fillId="0" borderId="7" xfId="0" applyFont="1" applyBorder="1" applyAlignment="1">
      <alignment horizontal="center"/>
    </xf>
    <xf numFmtId="0" fontId="3" fillId="0" borderId="0" xfId="0" applyFont="1" applyBorder="1" applyAlignment="1">
      <alignment horizontal="center"/>
    </xf>
    <xf numFmtId="0" fontId="3" fillId="0" borderId="13" xfId="0" applyFont="1" applyBorder="1" applyAlignment="1">
      <alignment horizontal="center"/>
    </xf>
    <xf numFmtId="165" fontId="8" fillId="0" borderId="0" xfId="0" applyNumberFormat="1" applyFont="1" applyBorder="1" applyAlignment="1">
      <alignment horizontal="center"/>
    </xf>
    <xf numFmtId="0" fontId="8" fillId="3" borderId="5" xfId="0" applyFont="1" applyFill="1" applyBorder="1" applyAlignment="1">
      <alignment horizontal="center"/>
    </xf>
  </cellXfs>
  <cellStyles count="10">
    <cellStyle name="??0" xfId="8" xr:uid="{6E86BA10-1F04-4EC9-ADFC-C560696D857D}"/>
    <cellStyle name="0.000" xfId="4" xr:uid="{E5D9440B-2B82-4101-B695-16F059168B8E}"/>
    <cellStyle name="hel8" xfId="5" xr:uid="{BEFFDDED-9903-4DE2-BEF6-B221BF9F8679}"/>
    <cellStyle name="hel8 2" xfId="6" xr:uid="{5F4EF8BB-CF3C-4E3E-8EBE-E87A1B16564E}"/>
    <cellStyle name="hel8 blue" xfId="3" xr:uid="{6077A67D-5E6D-4523-84D7-334BC875F167}"/>
    <cellStyle name="hel8b_Snow Pit1" xfId="1" xr:uid="{2772C2C6-CE44-49A5-BD16-1004C6C598B0}"/>
    <cellStyle name="Normal" xfId="0" builtinId="0" customBuiltin="1"/>
    <cellStyle name="Normal 2 3" xfId="2" xr:uid="{A665F414-0F29-45F7-B639-DCEDE293487A}"/>
    <cellStyle name="Normal 4" xfId="7" xr:uid="{D481D1C0-7D9A-48E6-BD0A-DCE2A89D24CE}"/>
    <cellStyle name="Normal_C-snowpits" xfId="9" xr:uid="{44852D80-D5D1-461A-AD4F-53C02170EB52}"/>
  </cellStyles>
  <dxfs count="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190500</xdr:colOff>
      <xdr:row>33</xdr:row>
      <xdr:rowOff>95250</xdr:rowOff>
    </xdr:from>
    <xdr:to>
      <xdr:col>16</xdr:col>
      <xdr:colOff>95250</xdr:colOff>
      <xdr:row>51</xdr:row>
      <xdr:rowOff>28575</xdr:rowOff>
    </xdr:to>
    <xdr:sp macro="" textlink="">
      <xdr:nvSpPr>
        <xdr:cNvPr id="2" name="TextBox 1">
          <a:extLst>
            <a:ext uri="{FF2B5EF4-FFF2-40B4-BE49-F238E27FC236}">
              <a16:creationId xmlns:a16="http://schemas.microsoft.com/office/drawing/2014/main" id="{11AD9A4B-7D98-44CB-A2B4-297D1633B99C}"/>
            </a:ext>
          </a:extLst>
        </xdr:cNvPr>
        <xdr:cNvSpPr txBox="1"/>
      </xdr:nvSpPr>
      <xdr:spPr>
        <a:xfrm>
          <a:off x="8582025" y="5810250"/>
          <a:ext cx="310515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10-K17 Stake</a:t>
          </a:r>
          <a:endParaRPr lang="en-US" sz="1200" b="1">
            <a:effectLst/>
          </a:endParaRPr>
        </a:p>
        <a:p>
          <a:r>
            <a:rPr lang="en-US" sz="1100" b="0">
              <a:solidFill>
                <a:schemeClr val="dk1"/>
              </a:solidFill>
              <a:effectLst/>
              <a:latin typeface="+mn-lt"/>
              <a:ea typeface="+mn-ea"/>
              <a:cs typeface="+mn-cs"/>
            </a:rPr>
            <a:t>R.</a:t>
          </a:r>
          <a:r>
            <a:rPr lang="en-US" sz="1100" b="0" baseline="0">
              <a:solidFill>
                <a:schemeClr val="dk1"/>
              </a:solidFill>
              <a:effectLst/>
              <a:latin typeface="+mn-lt"/>
              <a:ea typeface="+mn-ea"/>
              <a:cs typeface="+mn-cs"/>
            </a:rPr>
            <a:t> Burrows notes that 10-K17 stake seemed unstable on Fall 2011 visit; winter 2012 visit confirms. In Spring 2012, stake readings would indicate there is only 60 cm snow. However, notes from visit indicate snow was "too deep to probe" . This does not line up; something is wrong with the stake; floating in hole.</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In Fall 2013, stake has floated an additional 10 cm above fall 2012; not good to use for measurement.</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THUS, IGNORED IN ANNUAL CALCULATION</a:t>
          </a:r>
        </a:p>
        <a:p>
          <a:endParaRPr lang="en-US" sz="1100" b="0"/>
        </a:p>
      </xdr:txBody>
    </xdr:sp>
    <xdr:clientData/>
  </xdr:twoCellAnchor>
  <xdr:twoCellAnchor>
    <xdr:from>
      <xdr:col>17</xdr:col>
      <xdr:colOff>381000</xdr:colOff>
      <xdr:row>33</xdr:row>
      <xdr:rowOff>38100</xdr:rowOff>
    </xdr:from>
    <xdr:to>
      <xdr:col>23</xdr:col>
      <xdr:colOff>180975</xdr:colOff>
      <xdr:row>48</xdr:row>
      <xdr:rowOff>133350</xdr:rowOff>
    </xdr:to>
    <xdr:sp macro="" textlink="">
      <xdr:nvSpPr>
        <xdr:cNvPr id="3" name="TextBox 2">
          <a:extLst>
            <a:ext uri="{FF2B5EF4-FFF2-40B4-BE49-F238E27FC236}">
              <a16:creationId xmlns:a16="http://schemas.microsoft.com/office/drawing/2014/main" id="{B3E5B38F-6C04-4C81-B257-1D8013237E35}"/>
            </a:ext>
          </a:extLst>
        </xdr:cNvPr>
        <xdr:cNvSpPr txBox="1"/>
      </xdr:nvSpPr>
      <xdr:spPr>
        <a:xfrm>
          <a:off x="12582525" y="9248775"/>
          <a:ext cx="37147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07-K17 Stake</a:t>
          </a:r>
        </a:p>
        <a:p>
          <a:endParaRPr lang="en-US" sz="1200" b="1">
            <a:solidFill>
              <a:schemeClr val="dk1"/>
            </a:solidFill>
            <a:effectLst/>
            <a:latin typeface="+mn-lt"/>
            <a:ea typeface="+mn-ea"/>
            <a:cs typeface="+mn-cs"/>
          </a:endParaRPr>
        </a:p>
        <a:p>
          <a:r>
            <a:rPr lang="en-US" sz="1200" b="1">
              <a:solidFill>
                <a:schemeClr val="dk1"/>
              </a:solidFill>
              <a:effectLst/>
              <a:latin typeface="+mn-lt"/>
              <a:ea typeface="+mn-ea"/>
              <a:cs typeface="+mn-cs"/>
            </a:rPr>
            <a:t>new</a:t>
          </a:r>
          <a:r>
            <a:rPr lang="en-US" sz="1200" b="1" baseline="0">
              <a:solidFill>
                <a:schemeClr val="dk1"/>
              </a:solidFill>
              <a:effectLst/>
              <a:latin typeface="+mn-lt"/>
              <a:ea typeface="+mn-ea"/>
              <a:cs typeface="+mn-cs"/>
            </a:rPr>
            <a:t> calculation: </a:t>
          </a:r>
          <a:r>
            <a:rPr lang="en-US" sz="1200" b="0" baseline="0">
              <a:solidFill>
                <a:schemeClr val="dk1"/>
              </a:solidFill>
              <a:effectLst/>
              <a:latin typeface="+mn-lt"/>
              <a:ea typeface="+mn-ea"/>
              <a:cs typeface="+mn-cs"/>
            </a:rPr>
            <a:t>(no balances previously calculated for 2013)</a:t>
          </a:r>
          <a:endParaRPr lang="en-US" sz="1200" b="1">
            <a:effectLst/>
          </a:endParaRPr>
        </a:p>
        <a:p>
          <a:endParaRPr lang="en-US" sz="1100" b="0"/>
        </a:p>
        <a:p>
          <a:r>
            <a:rPr lang="en-US" sz="1100" b="0"/>
            <a:t>bw: field notes indicate stake</a:t>
          </a:r>
          <a:r>
            <a:rPr lang="en-US" sz="1100" b="0" baseline="0"/>
            <a:t> </a:t>
          </a:r>
          <a:r>
            <a:rPr lang="en-US" sz="1100" b="0"/>
            <a:t>not</a:t>
          </a:r>
          <a:r>
            <a:rPr lang="en-US" sz="1100" b="0" baseline="0"/>
            <a:t> found in spring 2013. </a:t>
          </a:r>
        </a:p>
        <a:p>
          <a:endParaRPr lang="en-US" sz="1100" b="0" baseline="0"/>
        </a:p>
        <a:p>
          <a:r>
            <a:rPr lang="en-US" sz="1100" b="0" baseline="0"/>
            <a:t>ba: calculated from depth and estimated density of snow on glacier in fall 2013. Density is taken from that measured in fall 2014 (0.44), depth is 1.4 (depth of new firn found via probing on fall 2013 visit). No field notes from fall 2013 visits.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592666</xdr:colOff>
      <xdr:row>16</xdr:row>
      <xdr:rowOff>1058</xdr:rowOff>
    </xdr:from>
    <xdr:to>
      <xdr:col>18</xdr:col>
      <xdr:colOff>306916</xdr:colOff>
      <xdr:row>30</xdr:row>
      <xdr:rowOff>137584</xdr:rowOff>
    </xdr:to>
    <xdr:sp macro="" textlink="">
      <xdr:nvSpPr>
        <xdr:cNvPr id="2" name="TextBox 1">
          <a:extLst>
            <a:ext uri="{FF2B5EF4-FFF2-40B4-BE49-F238E27FC236}">
              <a16:creationId xmlns:a16="http://schemas.microsoft.com/office/drawing/2014/main" id="{B40B454E-EED9-4227-B33C-EF8B7EFFB135}"/>
            </a:ext>
          </a:extLst>
        </xdr:cNvPr>
        <xdr:cNvSpPr txBox="1"/>
      </xdr:nvSpPr>
      <xdr:spPr>
        <a:xfrm>
          <a:off x="9546166" y="2985558"/>
          <a:ext cx="8434917" cy="23061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100"/>
        </a:p>
        <a:p>
          <a:r>
            <a:rPr lang="en-US" sz="1100" b="1"/>
            <a:t>bw</a:t>
          </a:r>
          <a:r>
            <a:rPr lang="en-US" sz="1100"/>
            <a:t> - use depth of 3.55 m,  and density of 0.30 (which is from K17B, instead of that measured at K17A. No reason given for this). </a:t>
          </a:r>
        </a:p>
        <a:p>
          <a:endParaRPr lang="en-US" sz="1100"/>
        </a:p>
        <a:p>
          <a:r>
            <a:rPr lang="en-US" sz="1100" b="1"/>
            <a:t>ba: </a:t>
          </a:r>
          <a:r>
            <a:rPr lang="en-US" sz="1100"/>
            <a:t>new</a:t>
          </a:r>
          <a:r>
            <a:rPr lang="en-US" sz="1100" baseline="0"/>
            <a:t> firn on glacier on 8/2013. Uses single measurement of snow depth (1.55m ) times density of firn measured in Fall 2014 at K17B (0.44)</a:t>
          </a:r>
        </a:p>
        <a:p>
          <a:endParaRPr lang="en-US" sz="1100" baseline="0"/>
        </a:p>
        <a:p>
          <a:r>
            <a:rPr lang="en-US" sz="1200" b="1" baseline="0"/>
            <a:t>New calculation:</a:t>
          </a:r>
        </a:p>
        <a:p>
          <a:endParaRPr lang="en-US" sz="12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accumulation</a:t>
          </a:r>
          <a:r>
            <a:rPr lang="en-US" sz="1100" baseline="0">
              <a:solidFill>
                <a:schemeClr val="dk1"/>
              </a:solidFill>
              <a:effectLst/>
              <a:latin typeface="+mn-lt"/>
              <a:ea typeface="+mn-ea"/>
              <a:cs typeface="+mn-cs"/>
            </a:rPr>
            <a:t> depth of 3.55 m, NOT using measured densityh of 0.22. If this density is used, then summer balance is positive (no melt; only accumulation).  Using old estimate of 0.3 from K17B instead of that measured here at K17A.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ba</a:t>
          </a:r>
          <a:r>
            <a:rPr lang="en-US" sz="1100" b="0" baseline="0">
              <a:solidFill>
                <a:schemeClr val="dk1"/>
              </a:solidFill>
              <a:effectLst/>
              <a:latin typeface="+mn-lt"/>
              <a:ea typeface="+mn-ea"/>
              <a:cs typeface="+mn-cs"/>
            </a:rPr>
            <a:t>: accumulation of 1.55 since last fall (stake depth of 1.55m only). No field notes from fall 2013. Density generic estimate of new firn (0.5).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303739</xdr:colOff>
      <xdr:row>28</xdr:row>
      <xdr:rowOff>0</xdr:rowOff>
    </xdr:from>
    <xdr:to>
      <xdr:col>18</xdr:col>
      <xdr:colOff>233890</xdr:colOff>
      <xdr:row>49</xdr:row>
      <xdr:rowOff>19050</xdr:rowOff>
    </xdr:to>
    <xdr:sp macro="" textlink="">
      <xdr:nvSpPr>
        <xdr:cNvPr id="2" name="TextBox 1">
          <a:extLst>
            <a:ext uri="{FF2B5EF4-FFF2-40B4-BE49-F238E27FC236}">
              <a16:creationId xmlns:a16="http://schemas.microsoft.com/office/drawing/2014/main" id="{C125858B-461F-4ECD-8215-8D610E49E4BE}"/>
            </a:ext>
          </a:extLst>
        </xdr:cNvPr>
        <xdr:cNvSpPr txBox="1"/>
      </xdr:nvSpPr>
      <xdr:spPr>
        <a:xfrm>
          <a:off x="7190314" y="4905375"/>
          <a:ext cx="4425951" cy="318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100"/>
        </a:p>
        <a:p>
          <a:r>
            <a:rPr lang="en-US" sz="1100" b="1"/>
            <a:t>bw</a:t>
          </a:r>
          <a:r>
            <a:rPr lang="en-US" sz="1100" b="0"/>
            <a:t>:</a:t>
          </a:r>
          <a:r>
            <a:rPr lang="en-US" sz="1100" b="0" baseline="0"/>
            <a:t> product of snow depth (2.9m) and density (0.30)</a:t>
          </a:r>
          <a:endParaRPr lang="en-US" sz="1100"/>
        </a:p>
        <a:p>
          <a:endParaRPr lang="en-US" sz="1100" baseline="0"/>
        </a:p>
        <a:p>
          <a:r>
            <a:rPr lang="en-US" sz="1100" b="1" baseline="0"/>
            <a:t>ba: </a:t>
          </a:r>
          <a:r>
            <a:rPr lang="en-US" sz="1100" b="0" baseline="0"/>
            <a:t>product of depth and density (1.63 and 0.44), minus an assumed water that is retained in the new firn (7% void space, detailed in Mayo 2001 NPS manual). This convoluted calculation adds more uncertainty to mass balance than it removes, and is omitted in new calculations.</a:t>
          </a:r>
        </a:p>
        <a:p>
          <a:endParaRPr lang="en-US" sz="1100" baseline="0"/>
        </a:p>
        <a:p>
          <a:r>
            <a:rPr lang="en-US" sz="1200" b="1" baseline="0"/>
            <a:t>New calculation:</a:t>
          </a:r>
        </a:p>
        <a:p>
          <a:endParaRPr lang="en-US" sz="12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 of snow depth (2.9 m)</a:t>
          </a:r>
          <a:r>
            <a:rPr lang="en-US" sz="1100" baseline="0">
              <a:solidFill>
                <a:schemeClr val="dk1"/>
              </a:solidFill>
              <a:effectLst/>
              <a:latin typeface="+mn-lt"/>
              <a:ea typeface="+mn-ea"/>
              <a:cs typeface="+mn-cs"/>
            </a:rPr>
            <a:t> and density (0.29; taken from field measurement. The prior use of 0.3 is likely from rounding).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ba - </a:t>
          </a:r>
          <a:r>
            <a:rPr lang="en-US" sz="1100" b="0" baseline="0">
              <a:solidFill>
                <a:schemeClr val="dk1"/>
              </a:solidFill>
              <a:effectLst/>
              <a:latin typeface="+mn-lt"/>
              <a:ea typeface="+mn-ea"/>
              <a:cs typeface="+mn-cs"/>
            </a:rPr>
            <a:t>product of snow depth (1.63 m) and density (0.5; assumed density for new firn)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269875</xdr:colOff>
      <xdr:row>28</xdr:row>
      <xdr:rowOff>14815</xdr:rowOff>
    </xdr:from>
    <xdr:to>
      <xdr:col>17</xdr:col>
      <xdr:colOff>58209</xdr:colOff>
      <xdr:row>49</xdr:row>
      <xdr:rowOff>19050</xdr:rowOff>
    </xdr:to>
    <xdr:sp macro="" textlink="">
      <xdr:nvSpPr>
        <xdr:cNvPr id="4" name="TextBox 3">
          <a:extLst>
            <a:ext uri="{FF2B5EF4-FFF2-40B4-BE49-F238E27FC236}">
              <a16:creationId xmlns:a16="http://schemas.microsoft.com/office/drawing/2014/main" id="{7D4F2CF1-0F90-4C58-8F10-18EF3FC162EA}"/>
            </a:ext>
          </a:extLst>
        </xdr:cNvPr>
        <xdr:cNvSpPr txBox="1"/>
      </xdr:nvSpPr>
      <xdr:spPr>
        <a:xfrm>
          <a:off x="9204325" y="4710640"/>
          <a:ext cx="7484534" cy="3499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100"/>
        </a:p>
        <a:p>
          <a:r>
            <a:rPr lang="en-US" sz="1100" b="1"/>
            <a:t>bw</a:t>
          </a:r>
          <a:r>
            <a:rPr lang="en-US" sz="1100"/>
            <a:t> - depth of 3.23 m (average of all measurements), and density of 0.30 (density measured at K17B</a:t>
          </a:r>
          <a:r>
            <a:rPr lang="en-US" sz="1100" baseline="0"/>
            <a:t>).</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a:t>ba -  </a:t>
          </a:r>
          <a:r>
            <a:rPr lang="en-US" sz="1100" b="0"/>
            <a:t>calculated from</a:t>
          </a:r>
          <a:r>
            <a:rPr lang="en-US" sz="1100" b="0" baseline="0"/>
            <a:t> accumulation on the glacier in fall 2013 average depth (1.66m) and assumed density of 0.44 (measured at K17B in fall 2014), </a:t>
          </a:r>
          <a:r>
            <a:rPr lang="en-US" sz="1100" b="0" baseline="0">
              <a:solidFill>
                <a:schemeClr val="dk1"/>
              </a:solidFill>
              <a:effectLst/>
              <a:latin typeface="+mn-lt"/>
              <a:ea typeface="+mn-ea"/>
              <a:cs typeface="+mn-cs"/>
            </a:rPr>
            <a:t>minus an assumed water that is retained in the new firn (7% void space, detailed in Mayo 2001 NPS manual). This convoluted calculation adds more uncertainty to mass balance than it removes, and is omitted in new calculations.</a:t>
          </a:r>
          <a:endParaRPr lang="en-US">
            <a:effectLst/>
          </a:endParaRPr>
        </a:p>
        <a:p>
          <a:endParaRPr lang="en-US" sz="1100" b="0" baseline="0"/>
        </a:p>
        <a:p>
          <a:endParaRPr lang="en-US" sz="1100" baseline="0"/>
        </a:p>
        <a:p>
          <a:r>
            <a:rPr lang="en-US" sz="1200" b="1" baseline="0"/>
            <a:t>New calculation:</a:t>
          </a:r>
        </a:p>
        <a:p>
          <a:endParaRPr lang="en-US" sz="12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depth of 3.23 m (average of all measurements) and density of 0.30 (taken from K17B; ahlthough real measured</a:t>
          </a:r>
          <a:r>
            <a:rPr lang="en-US" sz="1100" baseline="0">
              <a:solidFill>
                <a:schemeClr val="dk1"/>
              </a:solidFill>
              <a:effectLst/>
              <a:latin typeface="+mn-lt"/>
              <a:ea typeface="+mn-ea"/>
              <a:cs typeface="+mn-cs"/>
            </a:rPr>
            <a:t> density is 0.26, </a:t>
          </a:r>
          <a:r>
            <a:rPr lang="en-US" sz="1100">
              <a:solidFill>
                <a:schemeClr val="dk1"/>
              </a:solidFill>
              <a:effectLst/>
              <a:latin typeface="+mn-lt"/>
              <a:ea typeface="+mn-ea"/>
              <a:cs typeface="+mn-cs"/>
            </a:rPr>
            <a:t>average of 3 federal sampler measurements, using this gives an</a:t>
          </a:r>
          <a:r>
            <a:rPr lang="en-US" sz="1100" baseline="0">
              <a:solidFill>
                <a:schemeClr val="dk1"/>
              </a:solidFill>
              <a:effectLst/>
              <a:latin typeface="+mn-lt"/>
              <a:ea typeface="+mn-ea"/>
              <a:cs typeface="+mn-cs"/>
            </a:rPr>
            <a:t> annual balance LARGER than winter. Huh; this doesn't make sense. Using density from K17B omits this issue</a:t>
          </a:r>
          <a:r>
            <a:rPr lang="en-US"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ba</a:t>
          </a:r>
          <a:r>
            <a:rPr lang="en-US" sz="1100" b="0" baseline="0">
              <a:solidFill>
                <a:schemeClr val="dk1"/>
              </a:solidFill>
              <a:effectLst/>
              <a:latin typeface="+mn-lt"/>
              <a:ea typeface="+mn-ea"/>
              <a:cs typeface="+mn-cs"/>
            </a:rPr>
            <a:t> - Using a simple calculation of average snow depth (1.66) times assumed density for new firn (0.5) gives an annual balance BIGGER than winter balance (calculated with measured density of 0.18). This doesn't make a lot of sense. SO, adopting the approach of the old calculation to assume density measurement in spring was faulty (low), and use density measured at K17B that spring instead.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495299</xdr:colOff>
      <xdr:row>19</xdr:row>
      <xdr:rowOff>123825</xdr:rowOff>
    </xdr:from>
    <xdr:to>
      <xdr:col>16</xdr:col>
      <xdr:colOff>619124</xdr:colOff>
      <xdr:row>29</xdr:row>
      <xdr:rowOff>104775</xdr:rowOff>
    </xdr:to>
    <xdr:sp macro="" textlink="">
      <xdr:nvSpPr>
        <xdr:cNvPr id="3" name="TextBox 2">
          <a:extLst>
            <a:ext uri="{FF2B5EF4-FFF2-40B4-BE49-F238E27FC236}">
              <a16:creationId xmlns:a16="http://schemas.microsoft.com/office/drawing/2014/main" id="{722B8D87-EA09-480F-846D-314AC968A4D8}"/>
            </a:ext>
          </a:extLst>
        </xdr:cNvPr>
        <xdr:cNvSpPr txBox="1"/>
      </xdr:nvSpPr>
      <xdr:spPr>
        <a:xfrm>
          <a:off x="11229974" y="3238500"/>
          <a:ext cx="2447925"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Bulk density should be calculated separately based on recovered core lengths ONLY IF the samples</a:t>
          </a:r>
          <a:r>
            <a:rPr lang="en-US" sz="1100" baseline="0"/>
            <a:t> are 3 vertical (not 3 separate samples).</a:t>
          </a:r>
          <a:endParaRPr lang="en-US" sz="1100"/>
        </a:p>
      </xdr:txBody>
    </xdr:sp>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789D-92BD-4B6A-A07A-ADF024C900E0}">
  <dimension ref="A1:Y46"/>
  <sheetViews>
    <sheetView tabSelected="1" zoomScaleNormal="100" workbookViewId="0">
      <pane xSplit="1" topLeftCell="B1" activePane="topRight" state="frozen"/>
      <selection pane="topRight" activeCell="F34" sqref="F34"/>
    </sheetView>
  </sheetViews>
  <sheetFormatPr defaultColWidth="17.33203125" defaultRowHeight="11.25" x14ac:dyDescent="0.2"/>
  <cols>
    <col min="1" max="1" width="12" bestFit="1" customWidth="1"/>
    <col min="2" max="2" width="15" customWidth="1"/>
    <col min="3" max="3" width="13.1640625" customWidth="1"/>
    <col min="4" max="4" width="15.6640625" customWidth="1"/>
    <col min="5" max="5" width="12.5" bestFit="1" customWidth="1"/>
    <col min="6" max="6" width="18.83203125" customWidth="1"/>
    <col min="7" max="7" width="13.33203125" customWidth="1"/>
    <col min="8" max="8" width="7.5" customWidth="1"/>
    <col min="9" max="9" width="17.5" customWidth="1"/>
    <col min="10" max="11" width="10.6640625"/>
    <col min="12" max="12" width="13.33203125" customWidth="1"/>
    <col min="13" max="19" width="10.6640625"/>
    <col min="20" max="20" width="15.33203125" bestFit="1" customWidth="1"/>
    <col min="21" max="21" width="10.5" customWidth="1"/>
    <col min="22" max="23" width="10.6640625"/>
    <col min="24" max="24" width="10.1640625" customWidth="1"/>
    <col min="25" max="25" width="45.83203125" customWidth="1"/>
  </cols>
  <sheetData>
    <row r="1" spans="1:25" ht="16.5" thickBot="1" x14ac:dyDescent="0.3">
      <c r="A1" s="211" t="s">
        <v>158</v>
      </c>
    </row>
    <row r="2" spans="1:25" ht="12.75" x14ac:dyDescent="0.25">
      <c r="A2" s="294"/>
      <c r="B2" s="295"/>
      <c r="C2" s="566" t="s">
        <v>128</v>
      </c>
      <c r="D2" s="567"/>
      <c r="E2" s="567"/>
      <c r="F2" s="296"/>
      <c r="G2" s="297" t="s">
        <v>129</v>
      </c>
      <c r="H2" s="298"/>
      <c r="I2" s="298"/>
      <c r="J2" s="298"/>
      <c r="K2" s="298"/>
      <c r="L2" s="299" t="s">
        <v>161</v>
      </c>
      <c r="M2" s="547" t="s">
        <v>162</v>
      </c>
      <c r="N2" s="548"/>
      <c r="O2" s="548"/>
      <c r="P2" s="549" t="s">
        <v>163</v>
      </c>
      <c r="Q2" s="550"/>
      <c r="R2" s="550"/>
      <c r="S2" s="550"/>
      <c r="T2" s="300" t="s">
        <v>164</v>
      </c>
      <c r="U2" s="300" t="s">
        <v>165</v>
      </c>
      <c r="V2" s="301" t="s">
        <v>166</v>
      </c>
    </row>
    <row r="3" spans="1:25" ht="12.75" x14ac:dyDescent="0.25">
      <c r="A3" s="302" t="s">
        <v>133</v>
      </c>
      <c r="B3" s="302" t="s">
        <v>5</v>
      </c>
      <c r="C3" s="303" t="s">
        <v>167</v>
      </c>
      <c r="D3" s="551" t="s">
        <v>168</v>
      </c>
      <c r="E3" s="552"/>
      <c r="F3" s="302" t="s">
        <v>134</v>
      </c>
      <c r="G3" s="304" t="s">
        <v>169</v>
      </c>
      <c r="H3" s="305" t="s">
        <v>85</v>
      </c>
      <c r="I3" s="305" t="s">
        <v>136</v>
      </c>
      <c r="J3" s="306"/>
      <c r="K3" s="307" t="s">
        <v>170</v>
      </c>
      <c r="L3" s="308" t="s">
        <v>171</v>
      </c>
      <c r="M3" s="308" t="s">
        <v>69</v>
      </c>
      <c r="N3" s="309" t="s">
        <v>133</v>
      </c>
      <c r="O3" s="310" t="s">
        <v>172</v>
      </c>
      <c r="P3" s="308" t="s">
        <v>139</v>
      </c>
      <c r="Q3" s="311" t="s">
        <v>140</v>
      </c>
      <c r="R3" s="312" t="s">
        <v>173</v>
      </c>
      <c r="S3" s="309" t="s">
        <v>174</v>
      </c>
      <c r="T3" s="313" t="s">
        <v>175</v>
      </c>
      <c r="U3" s="313" t="s">
        <v>175</v>
      </c>
      <c r="V3" s="314" t="s">
        <v>175</v>
      </c>
    </row>
    <row r="4" spans="1:25" ht="13.5" thickBot="1" x14ac:dyDescent="0.3">
      <c r="A4" s="302" t="s">
        <v>142</v>
      </c>
      <c r="B4" s="302"/>
      <c r="C4" s="315" t="s">
        <v>176</v>
      </c>
      <c r="D4" s="316" t="s">
        <v>177</v>
      </c>
      <c r="E4" s="316" t="s">
        <v>178</v>
      </c>
      <c r="F4" s="317"/>
      <c r="G4" s="318" t="s">
        <v>144</v>
      </c>
      <c r="H4" s="319" t="s">
        <v>144</v>
      </c>
      <c r="I4" s="319" t="s">
        <v>144</v>
      </c>
      <c r="J4" s="306"/>
      <c r="K4" s="307"/>
      <c r="L4" s="318" t="s">
        <v>179</v>
      </c>
      <c r="M4" s="320" t="s">
        <v>145</v>
      </c>
      <c r="N4" s="321" t="s">
        <v>180</v>
      </c>
      <c r="O4" s="321" t="s">
        <v>181</v>
      </c>
      <c r="P4" s="322" t="s">
        <v>144</v>
      </c>
      <c r="Q4" s="323" t="s">
        <v>145</v>
      </c>
      <c r="R4" s="324" t="s">
        <v>182</v>
      </c>
      <c r="S4" s="321" t="s">
        <v>183</v>
      </c>
      <c r="T4" s="325" t="s">
        <v>184</v>
      </c>
      <c r="U4" s="325" t="s">
        <v>185</v>
      </c>
      <c r="V4" s="326" t="s">
        <v>186</v>
      </c>
    </row>
    <row r="5" spans="1:25" ht="34.5" thickBot="1" x14ac:dyDescent="0.3">
      <c r="A5" s="327"/>
      <c r="B5" s="327" t="s">
        <v>146</v>
      </c>
      <c r="C5" s="328" t="s">
        <v>147</v>
      </c>
      <c r="D5" s="329" t="s">
        <v>147</v>
      </c>
      <c r="E5" s="329" t="s">
        <v>147</v>
      </c>
      <c r="F5" s="330"/>
      <c r="G5" s="331" t="s">
        <v>147</v>
      </c>
      <c r="H5" s="332" t="s">
        <v>147</v>
      </c>
      <c r="I5" s="332" t="s">
        <v>148</v>
      </c>
      <c r="J5" s="333" t="s">
        <v>187</v>
      </c>
      <c r="K5" s="334"/>
      <c r="L5" s="331" t="s">
        <v>147</v>
      </c>
      <c r="M5" s="335" t="s">
        <v>149</v>
      </c>
      <c r="N5" s="336" t="s">
        <v>188</v>
      </c>
      <c r="O5" s="336" t="s">
        <v>188</v>
      </c>
      <c r="P5" s="335" t="s">
        <v>147</v>
      </c>
      <c r="Q5" s="337" t="s">
        <v>149</v>
      </c>
      <c r="R5" s="338" t="s">
        <v>189</v>
      </c>
      <c r="S5" s="336" t="s">
        <v>188</v>
      </c>
      <c r="T5" s="339" t="s">
        <v>188</v>
      </c>
      <c r="U5" s="339" t="s">
        <v>188</v>
      </c>
      <c r="V5" s="340" t="s">
        <v>188</v>
      </c>
    </row>
    <row r="6" spans="1:25" x14ac:dyDescent="0.2">
      <c r="A6" s="366" t="s">
        <v>198</v>
      </c>
      <c r="B6" s="367">
        <v>41134</v>
      </c>
      <c r="C6" s="368">
        <v>4.75</v>
      </c>
      <c r="D6" s="368">
        <v>0</v>
      </c>
      <c r="E6" s="368">
        <v>0</v>
      </c>
      <c r="F6" s="369" t="s">
        <v>199</v>
      </c>
      <c r="G6" s="370">
        <v>0.9</v>
      </c>
      <c r="H6" s="371"/>
      <c r="I6" s="371">
        <f>AVERAGE(0.9,1.03,0.75)</f>
        <v>0.89333333333333342</v>
      </c>
      <c r="J6" s="372"/>
      <c r="K6" s="373">
        <v>3</v>
      </c>
      <c r="L6" s="374">
        <f>C6</f>
        <v>4.75</v>
      </c>
      <c r="M6" s="375">
        <v>0.8</v>
      </c>
      <c r="N6" s="371">
        <f>L6*M6</f>
        <v>3.8000000000000003</v>
      </c>
      <c r="O6" s="371">
        <v>-2.4000000000000021E-2</v>
      </c>
      <c r="P6" s="374"/>
      <c r="Q6" s="371"/>
      <c r="R6" s="373"/>
      <c r="S6" s="371"/>
      <c r="T6" s="376"/>
      <c r="U6" s="377">
        <f>O6</f>
        <v>-2.4000000000000021E-2</v>
      </c>
      <c r="V6" s="378"/>
    </row>
    <row r="7" spans="1:25" ht="12" thickBot="1" x14ac:dyDescent="0.25">
      <c r="A7" s="379" t="s">
        <v>200</v>
      </c>
      <c r="B7" s="380">
        <v>41134</v>
      </c>
      <c r="C7" s="381">
        <v>2.48</v>
      </c>
      <c r="D7" s="381">
        <v>0</v>
      </c>
      <c r="E7" s="382">
        <v>0</v>
      </c>
      <c r="F7" s="383" t="s">
        <v>199</v>
      </c>
      <c r="G7" s="382">
        <v>1</v>
      </c>
      <c r="H7" s="384"/>
      <c r="I7" s="384">
        <f>AVERAGE(1,1.25,1.25,1.18,1.1,0.55,0.5,0.8,0.9,0.6)</f>
        <v>0.91299999999999992</v>
      </c>
      <c r="J7" s="384"/>
      <c r="K7" s="384">
        <v>10</v>
      </c>
      <c r="L7" s="385">
        <f>C7</f>
        <v>2.48</v>
      </c>
      <c r="M7" s="386">
        <v>0.8</v>
      </c>
      <c r="N7" s="387">
        <f>L7*M7</f>
        <v>1.984</v>
      </c>
      <c r="O7" s="387">
        <v>-0.28000000000000025</v>
      </c>
      <c r="P7" s="382"/>
      <c r="Q7" s="384"/>
      <c r="R7" s="384"/>
      <c r="S7" s="384"/>
      <c r="T7" s="388"/>
      <c r="U7" s="385">
        <f>O7</f>
        <v>-0.28000000000000025</v>
      </c>
      <c r="V7" s="385"/>
    </row>
    <row r="8" spans="1:25" x14ac:dyDescent="0.2">
      <c r="A8" s="280" t="s">
        <v>159</v>
      </c>
      <c r="B8" s="281">
        <v>41431</v>
      </c>
      <c r="C8" s="282">
        <f>(30/3.2808)-1.4</f>
        <v>7.7441111923920989</v>
      </c>
      <c r="D8" s="283">
        <v>0</v>
      </c>
      <c r="E8" s="284">
        <v>0</v>
      </c>
      <c r="F8" s="285" t="s">
        <v>86</v>
      </c>
      <c r="G8" s="286">
        <v>3.6</v>
      </c>
      <c r="H8" s="287">
        <f>AVERAGE(3.35,3.7)</f>
        <v>3.5250000000000004</v>
      </c>
      <c r="I8" s="287">
        <f>AVERAGE(3.6,3.35,3.7)</f>
        <v>3.5500000000000003</v>
      </c>
      <c r="J8" s="288" t="s">
        <v>160</v>
      </c>
      <c r="K8" s="289">
        <v>3</v>
      </c>
      <c r="L8" s="290">
        <f>C8-G8</f>
        <v>4.1441111923920992</v>
      </c>
      <c r="M8" s="291"/>
      <c r="N8" s="292"/>
      <c r="O8" s="292"/>
      <c r="P8" s="290">
        <f>I8</f>
        <v>3.5500000000000003</v>
      </c>
      <c r="Q8" s="287">
        <f>Q9</f>
        <v>0.3</v>
      </c>
      <c r="R8" s="288" t="s">
        <v>155</v>
      </c>
      <c r="S8" s="293">
        <f>P8*Q8</f>
        <v>1.0649999999999999</v>
      </c>
      <c r="T8" s="553">
        <f>AVERAGE(S8:S10)</f>
        <v>0.97675000000000001</v>
      </c>
      <c r="U8" s="389" t="s">
        <v>160</v>
      </c>
      <c r="V8" s="284"/>
    </row>
    <row r="9" spans="1:25" x14ac:dyDescent="0.2">
      <c r="A9" s="390" t="s">
        <v>201</v>
      </c>
      <c r="B9" s="391">
        <v>41431</v>
      </c>
      <c r="C9" s="392">
        <f>(30/3.2808)-1.59</f>
        <v>7.5541111923920994</v>
      </c>
      <c r="D9" s="393">
        <v>0</v>
      </c>
      <c r="E9" s="394">
        <v>0</v>
      </c>
      <c r="F9" s="395" t="s">
        <v>86</v>
      </c>
      <c r="G9" s="396">
        <v>2.8</v>
      </c>
      <c r="H9" s="397">
        <f>AVERAGE(2.9,3)</f>
        <v>2.95</v>
      </c>
      <c r="I9" s="397">
        <f>AVERAGE(2.8,2.9,3)</f>
        <v>2.9</v>
      </c>
      <c r="J9" s="398" t="s">
        <v>160</v>
      </c>
      <c r="K9" s="399">
        <v>3</v>
      </c>
      <c r="L9" s="400">
        <f>C9-G9</f>
        <v>4.7541111923920996</v>
      </c>
      <c r="M9" s="401"/>
      <c r="N9" s="402"/>
      <c r="O9" s="402"/>
      <c r="P9" s="400">
        <f>I9</f>
        <v>2.9</v>
      </c>
      <c r="Q9" s="397">
        <v>0.3</v>
      </c>
      <c r="R9" s="398" t="s">
        <v>155</v>
      </c>
      <c r="S9" s="403">
        <f>P9*Q9</f>
        <v>0.87</v>
      </c>
      <c r="T9" s="554"/>
      <c r="U9" s="404" t="s">
        <v>160</v>
      </c>
      <c r="V9" s="394"/>
    </row>
    <row r="10" spans="1:25" ht="12" thickBot="1" x14ac:dyDescent="0.25">
      <c r="A10" s="405" t="s">
        <v>202</v>
      </c>
      <c r="B10" s="406">
        <v>41431</v>
      </c>
      <c r="C10" s="407">
        <f>(30/3.2808)-1.77</f>
        <v>7.3741111923920997</v>
      </c>
      <c r="D10" s="408">
        <v>0</v>
      </c>
      <c r="E10" s="409">
        <v>0</v>
      </c>
      <c r="F10" s="410" t="s">
        <v>86</v>
      </c>
      <c r="G10" s="411">
        <v>3.3</v>
      </c>
      <c r="H10" s="412">
        <f>AVERAGE(2.72,3.68,3.57)</f>
        <v>3.3233333333333337</v>
      </c>
      <c r="I10" s="412">
        <f>AVERAGE(3.3,2.72,3.68,3.57)</f>
        <v>3.3174999999999999</v>
      </c>
      <c r="J10" s="413" t="s">
        <v>160</v>
      </c>
      <c r="K10" s="414">
        <v>4</v>
      </c>
      <c r="L10" s="415">
        <f>C10-G10</f>
        <v>4.0741111923920998</v>
      </c>
      <c r="M10" s="416"/>
      <c r="N10" s="417"/>
      <c r="O10" s="417"/>
      <c r="P10" s="415">
        <f>I10</f>
        <v>3.3174999999999999</v>
      </c>
      <c r="Q10" s="412">
        <f>Q9</f>
        <v>0.3</v>
      </c>
      <c r="R10" s="413" t="s">
        <v>155</v>
      </c>
      <c r="S10" s="418">
        <f>P10*Q10</f>
        <v>0.99524999999999997</v>
      </c>
      <c r="T10" s="554"/>
      <c r="U10" s="419" t="s">
        <v>160</v>
      </c>
      <c r="V10" s="409"/>
    </row>
    <row r="11" spans="1:25" x14ac:dyDescent="0.2">
      <c r="A11" s="420" t="s">
        <v>198</v>
      </c>
      <c r="B11" s="421">
        <v>41487</v>
      </c>
      <c r="C11" s="343">
        <f>9-2.83</f>
        <v>6.17</v>
      </c>
      <c r="D11" s="344">
        <v>0</v>
      </c>
      <c r="E11" s="345">
        <v>0</v>
      </c>
      <c r="F11" s="346" t="s">
        <v>190</v>
      </c>
      <c r="G11" s="347">
        <v>1.4</v>
      </c>
      <c r="H11" s="348" t="s">
        <v>160</v>
      </c>
      <c r="I11" s="348" t="s">
        <v>160</v>
      </c>
      <c r="J11" s="422" t="s">
        <v>160</v>
      </c>
      <c r="K11" s="349">
        <v>1</v>
      </c>
      <c r="L11" s="347">
        <f>C11</f>
        <v>6.17</v>
      </c>
      <c r="M11" s="350"/>
      <c r="N11" s="351"/>
      <c r="O11" s="348"/>
      <c r="P11" s="347">
        <f>G11</f>
        <v>1.4</v>
      </c>
      <c r="Q11" s="348">
        <f>0.44</f>
        <v>0.44</v>
      </c>
      <c r="R11" s="349" t="s">
        <v>152</v>
      </c>
      <c r="S11" s="351">
        <f>((P11*Q11)-(P11*(1-(Q11/0.9)))*0.07)</f>
        <v>0.56591111111111114</v>
      </c>
      <c r="T11" s="352"/>
      <c r="U11" s="352">
        <f>S11</f>
        <v>0.56591111111111114</v>
      </c>
      <c r="V11" s="345"/>
    </row>
    <row r="12" spans="1:25" x14ac:dyDescent="0.2">
      <c r="A12" s="423" t="s">
        <v>200</v>
      </c>
      <c r="B12" s="424">
        <v>41487</v>
      </c>
      <c r="C12" s="425">
        <f>6-1.83</f>
        <v>4.17</v>
      </c>
      <c r="D12" s="426">
        <v>0</v>
      </c>
      <c r="E12" s="427">
        <v>0</v>
      </c>
      <c r="F12" s="428" t="s">
        <v>190</v>
      </c>
      <c r="G12" s="429">
        <v>1.6</v>
      </c>
      <c r="H12" s="430" t="s">
        <v>160</v>
      </c>
      <c r="I12" s="430" t="s">
        <v>160</v>
      </c>
      <c r="J12" s="431" t="s">
        <v>160</v>
      </c>
      <c r="K12" s="432">
        <v>1</v>
      </c>
      <c r="L12" s="429">
        <f>C12</f>
        <v>4.17</v>
      </c>
      <c r="M12" s="350"/>
      <c r="N12" s="352"/>
      <c r="O12" s="430"/>
      <c r="P12" s="429">
        <f>G12</f>
        <v>1.6</v>
      </c>
      <c r="Q12" s="348">
        <f t="shared" ref="Q12:Q15" si="0">0.44</f>
        <v>0.44</v>
      </c>
      <c r="R12" s="432" t="s">
        <v>152</v>
      </c>
      <c r="S12" s="352">
        <f>((P12*Q12)-(P12*(1-(Q12/0.9)))*0.07)</f>
        <v>0.64675555555555564</v>
      </c>
      <c r="T12" s="352"/>
      <c r="U12" s="352">
        <f>S12</f>
        <v>0.64675555555555564</v>
      </c>
      <c r="V12" s="433"/>
      <c r="W12" s="222"/>
      <c r="X12" s="223"/>
      <c r="Y12" s="222"/>
    </row>
    <row r="13" spans="1:25" x14ac:dyDescent="0.2">
      <c r="A13" s="341" t="s">
        <v>159</v>
      </c>
      <c r="B13" s="342">
        <v>41487</v>
      </c>
      <c r="C13" s="343">
        <f>(30/3.2808)-3.38</f>
        <v>5.7641111923920993</v>
      </c>
      <c r="D13" s="344">
        <v>0</v>
      </c>
      <c r="E13" s="345">
        <v>0</v>
      </c>
      <c r="F13" s="346" t="s">
        <v>190</v>
      </c>
      <c r="G13" s="347">
        <v>1.55</v>
      </c>
      <c r="H13" s="348" t="s">
        <v>160</v>
      </c>
      <c r="I13" s="348" t="s">
        <v>160</v>
      </c>
      <c r="J13" s="348">
        <f>C13-G13-L8</f>
        <v>7.0000000000000284E-2</v>
      </c>
      <c r="K13" s="349">
        <v>1</v>
      </c>
      <c r="L13" s="347">
        <f>C13</f>
        <v>5.7641111923920993</v>
      </c>
      <c r="M13" s="350"/>
      <c r="N13" s="351"/>
      <c r="O13" s="348"/>
      <c r="P13" s="347">
        <f>G13</f>
        <v>1.55</v>
      </c>
      <c r="Q13" s="348">
        <f t="shared" si="0"/>
        <v>0.44</v>
      </c>
      <c r="R13" s="349" t="s">
        <v>152</v>
      </c>
      <c r="S13" s="351">
        <f>((P13*Q13)-(P13*(1-(Q13/0.9)))*0.07)</f>
        <v>0.62654444444444446</v>
      </c>
      <c r="T13" s="352">
        <f>-(S8-S13)</f>
        <v>-0.43845555555555549</v>
      </c>
      <c r="U13" s="352">
        <f>S13</f>
        <v>0.62654444444444446</v>
      </c>
      <c r="V13" s="434"/>
    </row>
    <row r="14" spans="1:25" x14ac:dyDescent="0.2">
      <c r="A14" s="423" t="s">
        <v>201</v>
      </c>
      <c r="B14" s="424">
        <v>41487</v>
      </c>
      <c r="C14" s="435">
        <f>(30/3.2808)-3.63</f>
        <v>5.5141111923920993</v>
      </c>
      <c r="D14" s="428">
        <v>0</v>
      </c>
      <c r="E14" s="436">
        <v>0</v>
      </c>
      <c r="F14" s="428" t="s">
        <v>190</v>
      </c>
      <c r="G14" s="437">
        <v>1.25</v>
      </c>
      <c r="H14" s="430">
        <f>AVERAGE(1.83,1.8)</f>
        <v>1.8149999999999999</v>
      </c>
      <c r="I14" s="430">
        <f>AVERAGE(1.25,1.83,1.8)</f>
        <v>1.6266666666666667</v>
      </c>
      <c r="J14" s="430">
        <f>C14-G14-L9</f>
        <v>-0.49000000000000021</v>
      </c>
      <c r="K14" s="431">
        <v>3</v>
      </c>
      <c r="L14" s="429">
        <f>C14</f>
        <v>5.5141111923920993</v>
      </c>
      <c r="M14" s="350"/>
      <c r="N14" s="352"/>
      <c r="O14" s="430"/>
      <c r="P14" s="429">
        <f>I14</f>
        <v>1.6266666666666667</v>
      </c>
      <c r="Q14" s="348">
        <f t="shared" si="0"/>
        <v>0.44</v>
      </c>
      <c r="R14" s="431" t="s">
        <v>152</v>
      </c>
      <c r="S14" s="352">
        <f>((P14*Q14)-(P14*(1-(Q14/0.9)))*0.07)</f>
        <v>0.65753481481481479</v>
      </c>
      <c r="T14" s="352">
        <f>-(S9-S14)</f>
        <v>-0.2124651851851852</v>
      </c>
      <c r="U14" s="352">
        <f>S14</f>
        <v>0.65753481481481479</v>
      </c>
      <c r="V14" s="436"/>
    </row>
    <row r="15" spans="1:25" ht="12" thickBot="1" x14ac:dyDescent="0.25">
      <c r="A15" s="438" t="s">
        <v>202</v>
      </c>
      <c r="B15" s="439">
        <v>41487</v>
      </c>
      <c r="C15" s="440">
        <f>(30/3.2808)-3.76</f>
        <v>5.3841111923920995</v>
      </c>
      <c r="D15" s="441">
        <v>0</v>
      </c>
      <c r="E15" s="442">
        <v>0</v>
      </c>
      <c r="F15" s="443" t="s">
        <v>190</v>
      </c>
      <c r="G15" s="444">
        <v>1.32</v>
      </c>
      <c r="H15" s="445">
        <f>AVERAGE(1.83,1.84)</f>
        <v>1.835</v>
      </c>
      <c r="I15" s="445">
        <f>AVERAGE(1.32,1.83,1.84)</f>
        <v>1.6633333333333333</v>
      </c>
      <c r="J15" s="446">
        <f>C15-G15-L10</f>
        <v>-1.0000000000000675E-2</v>
      </c>
      <c r="K15" s="447">
        <v>3</v>
      </c>
      <c r="L15" s="444">
        <f>C15</f>
        <v>5.3841111923920995</v>
      </c>
      <c r="M15" s="350"/>
      <c r="N15" s="445"/>
      <c r="O15" s="446"/>
      <c r="P15" s="444">
        <f>I15</f>
        <v>1.6633333333333333</v>
      </c>
      <c r="Q15" s="348">
        <f t="shared" si="0"/>
        <v>0.44</v>
      </c>
      <c r="R15" s="447" t="s">
        <v>152</v>
      </c>
      <c r="S15" s="445">
        <f>((P15*Q15)-(P15*(1-(Q15/0.9)))*0.07)</f>
        <v>0.67235629629629634</v>
      </c>
      <c r="T15" s="352">
        <f>-(S10-S15)</f>
        <v>-0.32289370370370363</v>
      </c>
      <c r="U15" s="352">
        <f>S15</f>
        <v>0.67235629629629634</v>
      </c>
      <c r="V15" s="444"/>
    </row>
    <row r="17" spans="1:25" ht="16.5" thickBot="1" x14ac:dyDescent="0.3">
      <c r="A17" s="211" t="s">
        <v>127</v>
      </c>
      <c r="B17" s="212"/>
      <c r="C17" s="213"/>
      <c r="D17" s="214"/>
      <c r="E17" s="214"/>
      <c r="F17" s="215"/>
      <c r="G17" s="215"/>
      <c r="H17" s="215"/>
      <c r="I17" s="215"/>
      <c r="J17" s="216"/>
      <c r="K17" s="217"/>
      <c r="L17" s="218"/>
      <c r="M17" s="219"/>
      <c r="N17" s="218"/>
      <c r="O17" s="218"/>
      <c r="P17" s="216"/>
      <c r="Q17" s="216"/>
      <c r="R17" s="215"/>
      <c r="S17" s="216"/>
      <c r="T17" s="220"/>
      <c r="U17" s="221"/>
      <c r="V17" s="222"/>
    </row>
    <row r="18" spans="1:25" x14ac:dyDescent="0.2">
      <c r="A18" s="224"/>
      <c r="B18" s="225"/>
      <c r="C18" s="560" t="s">
        <v>128</v>
      </c>
      <c r="D18" s="561"/>
      <c r="E18" s="562"/>
      <c r="F18" s="225"/>
      <c r="G18" s="563" t="s">
        <v>129</v>
      </c>
      <c r="H18" s="564"/>
      <c r="I18" s="564"/>
      <c r="J18" s="564"/>
      <c r="K18" s="565"/>
      <c r="L18" s="226"/>
      <c r="M18" s="227"/>
      <c r="N18" s="228" t="s">
        <v>130</v>
      </c>
      <c r="O18" s="229"/>
      <c r="P18" s="230"/>
      <c r="Q18" s="228" t="s">
        <v>131</v>
      </c>
      <c r="R18" s="228"/>
      <c r="S18" s="229"/>
      <c r="T18" s="231" t="s">
        <v>132</v>
      </c>
      <c r="U18" s="228"/>
      <c r="V18" s="232"/>
      <c r="W18" s="232"/>
      <c r="X18" s="232"/>
      <c r="Y18" s="233"/>
    </row>
    <row r="19" spans="1:25" s="269" customFormat="1" ht="33.75" x14ac:dyDescent="0.2">
      <c r="A19" s="224" t="s">
        <v>133</v>
      </c>
      <c r="B19" s="224" t="s">
        <v>5</v>
      </c>
      <c r="C19" s="234" t="s">
        <v>9</v>
      </c>
      <c r="D19" s="235" t="s">
        <v>10</v>
      </c>
      <c r="E19" s="236" t="s">
        <v>11</v>
      </c>
      <c r="F19" s="224" t="s">
        <v>134</v>
      </c>
      <c r="G19" s="237" t="s">
        <v>135</v>
      </c>
      <c r="H19" s="238"/>
      <c r="I19" s="238" t="s">
        <v>136</v>
      </c>
      <c r="J19" s="238"/>
      <c r="K19" s="239"/>
      <c r="L19" s="240" t="s">
        <v>137</v>
      </c>
      <c r="M19" s="227" t="s">
        <v>69</v>
      </c>
      <c r="N19" s="241" t="s">
        <v>138</v>
      </c>
      <c r="O19" s="242"/>
      <c r="P19" s="227" t="s">
        <v>139</v>
      </c>
      <c r="Q19" s="243" t="s">
        <v>140</v>
      </c>
      <c r="R19" s="241" t="s">
        <v>141</v>
      </c>
      <c r="S19" s="242"/>
      <c r="T19" s="39" t="s">
        <v>19</v>
      </c>
      <c r="U19" s="37" t="s">
        <v>20</v>
      </c>
      <c r="V19" s="37" t="s">
        <v>21</v>
      </c>
      <c r="W19" s="244" t="s">
        <v>22</v>
      </c>
      <c r="X19" s="244" t="s">
        <v>23</v>
      </c>
      <c r="Y19" s="245" t="s">
        <v>27</v>
      </c>
    </row>
    <row r="20" spans="1:25" s="134" customFormat="1" ht="12.75" x14ac:dyDescent="0.2">
      <c r="A20" s="224" t="s">
        <v>142</v>
      </c>
      <c r="B20" s="224"/>
      <c r="C20" s="234"/>
      <c r="D20" s="235"/>
      <c r="E20" s="236"/>
      <c r="F20" s="225"/>
      <c r="G20" s="237"/>
      <c r="H20" s="238"/>
      <c r="I20" s="238"/>
      <c r="J20" s="238"/>
      <c r="K20" s="239"/>
      <c r="L20" s="224"/>
      <c r="M20" s="227"/>
      <c r="N20" s="246" t="s">
        <v>143</v>
      </c>
      <c r="O20" s="242"/>
      <c r="P20" s="227" t="s">
        <v>144</v>
      </c>
      <c r="Q20" s="247" t="s">
        <v>145</v>
      </c>
      <c r="R20" s="246"/>
      <c r="S20" s="242"/>
      <c r="T20" s="231"/>
      <c r="U20" s="228"/>
      <c r="V20" s="228"/>
      <c r="W20" s="248"/>
      <c r="X20" s="248"/>
      <c r="Y20" s="229"/>
    </row>
    <row r="21" spans="1:25" ht="12" thickBot="1" x14ac:dyDescent="0.25">
      <c r="A21" s="249"/>
      <c r="B21" s="249" t="s">
        <v>146</v>
      </c>
      <c r="C21" s="250" t="s">
        <v>147</v>
      </c>
      <c r="D21" s="251" t="s">
        <v>147</v>
      </c>
      <c r="E21" s="252" t="s">
        <v>147</v>
      </c>
      <c r="F21" s="253"/>
      <c r="G21" s="254" t="s">
        <v>147</v>
      </c>
      <c r="H21" s="255"/>
      <c r="I21" s="255" t="s">
        <v>148</v>
      </c>
      <c r="J21" s="255"/>
      <c r="K21" s="256"/>
      <c r="L21" s="249" t="s">
        <v>147</v>
      </c>
      <c r="M21" s="257" t="s">
        <v>78</v>
      </c>
      <c r="N21" s="258" t="s">
        <v>147</v>
      </c>
      <c r="O21" s="259"/>
      <c r="P21" s="257" t="s">
        <v>147</v>
      </c>
      <c r="Q21" s="260" t="s">
        <v>149</v>
      </c>
      <c r="R21" s="258"/>
      <c r="S21" s="259"/>
      <c r="T21" s="261" t="s">
        <v>150</v>
      </c>
      <c r="U21" s="262" t="s">
        <v>150</v>
      </c>
      <c r="V21" s="262" t="s">
        <v>150</v>
      </c>
      <c r="W21" s="262" t="s">
        <v>150</v>
      </c>
      <c r="X21" s="262" t="s">
        <v>150</v>
      </c>
      <c r="Y21" s="263"/>
    </row>
    <row r="22" spans="1:25" x14ac:dyDescent="0.2">
      <c r="A22" s="353" t="s">
        <v>47</v>
      </c>
      <c r="B22" s="356">
        <v>41134</v>
      </c>
      <c r="C22" s="357">
        <v>9</v>
      </c>
      <c r="D22" s="357">
        <v>3.35</v>
      </c>
      <c r="E22" s="357">
        <f>C22-D22</f>
        <v>5.65</v>
      </c>
      <c r="F22" s="358" t="s">
        <v>91</v>
      </c>
      <c r="G22" s="357">
        <f>'Probe07-K17_2012.08.13'!I3</f>
        <v>0.89333333333333342</v>
      </c>
      <c r="H22" s="359"/>
      <c r="I22" s="359"/>
      <c r="J22" s="359"/>
      <c r="K22" s="359"/>
      <c r="L22" s="359"/>
      <c r="M22" s="358" t="s">
        <v>59</v>
      </c>
      <c r="N22" s="359"/>
      <c r="O22" s="359"/>
      <c r="P22" s="359"/>
      <c r="Q22" s="359"/>
      <c r="R22" s="359"/>
      <c r="S22" s="359"/>
      <c r="T22" s="359"/>
      <c r="U22" s="359"/>
      <c r="V22" s="359"/>
      <c r="W22" s="359"/>
      <c r="X22" s="359"/>
      <c r="Y22" s="359"/>
    </row>
    <row r="23" spans="1:25" s="269" customFormat="1" x14ac:dyDescent="0.2">
      <c r="A23" s="353" t="s">
        <v>47</v>
      </c>
      <c r="B23" s="356">
        <v>41134</v>
      </c>
      <c r="C23" s="357">
        <v>9</v>
      </c>
      <c r="D23" s="357">
        <f>3.35+0.9</f>
        <v>4.25</v>
      </c>
      <c r="E23" s="357">
        <f>C23-D23</f>
        <v>4.75</v>
      </c>
      <c r="F23" s="358" t="s">
        <v>106</v>
      </c>
      <c r="G23" s="357"/>
      <c r="H23" s="359"/>
      <c r="I23" s="359"/>
      <c r="J23" s="359"/>
      <c r="K23" s="359"/>
      <c r="L23" s="359"/>
      <c r="M23" s="358"/>
      <c r="N23" s="359"/>
      <c r="O23" s="359"/>
      <c r="P23" s="359"/>
      <c r="Q23" s="359"/>
      <c r="R23" s="359"/>
      <c r="S23" s="359"/>
      <c r="T23" s="359"/>
      <c r="U23" s="359"/>
      <c r="V23" s="359"/>
      <c r="W23" s="359"/>
      <c r="X23" s="359"/>
      <c r="Y23" s="359"/>
    </row>
    <row r="24" spans="1:25" x14ac:dyDescent="0.2">
      <c r="A24" s="264" t="s">
        <v>47</v>
      </c>
      <c r="B24" s="185">
        <v>41431</v>
      </c>
      <c r="C24" s="264" t="s">
        <v>87</v>
      </c>
      <c r="D24" s="264" t="s">
        <v>87</v>
      </c>
      <c r="E24" s="264" t="s">
        <v>87</v>
      </c>
      <c r="F24" s="264" t="s">
        <v>86</v>
      </c>
      <c r="G24" s="264" t="s">
        <v>87</v>
      </c>
      <c r="H24" s="265"/>
      <c r="I24" s="266">
        <f>'Probe07-K17_2013.06.06'!I3</f>
        <v>2.88</v>
      </c>
      <c r="J24" s="265"/>
      <c r="K24" s="265"/>
      <c r="L24" s="265"/>
      <c r="M24" s="267" t="s">
        <v>59</v>
      </c>
      <c r="N24" s="265"/>
      <c r="O24" s="265"/>
      <c r="P24" s="265"/>
      <c r="Q24" s="265"/>
      <c r="R24" s="265"/>
      <c r="S24" s="265"/>
      <c r="T24" s="135" t="s">
        <v>87</v>
      </c>
      <c r="U24" s="135" t="s">
        <v>87</v>
      </c>
      <c r="V24" s="135" t="s">
        <v>87</v>
      </c>
      <c r="W24" s="135" t="s">
        <v>87</v>
      </c>
      <c r="X24" s="135" t="s">
        <v>87</v>
      </c>
      <c r="Y24" s="265" t="s">
        <v>151</v>
      </c>
    </row>
    <row r="25" spans="1:25" x14ac:dyDescent="0.2">
      <c r="A25" s="268" t="s">
        <v>47</v>
      </c>
      <c r="B25" s="272">
        <v>41487</v>
      </c>
      <c r="C25" s="269">
        <v>9</v>
      </c>
      <c r="D25" s="269">
        <v>2.83</v>
      </c>
      <c r="E25" s="269">
        <f>C25-D25</f>
        <v>6.17</v>
      </c>
      <c r="F25" s="270" t="s">
        <v>106</v>
      </c>
      <c r="G25" s="269">
        <v>1.4</v>
      </c>
      <c r="H25" s="269"/>
      <c r="I25" s="269"/>
      <c r="J25" s="269"/>
      <c r="K25" s="269"/>
      <c r="L25" s="269">
        <f>E25-G25</f>
        <v>4.7699999999999996</v>
      </c>
      <c r="M25" s="269"/>
      <c r="N25" s="269"/>
      <c r="O25" s="269"/>
      <c r="P25" s="269">
        <f>G25</f>
        <v>1.4</v>
      </c>
      <c r="Q25" s="269">
        <v>0.44</v>
      </c>
      <c r="R25" s="269" t="s">
        <v>152</v>
      </c>
      <c r="S25" s="269"/>
      <c r="T25" s="269"/>
      <c r="U25" s="269"/>
      <c r="V25" s="271">
        <f>Q25*P25</f>
        <v>0.61599999999999999</v>
      </c>
      <c r="W25" s="269">
        <v>0</v>
      </c>
      <c r="X25" s="269"/>
      <c r="Y25" s="269"/>
    </row>
    <row r="26" spans="1:25" x14ac:dyDescent="0.2">
      <c r="A26" s="268"/>
      <c r="B26" s="272"/>
      <c r="C26" s="269"/>
      <c r="D26" s="269"/>
      <c r="E26" s="269"/>
      <c r="F26" s="270"/>
      <c r="G26" s="269"/>
      <c r="H26" s="269"/>
      <c r="I26" s="269"/>
      <c r="J26" s="269"/>
      <c r="K26" s="269"/>
      <c r="L26" s="269"/>
      <c r="M26" s="269"/>
      <c r="N26" s="269"/>
      <c r="O26" s="269"/>
      <c r="P26" s="269"/>
      <c r="Q26" s="269"/>
      <c r="R26" s="269"/>
      <c r="S26" s="269"/>
      <c r="T26" s="269"/>
      <c r="U26" s="269"/>
      <c r="V26" s="271"/>
      <c r="W26" s="269"/>
      <c r="X26" s="269"/>
      <c r="Y26" s="269"/>
    </row>
    <row r="28" spans="1:25" ht="23.25" thickBot="1" x14ac:dyDescent="0.25">
      <c r="A28" s="448" t="s">
        <v>216</v>
      </c>
      <c r="B28" s="361">
        <v>41134</v>
      </c>
      <c r="C28" s="360">
        <v>6</v>
      </c>
      <c r="D28" s="360">
        <f>2.47+1.05</f>
        <v>3.5200000000000005</v>
      </c>
      <c r="E28" s="360">
        <f>C28-D28</f>
        <v>2.4799999999999995</v>
      </c>
      <c r="F28" s="360" t="s">
        <v>119</v>
      </c>
      <c r="G28" s="362" t="s">
        <v>194</v>
      </c>
      <c r="H28" s="360"/>
      <c r="I28" s="360"/>
      <c r="J28" s="360"/>
      <c r="K28" s="360"/>
      <c r="L28" s="360" t="s">
        <v>195</v>
      </c>
      <c r="M28" s="360"/>
      <c r="N28" s="360"/>
      <c r="O28" s="360"/>
      <c r="P28" s="360"/>
      <c r="Q28" s="360"/>
      <c r="R28" s="360"/>
      <c r="S28" s="360"/>
      <c r="T28" s="360"/>
      <c r="U28" s="360"/>
      <c r="V28" s="360"/>
      <c r="W28" s="360"/>
      <c r="X28" s="360"/>
    </row>
    <row r="29" spans="1:25" ht="12" thickBot="1" x14ac:dyDescent="0.25">
      <c r="A29" s="448" t="s">
        <v>216</v>
      </c>
      <c r="B29" s="361">
        <v>41134</v>
      </c>
      <c r="C29" s="360">
        <v>6</v>
      </c>
      <c r="D29" s="360">
        <f>2.47</f>
        <v>2.4700000000000002</v>
      </c>
      <c r="E29" s="360">
        <f>C29-D29</f>
        <v>3.53</v>
      </c>
      <c r="F29" s="360" t="s">
        <v>196</v>
      </c>
      <c r="G29" s="363">
        <v>1.05</v>
      </c>
      <c r="H29" s="360"/>
      <c r="I29" s="360"/>
      <c r="J29" s="360"/>
      <c r="K29" s="360"/>
      <c r="L29" s="360"/>
      <c r="M29" s="360"/>
      <c r="N29" s="360"/>
      <c r="O29" s="360"/>
      <c r="P29" s="363">
        <f>G29</f>
        <v>1.05</v>
      </c>
      <c r="Q29" s="364">
        <v>0.25</v>
      </c>
      <c r="R29" s="360"/>
      <c r="S29" s="360"/>
      <c r="T29" s="360"/>
      <c r="U29" s="360"/>
      <c r="V29" s="360"/>
      <c r="W29" s="360"/>
      <c r="X29" s="363">
        <f>P29*Q29</f>
        <v>0.26250000000000001</v>
      </c>
      <c r="Y29" s="269"/>
    </row>
    <row r="30" spans="1:25" x14ac:dyDescent="0.2">
      <c r="A30" s="449" t="s">
        <v>193</v>
      </c>
      <c r="B30" s="365">
        <v>41431</v>
      </c>
      <c r="C30" s="134"/>
      <c r="D30" s="134"/>
      <c r="E30" s="134" t="s">
        <v>217</v>
      </c>
      <c r="F30" s="134"/>
      <c r="G30" s="134"/>
      <c r="H30" s="134"/>
      <c r="I30" s="134"/>
      <c r="J30" s="134"/>
      <c r="K30" s="134"/>
      <c r="L30" s="134"/>
      <c r="M30" s="134"/>
      <c r="N30" s="134"/>
      <c r="O30" s="134"/>
      <c r="P30" s="134"/>
      <c r="Q30" s="134"/>
      <c r="R30" s="134"/>
      <c r="S30" s="134"/>
      <c r="T30" s="134"/>
      <c r="U30" s="134"/>
      <c r="V30" s="134"/>
      <c r="W30" s="134"/>
      <c r="X30" s="134"/>
      <c r="Y30" s="134" t="s">
        <v>197</v>
      </c>
    </row>
    <row r="31" spans="1:25" x14ac:dyDescent="0.2">
      <c r="A31" s="353" t="s">
        <v>193</v>
      </c>
      <c r="B31" s="354">
        <v>41487</v>
      </c>
      <c r="C31" s="269">
        <v>6</v>
      </c>
      <c r="D31" s="269">
        <v>1.83</v>
      </c>
      <c r="E31" s="269">
        <f>C31-D31</f>
        <v>4.17</v>
      </c>
      <c r="F31" s="269" t="s">
        <v>119</v>
      </c>
      <c r="G31" s="269">
        <v>1.6</v>
      </c>
      <c r="H31" s="269"/>
      <c r="I31" s="269"/>
      <c r="J31" s="269"/>
      <c r="K31" s="269"/>
      <c r="L31" s="269">
        <f>E31-G31</f>
        <v>2.57</v>
      </c>
      <c r="M31" s="269"/>
      <c r="N31" s="269"/>
      <c r="O31" s="269"/>
      <c r="P31" s="269">
        <v>1.6</v>
      </c>
      <c r="Q31" s="355">
        <v>0.5</v>
      </c>
      <c r="R31" s="269"/>
      <c r="S31" s="269"/>
      <c r="T31" s="269"/>
      <c r="U31" s="269"/>
      <c r="V31" s="269"/>
      <c r="W31" s="269"/>
      <c r="X31" s="269"/>
    </row>
    <row r="38" spans="1:9" ht="12" thickBot="1" x14ac:dyDescent="0.25"/>
    <row r="39" spans="1:9" ht="12.75" x14ac:dyDescent="0.2">
      <c r="A39" s="555" t="s">
        <v>32</v>
      </c>
      <c r="B39" s="556"/>
      <c r="C39" s="559" t="s">
        <v>33</v>
      </c>
      <c r="D39" s="559"/>
      <c r="E39" s="41" t="s">
        <v>34</v>
      </c>
      <c r="F39" s="42"/>
      <c r="G39" s="41" t="s">
        <v>35</v>
      </c>
      <c r="H39" s="42"/>
      <c r="I39" s="43" t="s">
        <v>36</v>
      </c>
    </row>
    <row r="40" spans="1:9" ht="12.75" x14ac:dyDescent="0.2">
      <c r="A40" s="557"/>
      <c r="B40" s="558"/>
      <c r="C40" s="44" t="s">
        <v>37</v>
      </c>
      <c r="D40" s="44" t="s">
        <v>38</v>
      </c>
      <c r="E40" s="45">
        <f>B23</f>
        <v>41134</v>
      </c>
      <c r="F40" s="46" t="s">
        <v>39</v>
      </c>
      <c r="G40" s="45">
        <f>B24</f>
        <v>41431</v>
      </c>
      <c r="H40" s="46" t="s">
        <v>39</v>
      </c>
      <c r="I40" s="47">
        <v>41487</v>
      </c>
    </row>
    <row r="41" spans="1:9" ht="12.75" x14ac:dyDescent="0.2">
      <c r="A41" s="48"/>
      <c r="B41" s="49" t="s">
        <v>40</v>
      </c>
      <c r="C41" s="50" t="s">
        <v>87</v>
      </c>
      <c r="D41" s="50" t="s">
        <v>87</v>
      </c>
      <c r="E41" s="51"/>
      <c r="F41" s="51"/>
      <c r="G41" s="52"/>
      <c r="H41" s="50"/>
      <c r="I41" s="53"/>
    </row>
    <row r="42" spans="1:9" ht="12.75" x14ac:dyDescent="0.2">
      <c r="A42" s="48"/>
      <c r="B42" s="49" t="s">
        <v>41</v>
      </c>
      <c r="C42" s="50" t="s">
        <v>87</v>
      </c>
      <c r="D42" s="50"/>
      <c r="E42" s="51"/>
      <c r="F42" s="51"/>
      <c r="G42" s="52"/>
      <c r="H42" s="50"/>
      <c r="I42" s="53"/>
    </row>
    <row r="43" spans="1:9" ht="12.75" x14ac:dyDescent="0.2">
      <c r="A43" s="48"/>
      <c r="B43" s="49" t="s">
        <v>42</v>
      </c>
      <c r="C43" s="50">
        <f>V25</f>
        <v>0.61599999999999999</v>
      </c>
      <c r="D43" s="50"/>
      <c r="E43" s="51"/>
      <c r="F43" s="51"/>
      <c r="G43" s="52"/>
      <c r="H43" s="50"/>
      <c r="I43" s="53"/>
    </row>
    <row r="44" spans="1:9" ht="12.75" x14ac:dyDescent="0.2">
      <c r="A44" s="48"/>
      <c r="B44" s="54" t="s">
        <v>43</v>
      </c>
      <c r="C44" s="50" t="s">
        <v>116</v>
      </c>
      <c r="D44" s="50"/>
      <c r="E44" s="51"/>
      <c r="F44" s="51"/>
      <c r="G44" s="50"/>
      <c r="H44" s="50"/>
      <c r="I44" s="53"/>
    </row>
    <row r="45" spans="1:9" ht="12.75" x14ac:dyDescent="0.2">
      <c r="A45" s="48"/>
      <c r="B45" s="55" t="s">
        <v>44</v>
      </c>
      <c r="C45" s="50" t="s">
        <v>87</v>
      </c>
      <c r="D45" s="50"/>
      <c r="E45" s="51"/>
      <c r="F45" s="51"/>
      <c r="G45" s="50"/>
      <c r="H45" s="50"/>
      <c r="I45" s="53"/>
    </row>
    <row r="46" spans="1:9" ht="13.5" thickBot="1" x14ac:dyDescent="0.25">
      <c r="A46" s="56"/>
      <c r="B46" s="57" t="s">
        <v>45</v>
      </c>
      <c r="C46" s="58" t="s">
        <v>116</v>
      </c>
      <c r="D46" s="58"/>
      <c r="E46" s="59"/>
      <c r="F46" s="59"/>
      <c r="G46" s="60"/>
      <c r="H46" s="60"/>
      <c r="I46" s="61"/>
    </row>
  </sheetData>
  <mergeCells count="9">
    <mergeCell ref="M2:O2"/>
    <mergeCell ref="P2:S2"/>
    <mergeCell ref="D3:E3"/>
    <mergeCell ref="T8:T10"/>
    <mergeCell ref="A39:B40"/>
    <mergeCell ref="C39:D39"/>
    <mergeCell ref="C18:E18"/>
    <mergeCell ref="G18:K18"/>
    <mergeCell ref="C2:E2"/>
  </mergeCells>
  <pageMargins left="0.7" right="0.7" top="0.75" bottom="0.75" header="0.3" footer="0.3"/>
  <pageSetup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78FF8-4EC0-431F-A952-180462563455}">
  <dimension ref="A1:O15"/>
  <sheetViews>
    <sheetView workbookViewId="0">
      <selection activeCell="H13" sqref="H13:H14"/>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21.83203125" customWidth="1"/>
    <col min="9" max="9" width="11.83203125" customWidth="1"/>
    <col min="10" max="10" width="8.6640625" customWidth="1"/>
    <col min="11" max="11" width="19.5" customWidth="1"/>
    <col min="12" max="12" width="7.1640625" customWidth="1"/>
    <col min="13" max="13" width="11.6640625" customWidth="1"/>
    <col min="14" max="14" width="5.83203125" customWidth="1"/>
    <col min="15" max="15" width="16.6640625" customWidth="1"/>
  </cols>
  <sheetData>
    <row r="1" spans="1:15" ht="12.75" x14ac:dyDescent="0.2">
      <c r="A1" s="141" t="s">
        <v>48</v>
      </c>
      <c r="B1" s="71" t="s">
        <v>49</v>
      </c>
      <c r="C1" s="64"/>
      <c r="D1" s="71"/>
      <c r="E1" s="66"/>
      <c r="F1" s="66"/>
      <c r="G1" s="67"/>
      <c r="H1" s="68" t="s">
        <v>154</v>
      </c>
      <c r="I1" s="142" t="s">
        <v>116</v>
      </c>
      <c r="J1" s="70" t="s">
        <v>51</v>
      </c>
      <c r="K1" s="71"/>
      <c r="L1" s="71"/>
      <c r="M1" s="72"/>
      <c r="N1" s="73"/>
      <c r="O1" s="72"/>
    </row>
    <row r="2" spans="1:15" ht="12.75" x14ac:dyDescent="0.2">
      <c r="A2" s="144" t="s">
        <v>52</v>
      </c>
      <c r="B2" s="71" t="s">
        <v>99</v>
      </c>
      <c r="C2" s="76"/>
      <c r="D2" s="71"/>
      <c r="E2" s="78"/>
      <c r="F2" s="78"/>
      <c r="G2" s="79"/>
      <c r="H2" s="80" t="s">
        <v>156</v>
      </c>
      <c r="I2" s="149">
        <f>I12/100</f>
        <v>1.55</v>
      </c>
      <c r="J2" s="70" t="s">
        <v>113</v>
      </c>
      <c r="K2" s="71"/>
      <c r="L2" s="71"/>
      <c r="M2" s="72"/>
      <c r="N2" s="82"/>
      <c r="O2" s="72"/>
    </row>
    <row r="3" spans="1:15" ht="12.75" x14ac:dyDescent="0.2">
      <c r="A3" s="85" t="s">
        <v>55</v>
      </c>
      <c r="B3" s="146">
        <v>41487</v>
      </c>
      <c r="C3" s="76"/>
      <c r="D3" s="78"/>
      <c r="E3" s="78"/>
      <c r="F3" s="78"/>
      <c r="G3" s="79"/>
      <c r="H3" s="85" t="s">
        <v>95</v>
      </c>
      <c r="I3" s="149">
        <f>AVERAGE(I12:I14)/100</f>
        <v>1.55</v>
      </c>
      <c r="J3" s="70"/>
      <c r="K3" s="71"/>
      <c r="L3" s="71"/>
      <c r="M3" s="86"/>
      <c r="N3" s="87"/>
      <c r="O3" s="86"/>
    </row>
    <row r="4" spans="1:15" ht="12.75" x14ac:dyDescent="0.2">
      <c r="A4" s="85" t="s">
        <v>57</v>
      </c>
      <c r="B4" s="88" t="s">
        <v>123</v>
      </c>
      <c r="C4" s="76"/>
      <c r="D4" s="78"/>
      <c r="E4" s="78"/>
      <c r="F4" s="78"/>
      <c r="G4" s="79"/>
      <c r="H4" s="85" t="s">
        <v>96</v>
      </c>
      <c r="I4" s="149" t="s">
        <v>116</v>
      </c>
      <c r="J4" s="70" t="s">
        <v>112</v>
      </c>
      <c r="K4" s="71"/>
      <c r="L4" s="71"/>
      <c r="M4" s="73"/>
      <c r="N4" s="73"/>
      <c r="O4" s="72"/>
    </row>
    <row r="5" spans="1:15" ht="12.75" x14ac:dyDescent="0.2">
      <c r="A5" s="144" t="s">
        <v>60</v>
      </c>
      <c r="B5" s="91" t="s">
        <v>97</v>
      </c>
      <c r="C5" s="76"/>
      <c r="D5" s="78"/>
      <c r="E5" s="78"/>
      <c r="F5" s="150"/>
      <c r="G5" s="150"/>
      <c r="H5" s="85"/>
      <c r="I5" s="151"/>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126"/>
      <c r="H8" s="72" t="s">
        <v>62</v>
      </c>
      <c r="I8" s="97"/>
      <c r="J8" s="98"/>
      <c r="K8" s="72" t="s">
        <v>63</v>
      </c>
      <c r="L8" s="97"/>
      <c r="M8" s="97"/>
      <c r="N8" s="98"/>
      <c r="O8" s="73" t="s">
        <v>64</v>
      </c>
    </row>
    <row r="9" spans="1:15" x14ac:dyDescent="0.2">
      <c r="A9" s="103"/>
      <c r="B9" s="104"/>
      <c r="C9" s="97"/>
      <c r="D9" s="97"/>
      <c r="E9" s="104"/>
      <c r="F9" s="104"/>
      <c r="G9" s="163"/>
      <c r="H9" s="104"/>
      <c r="I9" s="106"/>
      <c r="J9" s="105"/>
      <c r="K9" s="107"/>
      <c r="L9" s="108"/>
      <c r="M9" s="109"/>
      <c r="N9" s="98"/>
      <c r="O9" s="97"/>
    </row>
    <row r="10" spans="1:15" ht="33.75" x14ac:dyDescent="0.2">
      <c r="A10" s="110" t="s">
        <v>65</v>
      </c>
      <c r="B10" s="99" t="s">
        <v>66</v>
      </c>
      <c r="C10" s="111" t="s">
        <v>67</v>
      </c>
      <c r="D10" s="112" t="s">
        <v>68</v>
      </c>
      <c r="E10" s="99" t="s">
        <v>69</v>
      </c>
      <c r="F10" s="99" t="s">
        <v>27</v>
      </c>
      <c r="G10" s="162" t="s">
        <v>101</v>
      </c>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3"/>
      <c r="G11" s="164" t="s">
        <v>78</v>
      </c>
      <c r="H11" s="123"/>
      <c r="I11" s="124" t="s">
        <v>79</v>
      </c>
      <c r="J11" s="98"/>
      <c r="K11" s="125"/>
      <c r="L11" s="126"/>
      <c r="M11" s="127" t="s">
        <v>80</v>
      </c>
      <c r="N11" s="98"/>
      <c r="O11" s="98" t="s">
        <v>81</v>
      </c>
    </row>
    <row r="12" spans="1:15" x14ac:dyDescent="0.2">
      <c r="A12" s="186" t="s">
        <v>82</v>
      </c>
      <c r="B12" s="186"/>
      <c r="C12" s="187"/>
      <c r="D12" s="188"/>
      <c r="E12" s="129"/>
      <c r="F12" s="98"/>
      <c r="G12" s="131"/>
      <c r="H12" s="98" t="s">
        <v>109</v>
      </c>
      <c r="I12" s="98">
        <v>155</v>
      </c>
      <c r="J12" s="98"/>
      <c r="K12" s="98" t="s">
        <v>120</v>
      </c>
      <c r="L12" s="98"/>
      <c r="M12" s="130"/>
      <c r="N12" s="98"/>
      <c r="O12" s="131" t="s">
        <v>121</v>
      </c>
    </row>
    <row r="15" spans="1:15" x14ac:dyDescent="0.2">
      <c r="I15" s="189"/>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7B52-5EB1-401A-9500-622C68F238DC}">
  <dimension ref="A1:O15"/>
  <sheetViews>
    <sheetView workbookViewId="0">
      <selection activeCell="H30" sqref="H30"/>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21.83203125" customWidth="1"/>
    <col min="9" max="9" width="11.83203125" customWidth="1"/>
    <col min="10" max="10" width="8.6640625" customWidth="1"/>
    <col min="11" max="11" width="19.5" customWidth="1"/>
    <col min="12" max="12" width="7.1640625" customWidth="1"/>
    <col min="13" max="13" width="11.6640625" customWidth="1"/>
    <col min="14" max="14" width="5.83203125" customWidth="1"/>
    <col min="15" max="15" width="16.6640625" customWidth="1"/>
  </cols>
  <sheetData>
    <row r="1" spans="1:15" ht="12.75" x14ac:dyDescent="0.2">
      <c r="A1" s="141" t="s">
        <v>48</v>
      </c>
      <c r="B1" s="71" t="s">
        <v>49</v>
      </c>
      <c r="C1" s="64"/>
      <c r="D1" s="71"/>
      <c r="E1" s="66"/>
      <c r="F1" s="66"/>
      <c r="G1" s="67"/>
      <c r="H1" s="68" t="s">
        <v>94</v>
      </c>
      <c r="I1" s="278">
        <f>MAX(A12:A14)*2.54/100</f>
        <v>2.7686000000000002</v>
      </c>
      <c r="J1" s="70" t="s">
        <v>51</v>
      </c>
      <c r="K1" s="71"/>
      <c r="L1" s="71"/>
      <c r="M1" s="72"/>
      <c r="N1" s="73"/>
      <c r="O1" s="72"/>
    </row>
    <row r="2" spans="1:15" ht="12.75" x14ac:dyDescent="0.2">
      <c r="A2" s="144" t="s">
        <v>52</v>
      </c>
      <c r="B2" s="71" t="s">
        <v>117</v>
      </c>
      <c r="C2" s="76"/>
      <c r="D2" s="71"/>
      <c r="E2" s="78"/>
      <c r="F2" s="78"/>
      <c r="G2" s="79"/>
      <c r="H2" s="80" t="s">
        <v>111</v>
      </c>
      <c r="I2" s="149">
        <f>I12/100</f>
        <v>2.8</v>
      </c>
      <c r="J2" s="70" t="s">
        <v>113</v>
      </c>
      <c r="K2" s="71"/>
      <c r="L2" s="71"/>
      <c r="M2" s="72"/>
      <c r="N2" s="82"/>
      <c r="O2" s="72"/>
    </row>
    <row r="3" spans="1:15" ht="12.75" x14ac:dyDescent="0.2">
      <c r="A3" s="85" t="s">
        <v>55</v>
      </c>
      <c r="B3" s="146">
        <v>41431</v>
      </c>
      <c r="C3" s="76"/>
      <c r="D3" s="78"/>
      <c r="E3" s="78"/>
      <c r="F3" s="78"/>
      <c r="G3" s="79"/>
      <c r="H3" s="85" t="s">
        <v>95</v>
      </c>
      <c r="I3" s="147">
        <f>AVERAGE(I12:I14)/100</f>
        <v>2.9</v>
      </c>
      <c r="J3" s="70"/>
      <c r="K3" s="71"/>
      <c r="L3" s="71"/>
      <c r="M3" s="86"/>
      <c r="N3" s="87"/>
      <c r="O3" s="86"/>
    </row>
    <row r="4" spans="1:15" ht="12.75" x14ac:dyDescent="0.2">
      <c r="A4" s="85" t="s">
        <v>57</v>
      </c>
      <c r="B4" s="88" t="s">
        <v>100</v>
      </c>
      <c r="C4" s="76"/>
      <c r="D4" s="78"/>
      <c r="E4" s="78"/>
      <c r="F4" s="78"/>
      <c r="G4" s="79"/>
      <c r="H4" s="85" t="s">
        <v>96</v>
      </c>
      <c r="I4" s="149">
        <f>E12</f>
        <v>0.29357798165137616</v>
      </c>
      <c r="J4" s="70" t="s">
        <v>112</v>
      </c>
      <c r="K4" s="71"/>
      <c r="L4" s="71"/>
      <c r="M4" s="73"/>
      <c r="N4" s="73"/>
      <c r="O4" s="72"/>
    </row>
    <row r="5" spans="1:15" ht="12.75" x14ac:dyDescent="0.2">
      <c r="A5" s="144" t="s">
        <v>60</v>
      </c>
      <c r="B5" s="91" t="s">
        <v>97</v>
      </c>
      <c r="C5" s="76"/>
      <c r="D5" s="78"/>
      <c r="E5" s="78"/>
      <c r="F5" s="150"/>
      <c r="G5" s="150"/>
      <c r="H5" s="85"/>
      <c r="I5" s="151"/>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126"/>
      <c r="H8" s="72" t="s">
        <v>62</v>
      </c>
      <c r="I8" s="97"/>
      <c r="J8" s="98"/>
      <c r="K8" s="72" t="s">
        <v>63</v>
      </c>
      <c r="L8" s="97"/>
      <c r="M8" s="97"/>
      <c r="N8" s="98"/>
      <c r="O8" s="73" t="s">
        <v>64</v>
      </c>
    </row>
    <row r="9" spans="1:15" x14ac:dyDescent="0.2">
      <c r="A9" s="103"/>
      <c r="B9" s="104"/>
      <c r="C9" s="97"/>
      <c r="D9" s="97"/>
      <c r="E9" s="104"/>
      <c r="F9" s="104"/>
      <c r="G9" s="163"/>
      <c r="H9" s="104"/>
      <c r="I9" s="106"/>
      <c r="J9" s="105"/>
      <c r="K9" s="107"/>
      <c r="L9" s="108"/>
      <c r="M9" s="109"/>
      <c r="N9" s="98"/>
      <c r="O9" s="97"/>
    </row>
    <row r="10" spans="1:15" ht="33.75" x14ac:dyDescent="0.2">
      <c r="A10" s="110" t="s">
        <v>65</v>
      </c>
      <c r="B10" s="99" t="s">
        <v>66</v>
      </c>
      <c r="C10" s="111" t="s">
        <v>67</v>
      </c>
      <c r="D10" s="112" t="s">
        <v>68</v>
      </c>
      <c r="E10" s="99" t="s">
        <v>69</v>
      </c>
      <c r="F10" s="99" t="s">
        <v>27</v>
      </c>
      <c r="G10" s="162" t="s">
        <v>101</v>
      </c>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3"/>
      <c r="G11" s="164" t="s">
        <v>78</v>
      </c>
      <c r="H11" s="123"/>
      <c r="I11" s="124" t="s">
        <v>79</v>
      </c>
      <c r="J11" s="98"/>
      <c r="K11" s="125"/>
      <c r="L11" s="126"/>
      <c r="M11" s="127" t="s">
        <v>80</v>
      </c>
      <c r="N11" s="98"/>
      <c r="O11" s="98" t="s">
        <v>81</v>
      </c>
    </row>
    <row r="12" spans="1:15" x14ac:dyDescent="0.2">
      <c r="A12" s="186">
        <v>109</v>
      </c>
      <c r="B12" s="186">
        <f>A12</f>
        <v>109</v>
      </c>
      <c r="C12" s="187">
        <v>164</v>
      </c>
      <c r="D12" s="188">
        <v>132</v>
      </c>
      <c r="E12" s="129">
        <f>(C12-D12)/A12</f>
        <v>0.29357798165137616</v>
      </c>
      <c r="F12" s="98"/>
      <c r="G12" s="131">
        <f>E12*(B12/SUM(B12:B14))</f>
        <v>0.29357798165137616</v>
      </c>
      <c r="H12" s="98" t="s">
        <v>109</v>
      </c>
      <c r="I12" s="98">
        <v>280</v>
      </c>
      <c r="J12" s="98"/>
      <c r="K12" s="98"/>
      <c r="L12" s="98"/>
      <c r="M12" s="130"/>
      <c r="N12" s="98"/>
      <c r="O12" s="131">
        <f>I1/I2</f>
        <v>0.98878571428571438</v>
      </c>
    </row>
    <row r="13" spans="1:15" x14ac:dyDescent="0.2">
      <c r="H13" t="s">
        <v>110</v>
      </c>
      <c r="I13">
        <v>290</v>
      </c>
    </row>
    <row r="14" spans="1:15" x14ac:dyDescent="0.2">
      <c r="H14" t="s">
        <v>103</v>
      </c>
      <c r="I14">
        <v>300</v>
      </c>
    </row>
    <row r="15" spans="1:15" x14ac:dyDescent="0.2">
      <c r="H15" t="s">
        <v>114</v>
      </c>
      <c r="I15" s="189">
        <f>A12*2.54</f>
        <v>276.86</v>
      </c>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337FB-4F17-4CE0-9EBC-71713C77E829}">
  <dimension ref="A1:O15"/>
  <sheetViews>
    <sheetView workbookViewId="0">
      <selection activeCell="D25" sqref="D25"/>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21.83203125" customWidth="1"/>
    <col min="9" max="9" width="11.83203125" customWidth="1"/>
    <col min="10" max="10" width="8.6640625" customWidth="1"/>
    <col min="11" max="11" width="19.5" customWidth="1"/>
    <col min="12" max="12" width="7.1640625" customWidth="1"/>
    <col min="13" max="13" width="11.6640625" customWidth="1"/>
    <col min="14" max="14" width="5.83203125" customWidth="1"/>
    <col min="15" max="15" width="16.6640625" customWidth="1"/>
  </cols>
  <sheetData>
    <row r="1" spans="1:15" ht="12.75" x14ac:dyDescent="0.2">
      <c r="A1" s="141" t="s">
        <v>48</v>
      </c>
      <c r="B1" s="71" t="s">
        <v>49</v>
      </c>
      <c r="C1" s="64"/>
      <c r="D1" s="71"/>
      <c r="E1" s="66"/>
      <c r="F1" s="66"/>
      <c r="G1" s="67"/>
      <c r="H1" s="68" t="s">
        <v>94</v>
      </c>
      <c r="I1" s="142" t="s">
        <v>116</v>
      </c>
      <c r="J1" s="70" t="s">
        <v>51</v>
      </c>
      <c r="K1" s="71"/>
      <c r="L1" s="71"/>
      <c r="M1" s="72"/>
      <c r="N1" s="73"/>
      <c r="O1" s="72"/>
    </row>
    <row r="2" spans="1:15" ht="12.75" x14ac:dyDescent="0.2">
      <c r="A2" s="144" t="s">
        <v>52</v>
      </c>
      <c r="B2" s="71" t="s">
        <v>117</v>
      </c>
      <c r="C2" s="76"/>
      <c r="D2" s="71"/>
      <c r="E2" s="78"/>
      <c r="F2" s="78"/>
      <c r="G2" s="79"/>
      <c r="H2" s="80" t="s">
        <v>111</v>
      </c>
      <c r="I2" s="145">
        <f>I12</f>
        <v>125</v>
      </c>
      <c r="J2" s="70" t="s">
        <v>113</v>
      </c>
      <c r="K2" s="71"/>
      <c r="L2" s="71"/>
      <c r="M2" s="72"/>
      <c r="N2" s="82"/>
      <c r="O2" s="72"/>
    </row>
    <row r="3" spans="1:15" ht="12.75" x14ac:dyDescent="0.2">
      <c r="A3" s="85" t="s">
        <v>55</v>
      </c>
      <c r="B3" s="146">
        <v>41487</v>
      </c>
      <c r="C3" s="76"/>
      <c r="D3" s="78"/>
      <c r="E3" s="78"/>
      <c r="F3" s="78"/>
      <c r="G3" s="79"/>
      <c r="H3" s="85" t="s">
        <v>95</v>
      </c>
      <c r="I3" s="149">
        <f>AVERAGE(I12:I14)/100</f>
        <v>1.6266666666666665</v>
      </c>
      <c r="J3" s="70"/>
      <c r="K3" s="71"/>
      <c r="L3" s="71"/>
      <c r="M3" s="86"/>
      <c r="N3" s="87"/>
      <c r="O3" s="86"/>
    </row>
    <row r="4" spans="1:15" ht="12.75" x14ac:dyDescent="0.2">
      <c r="A4" s="85" t="s">
        <v>57</v>
      </c>
      <c r="B4" s="88" t="s">
        <v>118</v>
      </c>
      <c r="C4" s="76"/>
      <c r="D4" s="78"/>
      <c r="E4" s="78"/>
      <c r="F4" s="78"/>
      <c r="G4" s="79"/>
      <c r="H4" s="85" t="s">
        <v>96</v>
      </c>
      <c r="I4" s="149" t="s">
        <v>116</v>
      </c>
      <c r="J4" s="70" t="s">
        <v>112</v>
      </c>
      <c r="K4" s="71"/>
      <c r="L4" s="71"/>
      <c r="M4" s="73"/>
      <c r="N4" s="73"/>
      <c r="O4" s="72"/>
    </row>
    <row r="5" spans="1:15" ht="12.75" x14ac:dyDescent="0.2">
      <c r="A5" s="144" t="s">
        <v>60</v>
      </c>
      <c r="B5" s="91" t="s">
        <v>97</v>
      </c>
      <c r="C5" s="76"/>
      <c r="D5" s="78"/>
      <c r="E5" s="78"/>
      <c r="F5" s="150"/>
      <c r="G5" s="150"/>
      <c r="H5" s="85"/>
      <c r="I5" s="151"/>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126"/>
      <c r="H8" s="72" t="s">
        <v>62</v>
      </c>
      <c r="I8" s="97"/>
      <c r="J8" s="98"/>
      <c r="K8" s="72" t="s">
        <v>63</v>
      </c>
      <c r="L8" s="97"/>
      <c r="M8" s="97"/>
      <c r="N8" s="98"/>
      <c r="O8" s="73" t="s">
        <v>64</v>
      </c>
    </row>
    <row r="9" spans="1:15" x14ac:dyDescent="0.2">
      <c r="A9" s="103"/>
      <c r="B9" s="104"/>
      <c r="C9" s="97"/>
      <c r="D9" s="97"/>
      <c r="E9" s="104"/>
      <c r="F9" s="104"/>
      <c r="G9" s="163"/>
      <c r="H9" s="104"/>
      <c r="I9" s="106"/>
      <c r="J9" s="105"/>
      <c r="K9" s="107"/>
      <c r="L9" s="108"/>
      <c r="M9" s="109"/>
      <c r="N9" s="98"/>
      <c r="O9" s="97"/>
    </row>
    <row r="10" spans="1:15" ht="33.75" x14ac:dyDescent="0.2">
      <c r="A10" s="110" t="s">
        <v>65</v>
      </c>
      <c r="B10" s="99" t="s">
        <v>66</v>
      </c>
      <c r="C10" s="111" t="s">
        <v>67</v>
      </c>
      <c r="D10" s="112" t="s">
        <v>68</v>
      </c>
      <c r="E10" s="99" t="s">
        <v>69</v>
      </c>
      <c r="F10" s="99" t="s">
        <v>27</v>
      </c>
      <c r="G10" s="162" t="s">
        <v>101</v>
      </c>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3"/>
      <c r="G11" s="164" t="s">
        <v>78</v>
      </c>
      <c r="H11" s="123"/>
      <c r="I11" s="124" t="s">
        <v>79</v>
      </c>
      <c r="J11" s="98"/>
      <c r="K11" s="125"/>
      <c r="L11" s="126"/>
      <c r="M11" s="127" t="s">
        <v>80</v>
      </c>
      <c r="N11" s="98"/>
      <c r="O11" s="98" t="s">
        <v>81</v>
      </c>
    </row>
    <row r="12" spans="1:15" x14ac:dyDescent="0.2">
      <c r="A12" s="186" t="s">
        <v>82</v>
      </c>
      <c r="B12" s="186"/>
      <c r="C12" s="187"/>
      <c r="D12" s="188"/>
      <c r="E12" s="129"/>
      <c r="F12" s="98"/>
      <c r="G12" s="131"/>
      <c r="H12" s="98" t="s">
        <v>109</v>
      </c>
      <c r="I12" s="98">
        <v>125</v>
      </c>
      <c r="J12" s="98"/>
      <c r="K12" s="98" t="s">
        <v>120</v>
      </c>
      <c r="L12" s="98"/>
      <c r="M12" s="130"/>
      <c r="N12" s="98"/>
      <c r="O12" s="131" t="s">
        <v>121</v>
      </c>
    </row>
    <row r="13" spans="1:15" x14ac:dyDescent="0.2">
      <c r="H13" t="s">
        <v>110</v>
      </c>
      <c r="I13">
        <v>183</v>
      </c>
    </row>
    <row r="14" spans="1:15" x14ac:dyDescent="0.2">
      <c r="H14" t="s">
        <v>103</v>
      </c>
      <c r="I14">
        <v>180</v>
      </c>
    </row>
    <row r="15" spans="1:15" x14ac:dyDescent="0.2">
      <c r="I15" s="18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623D-63BE-4F1E-B4E0-83D5D7A509AD}">
  <dimension ref="A1:Y40"/>
  <sheetViews>
    <sheetView zoomScale="90" zoomScaleNormal="90" workbookViewId="0">
      <pane xSplit="1" topLeftCell="B1" activePane="topRight" state="frozen"/>
      <selection pane="topRight" activeCell="Q15" sqref="Q15"/>
    </sheetView>
  </sheetViews>
  <sheetFormatPr defaultColWidth="17.33203125" defaultRowHeight="11.25" x14ac:dyDescent="0.2"/>
  <cols>
    <col min="1" max="1" width="15.6640625" customWidth="1"/>
    <col min="2" max="2" width="38.33203125" customWidth="1"/>
    <col min="3" max="3" width="13.1640625" customWidth="1"/>
    <col min="4" max="4" width="15.6640625" customWidth="1"/>
    <col min="5" max="5" width="12.5" bestFit="1" customWidth="1"/>
    <col min="6" max="6" width="18.83203125" customWidth="1"/>
    <col min="7" max="7" width="13.33203125" customWidth="1"/>
    <col min="8" max="8" width="13" customWidth="1"/>
    <col min="9" max="9" width="15.83203125" customWidth="1"/>
    <col min="12" max="12" width="13.33203125" customWidth="1"/>
    <col min="20" max="20" width="15.33203125" bestFit="1" customWidth="1"/>
    <col min="21" max="21" width="10.5" customWidth="1"/>
    <col min="24" max="24" width="10.1640625" customWidth="1"/>
    <col min="25" max="25" width="45.83203125" customWidth="1"/>
  </cols>
  <sheetData>
    <row r="1" spans="1:25" ht="16.5" thickBot="1" x14ac:dyDescent="0.3">
      <c r="A1" s="211" t="s">
        <v>158</v>
      </c>
    </row>
    <row r="2" spans="1:25" ht="12.75" x14ac:dyDescent="0.25">
      <c r="A2" s="294"/>
      <c r="B2" s="295"/>
      <c r="C2" s="566" t="s">
        <v>128</v>
      </c>
      <c r="D2" s="567"/>
      <c r="E2" s="567"/>
      <c r="F2" s="296"/>
      <c r="G2" s="297" t="s">
        <v>129</v>
      </c>
      <c r="H2" s="298"/>
      <c r="I2" s="298"/>
      <c r="J2" s="298"/>
      <c r="K2" s="298"/>
      <c r="L2" s="299" t="s">
        <v>161</v>
      </c>
      <c r="M2" s="547" t="s">
        <v>162</v>
      </c>
      <c r="N2" s="548"/>
      <c r="O2" s="548"/>
      <c r="P2" s="549" t="s">
        <v>163</v>
      </c>
      <c r="Q2" s="550"/>
      <c r="R2" s="550"/>
      <c r="S2" s="550"/>
      <c r="T2" s="300" t="s">
        <v>164</v>
      </c>
      <c r="U2" s="300" t="s">
        <v>165</v>
      </c>
      <c r="V2" s="301" t="s">
        <v>166</v>
      </c>
    </row>
    <row r="3" spans="1:25" ht="12.75" x14ac:dyDescent="0.25">
      <c r="A3" s="302" t="s">
        <v>133</v>
      </c>
      <c r="B3" s="302" t="s">
        <v>5</v>
      </c>
      <c r="C3" s="303" t="s">
        <v>167</v>
      </c>
      <c r="D3" s="551" t="s">
        <v>168</v>
      </c>
      <c r="E3" s="552"/>
      <c r="F3" s="302" t="s">
        <v>134</v>
      </c>
      <c r="G3" s="304" t="s">
        <v>169</v>
      </c>
      <c r="H3" s="305" t="s">
        <v>85</v>
      </c>
      <c r="I3" s="305" t="s">
        <v>136</v>
      </c>
      <c r="J3" s="306"/>
      <c r="K3" s="307" t="s">
        <v>170</v>
      </c>
      <c r="L3" s="308" t="s">
        <v>171</v>
      </c>
      <c r="M3" s="308" t="s">
        <v>69</v>
      </c>
      <c r="N3" s="309" t="s">
        <v>133</v>
      </c>
      <c r="O3" s="310" t="s">
        <v>172</v>
      </c>
      <c r="P3" s="308" t="s">
        <v>139</v>
      </c>
      <c r="Q3" s="311" t="s">
        <v>140</v>
      </c>
      <c r="R3" s="312" t="s">
        <v>173</v>
      </c>
      <c r="S3" s="309" t="s">
        <v>174</v>
      </c>
      <c r="T3" s="313" t="s">
        <v>175</v>
      </c>
      <c r="U3" s="313" t="s">
        <v>175</v>
      </c>
      <c r="V3" s="314" t="s">
        <v>175</v>
      </c>
    </row>
    <row r="4" spans="1:25" ht="13.5" thickBot="1" x14ac:dyDescent="0.3">
      <c r="A4" s="302" t="s">
        <v>142</v>
      </c>
      <c r="B4" s="302"/>
      <c r="C4" s="315" t="s">
        <v>176</v>
      </c>
      <c r="D4" s="316" t="s">
        <v>177</v>
      </c>
      <c r="E4" s="316" t="s">
        <v>178</v>
      </c>
      <c r="F4" s="317"/>
      <c r="G4" s="318" t="s">
        <v>144</v>
      </c>
      <c r="H4" s="319" t="s">
        <v>144</v>
      </c>
      <c r="I4" s="319" t="s">
        <v>144</v>
      </c>
      <c r="J4" s="306"/>
      <c r="K4" s="307"/>
      <c r="L4" s="318" t="s">
        <v>179</v>
      </c>
      <c r="M4" s="320" t="s">
        <v>145</v>
      </c>
      <c r="N4" s="321" t="s">
        <v>180</v>
      </c>
      <c r="O4" s="321" t="s">
        <v>181</v>
      </c>
      <c r="P4" s="322" t="s">
        <v>144</v>
      </c>
      <c r="Q4" s="323" t="s">
        <v>145</v>
      </c>
      <c r="R4" s="324" t="s">
        <v>182</v>
      </c>
      <c r="S4" s="321" t="s">
        <v>183</v>
      </c>
      <c r="T4" s="325" t="s">
        <v>184</v>
      </c>
      <c r="U4" s="325" t="s">
        <v>185</v>
      </c>
      <c r="V4" s="326" t="s">
        <v>186</v>
      </c>
    </row>
    <row r="5" spans="1:25" ht="23.25" thickBot="1" x14ac:dyDescent="0.3">
      <c r="A5" s="327"/>
      <c r="B5" s="327" t="s">
        <v>146</v>
      </c>
      <c r="C5" s="328" t="s">
        <v>147</v>
      </c>
      <c r="D5" s="329" t="s">
        <v>147</v>
      </c>
      <c r="E5" s="329" t="s">
        <v>147</v>
      </c>
      <c r="F5" s="330"/>
      <c r="G5" s="331" t="s">
        <v>147</v>
      </c>
      <c r="H5" s="332" t="s">
        <v>147</v>
      </c>
      <c r="I5" s="332" t="s">
        <v>148</v>
      </c>
      <c r="J5" s="333" t="s">
        <v>187</v>
      </c>
      <c r="K5" s="334"/>
      <c r="L5" s="331" t="s">
        <v>147</v>
      </c>
      <c r="M5" s="335" t="s">
        <v>149</v>
      </c>
      <c r="N5" s="336" t="s">
        <v>188</v>
      </c>
      <c r="O5" s="336" t="s">
        <v>188</v>
      </c>
      <c r="P5" s="335" t="s">
        <v>147</v>
      </c>
      <c r="Q5" s="337" t="s">
        <v>149</v>
      </c>
      <c r="R5" s="338" t="s">
        <v>189</v>
      </c>
      <c r="S5" s="336" t="s">
        <v>188</v>
      </c>
      <c r="T5" s="339" t="s">
        <v>188</v>
      </c>
      <c r="U5" s="339" t="s">
        <v>188</v>
      </c>
      <c r="V5" s="340" t="s">
        <v>188</v>
      </c>
    </row>
    <row r="6" spans="1:25" x14ac:dyDescent="0.2">
      <c r="A6" s="280" t="s">
        <v>159</v>
      </c>
      <c r="B6" s="281">
        <v>41431</v>
      </c>
      <c r="C6" s="282">
        <f>(30/3.2808)-1.4</f>
        <v>7.7441111923920989</v>
      </c>
      <c r="D6" s="283">
        <v>0</v>
      </c>
      <c r="E6" s="284">
        <v>0</v>
      </c>
      <c r="F6" s="285" t="s">
        <v>86</v>
      </c>
      <c r="G6" s="286">
        <v>3.6</v>
      </c>
      <c r="H6" s="287">
        <f>AVERAGE(3.35,3.7)</f>
        <v>3.5250000000000004</v>
      </c>
      <c r="I6" s="287">
        <f>AVERAGE(3.6,3.35,3.7)</f>
        <v>3.5500000000000003</v>
      </c>
      <c r="J6" s="288" t="s">
        <v>160</v>
      </c>
      <c r="K6" s="289">
        <v>3</v>
      </c>
      <c r="L6" s="290">
        <f>C6-G6</f>
        <v>4.1441111923920992</v>
      </c>
      <c r="M6" s="291"/>
      <c r="N6" s="292"/>
      <c r="O6" s="292"/>
      <c r="P6" s="290">
        <f>I6</f>
        <v>3.5500000000000003</v>
      </c>
      <c r="Q6" s="287">
        <v>0.3</v>
      </c>
      <c r="R6" s="288" t="s">
        <v>155</v>
      </c>
      <c r="S6" s="293">
        <f>P6*Q6</f>
        <v>1.0649999999999999</v>
      </c>
    </row>
    <row r="7" spans="1:25" x14ac:dyDescent="0.2">
      <c r="A7" s="341" t="s">
        <v>159</v>
      </c>
      <c r="B7" s="342">
        <v>41487</v>
      </c>
      <c r="C7" s="343">
        <f>(30/3.2808)-3.38</f>
        <v>5.7641111923920993</v>
      </c>
      <c r="D7" s="344">
        <v>0</v>
      </c>
      <c r="E7" s="345">
        <v>0</v>
      </c>
      <c r="F7" s="346" t="s">
        <v>190</v>
      </c>
      <c r="G7" s="347">
        <v>1.55</v>
      </c>
      <c r="H7" s="348" t="s">
        <v>160</v>
      </c>
      <c r="I7" s="348" t="s">
        <v>160</v>
      </c>
      <c r="J7" s="348"/>
      <c r="K7" s="349">
        <v>1</v>
      </c>
      <c r="L7" s="347">
        <f>C7</f>
        <v>5.7641111923920993</v>
      </c>
      <c r="M7" s="350"/>
      <c r="N7" s="351"/>
      <c r="O7" s="348"/>
      <c r="P7" s="347">
        <f>G7</f>
        <v>1.55</v>
      </c>
      <c r="Q7" s="348">
        <v>0.4366666666666667</v>
      </c>
      <c r="R7" s="349" t="s">
        <v>152</v>
      </c>
      <c r="S7" s="351">
        <f>((P7*Q7)-(P7*(1-(Q7/0.9)))*0.07)</f>
        <v>0.62097592592592599</v>
      </c>
      <c r="T7" s="352">
        <f>-(S6-S7)</f>
        <v>-0.44402407407407396</v>
      </c>
      <c r="U7" s="352">
        <f>S7</f>
        <v>0.62097592592592599</v>
      </c>
    </row>
    <row r="9" spans="1:25" ht="16.5" thickBot="1" x14ac:dyDescent="0.3">
      <c r="A9" s="211" t="s">
        <v>127</v>
      </c>
      <c r="B9" s="212"/>
      <c r="C9" s="213"/>
      <c r="D9" s="214"/>
      <c r="E9" s="214"/>
      <c r="F9" s="215"/>
      <c r="G9" s="215"/>
      <c r="H9" s="215"/>
      <c r="I9" s="215"/>
      <c r="J9" s="216"/>
      <c r="K9" s="217"/>
      <c r="L9" s="218"/>
      <c r="M9" s="219"/>
      <c r="N9" s="218"/>
      <c r="O9" s="218"/>
      <c r="P9" s="216"/>
      <c r="Q9" s="216"/>
      <c r="R9" s="215"/>
      <c r="S9" s="216"/>
      <c r="T9" s="220"/>
      <c r="U9" s="221"/>
      <c r="V9" s="222"/>
      <c r="W9" s="222"/>
      <c r="X9" s="223"/>
      <c r="Y9" s="222"/>
    </row>
    <row r="10" spans="1:25" x14ac:dyDescent="0.2">
      <c r="A10" s="224"/>
      <c r="B10" s="225"/>
      <c r="C10" s="560" t="s">
        <v>128</v>
      </c>
      <c r="D10" s="561"/>
      <c r="E10" s="562"/>
      <c r="F10" s="225"/>
      <c r="G10" s="563" t="s">
        <v>129</v>
      </c>
      <c r="H10" s="564"/>
      <c r="I10" s="564"/>
      <c r="J10" s="564"/>
      <c r="K10" s="565"/>
      <c r="L10" s="226"/>
      <c r="M10" s="227"/>
      <c r="N10" s="228" t="s">
        <v>130</v>
      </c>
      <c r="O10" s="229"/>
      <c r="P10" s="230"/>
      <c r="Q10" s="228" t="s">
        <v>131</v>
      </c>
      <c r="R10" s="228"/>
      <c r="S10" s="229"/>
      <c r="T10" s="231" t="s">
        <v>132</v>
      </c>
      <c r="U10" s="228"/>
      <c r="V10" s="232"/>
      <c r="W10" s="232"/>
      <c r="X10" s="232"/>
      <c r="Y10" s="233"/>
    </row>
    <row r="11" spans="1:25" ht="33.75" x14ac:dyDescent="0.2">
      <c r="A11" s="224" t="s">
        <v>133</v>
      </c>
      <c r="B11" s="224" t="s">
        <v>5</v>
      </c>
      <c r="C11" s="234" t="s">
        <v>9</v>
      </c>
      <c r="D11" s="235" t="s">
        <v>10</v>
      </c>
      <c r="E11" s="236" t="s">
        <v>11</v>
      </c>
      <c r="F11" s="224" t="s">
        <v>134</v>
      </c>
      <c r="G11" s="237" t="s">
        <v>135</v>
      </c>
      <c r="H11" s="238"/>
      <c r="I11" s="238" t="s">
        <v>136</v>
      </c>
      <c r="J11" s="238"/>
      <c r="K11" s="239"/>
      <c r="L11" s="240" t="s">
        <v>137</v>
      </c>
      <c r="M11" s="227" t="s">
        <v>69</v>
      </c>
      <c r="N11" s="241" t="s">
        <v>138</v>
      </c>
      <c r="O11" s="242"/>
      <c r="P11" s="227" t="s">
        <v>139</v>
      </c>
      <c r="Q11" s="243" t="s">
        <v>140</v>
      </c>
      <c r="R11" s="241" t="s">
        <v>141</v>
      </c>
      <c r="S11" s="242"/>
      <c r="T11" s="39" t="s">
        <v>19</v>
      </c>
      <c r="U11" s="37" t="s">
        <v>20</v>
      </c>
      <c r="V11" s="37" t="s">
        <v>21</v>
      </c>
      <c r="W11" s="244" t="s">
        <v>22</v>
      </c>
      <c r="X11" s="244" t="s">
        <v>23</v>
      </c>
      <c r="Y11" s="245" t="s">
        <v>27</v>
      </c>
    </row>
    <row r="12" spans="1:25" ht="12.75" x14ac:dyDescent="0.2">
      <c r="A12" s="224" t="s">
        <v>142</v>
      </c>
      <c r="B12" s="224"/>
      <c r="C12" s="234"/>
      <c r="D12" s="235"/>
      <c r="E12" s="236"/>
      <c r="F12" s="225"/>
      <c r="G12" s="237"/>
      <c r="H12" s="238"/>
      <c r="I12" s="238"/>
      <c r="J12" s="238"/>
      <c r="K12" s="239"/>
      <c r="L12" s="224"/>
      <c r="M12" s="227"/>
      <c r="N12" s="246" t="s">
        <v>143</v>
      </c>
      <c r="O12" s="242"/>
      <c r="P12" s="227" t="s">
        <v>144</v>
      </c>
      <c r="Q12" s="247" t="s">
        <v>145</v>
      </c>
      <c r="R12" s="246"/>
      <c r="S12" s="242"/>
      <c r="T12" s="231"/>
      <c r="U12" s="228"/>
      <c r="V12" s="228"/>
      <c r="W12" s="248"/>
      <c r="X12" s="248"/>
      <c r="Y12" s="229"/>
    </row>
    <row r="13" spans="1:25" ht="12" thickBot="1" x14ac:dyDescent="0.25">
      <c r="A13" s="249"/>
      <c r="B13" s="249" t="s">
        <v>146</v>
      </c>
      <c r="C13" s="250" t="s">
        <v>147</v>
      </c>
      <c r="D13" s="251" t="s">
        <v>147</v>
      </c>
      <c r="E13" s="252" t="s">
        <v>147</v>
      </c>
      <c r="F13" s="253"/>
      <c r="G13" s="254" t="s">
        <v>147</v>
      </c>
      <c r="H13" s="255"/>
      <c r="I13" s="255" t="s">
        <v>148</v>
      </c>
      <c r="J13" s="255"/>
      <c r="K13" s="256"/>
      <c r="L13" s="249" t="s">
        <v>147</v>
      </c>
      <c r="M13" s="257" t="s">
        <v>78</v>
      </c>
      <c r="N13" s="258" t="s">
        <v>147</v>
      </c>
      <c r="O13" s="259"/>
      <c r="P13" s="257" t="s">
        <v>147</v>
      </c>
      <c r="Q13" s="260" t="s">
        <v>149</v>
      </c>
      <c r="R13" s="258"/>
      <c r="S13" s="259"/>
      <c r="T13" s="261" t="s">
        <v>150</v>
      </c>
      <c r="U13" s="262" t="s">
        <v>150</v>
      </c>
      <c r="V13" s="262" t="s">
        <v>150</v>
      </c>
      <c r="W13" s="262" t="s">
        <v>150</v>
      </c>
      <c r="X13" s="262" t="s">
        <v>150</v>
      </c>
      <c r="Y13" s="263"/>
    </row>
    <row r="14" spans="1:25" s="276" customFormat="1" x14ac:dyDescent="0.2">
      <c r="A14" s="273" t="s">
        <v>92</v>
      </c>
      <c r="B14" s="274">
        <v>41431</v>
      </c>
      <c r="C14" s="275">
        <v>9.14</v>
      </c>
      <c r="D14" s="275">
        <v>1.4</v>
      </c>
      <c r="E14" s="275">
        <f>C14-D14</f>
        <v>7.74</v>
      </c>
      <c r="F14" s="275" t="s">
        <v>86</v>
      </c>
      <c r="G14" s="277">
        <f>'FedSampCores13-K17A_2013.06.06'!I2</f>
        <v>3.6</v>
      </c>
      <c r="I14" s="276">
        <f>'FedSampCores13-K17A_2013.06.06'!I3</f>
        <v>3.55</v>
      </c>
      <c r="L14" s="277">
        <f>E14-G14</f>
        <v>4.1400000000000006</v>
      </c>
      <c r="P14" s="276">
        <f>'FedSampCores13-K17A_2013.06.06'!I3</f>
        <v>3.55</v>
      </c>
      <c r="Q14" s="279">
        <v>0.4</v>
      </c>
      <c r="R14" s="276" t="s">
        <v>152</v>
      </c>
      <c r="U14" s="277">
        <f>P14*Q14</f>
        <v>1.42</v>
      </c>
      <c r="W14" s="276" t="s">
        <v>105</v>
      </c>
      <c r="X14" s="276" t="s">
        <v>105</v>
      </c>
      <c r="Y14" s="276" t="s">
        <v>192</v>
      </c>
    </row>
    <row r="15" spans="1:25" s="276" customFormat="1" x14ac:dyDescent="0.2">
      <c r="A15" s="273" t="s">
        <v>92</v>
      </c>
      <c r="B15" s="274">
        <v>41487</v>
      </c>
      <c r="C15" s="275">
        <v>9.14</v>
      </c>
      <c r="D15" s="275">
        <v>3.38</v>
      </c>
      <c r="E15" s="275">
        <f>C15-D15</f>
        <v>5.7600000000000007</v>
      </c>
      <c r="F15" s="275" t="s">
        <v>106</v>
      </c>
      <c r="G15" s="277">
        <f>'Probe13-K17A_2013.08.01'!I2</f>
        <v>1.55</v>
      </c>
      <c r="L15" s="277">
        <f>E15-G15</f>
        <v>4.2100000000000009</v>
      </c>
      <c r="N15" s="277">
        <f>E15-L14</f>
        <v>1.62</v>
      </c>
      <c r="P15" s="277">
        <f>G15</f>
        <v>1.55</v>
      </c>
      <c r="Q15" s="279">
        <v>0.5</v>
      </c>
      <c r="R15" s="276" t="s">
        <v>157</v>
      </c>
      <c r="T15" s="277">
        <f>V15-U14</f>
        <v>-0.64499999999999991</v>
      </c>
      <c r="V15" s="277">
        <f>P15*Q15</f>
        <v>0.77500000000000002</v>
      </c>
      <c r="X15" s="276" t="s">
        <v>191</v>
      </c>
    </row>
    <row r="19" spans="1:9" ht="12" thickBot="1" x14ac:dyDescent="0.25"/>
    <row r="20" spans="1:9" ht="12.75" x14ac:dyDescent="0.2">
      <c r="A20" s="555" t="s">
        <v>32</v>
      </c>
      <c r="B20" s="556"/>
      <c r="C20" s="575" t="s">
        <v>33</v>
      </c>
      <c r="D20" s="559"/>
      <c r="E20" s="41" t="s">
        <v>34</v>
      </c>
      <c r="F20" s="42"/>
      <c r="G20" s="41" t="s">
        <v>35</v>
      </c>
      <c r="H20" s="42"/>
      <c r="I20" s="43" t="s">
        <v>36</v>
      </c>
    </row>
    <row r="21" spans="1:9" ht="12.75" x14ac:dyDescent="0.2">
      <c r="A21" s="557"/>
      <c r="B21" s="558"/>
      <c r="C21" s="44" t="s">
        <v>126</v>
      </c>
      <c r="D21" s="45"/>
      <c r="E21" s="46" t="s">
        <v>214</v>
      </c>
      <c r="F21" s="47"/>
      <c r="G21" s="47">
        <f>B14</f>
        <v>41431</v>
      </c>
      <c r="H21" s="46"/>
      <c r="I21" s="190">
        <f>B15</f>
        <v>41487</v>
      </c>
    </row>
    <row r="22" spans="1:9" ht="12.75" x14ac:dyDescent="0.2">
      <c r="A22" s="48"/>
      <c r="B22" s="49" t="s">
        <v>40</v>
      </c>
      <c r="C22" s="50">
        <f>U14</f>
        <v>1.42</v>
      </c>
      <c r="D22" s="209"/>
      <c r="E22" s="210"/>
      <c r="F22" s="52"/>
      <c r="G22" s="52"/>
      <c r="H22" s="50"/>
      <c r="I22" s="53"/>
    </row>
    <row r="23" spans="1:9" ht="12.75" x14ac:dyDescent="0.2">
      <c r="A23" s="48"/>
      <c r="B23" s="49" t="s">
        <v>41</v>
      </c>
      <c r="C23" s="50">
        <f>T15</f>
        <v>-0.64499999999999991</v>
      </c>
      <c r="D23" s="210"/>
      <c r="E23" s="210"/>
      <c r="F23" s="52"/>
      <c r="G23" s="52"/>
      <c r="H23" s="50"/>
      <c r="I23" s="53"/>
    </row>
    <row r="24" spans="1:9" ht="12.75" x14ac:dyDescent="0.2">
      <c r="A24" s="48"/>
      <c r="B24" s="49" t="s">
        <v>42</v>
      </c>
      <c r="C24" s="50">
        <f>V15</f>
        <v>0.77500000000000002</v>
      </c>
      <c r="D24" s="209"/>
      <c r="E24" s="210"/>
      <c r="F24" s="52"/>
      <c r="G24" s="52"/>
      <c r="H24" s="50"/>
      <c r="I24" s="53"/>
    </row>
    <row r="25" spans="1:9" ht="12.75" x14ac:dyDescent="0.2">
      <c r="A25" s="48"/>
      <c r="B25" s="54" t="s">
        <v>43</v>
      </c>
      <c r="C25" s="50" t="s">
        <v>105</v>
      </c>
      <c r="D25" s="50"/>
      <c r="E25" s="209"/>
      <c r="F25" s="50"/>
      <c r="G25" s="50"/>
      <c r="H25" s="50"/>
      <c r="I25" s="53"/>
    </row>
    <row r="26" spans="1:9" ht="12.75" x14ac:dyDescent="0.2">
      <c r="A26" s="48"/>
      <c r="B26" s="55" t="s">
        <v>44</v>
      </c>
      <c r="C26" s="50" t="s">
        <v>105</v>
      </c>
      <c r="D26" s="50"/>
      <c r="E26" s="51"/>
      <c r="F26" s="51"/>
      <c r="G26" s="50"/>
      <c r="H26" s="50"/>
      <c r="I26" s="53"/>
    </row>
    <row r="27" spans="1:9" ht="13.5" thickBot="1" x14ac:dyDescent="0.25">
      <c r="A27" s="56"/>
      <c r="B27" s="57" t="s">
        <v>45</v>
      </c>
      <c r="C27" s="58">
        <v>0</v>
      </c>
      <c r="D27" s="58"/>
      <c r="E27" s="59"/>
      <c r="F27" s="59"/>
      <c r="G27" s="60"/>
      <c r="H27" s="60"/>
      <c r="I27" s="61"/>
    </row>
    <row r="33" spans="1:23" s="276" customFormat="1" ht="16.5" thickBot="1" x14ac:dyDescent="0.3">
      <c r="A33" s="211" t="s">
        <v>203</v>
      </c>
    </row>
    <row r="34" spans="1:23" s="14" customFormat="1" ht="12.75" x14ac:dyDescent="0.2">
      <c r="A34" s="1"/>
      <c r="B34" s="2"/>
      <c r="C34" s="3"/>
      <c r="D34" s="4"/>
      <c r="E34" s="5"/>
      <c r="F34" s="6"/>
      <c r="G34" s="7"/>
      <c r="H34" s="8"/>
      <c r="I34" s="7"/>
      <c r="J34" s="9"/>
      <c r="K34" s="6"/>
      <c r="L34" s="532"/>
      <c r="M34" s="533"/>
      <c r="N34" s="534"/>
      <c r="O34" s="10"/>
      <c r="P34" s="11"/>
      <c r="Q34" s="11"/>
      <c r="R34" s="11"/>
      <c r="S34" s="12"/>
      <c r="T34" s="568" t="s">
        <v>0</v>
      </c>
      <c r="U34" s="568"/>
      <c r="V34" s="569"/>
      <c r="W34" s="13"/>
    </row>
    <row r="35" spans="1:23" s="14" customFormat="1" ht="12.75" x14ac:dyDescent="0.2">
      <c r="A35" s="15"/>
      <c r="B35" s="16"/>
      <c r="C35" s="17"/>
      <c r="D35" s="18"/>
      <c r="E35" s="167"/>
      <c r="F35" s="168"/>
      <c r="G35" s="19"/>
      <c r="H35" s="20"/>
      <c r="I35" s="19"/>
      <c r="J35" s="21"/>
      <c r="K35" s="22"/>
      <c r="L35" s="23"/>
      <c r="M35" s="24"/>
      <c r="N35" s="535"/>
      <c r="O35" s="25"/>
      <c r="S35" s="26"/>
      <c r="T35" s="570" t="s">
        <v>1</v>
      </c>
      <c r="U35" s="570"/>
      <c r="V35" s="169"/>
      <c r="W35" s="27"/>
    </row>
    <row r="36" spans="1:23" s="14" customFormat="1" ht="12.75" x14ac:dyDescent="0.2">
      <c r="A36" s="15"/>
      <c r="B36" s="16"/>
      <c r="C36" s="17"/>
      <c r="D36" s="28"/>
      <c r="E36" s="571" t="s">
        <v>2</v>
      </c>
      <c r="F36" s="572"/>
      <c r="G36" s="573"/>
      <c r="H36" s="29"/>
      <c r="I36" s="168"/>
      <c r="J36" s="30" t="s">
        <v>3</v>
      </c>
      <c r="K36" s="168"/>
      <c r="L36" s="31"/>
      <c r="M36" s="32"/>
      <c r="N36" s="21"/>
      <c r="O36" s="33"/>
      <c r="P36" s="21"/>
      <c r="Q36" s="21"/>
      <c r="R36" s="34"/>
      <c r="S36" s="35"/>
      <c r="T36" s="574" t="s">
        <v>4</v>
      </c>
      <c r="U36" s="574"/>
      <c r="V36" s="169"/>
      <c r="W36" s="36"/>
    </row>
    <row r="37" spans="1:23" s="184" customFormat="1" ht="63.75" customHeight="1" x14ac:dyDescent="0.2">
      <c r="A37" s="172" t="s">
        <v>5</v>
      </c>
      <c r="B37" s="173" t="s">
        <v>6</v>
      </c>
      <c r="C37" s="174" t="s">
        <v>7</v>
      </c>
      <c r="D37" s="175" t="s">
        <v>8</v>
      </c>
      <c r="E37" s="176" t="s">
        <v>9</v>
      </c>
      <c r="F37" s="173" t="s">
        <v>10</v>
      </c>
      <c r="G37" s="177" t="s">
        <v>11</v>
      </c>
      <c r="H37" s="178" t="s">
        <v>12</v>
      </c>
      <c r="I37" s="177" t="s">
        <v>13</v>
      </c>
      <c r="J37" s="177" t="s">
        <v>14</v>
      </c>
      <c r="K37" s="173" t="s">
        <v>15</v>
      </c>
      <c r="L37" s="38" t="s">
        <v>16</v>
      </c>
      <c r="M37" s="38" t="s">
        <v>17</v>
      </c>
      <c r="N37" s="177" t="s">
        <v>18</v>
      </c>
      <c r="O37" s="179" t="s">
        <v>19</v>
      </c>
      <c r="P37" s="177" t="s">
        <v>20</v>
      </c>
      <c r="Q37" s="177" t="s">
        <v>21</v>
      </c>
      <c r="R37" s="180" t="s">
        <v>22</v>
      </c>
      <c r="S37" s="181" t="s">
        <v>23</v>
      </c>
      <c r="T37" s="182" t="s">
        <v>24</v>
      </c>
      <c r="U37" s="182" t="s">
        <v>25</v>
      </c>
      <c r="V37" s="183" t="s">
        <v>26</v>
      </c>
      <c r="W37" s="174" t="s">
        <v>27</v>
      </c>
    </row>
    <row r="38" spans="1:23" s="40" customFormat="1" ht="48" customHeight="1" thickBot="1" x14ac:dyDescent="0.25">
      <c r="A38" s="195" t="s">
        <v>28</v>
      </c>
      <c r="B38" s="196"/>
      <c r="C38" s="197"/>
      <c r="D38" s="198"/>
      <c r="E38" s="199" t="s">
        <v>29</v>
      </c>
      <c r="F38" s="199" t="s">
        <v>29</v>
      </c>
      <c r="G38" s="199" t="s">
        <v>29</v>
      </c>
      <c r="H38" s="199" t="s">
        <v>29</v>
      </c>
      <c r="I38" s="199" t="s">
        <v>29</v>
      </c>
      <c r="J38" s="200" t="s">
        <v>122</v>
      </c>
      <c r="K38" s="196" t="s">
        <v>30</v>
      </c>
      <c r="L38" s="201" t="s">
        <v>29</v>
      </c>
      <c r="M38" s="202" t="s">
        <v>29</v>
      </c>
      <c r="N38" s="202" t="s">
        <v>30</v>
      </c>
      <c r="O38" s="203" t="s">
        <v>31</v>
      </c>
      <c r="P38" s="202" t="s">
        <v>31</v>
      </c>
      <c r="Q38" s="202" t="s">
        <v>31</v>
      </c>
      <c r="R38" s="204" t="s">
        <v>31</v>
      </c>
      <c r="S38" s="205" t="s">
        <v>31</v>
      </c>
      <c r="T38" s="206" t="s">
        <v>29</v>
      </c>
      <c r="U38" s="206" t="s">
        <v>29</v>
      </c>
      <c r="V38" s="207" t="s">
        <v>29</v>
      </c>
      <c r="W38" s="197"/>
    </row>
    <row r="39" spans="1:23" s="136" customFormat="1" x14ac:dyDescent="0.2">
      <c r="A39" s="165">
        <v>41431</v>
      </c>
      <c r="B39" s="140" t="s">
        <v>93</v>
      </c>
      <c r="C39" s="140" t="s">
        <v>92</v>
      </c>
      <c r="D39" s="140" t="s">
        <v>86</v>
      </c>
      <c r="E39" s="140">
        <v>9.14</v>
      </c>
      <c r="F39" s="140">
        <v>1.4</v>
      </c>
      <c r="G39" s="140">
        <f>E39-F39</f>
        <v>7.74</v>
      </c>
      <c r="H39" s="140" t="s">
        <v>105</v>
      </c>
      <c r="I39" s="166">
        <f>'FedSampCores13-K17A_2013.06.06'!I2/100</f>
        <v>3.6000000000000004E-2</v>
      </c>
      <c r="J39" s="166">
        <f>'FedSampCores13-K17A_2013.06.06'!I3</f>
        <v>3.55</v>
      </c>
      <c r="K39" s="166">
        <f>'FedSampCores13-K17A_2013.06.06'!I4</f>
        <v>0.21072575761331883</v>
      </c>
      <c r="L39" s="140" t="s">
        <v>105</v>
      </c>
      <c r="M39" s="140" t="s">
        <v>105</v>
      </c>
      <c r="N39" s="140"/>
      <c r="O39" s="140"/>
      <c r="P39" s="166">
        <f>K39*I39</f>
        <v>7.5861272740794785E-3</v>
      </c>
      <c r="Q39" s="140"/>
      <c r="R39" s="140"/>
      <c r="S39" s="140"/>
    </row>
    <row r="40" spans="1:23" s="136" customFormat="1" ht="48.75" customHeight="1" x14ac:dyDescent="0.2">
      <c r="A40" s="165">
        <v>41487</v>
      </c>
      <c r="B40" s="140" t="s">
        <v>115</v>
      </c>
      <c r="C40" s="140" t="s">
        <v>92</v>
      </c>
      <c r="D40" s="140" t="s">
        <v>106</v>
      </c>
      <c r="E40" s="140">
        <v>9.14</v>
      </c>
      <c r="F40" s="140">
        <v>3.38</v>
      </c>
      <c r="G40" s="140">
        <f>E40-F40</f>
        <v>5.7600000000000007</v>
      </c>
      <c r="H40" s="140">
        <f>G40-G39</f>
        <v>-1.9799999999999995</v>
      </c>
      <c r="I40" s="140">
        <v>1.55</v>
      </c>
      <c r="J40" s="166">
        <v>1.55</v>
      </c>
      <c r="K40" s="140">
        <v>0.44</v>
      </c>
      <c r="L40" s="140" t="s">
        <v>105</v>
      </c>
      <c r="M40" s="140" t="s">
        <v>105</v>
      </c>
      <c r="N40" s="140" t="s">
        <v>124</v>
      </c>
      <c r="O40" s="166">
        <f>Q40-P39</f>
        <v>0.67441387272592057</v>
      </c>
      <c r="Q40" s="166">
        <f>K40*J40</f>
        <v>0.68200000000000005</v>
      </c>
      <c r="R40" s="140"/>
      <c r="S40" s="140"/>
      <c r="W40" s="170" t="s">
        <v>107</v>
      </c>
    </row>
  </sheetData>
  <mergeCells count="12">
    <mergeCell ref="T34:V34"/>
    <mergeCell ref="T35:U35"/>
    <mergeCell ref="E36:G36"/>
    <mergeCell ref="T36:U36"/>
    <mergeCell ref="A20:B21"/>
    <mergeCell ref="C20:D20"/>
    <mergeCell ref="C10:E10"/>
    <mergeCell ref="G10:K10"/>
    <mergeCell ref="C2:E2"/>
    <mergeCell ref="M2:O2"/>
    <mergeCell ref="P2:S2"/>
    <mergeCell ref="D3:E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83332-B047-458E-8EA2-68186D0FEE4A}">
  <dimension ref="A1:Y36"/>
  <sheetViews>
    <sheetView topLeftCell="A7" zoomScaleNormal="100" workbookViewId="0">
      <selection activeCell="I41" sqref="I41"/>
    </sheetView>
  </sheetViews>
  <sheetFormatPr defaultRowHeight="11.25" x14ac:dyDescent="0.2"/>
  <cols>
    <col min="1" max="1" width="12" bestFit="1" customWidth="1"/>
    <col min="2" max="2" width="15" customWidth="1"/>
    <col min="3" max="3" width="13.1640625" customWidth="1"/>
    <col min="4" max="4" width="15.6640625" customWidth="1"/>
    <col min="5" max="5" width="12.5" bestFit="1" customWidth="1"/>
    <col min="6" max="6" width="12.1640625" bestFit="1" customWidth="1"/>
    <col min="7" max="7" width="11.83203125" bestFit="1" customWidth="1"/>
    <col min="8" max="8" width="7.5" customWidth="1"/>
    <col min="9" max="9" width="11.33203125" bestFit="1" customWidth="1"/>
    <col min="12" max="12" width="13.33203125" customWidth="1"/>
    <col min="20" max="20" width="15.33203125" bestFit="1" customWidth="1"/>
    <col min="21" max="21" width="10.5" customWidth="1"/>
    <col min="24" max="24" width="10.1640625" customWidth="1"/>
    <col min="25" max="25" width="45.83203125" customWidth="1"/>
  </cols>
  <sheetData>
    <row r="1" spans="1:22" ht="16.5" thickBot="1" x14ac:dyDescent="0.3">
      <c r="A1" s="211" t="s">
        <v>158</v>
      </c>
    </row>
    <row r="2" spans="1:22" ht="12.75" x14ac:dyDescent="0.25">
      <c r="A2" s="294"/>
      <c r="B2" s="295"/>
      <c r="C2" s="566" t="s">
        <v>128</v>
      </c>
      <c r="D2" s="567"/>
      <c r="E2" s="567"/>
      <c r="F2" s="296"/>
      <c r="G2" s="297" t="s">
        <v>129</v>
      </c>
      <c r="H2" s="298"/>
      <c r="I2" s="298"/>
      <c r="J2" s="298"/>
      <c r="K2" s="298"/>
      <c r="L2" s="299" t="s">
        <v>161</v>
      </c>
      <c r="M2" s="547" t="s">
        <v>162</v>
      </c>
      <c r="N2" s="548"/>
      <c r="O2" s="548"/>
      <c r="P2" s="549" t="s">
        <v>163</v>
      </c>
      <c r="Q2" s="550"/>
      <c r="R2" s="550"/>
      <c r="S2" s="550"/>
      <c r="T2" s="300" t="s">
        <v>164</v>
      </c>
      <c r="U2" s="300" t="s">
        <v>165</v>
      </c>
      <c r="V2" s="301" t="s">
        <v>166</v>
      </c>
    </row>
    <row r="3" spans="1:22" ht="12.75" x14ac:dyDescent="0.25">
      <c r="A3" s="302" t="s">
        <v>133</v>
      </c>
      <c r="B3" s="302" t="s">
        <v>5</v>
      </c>
      <c r="C3" s="303" t="s">
        <v>167</v>
      </c>
      <c r="D3" s="551" t="s">
        <v>168</v>
      </c>
      <c r="E3" s="552"/>
      <c r="F3" s="302" t="s">
        <v>134</v>
      </c>
      <c r="G3" s="304" t="s">
        <v>169</v>
      </c>
      <c r="H3" s="305" t="s">
        <v>85</v>
      </c>
      <c r="I3" s="305" t="s">
        <v>136</v>
      </c>
      <c r="J3" s="306"/>
      <c r="K3" s="307" t="s">
        <v>170</v>
      </c>
      <c r="L3" s="308" t="s">
        <v>171</v>
      </c>
      <c r="M3" s="308" t="s">
        <v>69</v>
      </c>
      <c r="N3" s="309" t="s">
        <v>133</v>
      </c>
      <c r="O3" s="310" t="s">
        <v>172</v>
      </c>
      <c r="P3" s="308" t="s">
        <v>139</v>
      </c>
      <c r="Q3" s="311" t="s">
        <v>140</v>
      </c>
      <c r="R3" s="312" t="s">
        <v>173</v>
      </c>
      <c r="S3" s="309" t="s">
        <v>174</v>
      </c>
      <c r="T3" s="313" t="s">
        <v>175</v>
      </c>
      <c r="U3" s="313" t="s">
        <v>175</v>
      </c>
      <c r="V3" s="314" t="s">
        <v>175</v>
      </c>
    </row>
    <row r="4" spans="1:22" ht="13.5" thickBot="1" x14ac:dyDescent="0.3">
      <c r="A4" s="302" t="s">
        <v>142</v>
      </c>
      <c r="B4" s="302"/>
      <c r="C4" s="315" t="s">
        <v>176</v>
      </c>
      <c r="D4" s="316" t="s">
        <v>177</v>
      </c>
      <c r="E4" s="316" t="s">
        <v>178</v>
      </c>
      <c r="F4" s="317"/>
      <c r="G4" s="318" t="s">
        <v>144</v>
      </c>
      <c r="H4" s="319" t="s">
        <v>144</v>
      </c>
      <c r="I4" s="319" t="s">
        <v>144</v>
      </c>
      <c r="J4" s="306"/>
      <c r="K4" s="307"/>
      <c r="L4" s="318" t="s">
        <v>179</v>
      </c>
      <c r="M4" s="320" t="s">
        <v>145</v>
      </c>
      <c r="N4" s="321" t="s">
        <v>180</v>
      </c>
      <c r="O4" s="321" t="s">
        <v>181</v>
      </c>
      <c r="P4" s="322" t="s">
        <v>144</v>
      </c>
      <c r="Q4" s="323" t="s">
        <v>145</v>
      </c>
      <c r="R4" s="324" t="s">
        <v>182</v>
      </c>
      <c r="S4" s="321" t="s">
        <v>183</v>
      </c>
      <c r="T4" s="325" t="s">
        <v>184</v>
      </c>
      <c r="U4" s="325" t="s">
        <v>185</v>
      </c>
      <c r="V4" s="326" t="s">
        <v>186</v>
      </c>
    </row>
    <row r="5" spans="1:22" ht="34.5" thickBot="1" x14ac:dyDescent="0.3">
      <c r="A5" s="327"/>
      <c r="B5" s="327" t="s">
        <v>146</v>
      </c>
      <c r="C5" s="328" t="s">
        <v>147</v>
      </c>
      <c r="D5" s="329" t="s">
        <v>147</v>
      </c>
      <c r="E5" s="329" t="s">
        <v>147</v>
      </c>
      <c r="F5" s="330"/>
      <c r="G5" s="331" t="s">
        <v>147</v>
      </c>
      <c r="H5" s="332" t="s">
        <v>147</v>
      </c>
      <c r="I5" s="332" t="s">
        <v>148</v>
      </c>
      <c r="J5" s="333" t="s">
        <v>187</v>
      </c>
      <c r="K5" s="334"/>
      <c r="L5" s="331" t="s">
        <v>147</v>
      </c>
      <c r="M5" s="335" t="s">
        <v>149</v>
      </c>
      <c r="N5" s="336" t="s">
        <v>188</v>
      </c>
      <c r="O5" s="336" t="s">
        <v>188</v>
      </c>
      <c r="P5" s="335" t="s">
        <v>147</v>
      </c>
      <c r="Q5" s="337" t="s">
        <v>149</v>
      </c>
      <c r="R5" s="338" t="s">
        <v>189</v>
      </c>
      <c r="S5" s="336" t="s">
        <v>188</v>
      </c>
      <c r="T5" s="339" t="s">
        <v>188</v>
      </c>
      <c r="U5" s="339" t="s">
        <v>188</v>
      </c>
      <c r="V5" s="340" t="s">
        <v>188</v>
      </c>
    </row>
    <row r="6" spans="1:22" x14ac:dyDescent="0.2">
      <c r="A6" s="366" t="s">
        <v>198</v>
      </c>
      <c r="B6" s="367">
        <v>41134</v>
      </c>
      <c r="C6" s="368">
        <v>4.75</v>
      </c>
      <c r="D6" s="368">
        <v>0</v>
      </c>
      <c r="E6" s="368">
        <v>0</v>
      </c>
      <c r="F6" s="369" t="s">
        <v>199</v>
      </c>
      <c r="G6" s="370">
        <v>0.9</v>
      </c>
      <c r="H6" s="371"/>
      <c r="I6" s="371">
        <f>AVERAGE(0.9,1.03,0.75)</f>
        <v>0.89333333333333342</v>
      </c>
      <c r="J6" s="372"/>
      <c r="K6" s="373">
        <v>3</v>
      </c>
      <c r="L6" s="374">
        <f>C6</f>
        <v>4.75</v>
      </c>
      <c r="M6" s="375">
        <v>0.8</v>
      </c>
      <c r="N6" s="371">
        <f>L6*M6</f>
        <v>3.8000000000000003</v>
      </c>
      <c r="O6" s="371">
        <v>-2.4000000000000021E-2</v>
      </c>
      <c r="P6" s="374"/>
      <c r="Q6" s="371"/>
      <c r="R6" s="373"/>
      <c r="S6" s="371"/>
      <c r="T6" s="376">
        <v>-0.85392000000000012</v>
      </c>
      <c r="U6" s="377">
        <f>O6</f>
        <v>-2.4000000000000021E-2</v>
      </c>
      <c r="V6" s="378"/>
    </row>
    <row r="7" spans="1:22" ht="12" thickBot="1" x14ac:dyDescent="0.25">
      <c r="A7" s="379" t="s">
        <v>200</v>
      </c>
      <c r="B7" s="380">
        <v>41134</v>
      </c>
      <c r="C7" s="381">
        <v>2.48</v>
      </c>
      <c r="D7" s="381">
        <v>0</v>
      </c>
      <c r="E7" s="382">
        <v>0</v>
      </c>
      <c r="F7" s="383" t="s">
        <v>199</v>
      </c>
      <c r="G7" s="382">
        <v>1</v>
      </c>
      <c r="H7" s="384"/>
      <c r="I7" s="384">
        <f>AVERAGE(1,1.25,1.25,1.18,1.1,0.55,0.5,0.8,0.9,0.6)</f>
        <v>0.91299999999999992</v>
      </c>
      <c r="J7" s="384"/>
      <c r="K7" s="384">
        <v>10</v>
      </c>
      <c r="L7" s="385">
        <f>C7</f>
        <v>2.48</v>
      </c>
      <c r="M7" s="386">
        <v>0.8</v>
      </c>
      <c r="N7" s="387">
        <f>L7*M7</f>
        <v>1.984</v>
      </c>
      <c r="O7" s="387">
        <v>-0.28000000000000025</v>
      </c>
      <c r="P7" s="382"/>
      <c r="Q7" s="384"/>
      <c r="R7" s="384"/>
      <c r="S7" s="384"/>
      <c r="T7" s="388">
        <v>-0.88180000000000025</v>
      </c>
      <c r="U7" s="385">
        <f>O7</f>
        <v>-0.28000000000000025</v>
      </c>
      <c r="V7" s="385">
        <f>V37+Z7</f>
        <v>0</v>
      </c>
    </row>
    <row r="8" spans="1:22" x14ac:dyDescent="0.2">
      <c r="A8" s="280" t="s">
        <v>159</v>
      </c>
      <c r="B8" s="281">
        <v>41431</v>
      </c>
      <c r="C8" s="282">
        <f>(30/3.2808)-1.4</f>
        <v>7.7441111923920989</v>
      </c>
      <c r="D8" s="283">
        <v>0</v>
      </c>
      <c r="E8" s="284">
        <v>0</v>
      </c>
      <c r="F8" s="285" t="s">
        <v>86</v>
      </c>
      <c r="G8" s="286">
        <v>3.6</v>
      </c>
      <c r="H8" s="287">
        <f>AVERAGE(3.35,3.7)</f>
        <v>3.5250000000000004</v>
      </c>
      <c r="I8" s="287">
        <f>AVERAGE(3.6,3.35,3.7)</f>
        <v>3.5500000000000003</v>
      </c>
      <c r="J8" s="288" t="s">
        <v>160</v>
      </c>
      <c r="K8" s="289">
        <v>3</v>
      </c>
      <c r="L8" s="290">
        <f>C8-G8</f>
        <v>4.1441111923920992</v>
      </c>
      <c r="M8" s="291"/>
      <c r="N8" s="292"/>
      <c r="O8" s="292"/>
      <c r="P8" s="290">
        <f>I8</f>
        <v>3.5500000000000003</v>
      </c>
      <c r="Q8" s="287">
        <f>Q9</f>
        <v>0.3</v>
      </c>
      <c r="R8" s="288" t="s">
        <v>155</v>
      </c>
      <c r="S8" s="293">
        <f>P8*Q8</f>
        <v>1.0649999999999999</v>
      </c>
      <c r="T8" s="553">
        <f>AVERAGE(S8:S10)</f>
        <v>0.97675000000000001</v>
      </c>
      <c r="U8" s="389" t="s">
        <v>160</v>
      </c>
      <c r="V8" s="284"/>
    </row>
    <row r="9" spans="1:22" s="465" customFormat="1" x14ac:dyDescent="0.2">
      <c r="A9" s="450" t="s">
        <v>201</v>
      </c>
      <c r="B9" s="451">
        <v>41431</v>
      </c>
      <c r="C9" s="452">
        <f>(30/3.2808)-1.59</f>
        <v>7.5541111923920994</v>
      </c>
      <c r="D9" s="453">
        <v>0</v>
      </c>
      <c r="E9" s="454">
        <v>0</v>
      </c>
      <c r="F9" s="455" t="s">
        <v>86</v>
      </c>
      <c r="G9" s="456">
        <v>2.8</v>
      </c>
      <c r="H9" s="457">
        <f>AVERAGE(2.9,3)</f>
        <v>2.95</v>
      </c>
      <c r="I9" s="457">
        <f>AVERAGE(2.8,2.9,3)</f>
        <v>2.9</v>
      </c>
      <c r="J9" s="458" t="s">
        <v>160</v>
      </c>
      <c r="K9" s="459">
        <v>3</v>
      </c>
      <c r="L9" s="460">
        <f>C9-G9</f>
        <v>4.7541111923920996</v>
      </c>
      <c r="M9" s="461"/>
      <c r="N9" s="462"/>
      <c r="O9" s="462"/>
      <c r="P9" s="460">
        <f>I9</f>
        <v>2.9</v>
      </c>
      <c r="Q9" s="457">
        <v>0.3</v>
      </c>
      <c r="R9" s="458" t="s">
        <v>155</v>
      </c>
      <c r="S9" s="463">
        <f>P9*Q9</f>
        <v>0.87</v>
      </c>
      <c r="T9" s="554"/>
      <c r="U9" s="464" t="s">
        <v>160</v>
      </c>
      <c r="V9" s="454"/>
    </row>
    <row r="10" spans="1:22" ht="12" thickBot="1" x14ac:dyDescent="0.25">
      <c r="A10" s="405" t="s">
        <v>202</v>
      </c>
      <c r="B10" s="406">
        <v>41431</v>
      </c>
      <c r="C10" s="407">
        <f>(30/3.2808)-1.77</f>
        <v>7.3741111923920997</v>
      </c>
      <c r="D10" s="408">
        <v>0</v>
      </c>
      <c r="E10" s="409">
        <v>0</v>
      </c>
      <c r="F10" s="410" t="s">
        <v>86</v>
      </c>
      <c r="G10" s="411">
        <v>3.3</v>
      </c>
      <c r="H10" s="412">
        <f>AVERAGE(2.72,3.68,3.57)</f>
        <v>3.3233333333333337</v>
      </c>
      <c r="I10" s="412">
        <f>AVERAGE(3.3,2.72,3.68,3.57)</f>
        <v>3.3174999999999999</v>
      </c>
      <c r="J10" s="413" t="s">
        <v>160</v>
      </c>
      <c r="K10" s="414">
        <v>4</v>
      </c>
      <c r="L10" s="415">
        <f>C10-G10</f>
        <v>4.0741111923920998</v>
      </c>
      <c r="M10" s="416"/>
      <c r="N10" s="417"/>
      <c r="O10" s="417"/>
      <c r="P10" s="415">
        <f>I10</f>
        <v>3.3174999999999999</v>
      </c>
      <c r="Q10" s="412">
        <f>Q9</f>
        <v>0.3</v>
      </c>
      <c r="R10" s="413" t="s">
        <v>155</v>
      </c>
      <c r="S10" s="418">
        <f>P10*Q10</f>
        <v>0.99524999999999997</v>
      </c>
      <c r="T10" s="554"/>
      <c r="U10" s="419" t="s">
        <v>160</v>
      </c>
      <c r="V10" s="409"/>
    </row>
    <row r="11" spans="1:22" x14ac:dyDescent="0.2">
      <c r="A11" s="420" t="s">
        <v>198</v>
      </c>
      <c r="B11" s="421">
        <v>41487</v>
      </c>
      <c r="C11" s="343">
        <f>9-2.83</f>
        <v>6.17</v>
      </c>
      <c r="D11" s="344">
        <v>0</v>
      </c>
      <c r="E11" s="345">
        <v>0</v>
      </c>
      <c r="F11" s="346" t="s">
        <v>190</v>
      </c>
      <c r="G11" s="347">
        <v>1.4</v>
      </c>
      <c r="H11" s="348" t="s">
        <v>160</v>
      </c>
      <c r="I11" s="348" t="s">
        <v>160</v>
      </c>
      <c r="J11" s="422" t="s">
        <v>160</v>
      </c>
      <c r="K11" s="349">
        <v>1</v>
      </c>
      <c r="L11" s="347">
        <f>C11</f>
        <v>6.17</v>
      </c>
      <c r="M11" s="350"/>
      <c r="N11" s="351"/>
      <c r="O11" s="348"/>
      <c r="P11" s="347">
        <f>G11</f>
        <v>1.4</v>
      </c>
      <c r="Q11" s="348">
        <f>0.44</f>
        <v>0.44</v>
      </c>
      <c r="R11" s="349" t="s">
        <v>152</v>
      </c>
      <c r="S11" s="351">
        <f>((P11*Q11)-(P11*(1-(Q11/0.9)))*0.07)</f>
        <v>0.56591111111111114</v>
      </c>
      <c r="T11" s="352"/>
      <c r="U11" s="352">
        <f>S11</f>
        <v>0.56591111111111114</v>
      </c>
      <c r="V11" s="345"/>
    </row>
    <row r="12" spans="1:22" x14ac:dyDescent="0.2">
      <c r="A12" s="423" t="s">
        <v>200</v>
      </c>
      <c r="B12" s="424">
        <v>41487</v>
      </c>
      <c r="C12" s="425">
        <f>6-1.83</f>
        <v>4.17</v>
      </c>
      <c r="D12" s="426">
        <v>0</v>
      </c>
      <c r="E12" s="427">
        <v>0</v>
      </c>
      <c r="F12" s="428" t="s">
        <v>190</v>
      </c>
      <c r="G12" s="429">
        <v>1.6</v>
      </c>
      <c r="H12" s="430" t="s">
        <v>160</v>
      </c>
      <c r="I12" s="430" t="s">
        <v>160</v>
      </c>
      <c r="J12" s="431" t="s">
        <v>160</v>
      </c>
      <c r="K12" s="432">
        <v>1</v>
      </c>
      <c r="L12" s="429">
        <f>C12</f>
        <v>4.17</v>
      </c>
      <c r="M12" s="350"/>
      <c r="N12" s="352"/>
      <c r="O12" s="430"/>
      <c r="P12" s="429">
        <f>G12</f>
        <v>1.6</v>
      </c>
      <c r="Q12" s="348">
        <f t="shared" ref="Q12:Q15" si="0">0.44</f>
        <v>0.44</v>
      </c>
      <c r="R12" s="432" t="s">
        <v>152</v>
      </c>
      <c r="S12" s="352">
        <f>((P12*Q12)-(P12*(1-(Q12/0.9)))*0.07)</f>
        <v>0.64675555555555564</v>
      </c>
      <c r="T12" s="352"/>
      <c r="U12" s="352">
        <f>S12</f>
        <v>0.64675555555555564</v>
      </c>
      <c r="V12" s="433"/>
    </row>
    <row r="13" spans="1:22" x14ac:dyDescent="0.2">
      <c r="A13" s="341" t="s">
        <v>159</v>
      </c>
      <c r="B13" s="342">
        <v>41487</v>
      </c>
      <c r="C13" s="343">
        <f>(30/3.2808)-3.38</f>
        <v>5.7641111923920993</v>
      </c>
      <c r="D13" s="344">
        <v>0</v>
      </c>
      <c r="E13" s="345">
        <v>0</v>
      </c>
      <c r="F13" s="346" t="s">
        <v>190</v>
      </c>
      <c r="G13" s="347">
        <v>1.55</v>
      </c>
      <c r="H13" s="348" t="s">
        <v>160</v>
      </c>
      <c r="I13" s="348" t="s">
        <v>160</v>
      </c>
      <c r="J13" s="348">
        <f>C13-G13-L8</f>
        <v>7.0000000000000284E-2</v>
      </c>
      <c r="K13" s="349">
        <v>1</v>
      </c>
      <c r="L13" s="347">
        <f>C13</f>
        <v>5.7641111923920993</v>
      </c>
      <c r="M13" s="350"/>
      <c r="N13" s="351"/>
      <c r="O13" s="348"/>
      <c r="P13" s="347">
        <f>G13</f>
        <v>1.55</v>
      </c>
      <c r="Q13" s="348">
        <f t="shared" si="0"/>
        <v>0.44</v>
      </c>
      <c r="R13" s="349" t="s">
        <v>152</v>
      </c>
      <c r="S13" s="351">
        <f>((P13*Q13)-(P13*(1-(Q13/0.9)))*0.07)</f>
        <v>0.62654444444444446</v>
      </c>
      <c r="T13" s="352">
        <f>-(S8-S13)</f>
        <v>-0.43845555555555549</v>
      </c>
      <c r="U13" s="352">
        <f>S13</f>
        <v>0.62654444444444446</v>
      </c>
      <c r="V13" s="434"/>
    </row>
    <row r="14" spans="1:22" s="465" customFormat="1" x14ac:dyDescent="0.2">
      <c r="A14" s="466" t="s">
        <v>201</v>
      </c>
      <c r="B14" s="467">
        <v>41487</v>
      </c>
      <c r="C14" s="468">
        <f>(30/3.2808)-3.63</f>
        <v>5.5141111923920993</v>
      </c>
      <c r="D14" s="455">
        <v>0</v>
      </c>
      <c r="E14" s="464">
        <v>0</v>
      </c>
      <c r="F14" s="455" t="s">
        <v>190</v>
      </c>
      <c r="G14" s="456">
        <v>1.25</v>
      </c>
      <c r="H14" s="457">
        <f>AVERAGE(1.83,1.8)</f>
        <v>1.8149999999999999</v>
      </c>
      <c r="I14" s="457">
        <f>AVERAGE(1.25,1.83,1.8)</f>
        <v>1.6266666666666667</v>
      </c>
      <c r="J14" s="457">
        <f>C14-G14-L9</f>
        <v>-0.49000000000000021</v>
      </c>
      <c r="K14" s="458">
        <v>3</v>
      </c>
      <c r="L14" s="460">
        <f>C14</f>
        <v>5.5141111923920993</v>
      </c>
      <c r="M14" s="469"/>
      <c r="N14" s="463"/>
      <c r="O14" s="457"/>
      <c r="P14" s="460">
        <f>I14</f>
        <v>1.6266666666666667</v>
      </c>
      <c r="Q14" s="470">
        <f t="shared" si="0"/>
        <v>0.44</v>
      </c>
      <c r="R14" s="458" t="s">
        <v>152</v>
      </c>
      <c r="S14" s="463">
        <f>((P14*Q14)-(P14*(1-(Q14/0.9)))*0.07)</f>
        <v>0.65753481481481479</v>
      </c>
      <c r="T14" s="463">
        <f>-(S9-S14)</f>
        <v>-0.2124651851851852</v>
      </c>
      <c r="U14" s="463">
        <f>S14</f>
        <v>0.65753481481481479</v>
      </c>
      <c r="V14" s="464"/>
    </row>
    <row r="15" spans="1:22" ht="12" thickBot="1" x14ac:dyDescent="0.25">
      <c r="A15" s="438" t="s">
        <v>202</v>
      </c>
      <c r="B15" s="439">
        <v>41487</v>
      </c>
      <c r="C15" s="440">
        <f>(30/3.2808)-3.76</f>
        <v>5.3841111923920995</v>
      </c>
      <c r="D15" s="441">
        <v>0</v>
      </c>
      <c r="E15" s="442">
        <v>0</v>
      </c>
      <c r="F15" s="443" t="s">
        <v>190</v>
      </c>
      <c r="G15" s="444">
        <v>1.32</v>
      </c>
      <c r="H15" s="445">
        <f>AVERAGE(1.83,1.84)</f>
        <v>1.835</v>
      </c>
      <c r="I15" s="445">
        <f>AVERAGE(1.32,1.83,1.84)</f>
        <v>1.6633333333333333</v>
      </c>
      <c r="J15" s="446">
        <f>C15-G15-L10</f>
        <v>-1.0000000000000675E-2</v>
      </c>
      <c r="K15" s="447">
        <v>3</v>
      </c>
      <c r="L15" s="444">
        <f>C15</f>
        <v>5.3841111923920995</v>
      </c>
      <c r="M15" s="350"/>
      <c r="N15" s="445"/>
      <c r="O15" s="446"/>
      <c r="P15" s="444">
        <f>I15</f>
        <v>1.6633333333333333</v>
      </c>
      <c r="Q15" s="348">
        <f t="shared" si="0"/>
        <v>0.44</v>
      </c>
      <c r="R15" s="447" t="s">
        <v>152</v>
      </c>
      <c r="S15" s="445">
        <f>((P15*Q15)-(P15*(1-(Q15/0.9)))*0.07)</f>
        <v>0.67235629629629634</v>
      </c>
      <c r="T15" s="352">
        <f>-(S10-S15)</f>
        <v>-0.32289370370370363</v>
      </c>
      <c r="U15" s="352">
        <f>S15</f>
        <v>0.67235629629629634</v>
      </c>
      <c r="V15" s="444">
        <f>Z10+V7</f>
        <v>0</v>
      </c>
    </row>
    <row r="17" spans="1:25" ht="16.5" thickBot="1" x14ac:dyDescent="0.3">
      <c r="A17" s="211" t="s">
        <v>127</v>
      </c>
      <c r="B17" s="212"/>
      <c r="C17" s="213"/>
      <c r="D17" s="214"/>
      <c r="E17" s="214"/>
      <c r="F17" s="215"/>
      <c r="G17" s="215"/>
      <c r="H17" s="215"/>
      <c r="I17" s="215"/>
      <c r="J17" s="216"/>
      <c r="K17" s="217"/>
      <c r="L17" s="218"/>
      <c r="M17" s="219"/>
      <c r="N17" s="218"/>
      <c r="O17" s="218"/>
      <c r="P17" s="216"/>
      <c r="Q17" s="216"/>
      <c r="R17" s="215"/>
      <c r="S17" s="216"/>
      <c r="T17" s="220"/>
      <c r="U17" s="221"/>
      <c r="V17" s="222"/>
      <c r="W17" s="222"/>
      <c r="X17" s="223"/>
    </row>
    <row r="18" spans="1:25" x14ac:dyDescent="0.2">
      <c r="A18" s="224"/>
      <c r="B18" s="225"/>
      <c r="C18" s="560" t="s">
        <v>128</v>
      </c>
      <c r="D18" s="561"/>
      <c r="E18" s="562"/>
      <c r="F18" s="225"/>
      <c r="G18" s="563" t="s">
        <v>129</v>
      </c>
      <c r="H18" s="564"/>
      <c r="I18" s="564"/>
      <c r="J18" s="564"/>
      <c r="K18" s="565"/>
      <c r="L18" s="226"/>
      <c r="M18" s="227"/>
      <c r="N18" s="228" t="s">
        <v>130</v>
      </c>
      <c r="O18" s="229"/>
      <c r="P18" s="230"/>
      <c r="Q18" s="228" t="s">
        <v>131</v>
      </c>
      <c r="R18" s="228"/>
      <c r="S18" s="229"/>
      <c r="T18" s="231" t="s">
        <v>132</v>
      </c>
      <c r="U18" s="228"/>
      <c r="V18" s="232"/>
      <c r="W18" s="232"/>
      <c r="X18" s="232"/>
      <c r="Y18" s="233"/>
    </row>
    <row r="19" spans="1:25" ht="33.75" x14ac:dyDescent="0.2">
      <c r="A19" s="224" t="s">
        <v>133</v>
      </c>
      <c r="B19" s="224" t="s">
        <v>5</v>
      </c>
      <c r="C19" s="234" t="s">
        <v>9</v>
      </c>
      <c r="D19" s="235" t="s">
        <v>10</v>
      </c>
      <c r="E19" s="236" t="s">
        <v>11</v>
      </c>
      <c r="F19" s="224" t="s">
        <v>134</v>
      </c>
      <c r="G19" s="237" t="s">
        <v>135</v>
      </c>
      <c r="H19" s="238"/>
      <c r="I19" s="238" t="s">
        <v>136</v>
      </c>
      <c r="J19" s="238"/>
      <c r="K19" s="239"/>
      <c r="L19" s="240" t="s">
        <v>137</v>
      </c>
      <c r="M19" s="227" t="s">
        <v>69</v>
      </c>
      <c r="N19" s="241" t="s">
        <v>138</v>
      </c>
      <c r="O19" s="242"/>
      <c r="P19" s="227" t="s">
        <v>139</v>
      </c>
      <c r="Q19" s="243" t="s">
        <v>140</v>
      </c>
      <c r="R19" s="241" t="s">
        <v>141</v>
      </c>
      <c r="S19" s="242"/>
      <c r="T19" s="39" t="s">
        <v>19</v>
      </c>
      <c r="U19" s="37" t="s">
        <v>20</v>
      </c>
      <c r="V19" s="37" t="s">
        <v>21</v>
      </c>
      <c r="W19" s="244" t="s">
        <v>22</v>
      </c>
      <c r="X19" s="244" t="s">
        <v>23</v>
      </c>
      <c r="Y19" s="245" t="s">
        <v>27</v>
      </c>
    </row>
    <row r="20" spans="1:25" ht="12.75" x14ac:dyDescent="0.2">
      <c r="A20" s="224" t="s">
        <v>142</v>
      </c>
      <c r="B20" s="224"/>
      <c r="C20" s="234"/>
      <c r="D20" s="235"/>
      <c r="E20" s="236"/>
      <c r="F20" s="225"/>
      <c r="G20" s="237"/>
      <c r="H20" s="238"/>
      <c r="I20" s="238"/>
      <c r="J20" s="238"/>
      <c r="K20" s="239"/>
      <c r="L20" s="224"/>
      <c r="M20" s="227"/>
      <c r="N20" s="246" t="s">
        <v>143</v>
      </c>
      <c r="O20" s="242"/>
      <c r="P20" s="227" t="s">
        <v>144</v>
      </c>
      <c r="Q20" s="247" t="s">
        <v>145</v>
      </c>
      <c r="R20" s="246"/>
      <c r="S20" s="242"/>
      <c r="T20" s="231"/>
      <c r="U20" s="228"/>
      <c r="V20" s="228"/>
      <c r="W20" s="248"/>
      <c r="X20" s="248"/>
      <c r="Y20" s="229"/>
    </row>
    <row r="21" spans="1:25" ht="12" thickBot="1" x14ac:dyDescent="0.25">
      <c r="A21" s="249"/>
      <c r="B21" s="249" t="s">
        <v>146</v>
      </c>
      <c r="C21" s="250" t="s">
        <v>147</v>
      </c>
      <c r="D21" s="251" t="s">
        <v>147</v>
      </c>
      <c r="E21" s="252" t="s">
        <v>147</v>
      </c>
      <c r="F21" s="253"/>
      <c r="G21" s="254" t="s">
        <v>147</v>
      </c>
      <c r="H21" s="255"/>
      <c r="I21" s="255" t="s">
        <v>148</v>
      </c>
      <c r="J21" s="255"/>
      <c r="K21" s="256"/>
      <c r="L21" s="249" t="s">
        <v>147</v>
      </c>
      <c r="M21" s="257" t="s">
        <v>78</v>
      </c>
      <c r="N21" s="258" t="s">
        <v>147</v>
      </c>
      <c r="O21" s="259"/>
      <c r="P21" s="257" t="s">
        <v>147</v>
      </c>
      <c r="Q21" s="247" t="s">
        <v>149</v>
      </c>
      <c r="R21" s="258"/>
      <c r="S21" s="259"/>
      <c r="T21" s="261" t="s">
        <v>150</v>
      </c>
      <c r="U21" s="262" t="s">
        <v>150</v>
      </c>
      <c r="V21" s="262" t="s">
        <v>150</v>
      </c>
      <c r="W21" s="262" t="s">
        <v>150</v>
      </c>
      <c r="X21" s="262" t="s">
        <v>150</v>
      </c>
      <c r="Y21" s="263"/>
    </row>
    <row r="22" spans="1:25" s="269" customFormat="1" ht="12.75" x14ac:dyDescent="0.2">
      <c r="A22" s="537" t="s">
        <v>47</v>
      </c>
      <c r="B22" s="356">
        <v>41134</v>
      </c>
      <c r="C22" s="357">
        <v>9</v>
      </c>
      <c r="D22" s="357">
        <v>3.35</v>
      </c>
      <c r="E22" s="357">
        <f>C22-D22</f>
        <v>5.65</v>
      </c>
      <c r="F22" s="269" t="s">
        <v>119</v>
      </c>
      <c r="G22" s="357">
        <f>'Probe07-K17_2012.08.13'!I3</f>
        <v>0.89333333333333342</v>
      </c>
      <c r="I22" s="538"/>
      <c r="Q22" s="539" t="s">
        <v>59</v>
      </c>
      <c r="T22" s="540"/>
      <c r="U22" s="540"/>
      <c r="V22" s="540"/>
      <c r="W22" s="541"/>
      <c r="X22" s="541"/>
    </row>
    <row r="23" spans="1:25" s="269" customFormat="1" ht="12.75" x14ac:dyDescent="0.2">
      <c r="A23" s="537" t="s">
        <v>47</v>
      </c>
      <c r="B23" s="356">
        <v>41134</v>
      </c>
      <c r="C23" s="357">
        <v>9</v>
      </c>
      <c r="D23" s="357">
        <f>3.35+0.9</f>
        <v>4.25</v>
      </c>
      <c r="E23" s="357">
        <f>C23-D23</f>
        <v>4.75</v>
      </c>
      <c r="F23" s="269" t="s">
        <v>119</v>
      </c>
      <c r="G23" s="357"/>
      <c r="I23" s="538"/>
      <c r="Q23" s="539"/>
      <c r="T23" s="540"/>
      <c r="U23" s="540"/>
      <c r="V23" s="540"/>
      <c r="W23" s="541"/>
      <c r="X23" s="541"/>
    </row>
    <row r="24" spans="1:25" s="134" customFormat="1" ht="12.75" x14ac:dyDescent="0.2">
      <c r="A24" s="135" t="s">
        <v>47</v>
      </c>
      <c r="B24" s="137">
        <v>41431</v>
      </c>
      <c r="C24" s="135" t="s">
        <v>87</v>
      </c>
      <c r="D24" s="135" t="s">
        <v>87</v>
      </c>
      <c r="E24" s="135" t="s">
        <v>87</v>
      </c>
      <c r="F24" s="135" t="s">
        <v>215</v>
      </c>
      <c r="G24" s="135" t="s">
        <v>87</v>
      </c>
      <c r="I24" s="138">
        <f>'Probe07-K17_2013.06.06'!I3</f>
        <v>2.88</v>
      </c>
      <c r="Q24" s="138" t="str">
        <f>'Probe07-K17_2013.06.06'!I4</f>
        <v>Not measured</v>
      </c>
      <c r="T24" s="135" t="s">
        <v>87</v>
      </c>
      <c r="U24" s="135" t="s">
        <v>87</v>
      </c>
      <c r="V24" s="135" t="s">
        <v>87</v>
      </c>
      <c r="W24" s="135" t="s">
        <v>87</v>
      </c>
      <c r="X24" s="135" t="s">
        <v>87</v>
      </c>
    </row>
    <row r="25" spans="1:25" x14ac:dyDescent="0.2">
      <c r="A25" s="139"/>
      <c r="B25" s="139"/>
      <c r="C25" s="139"/>
      <c r="D25" s="139"/>
      <c r="E25" s="139"/>
      <c r="G25" s="139"/>
      <c r="I25" s="139"/>
      <c r="Q25" s="139"/>
      <c r="T25" s="139"/>
      <c r="U25" s="139"/>
      <c r="V25" s="139"/>
      <c r="W25" s="139"/>
      <c r="X25" s="139"/>
    </row>
    <row r="26" spans="1:25" s="134" customFormat="1" x14ac:dyDescent="0.2">
      <c r="A26" s="135" t="s">
        <v>108</v>
      </c>
      <c r="B26" s="545">
        <v>41431</v>
      </c>
      <c r="C26" s="135">
        <v>9.15</v>
      </c>
      <c r="D26" s="135">
        <v>1.59</v>
      </c>
      <c r="E26" s="135">
        <f>C26-D26</f>
        <v>7.5600000000000005</v>
      </c>
      <c r="F26" s="134" t="s">
        <v>215</v>
      </c>
      <c r="G26" s="138">
        <f>'FedSampCores13-K17B_2013.06.06'!I2</f>
        <v>2.8</v>
      </c>
      <c r="I26" s="138">
        <f>'FedSampCores13-K17B_2013.06.06'!I3</f>
        <v>2.9</v>
      </c>
      <c r="L26" s="138">
        <f>E26-G26</f>
        <v>4.7600000000000007</v>
      </c>
      <c r="P26" s="517">
        <f>I26</f>
        <v>2.9</v>
      </c>
      <c r="Q26" s="138">
        <f>'FedSampCores13-K17B_2013.06.06'!E12</f>
        <v>0.29357798165137616</v>
      </c>
      <c r="T26" s="135"/>
      <c r="U26" s="138">
        <f>P26*Q26</f>
        <v>0.85137614678899087</v>
      </c>
      <c r="V26" s="135"/>
      <c r="W26" s="135" t="s">
        <v>105</v>
      </c>
      <c r="X26" s="135"/>
    </row>
    <row r="27" spans="1:25" s="269" customFormat="1" x14ac:dyDescent="0.2">
      <c r="A27" s="537" t="s">
        <v>108</v>
      </c>
      <c r="B27" s="542">
        <v>41487</v>
      </c>
      <c r="C27" s="537">
        <v>9.14</v>
      </c>
      <c r="D27" s="537">
        <v>3.63</v>
      </c>
      <c r="E27" s="537">
        <f>C27-D27</f>
        <v>5.5100000000000007</v>
      </c>
      <c r="F27" s="269" t="s">
        <v>119</v>
      </c>
      <c r="G27" s="543">
        <f>'Probe13-K17B_2013.08.01'!I2/100</f>
        <v>1.25</v>
      </c>
      <c r="I27" s="543">
        <f>'Probe13-K17B_2013.08.01'!I3</f>
        <v>1.6266666666666665</v>
      </c>
      <c r="L27" s="543">
        <f>L26</f>
        <v>4.7600000000000007</v>
      </c>
      <c r="P27" s="271">
        <f>I27</f>
        <v>1.6266666666666665</v>
      </c>
      <c r="Q27" s="544">
        <v>0.5</v>
      </c>
      <c r="T27" s="543">
        <f>V27-U26</f>
        <v>-3.8042813455657631E-2</v>
      </c>
      <c r="U27" s="543"/>
      <c r="V27" s="543">
        <f>P27*Q27</f>
        <v>0.81333333333333324</v>
      </c>
      <c r="W27" s="537"/>
      <c r="X27" s="537">
        <v>0</v>
      </c>
    </row>
    <row r="28" spans="1:25" s="276" customFormat="1" ht="12" thickBot="1" x14ac:dyDescent="0.25">
      <c r="G28" s="275"/>
      <c r="I28" s="275"/>
      <c r="L28" s="536"/>
      <c r="Q28" s="275"/>
      <c r="T28" s="536"/>
      <c r="V28" s="536"/>
      <c r="W28" s="275"/>
      <c r="X28" s="275"/>
    </row>
    <row r="29" spans="1:25" ht="12.75" x14ac:dyDescent="0.2">
      <c r="A29" s="555" t="s">
        <v>32</v>
      </c>
      <c r="B29" s="556"/>
      <c r="C29" s="575" t="s">
        <v>33</v>
      </c>
      <c r="D29" s="559"/>
      <c r="E29" s="41" t="s">
        <v>34</v>
      </c>
      <c r="F29" s="42"/>
      <c r="G29" s="41" t="s">
        <v>35</v>
      </c>
      <c r="H29" s="42"/>
      <c r="I29" s="43" t="s">
        <v>36</v>
      </c>
    </row>
    <row r="30" spans="1:25" ht="12.75" x14ac:dyDescent="0.2">
      <c r="A30" s="557"/>
      <c r="B30" s="558"/>
      <c r="C30" s="44" t="s">
        <v>37</v>
      </c>
      <c r="D30" s="44" t="s">
        <v>38</v>
      </c>
      <c r="E30" s="45">
        <f>B23</f>
        <v>41134</v>
      </c>
      <c r="F30" s="46" t="s">
        <v>39</v>
      </c>
      <c r="G30" s="47">
        <f>B24</f>
        <v>41431</v>
      </c>
      <c r="H30" s="46" t="s">
        <v>39</v>
      </c>
      <c r="I30" s="190">
        <f>B27</f>
        <v>41487</v>
      </c>
    </row>
    <row r="31" spans="1:25" ht="12.75" x14ac:dyDescent="0.2">
      <c r="A31" s="48"/>
      <c r="B31" s="49" t="s">
        <v>40</v>
      </c>
      <c r="C31" s="50">
        <f>U26</f>
        <v>0.85137614678899087</v>
      </c>
      <c r="D31" s="50" t="s">
        <v>105</v>
      </c>
      <c r="E31" s="51"/>
      <c r="F31" s="51"/>
      <c r="G31" s="52"/>
      <c r="H31" s="50"/>
      <c r="I31" s="53"/>
    </row>
    <row r="32" spans="1:25" ht="12.75" x14ac:dyDescent="0.2">
      <c r="A32" s="48"/>
      <c r="B32" s="49" t="s">
        <v>41</v>
      </c>
      <c r="C32" s="50">
        <f>T27</f>
        <v>-3.8042813455657631E-2</v>
      </c>
      <c r="D32" s="50"/>
      <c r="E32" s="51"/>
      <c r="F32" s="51"/>
      <c r="G32" s="52"/>
      <c r="H32" s="50"/>
      <c r="I32" s="53"/>
    </row>
    <row r="33" spans="1:9" ht="12.75" x14ac:dyDescent="0.2">
      <c r="A33" s="48"/>
      <c r="B33" s="49" t="s">
        <v>42</v>
      </c>
      <c r="C33" s="50">
        <f>V27</f>
        <v>0.81333333333333324</v>
      </c>
      <c r="D33" s="50"/>
      <c r="E33" s="51"/>
      <c r="F33" s="51"/>
      <c r="G33" s="52"/>
      <c r="H33" s="50"/>
      <c r="I33" s="53"/>
    </row>
    <row r="34" spans="1:9" ht="12.75" x14ac:dyDescent="0.2">
      <c r="A34" s="48"/>
      <c r="B34" s="546" t="s">
        <v>43</v>
      </c>
      <c r="C34" s="50" t="s">
        <v>105</v>
      </c>
      <c r="D34" s="50"/>
      <c r="E34" s="51"/>
      <c r="F34" s="51"/>
      <c r="G34" s="50"/>
      <c r="H34" s="50"/>
      <c r="I34" s="53"/>
    </row>
    <row r="35" spans="1:9" ht="12.75" x14ac:dyDescent="0.2">
      <c r="A35" s="48"/>
      <c r="B35" s="55" t="s">
        <v>44</v>
      </c>
      <c r="C35" s="50" t="s">
        <v>105</v>
      </c>
      <c r="D35" s="50"/>
      <c r="E35" s="51"/>
      <c r="F35" s="51"/>
      <c r="G35" s="50"/>
      <c r="H35" s="50"/>
      <c r="I35" s="53"/>
    </row>
    <row r="36" spans="1:9" ht="13.5" thickBot="1" x14ac:dyDescent="0.25">
      <c r="A36" s="56"/>
      <c r="B36" s="57" t="s">
        <v>45</v>
      </c>
      <c r="C36" s="58">
        <v>0</v>
      </c>
      <c r="D36" s="58"/>
      <c r="E36" s="59"/>
      <c r="F36" s="59"/>
      <c r="G36" s="60"/>
      <c r="H36" s="60"/>
      <c r="I36" s="61"/>
    </row>
  </sheetData>
  <mergeCells count="9">
    <mergeCell ref="A29:B30"/>
    <mergeCell ref="C29:D29"/>
    <mergeCell ref="C18:E18"/>
    <mergeCell ref="G18:K18"/>
    <mergeCell ref="C2:E2"/>
    <mergeCell ref="M2:O2"/>
    <mergeCell ref="P2:S2"/>
    <mergeCell ref="D3:E3"/>
    <mergeCell ref="T8:T10"/>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3514-C9C6-45B1-AE22-7D1752CC477E}">
  <dimension ref="A1:Y39"/>
  <sheetViews>
    <sheetView workbookViewId="0">
      <selection activeCell="Q24" sqref="Q24"/>
    </sheetView>
  </sheetViews>
  <sheetFormatPr defaultColWidth="17.33203125" defaultRowHeight="11.25" x14ac:dyDescent="0.2"/>
  <cols>
    <col min="1" max="1" width="15.6640625" customWidth="1"/>
    <col min="2" max="2" width="38.33203125" customWidth="1"/>
    <col min="3" max="3" width="13.1640625" customWidth="1"/>
    <col min="4" max="4" width="15.6640625" customWidth="1"/>
    <col min="5" max="5" width="12.5" bestFit="1" customWidth="1"/>
    <col min="6" max="6" width="18.83203125" customWidth="1"/>
    <col min="7" max="7" width="13.33203125" customWidth="1"/>
    <col min="8" max="8" width="13" customWidth="1"/>
    <col min="9" max="9" width="15.83203125" customWidth="1"/>
    <col min="12" max="12" width="13.33203125" customWidth="1"/>
    <col min="20" max="20" width="15.33203125" bestFit="1" customWidth="1"/>
    <col min="21" max="21" width="10.5" customWidth="1"/>
    <col min="24" max="24" width="10.1640625" customWidth="1"/>
    <col min="25" max="25" width="45.83203125" customWidth="1"/>
  </cols>
  <sheetData>
    <row r="1" spans="1:25" ht="16.5" thickBot="1" x14ac:dyDescent="0.3">
      <c r="A1" s="211" t="s">
        <v>158</v>
      </c>
    </row>
    <row r="2" spans="1:25" ht="12.75" x14ac:dyDescent="0.25">
      <c r="A2" s="294"/>
      <c r="B2" s="295"/>
      <c r="C2" s="566" t="s">
        <v>128</v>
      </c>
      <c r="D2" s="567"/>
      <c r="E2" s="567"/>
      <c r="F2" s="296"/>
      <c r="G2" s="297" t="s">
        <v>129</v>
      </c>
      <c r="H2" s="298"/>
      <c r="I2" s="298"/>
      <c r="J2" s="298"/>
      <c r="K2" s="298"/>
      <c r="L2" s="299" t="s">
        <v>161</v>
      </c>
      <c r="M2" s="547" t="s">
        <v>162</v>
      </c>
      <c r="N2" s="548"/>
      <c r="O2" s="548"/>
      <c r="P2" s="549" t="s">
        <v>163</v>
      </c>
      <c r="Q2" s="550"/>
      <c r="R2" s="550"/>
      <c r="S2" s="550"/>
      <c r="T2" s="300" t="s">
        <v>164</v>
      </c>
      <c r="U2" s="300" t="s">
        <v>165</v>
      </c>
      <c r="V2" s="301" t="s">
        <v>166</v>
      </c>
    </row>
    <row r="3" spans="1:25" ht="12.75" x14ac:dyDescent="0.25">
      <c r="A3" s="302" t="s">
        <v>133</v>
      </c>
      <c r="B3" s="302" t="s">
        <v>5</v>
      </c>
      <c r="C3" s="303" t="s">
        <v>167</v>
      </c>
      <c r="D3" s="551" t="s">
        <v>168</v>
      </c>
      <c r="E3" s="552"/>
      <c r="F3" s="302" t="s">
        <v>134</v>
      </c>
      <c r="G3" s="304" t="s">
        <v>169</v>
      </c>
      <c r="H3" s="305" t="s">
        <v>85</v>
      </c>
      <c r="I3" s="305" t="s">
        <v>136</v>
      </c>
      <c r="J3" s="306"/>
      <c r="K3" s="307" t="s">
        <v>170</v>
      </c>
      <c r="L3" s="308" t="s">
        <v>171</v>
      </c>
      <c r="M3" s="308" t="s">
        <v>69</v>
      </c>
      <c r="N3" s="309" t="s">
        <v>133</v>
      </c>
      <c r="O3" s="310" t="s">
        <v>172</v>
      </c>
      <c r="P3" s="308" t="s">
        <v>139</v>
      </c>
      <c r="Q3" s="311" t="s">
        <v>140</v>
      </c>
      <c r="R3" s="312" t="s">
        <v>173</v>
      </c>
      <c r="S3" s="309" t="s">
        <v>174</v>
      </c>
      <c r="T3" s="313" t="s">
        <v>175</v>
      </c>
      <c r="U3" s="313" t="s">
        <v>175</v>
      </c>
      <c r="V3" s="314" t="s">
        <v>175</v>
      </c>
    </row>
    <row r="4" spans="1:25" ht="13.5" thickBot="1" x14ac:dyDescent="0.3">
      <c r="A4" s="302" t="s">
        <v>142</v>
      </c>
      <c r="B4" s="302"/>
      <c r="C4" s="315" t="s">
        <v>176</v>
      </c>
      <c r="D4" s="316" t="s">
        <v>177</v>
      </c>
      <c r="E4" s="316" t="s">
        <v>178</v>
      </c>
      <c r="F4" s="317"/>
      <c r="G4" s="318" t="s">
        <v>144</v>
      </c>
      <c r="H4" s="319" t="s">
        <v>144</v>
      </c>
      <c r="I4" s="319" t="s">
        <v>144</v>
      </c>
      <c r="J4" s="306"/>
      <c r="K4" s="307"/>
      <c r="L4" s="318" t="s">
        <v>179</v>
      </c>
      <c r="M4" s="320" t="s">
        <v>145</v>
      </c>
      <c r="N4" s="321" t="s">
        <v>180</v>
      </c>
      <c r="O4" s="321" t="s">
        <v>181</v>
      </c>
      <c r="P4" s="322" t="s">
        <v>144</v>
      </c>
      <c r="Q4" s="323" t="s">
        <v>145</v>
      </c>
      <c r="R4" s="324" t="s">
        <v>182</v>
      </c>
      <c r="S4" s="321" t="s">
        <v>183</v>
      </c>
      <c r="T4" s="325" t="s">
        <v>184</v>
      </c>
      <c r="U4" s="325" t="s">
        <v>185</v>
      </c>
      <c r="V4" s="326" t="s">
        <v>186</v>
      </c>
    </row>
    <row r="5" spans="1:25" ht="23.25" thickBot="1" x14ac:dyDescent="0.3">
      <c r="A5" s="327"/>
      <c r="B5" s="327" t="s">
        <v>146</v>
      </c>
      <c r="C5" s="328" t="s">
        <v>147</v>
      </c>
      <c r="D5" s="329" t="s">
        <v>147</v>
      </c>
      <c r="E5" s="329" t="s">
        <v>147</v>
      </c>
      <c r="F5" s="330"/>
      <c r="G5" s="331" t="s">
        <v>147</v>
      </c>
      <c r="H5" s="332" t="s">
        <v>147</v>
      </c>
      <c r="I5" s="332" t="s">
        <v>148</v>
      </c>
      <c r="J5" s="333" t="s">
        <v>187</v>
      </c>
      <c r="K5" s="334"/>
      <c r="L5" s="331" t="s">
        <v>147</v>
      </c>
      <c r="M5" s="335" t="s">
        <v>149</v>
      </c>
      <c r="N5" s="336" t="s">
        <v>188</v>
      </c>
      <c r="O5" s="336" t="s">
        <v>188</v>
      </c>
      <c r="P5" s="335" t="s">
        <v>147</v>
      </c>
      <c r="Q5" s="337" t="s">
        <v>149</v>
      </c>
      <c r="R5" s="338" t="s">
        <v>189</v>
      </c>
      <c r="S5" s="336" t="s">
        <v>188</v>
      </c>
      <c r="T5" s="339" t="s">
        <v>188</v>
      </c>
      <c r="U5" s="339" t="s">
        <v>188</v>
      </c>
      <c r="V5" s="340" t="s">
        <v>188</v>
      </c>
    </row>
    <row r="6" spans="1:25" s="276" customFormat="1" x14ac:dyDescent="0.2">
      <c r="A6" s="471" t="s">
        <v>198</v>
      </c>
      <c r="B6" s="472">
        <v>41134</v>
      </c>
      <c r="C6" s="473">
        <v>4.75</v>
      </c>
      <c r="D6" s="473">
        <v>0</v>
      </c>
      <c r="E6" s="473">
        <v>0</v>
      </c>
      <c r="F6" s="474" t="s">
        <v>199</v>
      </c>
      <c r="G6" s="475">
        <v>0.9</v>
      </c>
      <c r="H6" s="476"/>
      <c r="I6" s="476">
        <f>AVERAGE(0.9,1.03,0.75)</f>
        <v>0.89333333333333342</v>
      </c>
      <c r="J6" s="477"/>
      <c r="K6" s="478">
        <v>3</v>
      </c>
      <c r="L6" s="479">
        <f>C6</f>
        <v>4.75</v>
      </c>
      <c r="M6" s="480">
        <v>0.8</v>
      </c>
      <c r="N6" s="476">
        <f>L6*M6</f>
        <v>3.8000000000000003</v>
      </c>
      <c r="O6" s="476">
        <v>-2.4000000000000021E-2</v>
      </c>
      <c r="P6" s="479"/>
      <c r="Q6" s="476"/>
      <c r="R6" s="478"/>
      <c r="S6" s="476"/>
      <c r="T6" s="481">
        <v>-0.85392000000000012</v>
      </c>
      <c r="U6" s="400">
        <f>O6</f>
        <v>-2.4000000000000021E-2</v>
      </c>
      <c r="V6" s="394"/>
    </row>
    <row r="7" spans="1:25" s="276" customFormat="1" ht="12" thickBot="1" x14ac:dyDescent="0.25">
      <c r="A7" s="482" t="s">
        <v>200</v>
      </c>
      <c r="B7" s="406">
        <v>41134</v>
      </c>
      <c r="C7" s="408">
        <v>2.48</v>
      </c>
      <c r="D7" s="408">
        <v>0</v>
      </c>
      <c r="E7" s="409">
        <v>0</v>
      </c>
      <c r="F7" s="410" t="s">
        <v>199</v>
      </c>
      <c r="G7" s="409">
        <v>1</v>
      </c>
      <c r="H7" s="414"/>
      <c r="I7" s="414">
        <f>AVERAGE(1,1.25,1.25,1.18,1.1,0.55,0.5,0.8,0.9,0.6)</f>
        <v>0.91299999999999992</v>
      </c>
      <c r="J7" s="414"/>
      <c r="K7" s="414">
        <v>10</v>
      </c>
      <c r="L7" s="415">
        <f>C7</f>
        <v>2.48</v>
      </c>
      <c r="M7" s="411">
        <v>0.8</v>
      </c>
      <c r="N7" s="418">
        <f>L7*M7</f>
        <v>1.984</v>
      </c>
      <c r="O7" s="418">
        <v>-0.28000000000000025</v>
      </c>
      <c r="P7" s="409"/>
      <c r="Q7" s="414"/>
      <c r="R7" s="414"/>
      <c r="S7" s="414"/>
      <c r="T7" s="483">
        <v>-0.88180000000000025</v>
      </c>
      <c r="U7" s="415">
        <f>O7</f>
        <v>-0.28000000000000025</v>
      </c>
      <c r="V7" s="415" t="e">
        <f>#REF!+Z7</f>
        <v>#REF!</v>
      </c>
    </row>
    <row r="8" spans="1:25" s="276" customFormat="1" x14ac:dyDescent="0.2">
      <c r="A8" s="280" t="s">
        <v>159</v>
      </c>
      <c r="B8" s="281">
        <v>41431</v>
      </c>
      <c r="C8" s="282">
        <f>(30/3.2808)-1.4</f>
        <v>7.7441111923920989</v>
      </c>
      <c r="D8" s="283">
        <v>0</v>
      </c>
      <c r="E8" s="284">
        <v>0</v>
      </c>
      <c r="F8" s="285" t="s">
        <v>86</v>
      </c>
      <c r="G8" s="286">
        <v>3.6</v>
      </c>
      <c r="H8" s="287">
        <f>AVERAGE(3.35,3.7)</f>
        <v>3.5250000000000004</v>
      </c>
      <c r="I8" s="287">
        <f>AVERAGE(3.6,3.35,3.7)</f>
        <v>3.5500000000000003</v>
      </c>
      <c r="J8" s="288" t="s">
        <v>160</v>
      </c>
      <c r="K8" s="289">
        <v>3</v>
      </c>
      <c r="L8" s="290">
        <f>C8-G8</f>
        <v>4.1441111923920992</v>
      </c>
      <c r="M8" s="291"/>
      <c r="N8" s="292"/>
      <c r="O8" s="292"/>
      <c r="P8" s="290">
        <f>I8</f>
        <v>3.5500000000000003</v>
      </c>
      <c r="Q8" s="287">
        <f>Q9</f>
        <v>0.3</v>
      </c>
      <c r="R8" s="288" t="s">
        <v>155</v>
      </c>
      <c r="S8" s="293">
        <f>P8*Q8</f>
        <v>1.0649999999999999</v>
      </c>
      <c r="T8" s="553">
        <f>AVERAGE(S8:S10)</f>
        <v>0.97675000000000001</v>
      </c>
      <c r="U8" s="389" t="s">
        <v>160</v>
      </c>
      <c r="V8" s="284"/>
    </row>
    <row r="9" spans="1:25" s="276" customFormat="1" x14ac:dyDescent="0.2">
      <c r="A9" s="390" t="s">
        <v>201</v>
      </c>
      <c r="B9" s="391">
        <v>41431</v>
      </c>
      <c r="C9" s="392">
        <f>(30/3.2808)-1.59</f>
        <v>7.5541111923920994</v>
      </c>
      <c r="D9" s="393">
        <v>0</v>
      </c>
      <c r="E9" s="394">
        <v>0</v>
      </c>
      <c r="F9" s="395" t="s">
        <v>86</v>
      </c>
      <c r="G9" s="396">
        <v>2.8</v>
      </c>
      <c r="H9" s="397">
        <f>AVERAGE(2.9,3)</f>
        <v>2.95</v>
      </c>
      <c r="I9" s="397">
        <f>AVERAGE(2.8,2.9,3)</f>
        <v>2.9</v>
      </c>
      <c r="J9" s="398" t="s">
        <v>160</v>
      </c>
      <c r="K9" s="399">
        <v>3</v>
      </c>
      <c r="L9" s="400">
        <f>C9-G9</f>
        <v>4.7541111923920996</v>
      </c>
      <c r="M9" s="401"/>
      <c r="N9" s="402"/>
      <c r="O9" s="402"/>
      <c r="P9" s="400">
        <f>I9</f>
        <v>2.9</v>
      </c>
      <c r="Q9" s="397">
        <v>0.3</v>
      </c>
      <c r="R9" s="398" t="s">
        <v>155</v>
      </c>
      <c r="S9" s="403">
        <f>P9*Q9</f>
        <v>0.87</v>
      </c>
      <c r="T9" s="554"/>
      <c r="U9" s="404" t="s">
        <v>160</v>
      </c>
      <c r="V9" s="394"/>
    </row>
    <row r="10" spans="1:25" s="507" customFormat="1" ht="12" thickBot="1" x14ac:dyDescent="0.25">
      <c r="A10" s="492" t="s">
        <v>202</v>
      </c>
      <c r="B10" s="493">
        <v>41431</v>
      </c>
      <c r="C10" s="494">
        <f>(30/3.2808)-1.77</f>
        <v>7.3741111923920997</v>
      </c>
      <c r="D10" s="495">
        <v>0</v>
      </c>
      <c r="E10" s="496">
        <v>0</v>
      </c>
      <c r="F10" s="497" t="s">
        <v>86</v>
      </c>
      <c r="G10" s="498">
        <v>3.3</v>
      </c>
      <c r="H10" s="499">
        <f>AVERAGE(2.72,3.68,3.57)</f>
        <v>3.3233333333333337</v>
      </c>
      <c r="I10" s="499">
        <f>AVERAGE(3.3,2.72,3.68,3.57)</f>
        <v>3.3174999999999999</v>
      </c>
      <c r="J10" s="500" t="s">
        <v>160</v>
      </c>
      <c r="K10" s="501">
        <v>4</v>
      </c>
      <c r="L10" s="502">
        <f>C10-G10</f>
        <v>4.0741111923920998</v>
      </c>
      <c r="M10" s="503"/>
      <c r="N10" s="504"/>
      <c r="O10" s="504"/>
      <c r="P10" s="502">
        <f>I10</f>
        <v>3.3174999999999999</v>
      </c>
      <c r="Q10" s="499">
        <f>Q9</f>
        <v>0.3</v>
      </c>
      <c r="R10" s="500" t="s">
        <v>155</v>
      </c>
      <c r="S10" s="505">
        <f>P10*Q10</f>
        <v>0.99524999999999997</v>
      </c>
      <c r="T10" s="554"/>
      <c r="U10" s="506" t="s">
        <v>160</v>
      </c>
      <c r="V10" s="496"/>
    </row>
    <row r="11" spans="1:25" s="276" customFormat="1" x14ac:dyDescent="0.2">
      <c r="A11" s="484" t="s">
        <v>198</v>
      </c>
      <c r="B11" s="485">
        <v>41487</v>
      </c>
      <c r="C11" s="282">
        <f>9-2.83</f>
        <v>6.17</v>
      </c>
      <c r="D11" s="283">
        <v>0</v>
      </c>
      <c r="E11" s="284">
        <v>0</v>
      </c>
      <c r="F11" s="285" t="s">
        <v>190</v>
      </c>
      <c r="G11" s="290">
        <v>1.4</v>
      </c>
      <c r="H11" s="287" t="s">
        <v>160</v>
      </c>
      <c r="I11" s="287" t="s">
        <v>160</v>
      </c>
      <c r="J11" s="288" t="s">
        <v>160</v>
      </c>
      <c r="K11" s="289">
        <v>1</v>
      </c>
      <c r="L11" s="290">
        <f>C11</f>
        <v>6.17</v>
      </c>
      <c r="M11" s="286"/>
      <c r="N11" s="293"/>
      <c r="O11" s="287"/>
      <c r="P11" s="290">
        <f>G11</f>
        <v>1.4</v>
      </c>
      <c r="Q11" s="287">
        <f>0.44</f>
        <v>0.44</v>
      </c>
      <c r="R11" s="289" t="s">
        <v>152</v>
      </c>
      <c r="S11" s="293">
        <f>((P11*Q11)-(P11*(1-(Q11/0.9)))*0.07)</f>
        <v>0.56591111111111114</v>
      </c>
      <c r="T11" s="403"/>
      <c r="U11" s="403">
        <f>S11</f>
        <v>0.56591111111111114</v>
      </c>
      <c r="V11" s="284"/>
    </row>
    <row r="12" spans="1:25" s="276" customFormat="1" x14ac:dyDescent="0.2">
      <c r="A12" s="486" t="s">
        <v>200</v>
      </c>
      <c r="B12" s="487">
        <v>41487</v>
      </c>
      <c r="C12" s="392">
        <f>6-1.83</f>
        <v>4.17</v>
      </c>
      <c r="D12" s="393">
        <v>0</v>
      </c>
      <c r="E12" s="394">
        <v>0</v>
      </c>
      <c r="F12" s="395" t="s">
        <v>190</v>
      </c>
      <c r="G12" s="400">
        <v>1.6</v>
      </c>
      <c r="H12" s="397" t="s">
        <v>160</v>
      </c>
      <c r="I12" s="397" t="s">
        <v>160</v>
      </c>
      <c r="J12" s="398" t="s">
        <v>160</v>
      </c>
      <c r="K12" s="399">
        <v>1</v>
      </c>
      <c r="L12" s="400">
        <f>C12</f>
        <v>4.17</v>
      </c>
      <c r="M12" s="286"/>
      <c r="N12" s="403"/>
      <c r="O12" s="397"/>
      <c r="P12" s="400">
        <f>G12</f>
        <v>1.6</v>
      </c>
      <c r="Q12" s="287">
        <f t="shared" ref="Q12:Q15" si="0">0.44</f>
        <v>0.44</v>
      </c>
      <c r="R12" s="399" t="s">
        <v>152</v>
      </c>
      <c r="S12" s="403">
        <f>((P12*Q12)-(P12*(1-(Q12/0.9)))*0.07)</f>
        <v>0.64675555555555564</v>
      </c>
      <c r="T12" s="403"/>
      <c r="U12" s="403">
        <f>S12</f>
        <v>0.64675555555555564</v>
      </c>
      <c r="V12" s="488"/>
    </row>
    <row r="13" spans="1:25" s="276" customFormat="1" x14ac:dyDescent="0.2">
      <c r="A13" s="489" t="s">
        <v>159</v>
      </c>
      <c r="B13" s="490">
        <v>41487</v>
      </c>
      <c r="C13" s="282">
        <f>(30/3.2808)-3.38</f>
        <v>5.7641111923920993</v>
      </c>
      <c r="D13" s="283">
        <v>0</v>
      </c>
      <c r="E13" s="284">
        <v>0</v>
      </c>
      <c r="F13" s="285" t="s">
        <v>190</v>
      </c>
      <c r="G13" s="290">
        <v>1.55</v>
      </c>
      <c r="H13" s="287" t="s">
        <v>160</v>
      </c>
      <c r="I13" s="287" t="s">
        <v>160</v>
      </c>
      <c r="J13" s="287">
        <f>C13-G13-L8</f>
        <v>7.0000000000000284E-2</v>
      </c>
      <c r="K13" s="289">
        <v>1</v>
      </c>
      <c r="L13" s="290">
        <f>C13</f>
        <v>5.7641111923920993</v>
      </c>
      <c r="M13" s="286"/>
      <c r="N13" s="293"/>
      <c r="O13" s="287"/>
      <c r="P13" s="290">
        <f>G13</f>
        <v>1.55</v>
      </c>
      <c r="Q13" s="287">
        <f t="shared" si="0"/>
        <v>0.44</v>
      </c>
      <c r="R13" s="289" t="s">
        <v>152</v>
      </c>
      <c r="S13" s="293">
        <f>((P13*Q13)-(P13*(1-(Q13/0.9)))*0.07)</f>
        <v>0.62654444444444446</v>
      </c>
      <c r="T13" s="403">
        <f>-(S8-S13)</f>
        <v>-0.43845555555555549</v>
      </c>
      <c r="U13" s="403">
        <f>S13</f>
        <v>0.62654444444444446</v>
      </c>
      <c r="W13" s="222"/>
      <c r="X13" s="223"/>
      <c r="Y13" s="222"/>
    </row>
    <row r="14" spans="1:25" s="276" customFormat="1" x14ac:dyDescent="0.2">
      <c r="A14" s="486" t="s">
        <v>201</v>
      </c>
      <c r="B14" s="487">
        <v>41487</v>
      </c>
      <c r="C14" s="491">
        <f>(30/3.2808)-3.63</f>
        <v>5.5141111923920993</v>
      </c>
      <c r="D14" s="395">
        <v>0</v>
      </c>
      <c r="E14" s="404">
        <v>0</v>
      </c>
      <c r="F14" s="395" t="s">
        <v>190</v>
      </c>
      <c r="G14" s="396">
        <v>1.25</v>
      </c>
      <c r="H14" s="397">
        <f>AVERAGE(1.83,1.8)</f>
        <v>1.8149999999999999</v>
      </c>
      <c r="I14" s="397">
        <f>AVERAGE(1.25,1.83,1.8)</f>
        <v>1.6266666666666667</v>
      </c>
      <c r="J14" s="397">
        <f>C14-G14-L9</f>
        <v>-0.49000000000000021</v>
      </c>
      <c r="K14" s="398">
        <v>3</v>
      </c>
      <c r="L14" s="400">
        <f>C14</f>
        <v>5.5141111923920993</v>
      </c>
      <c r="M14" s="286"/>
      <c r="N14" s="403"/>
      <c r="O14" s="397"/>
      <c r="P14" s="400">
        <f>I14</f>
        <v>1.6266666666666667</v>
      </c>
      <c r="Q14" s="287">
        <f t="shared" si="0"/>
        <v>0.44</v>
      </c>
      <c r="R14" s="398" t="s">
        <v>152</v>
      </c>
      <c r="S14" s="403">
        <f>((P14*Q14)-(P14*(1-(Q14/0.9)))*0.07)</f>
        <v>0.65753481481481479</v>
      </c>
      <c r="T14" s="403">
        <f>-(S9-S14)</f>
        <v>-0.2124651851851852</v>
      </c>
      <c r="U14" s="403">
        <f>S14</f>
        <v>0.65753481481481479</v>
      </c>
      <c r="V14" s="404"/>
    </row>
    <row r="15" spans="1:25" s="507" customFormat="1" ht="12" thickBot="1" x14ac:dyDescent="0.25">
      <c r="A15" s="492" t="s">
        <v>202</v>
      </c>
      <c r="B15" s="508">
        <v>41487</v>
      </c>
      <c r="C15" s="509">
        <f>(30/3.2808)-3.76</f>
        <v>5.3841111923920995</v>
      </c>
      <c r="D15" s="495">
        <v>0</v>
      </c>
      <c r="E15" s="496">
        <v>0</v>
      </c>
      <c r="F15" s="497" t="s">
        <v>190</v>
      </c>
      <c r="G15" s="502">
        <v>1.32</v>
      </c>
      <c r="H15" s="505">
        <f>AVERAGE(1.83,1.84)</f>
        <v>1.835</v>
      </c>
      <c r="I15" s="505">
        <f>AVERAGE(1.32,1.83,1.84)</f>
        <v>1.6633333333333333</v>
      </c>
      <c r="J15" s="499">
        <f>C15-G15-L10</f>
        <v>-1.0000000000000675E-2</v>
      </c>
      <c r="K15" s="501">
        <v>3</v>
      </c>
      <c r="L15" s="502">
        <f>C15</f>
        <v>5.3841111923920995</v>
      </c>
      <c r="M15" s="510"/>
      <c r="N15" s="505"/>
      <c r="O15" s="499"/>
      <c r="P15" s="502">
        <f>I15</f>
        <v>1.6633333333333333</v>
      </c>
      <c r="Q15" s="511">
        <f t="shared" si="0"/>
        <v>0.44</v>
      </c>
      <c r="R15" s="501" t="s">
        <v>152</v>
      </c>
      <c r="S15" s="505">
        <f>((P15*Q15)-(P15*(1-(Q15/0.9)))*0.07)</f>
        <v>0.67235629629629634</v>
      </c>
      <c r="T15" s="512">
        <f>-(S10-S15)</f>
        <v>-0.32289370370370363</v>
      </c>
      <c r="U15" s="512">
        <f>S15</f>
        <v>0.67235629629629634</v>
      </c>
      <c r="V15" s="502" t="e">
        <f>Z10+V7</f>
        <v>#REF!</v>
      </c>
    </row>
    <row r="18" spans="1:25" ht="16.5" thickBot="1" x14ac:dyDescent="0.3">
      <c r="A18" s="211" t="s">
        <v>127</v>
      </c>
      <c r="B18" s="212"/>
      <c r="C18" s="213"/>
      <c r="D18" s="214"/>
      <c r="E18" s="214"/>
      <c r="F18" s="215"/>
      <c r="G18" s="215"/>
      <c r="H18" s="215"/>
      <c r="I18" s="215"/>
      <c r="J18" s="216"/>
      <c r="K18" s="217"/>
      <c r="L18" s="218"/>
      <c r="M18" s="219"/>
      <c r="N18" s="218"/>
      <c r="O18" s="218"/>
      <c r="P18" s="216"/>
      <c r="Q18" s="216"/>
      <c r="R18" s="215"/>
      <c r="S18" s="216"/>
      <c r="T18" s="220"/>
      <c r="U18" s="221"/>
      <c r="V18" s="222"/>
    </row>
    <row r="19" spans="1:25" x14ac:dyDescent="0.2">
      <c r="A19" s="224"/>
      <c r="B19" s="225"/>
      <c r="C19" s="560" t="s">
        <v>128</v>
      </c>
      <c r="D19" s="561"/>
      <c r="E19" s="562"/>
      <c r="F19" s="225"/>
      <c r="G19" s="563" t="s">
        <v>129</v>
      </c>
      <c r="H19" s="564"/>
      <c r="I19" s="564"/>
      <c r="J19" s="564"/>
      <c r="K19" s="565"/>
      <c r="L19" s="226"/>
      <c r="M19" s="227"/>
      <c r="N19" s="228" t="s">
        <v>130</v>
      </c>
      <c r="O19" s="229"/>
      <c r="P19" s="230"/>
      <c r="Q19" s="228" t="s">
        <v>131</v>
      </c>
      <c r="R19" s="228"/>
      <c r="S19" s="229"/>
      <c r="T19" s="231" t="s">
        <v>132</v>
      </c>
      <c r="U19" s="228"/>
      <c r="V19" s="232"/>
      <c r="W19" s="232"/>
      <c r="X19" s="232"/>
      <c r="Y19" s="233"/>
    </row>
    <row r="20" spans="1:25" ht="33.75" x14ac:dyDescent="0.2">
      <c r="A20" s="224" t="s">
        <v>133</v>
      </c>
      <c r="B20" s="224" t="s">
        <v>5</v>
      </c>
      <c r="C20" s="234" t="s">
        <v>9</v>
      </c>
      <c r="D20" s="235" t="s">
        <v>10</v>
      </c>
      <c r="E20" s="236" t="s">
        <v>11</v>
      </c>
      <c r="F20" s="224" t="s">
        <v>134</v>
      </c>
      <c r="G20" s="237" t="s">
        <v>135</v>
      </c>
      <c r="H20" s="238"/>
      <c r="I20" s="238" t="s">
        <v>136</v>
      </c>
      <c r="J20" s="238"/>
      <c r="K20" s="239"/>
      <c r="L20" s="240" t="s">
        <v>137</v>
      </c>
      <c r="M20" s="227" t="s">
        <v>69</v>
      </c>
      <c r="N20" s="241" t="s">
        <v>138</v>
      </c>
      <c r="O20" s="242"/>
      <c r="P20" s="227" t="s">
        <v>139</v>
      </c>
      <c r="Q20" s="243" t="s">
        <v>140</v>
      </c>
      <c r="R20" s="241" t="s">
        <v>141</v>
      </c>
      <c r="S20" s="242"/>
      <c r="T20" s="39" t="s">
        <v>19</v>
      </c>
      <c r="U20" s="37" t="s">
        <v>20</v>
      </c>
      <c r="V20" s="37" t="s">
        <v>21</v>
      </c>
      <c r="W20" s="244" t="s">
        <v>22</v>
      </c>
      <c r="X20" s="244" t="s">
        <v>23</v>
      </c>
      <c r="Y20" s="245" t="s">
        <v>27</v>
      </c>
    </row>
    <row r="21" spans="1:25" ht="12.75" x14ac:dyDescent="0.2">
      <c r="A21" s="224" t="s">
        <v>142</v>
      </c>
      <c r="B21" s="224"/>
      <c r="C21" s="234"/>
      <c r="D21" s="235"/>
      <c r="E21" s="236"/>
      <c r="F21" s="225"/>
      <c r="G21" s="237"/>
      <c r="H21" s="238"/>
      <c r="I21" s="238"/>
      <c r="J21" s="238"/>
      <c r="K21" s="239"/>
      <c r="L21" s="224"/>
      <c r="M21" s="227"/>
      <c r="N21" s="246" t="s">
        <v>143</v>
      </c>
      <c r="O21" s="242"/>
      <c r="P21" s="227" t="s">
        <v>144</v>
      </c>
      <c r="Q21" s="247" t="s">
        <v>145</v>
      </c>
      <c r="R21" s="246"/>
      <c r="S21" s="242"/>
      <c r="T21" s="231"/>
      <c r="U21" s="228"/>
      <c r="V21" s="228"/>
      <c r="W21" s="248"/>
      <c r="X21" s="248"/>
      <c r="Y21" s="229"/>
    </row>
    <row r="22" spans="1:25" ht="12" thickBot="1" x14ac:dyDescent="0.25">
      <c r="A22" s="249"/>
      <c r="B22" s="249" t="s">
        <v>146</v>
      </c>
      <c r="C22" s="250" t="s">
        <v>147</v>
      </c>
      <c r="D22" s="251" t="s">
        <v>147</v>
      </c>
      <c r="E22" s="252" t="s">
        <v>147</v>
      </c>
      <c r="F22" s="253"/>
      <c r="G22" s="254" t="s">
        <v>147</v>
      </c>
      <c r="H22" s="255"/>
      <c r="I22" s="255" t="s">
        <v>148</v>
      </c>
      <c r="J22" s="255"/>
      <c r="K22" s="256"/>
      <c r="L22" s="249" t="s">
        <v>147</v>
      </c>
      <c r="M22" s="257" t="s">
        <v>78</v>
      </c>
      <c r="N22" s="258" t="s">
        <v>147</v>
      </c>
      <c r="O22" s="259"/>
      <c r="P22" s="257" t="s">
        <v>147</v>
      </c>
      <c r="Q22" s="260" t="s">
        <v>149</v>
      </c>
      <c r="R22" s="258"/>
      <c r="S22" s="259"/>
      <c r="T22" s="261" t="s">
        <v>150</v>
      </c>
      <c r="U22" s="262" t="s">
        <v>150</v>
      </c>
      <c r="V22" s="262" t="s">
        <v>150</v>
      </c>
      <c r="W22" s="262" t="s">
        <v>150</v>
      </c>
      <c r="X22" s="262" t="s">
        <v>150</v>
      </c>
      <c r="Y22" s="263"/>
    </row>
    <row r="23" spans="1:25" s="134" customFormat="1" x14ac:dyDescent="0.2">
      <c r="A23" s="516" t="s">
        <v>204</v>
      </c>
      <c r="B23" s="365">
        <v>41431</v>
      </c>
      <c r="C23" s="134">
        <v>9.14</v>
      </c>
      <c r="D23" s="134">
        <v>1.77</v>
      </c>
      <c r="E23" s="134">
        <f>C23-D23</f>
        <v>7.370000000000001</v>
      </c>
      <c r="F23" s="134" t="s">
        <v>86</v>
      </c>
      <c r="G23" s="517">
        <f>'FedSampCores13-K17C_2013.06.06'!I2</f>
        <v>3.3</v>
      </c>
      <c r="I23" s="517">
        <f>'FedSampCores13-K17C_2013.06.06'!I3</f>
        <v>3.2333333333333329</v>
      </c>
      <c r="L23" s="517">
        <f>E23-G23</f>
        <v>4.0700000000000012</v>
      </c>
      <c r="P23" s="518">
        <f>'FedSampCores13-K17C_2013.06.06'!I3</f>
        <v>3.2333333333333329</v>
      </c>
      <c r="Q23" s="517">
        <v>0.3</v>
      </c>
      <c r="R23" s="449" t="s">
        <v>152</v>
      </c>
      <c r="U23" s="517">
        <f>P23*Q23</f>
        <v>0.96999999999999986</v>
      </c>
      <c r="W23" s="134" t="s">
        <v>105</v>
      </c>
    </row>
    <row r="24" spans="1:25" s="521" customFormat="1" x14ac:dyDescent="0.2">
      <c r="A24" s="519" t="s">
        <v>204</v>
      </c>
      <c r="B24" s="520">
        <v>41487</v>
      </c>
      <c r="C24" s="521">
        <v>9.14</v>
      </c>
      <c r="D24" s="521">
        <v>3.76</v>
      </c>
      <c r="E24" s="521">
        <f>C24-D24</f>
        <v>5.3800000000000008</v>
      </c>
      <c r="F24" s="521" t="s">
        <v>106</v>
      </c>
      <c r="G24" s="529">
        <f>'Probe13-K17C_2013.08.01'!I2</f>
        <v>1.32</v>
      </c>
      <c r="I24" s="529">
        <f>'Probe13-K17C_2013.08.01'!I3</f>
        <v>1.6633333333333333</v>
      </c>
      <c r="L24" s="529">
        <f>E24-G24</f>
        <v>4.0600000000000005</v>
      </c>
      <c r="P24" s="529">
        <f>I24</f>
        <v>1.6633333333333333</v>
      </c>
      <c r="Q24" s="530">
        <v>0.5</v>
      </c>
      <c r="R24" s="531" t="s">
        <v>152</v>
      </c>
      <c r="T24" s="529">
        <f>V24-U23</f>
        <v>-0.1383333333333332</v>
      </c>
      <c r="V24" s="529">
        <f>P24*Q24</f>
        <v>0.83166666666666667</v>
      </c>
      <c r="X24" s="521">
        <v>0</v>
      </c>
    </row>
    <row r="31" spans="1:25" ht="12" thickBot="1" x14ac:dyDescent="0.25"/>
    <row r="32" spans="1:25" ht="12.75" x14ac:dyDescent="0.2">
      <c r="A32" s="555" t="s">
        <v>32</v>
      </c>
      <c r="B32" s="556"/>
      <c r="C32" s="575" t="s">
        <v>33</v>
      </c>
      <c r="D32" s="559"/>
      <c r="E32" s="41" t="s">
        <v>34</v>
      </c>
      <c r="F32" s="42"/>
      <c r="G32" s="41" t="s">
        <v>35</v>
      </c>
      <c r="H32" s="42"/>
      <c r="I32" s="43" t="s">
        <v>36</v>
      </c>
    </row>
    <row r="33" spans="1:9" ht="38.25" x14ac:dyDescent="0.2">
      <c r="A33" s="557"/>
      <c r="B33" s="558"/>
      <c r="C33" s="44" t="s">
        <v>37</v>
      </c>
      <c r="D33" s="522" t="s">
        <v>38</v>
      </c>
      <c r="E33" s="523" t="s">
        <v>125</v>
      </c>
      <c r="F33" s="46" t="s">
        <v>39</v>
      </c>
      <c r="G33" s="47">
        <f>B23</f>
        <v>41431</v>
      </c>
      <c r="H33" s="46" t="s">
        <v>39</v>
      </c>
      <c r="I33" s="190">
        <f>B24</f>
        <v>41487</v>
      </c>
    </row>
    <row r="34" spans="1:9" ht="12.75" x14ac:dyDescent="0.2">
      <c r="A34" s="48"/>
      <c r="B34" s="49" t="s">
        <v>40</v>
      </c>
      <c r="C34" s="50">
        <f>U23</f>
        <v>0.96999999999999986</v>
      </c>
      <c r="D34" s="209"/>
      <c r="E34" s="210"/>
      <c r="F34" s="52"/>
      <c r="G34" s="52"/>
      <c r="H34" s="50"/>
      <c r="I34" s="53"/>
    </row>
    <row r="35" spans="1:9" ht="12.75" x14ac:dyDescent="0.2">
      <c r="A35" s="48"/>
      <c r="B35" s="49" t="s">
        <v>41</v>
      </c>
      <c r="C35" s="50">
        <f>T24</f>
        <v>-0.1383333333333332</v>
      </c>
      <c r="D35" s="210"/>
      <c r="E35" s="210"/>
      <c r="F35" s="52"/>
      <c r="G35" s="52"/>
      <c r="H35" s="50"/>
      <c r="I35" s="53"/>
    </row>
    <row r="36" spans="1:9" ht="12.75" x14ac:dyDescent="0.2">
      <c r="A36" s="48"/>
      <c r="B36" s="49" t="s">
        <v>42</v>
      </c>
      <c r="C36" s="50">
        <f>V24</f>
        <v>0.83166666666666667</v>
      </c>
      <c r="D36" s="209"/>
      <c r="E36" s="210"/>
      <c r="F36" s="52"/>
      <c r="G36" s="52"/>
      <c r="H36" s="50"/>
      <c r="I36" s="53"/>
    </row>
    <row r="37" spans="1:9" ht="12.75" x14ac:dyDescent="0.2">
      <c r="A37" s="48"/>
      <c r="B37" s="54" t="s">
        <v>43</v>
      </c>
      <c r="C37" s="50" t="s">
        <v>105</v>
      </c>
      <c r="D37" s="50"/>
      <c r="E37" s="209"/>
      <c r="F37" s="50"/>
      <c r="G37" s="50"/>
      <c r="H37" s="50"/>
      <c r="I37" s="53"/>
    </row>
    <row r="38" spans="1:9" ht="12.75" x14ac:dyDescent="0.2">
      <c r="A38" s="48"/>
      <c r="B38" s="55" t="s">
        <v>44</v>
      </c>
      <c r="C38" s="50" t="s">
        <v>105</v>
      </c>
      <c r="D38" s="50"/>
      <c r="E38" s="51"/>
      <c r="F38" s="51"/>
      <c r="G38" s="50"/>
      <c r="H38" s="50"/>
      <c r="I38" s="53"/>
    </row>
    <row r="39" spans="1:9" ht="13.5" thickBot="1" x14ac:dyDescent="0.25">
      <c r="A39" s="56"/>
      <c r="B39" s="57" t="s">
        <v>45</v>
      </c>
      <c r="C39" s="58">
        <v>0</v>
      </c>
      <c r="D39" s="58"/>
      <c r="E39" s="59"/>
      <c r="F39" s="59"/>
      <c r="G39" s="60"/>
      <c r="H39" s="60"/>
      <c r="I39" s="61"/>
    </row>
  </sheetData>
  <mergeCells count="9">
    <mergeCell ref="A32:B33"/>
    <mergeCell ref="C32:D32"/>
    <mergeCell ref="T8:T10"/>
    <mergeCell ref="C2:E2"/>
    <mergeCell ref="M2:O2"/>
    <mergeCell ref="P2:S2"/>
    <mergeCell ref="D3:E3"/>
    <mergeCell ref="C19:E19"/>
    <mergeCell ref="G19:K19"/>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2AD6-D646-4D0C-9F0A-9DB1CACC45BF}">
  <dimension ref="A1:O15"/>
  <sheetViews>
    <sheetView workbookViewId="0">
      <selection activeCell="F24" sqref="F24"/>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21.83203125" customWidth="1"/>
    <col min="9" max="9" width="11.83203125" customWidth="1"/>
    <col min="10" max="10" width="8.6640625" customWidth="1"/>
    <col min="11" max="11" width="19.5" customWidth="1"/>
    <col min="12" max="12" width="7.1640625" customWidth="1"/>
    <col min="13" max="13" width="11.6640625" customWidth="1"/>
    <col min="14" max="14" width="5.83203125" customWidth="1"/>
    <col min="15" max="15" width="16.6640625" customWidth="1"/>
  </cols>
  <sheetData>
    <row r="1" spans="1:15" ht="12.75" x14ac:dyDescent="0.2">
      <c r="A1" s="141" t="s">
        <v>48</v>
      </c>
      <c r="B1" s="71" t="s">
        <v>49</v>
      </c>
      <c r="C1" s="64"/>
      <c r="D1" s="71"/>
      <c r="E1" s="66"/>
      <c r="F1" s="66"/>
      <c r="G1" s="67"/>
      <c r="H1" s="68" t="s">
        <v>154</v>
      </c>
      <c r="I1" s="278">
        <f>MAX(A12:A14)*2.54/100</f>
        <v>3.2766000000000002</v>
      </c>
      <c r="J1" s="70" t="s">
        <v>51</v>
      </c>
      <c r="K1" s="71"/>
      <c r="L1" s="71"/>
      <c r="M1" s="72"/>
      <c r="N1" s="73"/>
      <c r="O1" s="72"/>
    </row>
    <row r="2" spans="1:15" ht="12.75" x14ac:dyDescent="0.2">
      <c r="A2" s="144" t="s">
        <v>52</v>
      </c>
      <c r="B2" s="71" t="s">
        <v>205</v>
      </c>
      <c r="C2" s="76"/>
      <c r="D2" s="71"/>
      <c r="E2" s="78"/>
      <c r="F2" s="78"/>
      <c r="G2" s="79"/>
      <c r="H2" s="80" t="s">
        <v>156</v>
      </c>
      <c r="I2" s="149">
        <f>I12/100</f>
        <v>3.3</v>
      </c>
      <c r="J2" s="70" t="s">
        <v>113</v>
      </c>
      <c r="K2" s="71"/>
      <c r="L2" s="71"/>
      <c r="M2" s="72"/>
      <c r="N2" s="82"/>
      <c r="O2" s="72"/>
    </row>
    <row r="3" spans="1:15" ht="12.75" x14ac:dyDescent="0.2">
      <c r="A3" s="85" t="s">
        <v>55</v>
      </c>
      <c r="B3" s="146">
        <v>41431</v>
      </c>
      <c r="C3" s="76"/>
      <c r="D3" s="78"/>
      <c r="E3" s="78"/>
      <c r="F3" s="78"/>
      <c r="G3" s="79"/>
      <c r="H3" s="85" t="s">
        <v>95</v>
      </c>
      <c r="I3" s="149">
        <f>AVERAGE(I12:I14)/100</f>
        <v>3.2333333333333329</v>
      </c>
      <c r="J3" s="70"/>
      <c r="K3" s="71"/>
      <c r="L3" s="71"/>
      <c r="M3" s="86"/>
      <c r="N3" s="87"/>
      <c r="O3" s="86"/>
    </row>
    <row r="4" spans="1:15" ht="12.75" x14ac:dyDescent="0.2">
      <c r="A4" s="85" t="s">
        <v>57</v>
      </c>
      <c r="B4" s="88" t="s">
        <v>206</v>
      </c>
      <c r="C4" s="76"/>
      <c r="D4" s="78"/>
      <c r="E4" s="78"/>
      <c r="F4" s="78"/>
      <c r="G4" s="79"/>
      <c r="H4" s="85" t="s">
        <v>209</v>
      </c>
      <c r="I4" s="149">
        <f>AVERAGE(E12:E14)</f>
        <v>0.17553468892637211</v>
      </c>
      <c r="J4" s="70"/>
      <c r="K4" s="71"/>
      <c r="L4" s="71"/>
      <c r="M4" s="73"/>
      <c r="N4" s="73"/>
      <c r="O4" s="72"/>
    </row>
    <row r="5" spans="1:15" ht="12.75" x14ac:dyDescent="0.2">
      <c r="A5" s="144" t="s">
        <v>60</v>
      </c>
      <c r="B5" s="91" t="s">
        <v>97</v>
      </c>
      <c r="C5" s="76"/>
      <c r="D5" s="78"/>
      <c r="E5" s="78"/>
      <c r="F5" s="150"/>
      <c r="G5" s="150"/>
      <c r="H5" s="85"/>
      <c r="I5" s="151"/>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126"/>
      <c r="H8" s="72" t="s">
        <v>62</v>
      </c>
      <c r="I8" s="97"/>
      <c r="J8" s="98"/>
      <c r="K8" s="72" t="s">
        <v>63</v>
      </c>
      <c r="L8" s="97"/>
      <c r="M8" s="97"/>
      <c r="N8" s="98"/>
      <c r="O8" s="73" t="s">
        <v>64</v>
      </c>
    </row>
    <row r="9" spans="1:15" x14ac:dyDescent="0.2">
      <c r="A9" s="103"/>
      <c r="B9" s="104"/>
      <c r="C9" s="97"/>
      <c r="D9" s="97"/>
      <c r="E9" s="104"/>
      <c r="F9" s="104"/>
      <c r="G9" s="163"/>
      <c r="H9" s="104"/>
      <c r="I9" s="106"/>
      <c r="J9" s="105"/>
      <c r="K9" s="107"/>
      <c r="L9" s="108"/>
      <c r="M9" s="109"/>
      <c r="N9" s="98"/>
      <c r="O9" s="97"/>
    </row>
    <row r="10" spans="1:15" x14ac:dyDescent="0.2">
      <c r="A10" s="110" t="s">
        <v>65</v>
      </c>
      <c r="B10" s="99" t="s">
        <v>66</v>
      </c>
      <c r="C10" s="111" t="s">
        <v>67</v>
      </c>
      <c r="D10" s="112" t="s">
        <v>68</v>
      </c>
      <c r="E10" s="99" t="s">
        <v>69</v>
      </c>
      <c r="F10" s="99" t="s">
        <v>27</v>
      </c>
      <c r="G10" s="162"/>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3"/>
      <c r="G11" s="164"/>
      <c r="H11" s="123"/>
      <c r="I11" s="124" t="s">
        <v>79</v>
      </c>
      <c r="J11" s="98"/>
      <c r="K11" s="125"/>
      <c r="L11" s="126"/>
      <c r="M11" s="127" t="s">
        <v>80</v>
      </c>
      <c r="N11" s="98"/>
      <c r="O11" s="98" t="s">
        <v>81</v>
      </c>
    </row>
    <row r="12" spans="1:15" x14ac:dyDescent="0.2">
      <c r="A12" s="186">
        <v>85</v>
      </c>
      <c r="B12" s="186"/>
      <c r="C12" s="513">
        <v>156</v>
      </c>
      <c r="D12" s="188">
        <v>134</v>
      </c>
      <c r="E12" s="129">
        <f>(C12-D12)/A12</f>
        <v>0.25882352941176473</v>
      </c>
      <c r="F12" s="98"/>
      <c r="G12" s="131"/>
      <c r="H12" s="98" t="s">
        <v>109</v>
      </c>
      <c r="I12" s="98">
        <v>330</v>
      </c>
      <c r="J12" s="98"/>
      <c r="K12" s="98"/>
      <c r="L12" s="98"/>
      <c r="M12" s="130"/>
      <c r="N12" s="98"/>
      <c r="O12" s="131">
        <f>I1/I2</f>
        <v>0.99290909090909096</v>
      </c>
    </row>
    <row r="13" spans="1:15" x14ac:dyDescent="0.2">
      <c r="A13" s="514">
        <v>103</v>
      </c>
      <c r="B13" s="514"/>
      <c r="C13" s="514">
        <v>152</v>
      </c>
      <c r="D13" s="514">
        <v>134</v>
      </c>
      <c r="E13" s="515">
        <f t="shared" ref="E13" si="0">(C13-D13)/A13</f>
        <v>0.17475728155339806</v>
      </c>
      <c r="H13" t="s">
        <v>110</v>
      </c>
      <c r="I13">
        <v>272</v>
      </c>
    </row>
    <row r="14" spans="1:15" x14ac:dyDescent="0.2">
      <c r="A14" s="514">
        <v>129</v>
      </c>
      <c r="B14" s="514"/>
      <c r="C14" s="514">
        <v>146</v>
      </c>
      <c r="D14" s="514">
        <v>134</v>
      </c>
      <c r="E14" s="515">
        <f>(C14-D14)/A14</f>
        <v>9.3023255813953487E-2</v>
      </c>
      <c r="H14" t="s">
        <v>103</v>
      </c>
      <c r="I14">
        <v>368</v>
      </c>
    </row>
    <row r="15" spans="1:15" x14ac:dyDescent="0.2">
      <c r="H15" t="s">
        <v>207</v>
      </c>
      <c r="I15" s="189">
        <v>357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2F81-4EE6-48CC-A81E-F27106EE441B}">
  <dimension ref="A1:Q21"/>
  <sheetViews>
    <sheetView workbookViewId="0">
      <selection activeCell="H31" sqref="H31"/>
    </sheetView>
  </sheetViews>
  <sheetFormatPr defaultRowHeight="11.25" x14ac:dyDescent="0.2"/>
  <cols>
    <col min="1" max="1" width="26.5" customWidth="1"/>
    <col min="2" max="2" width="25.6640625" customWidth="1"/>
    <col min="3" max="3" width="18" customWidth="1"/>
    <col min="4" max="4" width="16.6640625" customWidth="1"/>
    <col min="5" max="5" width="13.83203125" customWidth="1"/>
    <col min="6" max="6" width="21.33203125" customWidth="1"/>
    <col min="7" max="7" width="16" customWidth="1"/>
    <col min="8" max="8" width="21.83203125" customWidth="1"/>
    <col min="9" max="9" width="12.5" customWidth="1"/>
    <col min="10" max="10" width="10" customWidth="1"/>
    <col min="11" max="11" width="15.83203125" customWidth="1"/>
    <col min="12" max="12" width="8.1640625" customWidth="1"/>
    <col min="13" max="13" width="12" customWidth="1"/>
    <col min="14" max="14" width="6.6640625" bestFit="1" customWidth="1"/>
    <col min="15" max="15" width="19.33203125" customWidth="1"/>
    <col min="16" max="16" width="6.83203125" bestFit="1" customWidth="1"/>
    <col min="17" max="17" width="16.33203125" bestFit="1" customWidth="1"/>
  </cols>
  <sheetData>
    <row r="1" spans="1:17" ht="12.75" x14ac:dyDescent="0.2">
      <c r="A1" s="141" t="s">
        <v>48</v>
      </c>
      <c r="B1" s="71" t="s">
        <v>49</v>
      </c>
      <c r="C1" s="64"/>
      <c r="D1" s="71"/>
      <c r="E1" s="66"/>
      <c r="F1" s="66"/>
      <c r="G1" s="67"/>
      <c r="H1" s="68" t="s">
        <v>208</v>
      </c>
      <c r="I1" s="278">
        <f>MAX(A12:A14)*2.54/100</f>
        <v>0</v>
      </c>
      <c r="J1" s="524" t="s">
        <v>51</v>
      </c>
      <c r="K1" s="71"/>
      <c r="L1" s="71"/>
      <c r="M1" s="72"/>
      <c r="N1" s="73"/>
      <c r="O1" s="72"/>
      <c r="P1" s="143"/>
      <c r="Q1" s="143"/>
    </row>
    <row r="2" spans="1:17" ht="12.75" x14ac:dyDescent="0.2">
      <c r="A2" s="144" t="s">
        <v>52</v>
      </c>
      <c r="B2" s="71" t="s">
        <v>117</v>
      </c>
      <c r="C2" s="76"/>
      <c r="D2" s="71"/>
      <c r="E2" s="78"/>
      <c r="F2" s="78"/>
      <c r="G2" s="79"/>
      <c r="H2" s="80" t="s">
        <v>153</v>
      </c>
      <c r="I2" s="149">
        <f>I12/100</f>
        <v>1.32</v>
      </c>
      <c r="J2" s="90" t="s">
        <v>98</v>
      </c>
      <c r="K2" s="71"/>
      <c r="L2" s="71"/>
      <c r="M2" s="72"/>
      <c r="N2" s="82"/>
      <c r="O2" s="72"/>
      <c r="P2" s="143"/>
      <c r="Q2" s="143"/>
    </row>
    <row r="3" spans="1:17" ht="12.75" x14ac:dyDescent="0.2">
      <c r="A3" s="85" t="s">
        <v>55</v>
      </c>
      <c r="B3" s="146">
        <v>41797</v>
      </c>
      <c r="C3" s="76"/>
      <c r="D3" s="78"/>
      <c r="E3" s="78"/>
      <c r="F3" s="78"/>
      <c r="G3" s="79"/>
      <c r="H3" s="85" t="s">
        <v>95</v>
      </c>
      <c r="I3" s="149">
        <f>AVERAGE(I12:I21)/100</f>
        <v>1.6633333333333333</v>
      </c>
      <c r="J3" s="90"/>
      <c r="K3" s="71"/>
      <c r="L3" s="71"/>
      <c r="M3" s="86"/>
      <c r="N3" s="87"/>
      <c r="O3" s="86"/>
      <c r="P3" s="148"/>
      <c r="Q3" s="148"/>
    </row>
    <row r="4" spans="1:17" ht="12.75" x14ac:dyDescent="0.2">
      <c r="A4" s="85" t="s">
        <v>57</v>
      </c>
      <c r="B4" s="88" t="s">
        <v>213</v>
      </c>
      <c r="C4" s="76"/>
      <c r="D4" s="78"/>
      <c r="E4" s="78"/>
      <c r="F4" s="78"/>
      <c r="G4" s="79"/>
      <c r="H4" s="85" t="s">
        <v>209</v>
      </c>
      <c r="I4" s="149" t="s">
        <v>116</v>
      </c>
      <c r="J4" s="90"/>
      <c r="K4" s="71"/>
      <c r="L4" s="71"/>
      <c r="M4" s="73"/>
      <c r="N4" s="73"/>
      <c r="O4" s="72"/>
      <c r="P4" s="143"/>
      <c r="Q4" s="143"/>
    </row>
    <row r="5" spans="1:17" ht="12.75" x14ac:dyDescent="0.2">
      <c r="A5" s="144" t="s">
        <v>60</v>
      </c>
      <c r="B5" s="91" t="s">
        <v>97</v>
      </c>
      <c r="C5" s="76"/>
      <c r="D5" s="78"/>
      <c r="E5" s="78"/>
      <c r="F5" s="150"/>
      <c r="G5" s="150"/>
      <c r="H5" s="85"/>
      <c r="I5" s="151"/>
      <c r="J5" s="90"/>
      <c r="K5" s="71"/>
      <c r="L5" s="71"/>
      <c r="M5" s="93"/>
      <c r="N5" s="93"/>
      <c r="O5" s="94"/>
      <c r="P5" s="152"/>
      <c r="Q5" s="152"/>
    </row>
    <row r="6" spans="1:17" x14ac:dyDescent="0.2">
      <c r="A6" s="95"/>
      <c r="B6" s="95"/>
      <c r="C6" s="95"/>
      <c r="D6" s="95"/>
      <c r="E6" s="96"/>
      <c r="F6" s="93"/>
      <c r="G6" s="93"/>
      <c r="H6" s="97"/>
      <c r="I6" s="97"/>
      <c r="J6" s="98"/>
      <c r="K6" s="98"/>
      <c r="L6" s="97"/>
      <c r="M6" s="97"/>
      <c r="N6" s="98"/>
      <c r="O6" s="98"/>
      <c r="P6" s="131"/>
      <c r="Q6" s="131"/>
    </row>
    <row r="7" spans="1:17" x14ac:dyDescent="0.2">
      <c r="A7" s="95"/>
      <c r="B7" s="95"/>
      <c r="C7" s="95"/>
      <c r="D7" s="95"/>
      <c r="E7" s="96"/>
      <c r="F7" s="99"/>
      <c r="G7" s="100"/>
      <c r="H7" s="97"/>
      <c r="I7" s="97"/>
      <c r="J7" s="98"/>
      <c r="K7" s="98"/>
      <c r="L7" s="97"/>
      <c r="M7" s="97"/>
      <c r="N7" s="98"/>
      <c r="O7" s="98"/>
      <c r="P7" s="131"/>
      <c r="Q7" s="131"/>
    </row>
    <row r="8" spans="1:17" ht="12" thickBot="1" x14ac:dyDescent="0.25">
      <c r="A8" s="95"/>
      <c r="B8" s="95"/>
      <c r="C8" s="101"/>
      <c r="D8" s="101"/>
      <c r="E8" s="102"/>
      <c r="F8" s="98"/>
      <c r="G8" s="98"/>
      <c r="H8" s="72" t="s">
        <v>62</v>
      </c>
      <c r="I8" s="97"/>
      <c r="J8" s="98"/>
      <c r="K8" s="72" t="s">
        <v>63</v>
      </c>
      <c r="L8" s="97"/>
      <c r="M8" s="97"/>
      <c r="N8" s="98"/>
      <c r="O8" s="73" t="s">
        <v>64</v>
      </c>
      <c r="P8" s="131"/>
      <c r="Q8" s="131"/>
    </row>
    <row r="9" spans="1:17" x14ac:dyDescent="0.2">
      <c r="A9" s="103"/>
      <c r="B9" s="104"/>
      <c r="C9" s="97"/>
      <c r="D9" s="97"/>
      <c r="E9" s="104"/>
      <c r="F9" s="104"/>
      <c r="G9" s="105"/>
      <c r="H9" s="103"/>
      <c r="I9" s="106"/>
      <c r="J9" s="105"/>
      <c r="K9" s="107"/>
      <c r="L9" s="108"/>
      <c r="M9" s="109"/>
      <c r="N9" s="98"/>
      <c r="O9" s="97"/>
      <c r="P9" s="131"/>
      <c r="Q9" s="131"/>
    </row>
    <row r="10" spans="1:17" x14ac:dyDescent="0.2">
      <c r="A10" s="110" t="s">
        <v>65</v>
      </c>
      <c r="B10" s="99" t="s">
        <v>66</v>
      </c>
      <c r="C10" s="111" t="s">
        <v>67</v>
      </c>
      <c r="D10" s="112" t="s">
        <v>68</v>
      </c>
      <c r="E10" s="99" t="s">
        <v>69</v>
      </c>
      <c r="F10" s="113" t="s">
        <v>27</v>
      </c>
      <c r="G10" s="105"/>
      <c r="H10" s="99" t="s">
        <v>70</v>
      </c>
      <c r="I10" s="114" t="s">
        <v>71</v>
      </c>
      <c r="J10" s="98"/>
      <c r="K10" s="115" t="s">
        <v>72</v>
      </c>
      <c r="L10" s="82" t="s">
        <v>73</v>
      </c>
      <c r="M10" s="116" t="s">
        <v>74</v>
      </c>
      <c r="N10" s="98"/>
      <c r="O10" s="72" t="s">
        <v>75</v>
      </c>
      <c r="P10" s="131"/>
      <c r="Q10" s="131"/>
    </row>
    <row r="11" spans="1:17" ht="12" thickBot="1" x14ac:dyDescent="0.25">
      <c r="A11" s="117" t="s">
        <v>76</v>
      </c>
      <c r="B11" s="118" t="s">
        <v>76</v>
      </c>
      <c r="C11" s="119" t="s">
        <v>77</v>
      </c>
      <c r="D11" s="120" t="s">
        <v>77</v>
      </c>
      <c r="E11" s="121" t="s">
        <v>78</v>
      </c>
      <c r="F11" s="122"/>
      <c r="G11" s="105"/>
      <c r="H11" s="123"/>
      <c r="I11" s="124" t="s">
        <v>79</v>
      </c>
      <c r="J11" s="98"/>
      <c r="K11" s="125"/>
      <c r="L11" s="126"/>
      <c r="M11" s="127" t="s">
        <v>80</v>
      </c>
      <c r="N11" s="98"/>
      <c r="O11" s="98" t="s">
        <v>81</v>
      </c>
      <c r="P11" s="131"/>
      <c r="Q11" s="131"/>
    </row>
    <row r="12" spans="1:17" x14ac:dyDescent="0.2">
      <c r="A12" s="186" t="s">
        <v>116</v>
      </c>
      <c r="B12" s="186"/>
      <c r="C12" s="104"/>
      <c r="D12" s="128"/>
      <c r="E12" s="129"/>
      <c r="F12" s="98"/>
      <c r="G12" s="98"/>
      <c r="H12" s="98" t="s">
        <v>210</v>
      </c>
      <c r="I12" s="98">
        <v>132</v>
      </c>
      <c r="J12" s="98"/>
      <c r="K12" s="98"/>
      <c r="L12" s="98" t="s">
        <v>211</v>
      </c>
      <c r="M12" s="130" t="s">
        <v>212</v>
      </c>
      <c r="N12" s="98"/>
      <c r="O12" s="131" t="s">
        <v>116</v>
      </c>
      <c r="P12" s="131"/>
      <c r="Q12" s="131"/>
    </row>
    <row r="13" spans="1:17" x14ac:dyDescent="0.2">
      <c r="A13" s="186"/>
      <c r="B13" s="186"/>
      <c r="C13" s="98"/>
      <c r="D13" s="132"/>
      <c r="E13" s="133"/>
      <c r="F13" s="98"/>
      <c r="G13" s="98"/>
      <c r="H13" s="98" t="s">
        <v>103</v>
      </c>
      <c r="I13" s="98">
        <v>183</v>
      </c>
      <c r="J13" s="98"/>
      <c r="K13" s="98" t="s">
        <v>116</v>
      </c>
      <c r="L13" s="98"/>
      <c r="M13" s="98"/>
      <c r="N13" s="98"/>
      <c r="O13" s="98"/>
      <c r="P13" s="131"/>
      <c r="Q13" s="131"/>
    </row>
    <row r="14" spans="1:17" x14ac:dyDescent="0.2">
      <c r="A14" s="186"/>
      <c r="B14" s="186"/>
      <c r="C14" s="98"/>
      <c r="D14" s="132"/>
      <c r="E14" s="133"/>
      <c r="F14" s="154"/>
      <c r="G14" s="98"/>
      <c r="H14" s="98" t="s">
        <v>103</v>
      </c>
      <c r="I14" s="98">
        <v>184</v>
      </c>
      <c r="J14" s="98"/>
      <c r="K14" s="98"/>
      <c r="L14" s="98"/>
      <c r="M14" s="98"/>
      <c r="N14" s="98"/>
      <c r="O14" s="98"/>
      <c r="P14" s="131"/>
      <c r="Q14" s="131"/>
    </row>
    <row r="15" spans="1:17" x14ac:dyDescent="0.2">
      <c r="A15" s="191"/>
      <c r="B15" s="191"/>
      <c r="C15" s="95"/>
      <c r="D15" s="95"/>
      <c r="E15" s="102"/>
      <c r="F15" s="154"/>
      <c r="G15" s="98"/>
      <c r="H15" s="98"/>
      <c r="I15" s="98"/>
      <c r="J15" s="98"/>
      <c r="K15" s="98" t="s">
        <v>98</v>
      </c>
      <c r="L15" s="98"/>
      <c r="M15" s="98"/>
      <c r="N15" s="98"/>
      <c r="O15" s="98"/>
      <c r="P15" s="131"/>
      <c r="Q15" s="131"/>
    </row>
    <row r="16" spans="1:17" x14ac:dyDescent="0.2">
      <c r="F16" s="154"/>
      <c r="G16" s="98"/>
      <c r="H16" s="98"/>
      <c r="I16" s="98"/>
      <c r="J16" s="98"/>
      <c r="K16" s="98"/>
      <c r="L16" s="98"/>
      <c r="M16" s="98"/>
      <c r="N16" s="98"/>
      <c r="O16" s="98"/>
      <c r="P16" s="131"/>
      <c r="Q16" s="131"/>
    </row>
    <row r="17" spans="1:17" x14ac:dyDescent="0.2">
      <c r="F17" s="94"/>
      <c r="G17" s="94"/>
      <c r="H17" s="98"/>
      <c r="I17" s="98"/>
      <c r="J17" s="94"/>
      <c r="K17" s="94"/>
      <c r="L17" s="94"/>
      <c r="M17" s="94"/>
      <c r="N17" s="94"/>
      <c r="O17" s="94"/>
      <c r="P17" s="94"/>
      <c r="Q17" s="94"/>
    </row>
    <row r="18" spans="1:17" x14ac:dyDescent="0.2">
      <c r="F18" s="93"/>
      <c r="G18" s="93"/>
      <c r="H18" s="98"/>
      <c r="I18" s="525"/>
      <c r="J18" s="93"/>
      <c r="K18" s="93"/>
      <c r="L18" s="93"/>
      <c r="M18" s="93"/>
      <c r="N18" s="93"/>
      <c r="O18" s="93"/>
      <c r="P18" s="93"/>
      <c r="Q18" s="93"/>
    </row>
    <row r="19" spans="1:17" x14ac:dyDescent="0.2">
      <c r="A19" s="94"/>
      <c r="B19" s="94"/>
      <c r="C19" s="94"/>
      <c r="D19" s="94"/>
      <c r="E19" s="94"/>
      <c r="F19" s="94"/>
      <c r="G19" s="94"/>
      <c r="H19" s="98"/>
      <c r="I19" s="525"/>
      <c r="J19" s="94"/>
      <c r="K19" s="94"/>
      <c r="L19" s="94"/>
      <c r="M19" s="94"/>
      <c r="N19" s="94"/>
      <c r="O19" s="94"/>
      <c r="P19" s="94"/>
      <c r="Q19" s="94"/>
    </row>
    <row r="20" spans="1:17" x14ac:dyDescent="0.2">
      <c r="G20" s="156"/>
      <c r="H20" s="98"/>
      <c r="I20" s="526"/>
      <c r="J20" s="156"/>
      <c r="K20" s="156"/>
      <c r="L20" s="156"/>
      <c r="M20" s="156"/>
      <c r="N20" s="156"/>
      <c r="O20" s="156"/>
      <c r="P20" s="156"/>
      <c r="Q20" s="156"/>
    </row>
    <row r="21" spans="1:17" ht="15" x14ac:dyDescent="0.25">
      <c r="A21" s="527"/>
      <c r="B21" s="527"/>
      <c r="C21" s="527"/>
      <c r="D21" s="527"/>
      <c r="E21" s="527"/>
      <c r="G21" s="157"/>
      <c r="H21" s="98"/>
      <c r="I21" s="528"/>
      <c r="J21" s="157"/>
      <c r="K21" s="157"/>
      <c r="L21" s="157"/>
      <c r="M21" s="157"/>
      <c r="N21" s="157"/>
      <c r="O21" s="157"/>
      <c r="P21" s="157"/>
      <c r="Q21" s="157"/>
    </row>
  </sheetData>
  <conditionalFormatting sqref="P6:P11">
    <cfRule type="aboveAverage" dxfId="7" priority="1" aboveAverage="0" stdDev="1"/>
    <cfRule type="aboveAverage" dxfId="6" priority="2" stdDev="1"/>
  </conditionalFormatting>
  <conditionalFormatting sqref="B21">
    <cfRule type="aboveAverage" dxfId="5" priority="3" aboveAverage="0" stdDev="1"/>
    <cfRule type="aboveAverage" dxfId="4" priority="4" stdDev="1"/>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E1B65-AEE1-4351-8E04-381586D7C1BA}">
  <dimension ref="A1:O14"/>
  <sheetViews>
    <sheetView workbookViewId="0">
      <selection activeCell="J28" sqref="J28"/>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18.83203125" customWidth="1"/>
    <col min="9" max="9" width="15.5" customWidth="1"/>
    <col min="10" max="10" width="8.6640625" customWidth="1"/>
    <col min="11" max="11" width="13.6640625" customWidth="1"/>
    <col min="12" max="12" width="7.1640625" customWidth="1"/>
    <col min="13" max="13" width="10.33203125" customWidth="1"/>
    <col min="14" max="14" width="5.83203125" customWidth="1"/>
    <col min="15" max="15" width="16.6640625" customWidth="1"/>
  </cols>
  <sheetData>
    <row r="1" spans="1:15" ht="12.75" x14ac:dyDescent="0.2">
      <c r="A1" s="62" t="s">
        <v>48</v>
      </c>
      <c r="B1" s="63" t="s">
        <v>49</v>
      </c>
      <c r="C1" s="64"/>
      <c r="D1" s="65"/>
      <c r="E1" s="66"/>
      <c r="F1" s="66"/>
      <c r="G1" s="67"/>
      <c r="H1" s="68" t="s">
        <v>50</v>
      </c>
      <c r="I1" s="69" t="s">
        <v>59</v>
      </c>
      <c r="J1" s="70" t="s">
        <v>51</v>
      </c>
      <c r="K1" s="71"/>
      <c r="L1" s="71"/>
      <c r="M1" s="72"/>
      <c r="N1" s="73"/>
      <c r="O1" s="72"/>
    </row>
    <row r="2" spans="1:15" ht="12.75" x14ac:dyDescent="0.2">
      <c r="A2" s="74" t="s">
        <v>52</v>
      </c>
      <c r="B2" s="75" t="s">
        <v>53</v>
      </c>
      <c r="C2" s="76"/>
      <c r="D2" s="77"/>
      <c r="E2" s="78"/>
      <c r="F2" s="78"/>
      <c r="G2" s="79"/>
      <c r="H2" s="80" t="s">
        <v>54</v>
      </c>
      <c r="I2" s="81"/>
      <c r="J2" s="70"/>
      <c r="K2" s="71"/>
      <c r="L2" s="71"/>
      <c r="M2" s="72"/>
      <c r="N2" s="82"/>
      <c r="O2" s="72"/>
    </row>
    <row r="3" spans="1:15" ht="12.75" x14ac:dyDescent="0.2">
      <c r="A3" s="83" t="s">
        <v>55</v>
      </c>
      <c r="B3" s="84">
        <v>41134</v>
      </c>
      <c r="C3" s="76"/>
      <c r="D3" s="78"/>
      <c r="E3" s="78"/>
      <c r="F3" s="78"/>
      <c r="G3" s="79"/>
      <c r="H3" s="85" t="s">
        <v>56</v>
      </c>
      <c r="I3" s="81">
        <f>AVERAGE(I12:I14)</f>
        <v>0.89333333333333342</v>
      </c>
      <c r="J3" s="70"/>
      <c r="K3" s="71"/>
      <c r="L3" s="71"/>
      <c r="M3" s="86"/>
      <c r="N3" s="87"/>
      <c r="O3" s="86"/>
    </row>
    <row r="4" spans="1:15" ht="12.75" x14ac:dyDescent="0.2">
      <c r="A4" s="83" t="s">
        <v>57</v>
      </c>
      <c r="B4" s="88" t="s">
        <v>88</v>
      </c>
      <c r="C4" s="76"/>
      <c r="D4" s="78"/>
      <c r="E4" s="78"/>
      <c r="F4" s="78"/>
      <c r="G4" s="79"/>
      <c r="H4" s="85" t="s">
        <v>58</v>
      </c>
      <c r="I4" s="89" t="s">
        <v>59</v>
      </c>
      <c r="J4" s="90"/>
      <c r="K4" s="71"/>
      <c r="L4" s="71"/>
      <c r="M4" s="73"/>
      <c r="N4" s="73"/>
      <c r="O4" s="72"/>
    </row>
    <row r="5" spans="1:15" ht="12.75" x14ac:dyDescent="0.2">
      <c r="A5" s="74" t="s">
        <v>60</v>
      </c>
      <c r="B5" s="91" t="s">
        <v>61</v>
      </c>
      <c r="C5" s="76"/>
      <c r="D5" s="78"/>
      <c r="E5" s="78"/>
      <c r="F5" s="78"/>
      <c r="G5" s="79"/>
      <c r="H5" s="85"/>
      <c r="I5" s="92"/>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98"/>
      <c r="H8" s="72" t="s">
        <v>62</v>
      </c>
      <c r="I8" s="97"/>
      <c r="J8" s="98"/>
      <c r="K8" s="72" t="s">
        <v>63</v>
      </c>
      <c r="L8" s="97"/>
      <c r="M8" s="97"/>
      <c r="N8" s="98"/>
      <c r="O8" s="73" t="s">
        <v>64</v>
      </c>
    </row>
    <row r="9" spans="1:15" x14ac:dyDescent="0.2">
      <c r="A9" s="103"/>
      <c r="B9" s="104"/>
      <c r="C9" s="97"/>
      <c r="D9" s="97"/>
      <c r="E9" s="104"/>
      <c r="F9" s="104"/>
      <c r="G9" s="105"/>
      <c r="H9" s="103"/>
      <c r="I9" s="106"/>
      <c r="J9" s="105"/>
      <c r="K9" s="107"/>
      <c r="L9" s="108"/>
      <c r="M9" s="109"/>
      <c r="N9" s="98"/>
      <c r="O9" s="97"/>
    </row>
    <row r="10" spans="1:15" x14ac:dyDescent="0.2">
      <c r="A10" s="110" t="s">
        <v>65</v>
      </c>
      <c r="B10" s="99" t="s">
        <v>66</v>
      </c>
      <c r="C10" s="111" t="s">
        <v>67</v>
      </c>
      <c r="D10" s="112" t="s">
        <v>68</v>
      </c>
      <c r="E10" s="99" t="s">
        <v>69</v>
      </c>
      <c r="F10" s="113" t="s">
        <v>27</v>
      </c>
      <c r="G10" s="105"/>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2"/>
      <c r="G11" s="105"/>
      <c r="H11" s="123"/>
      <c r="I11" s="124" t="s">
        <v>79</v>
      </c>
      <c r="J11" s="98"/>
      <c r="K11" s="125"/>
      <c r="L11" s="126"/>
      <c r="M11" s="127" t="s">
        <v>80</v>
      </c>
      <c r="N11" s="98"/>
      <c r="O11" s="98" t="s">
        <v>81</v>
      </c>
    </row>
    <row r="12" spans="1:15" x14ac:dyDescent="0.2">
      <c r="A12" s="95" t="s">
        <v>82</v>
      </c>
      <c r="B12" s="95" t="s">
        <v>83</v>
      </c>
      <c r="C12" s="104"/>
      <c r="D12" s="128"/>
      <c r="E12" s="129"/>
      <c r="F12" s="98" t="s">
        <v>84</v>
      </c>
      <c r="G12" s="98"/>
      <c r="H12" s="98" t="s">
        <v>85</v>
      </c>
      <c r="I12" s="98">
        <v>0.9</v>
      </c>
      <c r="J12" s="98"/>
      <c r="K12" s="98"/>
      <c r="L12" s="98"/>
      <c r="M12" s="130"/>
      <c r="N12" s="98"/>
      <c r="O12" s="131" t="s">
        <v>61</v>
      </c>
    </row>
    <row r="13" spans="1:15" x14ac:dyDescent="0.2">
      <c r="A13" s="95"/>
      <c r="B13" s="95"/>
      <c r="C13" s="98"/>
      <c r="D13" s="132"/>
      <c r="E13" s="133"/>
      <c r="F13" s="98"/>
      <c r="G13" s="98"/>
      <c r="H13" s="98" t="s">
        <v>85</v>
      </c>
      <c r="I13" s="97">
        <v>1.03</v>
      </c>
      <c r="J13" s="98"/>
      <c r="K13" s="98"/>
      <c r="L13" s="98"/>
      <c r="M13" s="98"/>
      <c r="N13" s="98"/>
      <c r="O13" s="98"/>
    </row>
    <row r="14" spans="1:15" x14ac:dyDescent="0.2">
      <c r="H14" s="98" t="s">
        <v>85</v>
      </c>
      <c r="I14" s="97">
        <v>0.75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91443-C722-4FF4-BCA4-E1F372245ED7}">
  <dimension ref="A1:O13"/>
  <sheetViews>
    <sheetView topLeftCell="B1" workbookViewId="0">
      <selection activeCell="F21" sqref="F21"/>
    </sheetView>
  </sheetViews>
  <sheetFormatPr defaultRowHeight="11.25" x14ac:dyDescent="0.2"/>
  <cols>
    <col min="1" max="1" width="22.83203125" customWidth="1"/>
    <col min="2" max="2" width="22.1640625" customWidth="1"/>
    <col min="3" max="3" width="15.5" customWidth="1"/>
    <col min="4" max="4" width="14.33203125" customWidth="1"/>
    <col min="5" max="5" width="12" customWidth="1"/>
    <col min="6" max="6" width="18.33203125" customWidth="1"/>
    <col min="7" max="7" width="13.83203125" customWidth="1"/>
    <col min="8" max="8" width="22" customWidth="1"/>
    <col min="9" max="9" width="15.83203125" customWidth="1"/>
    <col min="10" max="10" width="8.6640625" customWidth="1"/>
    <col min="11" max="11" width="13.6640625" customWidth="1"/>
    <col min="12" max="12" width="7.1640625" customWidth="1"/>
    <col min="13" max="13" width="10.33203125" customWidth="1"/>
    <col min="14" max="14" width="5.83203125" customWidth="1"/>
    <col min="15" max="15" width="16.6640625" customWidth="1"/>
  </cols>
  <sheetData>
    <row r="1" spans="1:15" ht="12.75" x14ac:dyDescent="0.2">
      <c r="A1" s="62" t="s">
        <v>48</v>
      </c>
      <c r="B1" s="63" t="s">
        <v>49</v>
      </c>
      <c r="C1" s="64"/>
      <c r="D1" s="65"/>
      <c r="E1" s="66"/>
      <c r="F1" s="66"/>
      <c r="G1" s="67"/>
      <c r="H1" s="68" t="s">
        <v>50</v>
      </c>
      <c r="I1" s="69" t="s">
        <v>90</v>
      </c>
      <c r="J1" s="70" t="s">
        <v>51</v>
      </c>
      <c r="K1" s="71"/>
      <c r="L1" s="71"/>
      <c r="M1" s="72"/>
      <c r="N1" s="73"/>
      <c r="O1" s="72"/>
    </row>
    <row r="2" spans="1:15" ht="12.75" x14ac:dyDescent="0.2">
      <c r="A2" s="74" t="s">
        <v>52</v>
      </c>
      <c r="B2" s="75" t="s">
        <v>53</v>
      </c>
      <c r="C2" s="76"/>
      <c r="D2" s="77"/>
      <c r="E2" s="78"/>
      <c r="F2" s="78"/>
      <c r="G2" s="79"/>
      <c r="H2" s="80" t="s">
        <v>54</v>
      </c>
      <c r="I2" s="81">
        <f>I12/100</f>
        <v>2.9</v>
      </c>
      <c r="J2" s="70"/>
      <c r="K2" s="71"/>
      <c r="L2" s="71"/>
      <c r="M2" s="72"/>
      <c r="N2" s="82"/>
      <c r="O2" s="72"/>
    </row>
    <row r="3" spans="1:15" ht="12.75" x14ac:dyDescent="0.2">
      <c r="A3" s="83" t="s">
        <v>55</v>
      </c>
      <c r="B3" s="84">
        <v>41431</v>
      </c>
      <c r="C3" s="76"/>
      <c r="D3" s="78"/>
      <c r="E3" s="78"/>
      <c r="F3" s="78"/>
      <c r="G3" s="79"/>
      <c r="H3" s="85" t="s">
        <v>56</v>
      </c>
      <c r="I3" s="81">
        <f>AVERAGE(I12:I13)/100</f>
        <v>2.88</v>
      </c>
      <c r="J3" s="70"/>
      <c r="K3" s="71"/>
      <c r="L3" s="71"/>
      <c r="M3" s="86"/>
      <c r="N3" s="87"/>
      <c r="O3" s="86"/>
    </row>
    <row r="4" spans="1:15" ht="12.75" x14ac:dyDescent="0.2">
      <c r="A4" s="83" t="s">
        <v>57</v>
      </c>
      <c r="B4" s="88" t="s">
        <v>46</v>
      </c>
      <c r="C4" s="76"/>
      <c r="D4" s="78"/>
      <c r="E4" s="78"/>
      <c r="F4" s="78"/>
      <c r="G4" s="79"/>
      <c r="H4" s="85" t="s">
        <v>58</v>
      </c>
      <c r="I4" s="89" t="s">
        <v>59</v>
      </c>
      <c r="J4" s="90"/>
      <c r="K4" s="71"/>
      <c r="L4" s="71"/>
      <c r="M4" s="73"/>
      <c r="N4" s="73"/>
      <c r="O4" s="72"/>
    </row>
    <row r="5" spans="1:15" ht="12.75" x14ac:dyDescent="0.2">
      <c r="A5" s="74" t="s">
        <v>60</v>
      </c>
      <c r="B5" s="91" t="s">
        <v>61</v>
      </c>
      <c r="C5" s="76"/>
      <c r="D5" s="78"/>
      <c r="E5" s="78"/>
      <c r="F5" s="78"/>
      <c r="G5" s="79"/>
      <c r="H5" s="85"/>
      <c r="I5" s="92"/>
      <c r="J5" s="90"/>
      <c r="K5" s="71"/>
      <c r="L5" s="71"/>
      <c r="M5" s="93"/>
      <c r="N5" s="93"/>
      <c r="O5" s="94"/>
    </row>
    <row r="6" spans="1:15" x14ac:dyDescent="0.2">
      <c r="A6" s="95"/>
      <c r="B6" s="95"/>
      <c r="C6" s="95"/>
      <c r="D6" s="95"/>
      <c r="E6" s="96"/>
      <c r="F6" s="93"/>
      <c r="G6" s="93"/>
      <c r="H6" s="97"/>
      <c r="I6" s="97"/>
      <c r="J6" s="98"/>
      <c r="K6" s="98"/>
      <c r="L6" s="97"/>
      <c r="M6" s="97"/>
      <c r="N6" s="98"/>
      <c r="O6" s="98"/>
    </row>
    <row r="7" spans="1:15" x14ac:dyDescent="0.2">
      <c r="A7" s="95"/>
      <c r="B7" s="95"/>
      <c r="C7" s="95"/>
      <c r="D7" s="95"/>
      <c r="E7" s="96"/>
      <c r="F7" s="99"/>
      <c r="G7" s="100"/>
      <c r="H7" s="97"/>
      <c r="I7" s="97"/>
      <c r="J7" s="98"/>
      <c r="K7" s="98"/>
      <c r="L7" s="97"/>
      <c r="M7" s="97"/>
      <c r="N7" s="98"/>
      <c r="O7" s="98"/>
    </row>
    <row r="8" spans="1:15" ht="12" thickBot="1" x14ac:dyDescent="0.25">
      <c r="A8" s="95"/>
      <c r="B8" s="95"/>
      <c r="C8" s="101"/>
      <c r="D8" s="101"/>
      <c r="E8" s="102"/>
      <c r="F8" s="98"/>
      <c r="G8" s="98"/>
      <c r="H8" s="72" t="s">
        <v>62</v>
      </c>
      <c r="I8" s="97"/>
      <c r="J8" s="98"/>
      <c r="K8" s="72" t="s">
        <v>63</v>
      </c>
      <c r="L8" s="97"/>
      <c r="M8" s="97"/>
      <c r="N8" s="98"/>
      <c r="O8" s="73" t="s">
        <v>64</v>
      </c>
    </row>
    <row r="9" spans="1:15" x14ac:dyDescent="0.2">
      <c r="A9" s="103"/>
      <c r="B9" s="104"/>
      <c r="C9" s="97"/>
      <c r="D9" s="97"/>
      <c r="E9" s="104"/>
      <c r="F9" s="104"/>
      <c r="G9" s="105"/>
      <c r="H9" s="103"/>
      <c r="I9" s="106"/>
      <c r="J9" s="105"/>
      <c r="K9" s="107"/>
      <c r="L9" s="108"/>
      <c r="M9" s="109"/>
      <c r="N9" s="98"/>
      <c r="O9" s="97"/>
    </row>
    <row r="10" spans="1:15" x14ac:dyDescent="0.2">
      <c r="A10" s="110" t="s">
        <v>65</v>
      </c>
      <c r="B10" s="99" t="s">
        <v>66</v>
      </c>
      <c r="C10" s="111" t="s">
        <v>67</v>
      </c>
      <c r="D10" s="112" t="s">
        <v>68</v>
      </c>
      <c r="E10" s="99" t="s">
        <v>69</v>
      </c>
      <c r="F10" s="113" t="s">
        <v>27</v>
      </c>
      <c r="G10" s="105"/>
      <c r="H10" s="99" t="s">
        <v>70</v>
      </c>
      <c r="I10" s="114" t="s">
        <v>71</v>
      </c>
      <c r="J10" s="98"/>
      <c r="K10" s="115" t="s">
        <v>72</v>
      </c>
      <c r="L10" s="82" t="s">
        <v>73</v>
      </c>
      <c r="M10" s="116" t="s">
        <v>74</v>
      </c>
      <c r="N10" s="98"/>
      <c r="O10" s="72" t="s">
        <v>75</v>
      </c>
    </row>
    <row r="11" spans="1:15" ht="12" thickBot="1" x14ac:dyDescent="0.25">
      <c r="A11" s="117" t="s">
        <v>76</v>
      </c>
      <c r="B11" s="118" t="s">
        <v>76</v>
      </c>
      <c r="C11" s="119" t="s">
        <v>77</v>
      </c>
      <c r="D11" s="120" t="s">
        <v>77</v>
      </c>
      <c r="E11" s="121" t="s">
        <v>78</v>
      </c>
      <c r="F11" s="122"/>
      <c r="G11" s="105"/>
      <c r="H11" s="123"/>
      <c r="I11" s="124" t="s">
        <v>79</v>
      </c>
      <c r="J11" s="98"/>
      <c r="K11" s="125"/>
      <c r="L11" s="126"/>
      <c r="M11" s="127" t="s">
        <v>80</v>
      </c>
      <c r="N11" s="98"/>
      <c r="O11" s="98" t="s">
        <v>81</v>
      </c>
    </row>
    <row r="12" spans="1:15" x14ac:dyDescent="0.2">
      <c r="A12" s="95" t="s">
        <v>82</v>
      </c>
      <c r="B12" s="95" t="s">
        <v>89</v>
      </c>
      <c r="C12" s="104"/>
      <c r="D12" s="128"/>
      <c r="E12" s="129"/>
      <c r="F12" s="98" t="s">
        <v>84</v>
      </c>
      <c r="G12" s="98"/>
      <c r="H12" s="98" t="s">
        <v>85</v>
      </c>
      <c r="I12" s="98">
        <v>290</v>
      </c>
      <c r="J12" s="98"/>
      <c r="K12" s="98"/>
      <c r="L12" s="98"/>
      <c r="M12" s="130"/>
      <c r="N12" s="98"/>
      <c r="O12" s="131" t="s">
        <v>61</v>
      </c>
    </row>
    <row r="13" spans="1:15" x14ac:dyDescent="0.2">
      <c r="A13" s="95"/>
      <c r="B13" s="95"/>
      <c r="C13" s="98"/>
      <c r="D13" s="132"/>
      <c r="E13" s="133"/>
      <c r="F13" s="98"/>
      <c r="G13" s="98"/>
      <c r="H13" s="98" t="s">
        <v>85</v>
      </c>
      <c r="I13" s="97">
        <v>286</v>
      </c>
      <c r="J13" s="98"/>
      <c r="K13" s="98"/>
      <c r="L13" s="98"/>
      <c r="M13" s="98"/>
      <c r="N13" s="98"/>
      <c r="O13"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A8B4-A8B6-4DE0-A784-FBE168346312}">
  <dimension ref="A1:Z153"/>
  <sheetViews>
    <sheetView workbookViewId="0">
      <selection activeCell="D35" sqref="D35"/>
    </sheetView>
  </sheetViews>
  <sheetFormatPr defaultColWidth="8" defaultRowHeight="11.25" x14ac:dyDescent="0.2"/>
  <cols>
    <col min="1" max="1" width="22.83203125" style="98" customWidth="1"/>
    <col min="2" max="2" width="22.1640625" style="98" customWidth="1"/>
    <col min="3" max="3" width="15.5" style="161" customWidth="1"/>
    <col min="4" max="4" width="14.33203125" style="161" customWidth="1"/>
    <col min="5" max="5" width="12" style="161" customWidth="1"/>
    <col min="6" max="6" width="18.33203125" style="161" customWidth="1"/>
    <col min="7" max="7" width="13.83203125" style="95" customWidth="1"/>
    <col min="8" max="8" width="25.5" style="132" customWidth="1"/>
    <col min="9" max="9" width="11.6640625" style="95" customWidth="1"/>
    <col min="10" max="10" width="8.6640625" style="95" customWidth="1"/>
    <col min="11" max="11" width="15.83203125" style="102" customWidth="1"/>
    <col min="12" max="12" width="7.1640625" style="154" customWidth="1"/>
    <col min="13" max="13" width="12.1640625" style="98" customWidth="1"/>
    <col min="14" max="14" width="5.83203125" style="98" customWidth="1"/>
    <col min="15" max="15" width="16.6640625" style="97" customWidth="1"/>
    <col min="16" max="16" width="6" style="160" customWidth="1"/>
    <col min="17" max="17" width="14.1640625" style="131" customWidth="1"/>
    <col min="18" max="18" width="6.1640625" style="131" customWidth="1"/>
    <col min="19" max="19" width="8.83203125" style="131" customWidth="1"/>
    <col min="20" max="21" width="17.33203125" style="98" customWidth="1"/>
    <col min="22" max="22" width="9.33203125" style="98" customWidth="1"/>
    <col min="23" max="27" width="5.33203125" style="98" customWidth="1"/>
    <col min="28" max="28" width="17.1640625" style="98" customWidth="1"/>
    <col min="29" max="16384" width="8" style="98"/>
  </cols>
  <sheetData>
    <row r="1" spans="1:24" s="72" customFormat="1" ht="12.75" x14ac:dyDescent="0.2">
      <c r="A1" s="141" t="s">
        <v>48</v>
      </c>
      <c r="B1" s="71" t="s">
        <v>49</v>
      </c>
      <c r="C1" s="64"/>
      <c r="D1" s="71"/>
      <c r="E1" s="66"/>
      <c r="F1" s="66"/>
      <c r="G1" s="67"/>
      <c r="H1" s="68" t="s">
        <v>154</v>
      </c>
      <c r="I1" s="278">
        <f>MAX(A12:A14)*2.54/100</f>
        <v>3.6068000000000002</v>
      </c>
      <c r="J1" s="70" t="s">
        <v>51</v>
      </c>
      <c r="K1" s="71"/>
      <c r="L1" s="71"/>
      <c r="N1" s="73"/>
      <c r="P1" s="143"/>
      <c r="Q1" s="143"/>
      <c r="R1" s="143"/>
      <c r="S1" s="143"/>
    </row>
    <row r="2" spans="1:24" s="72" customFormat="1" ht="12.75" x14ac:dyDescent="0.2">
      <c r="A2" s="144" t="s">
        <v>52</v>
      </c>
      <c r="B2" s="71" t="s">
        <v>99</v>
      </c>
      <c r="C2" s="76"/>
      <c r="D2" s="71"/>
      <c r="E2" s="78"/>
      <c r="F2" s="78"/>
      <c r="G2" s="79"/>
      <c r="H2" s="80" t="s">
        <v>153</v>
      </c>
      <c r="I2" s="149">
        <v>3.6</v>
      </c>
      <c r="J2" s="70" t="s">
        <v>104</v>
      </c>
      <c r="K2" s="71"/>
      <c r="L2" s="71"/>
      <c r="N2" s="82"/>
      <c r="P2" s="143"/>
      <c r="Q2" s="143"/>
      <c r="R2" s="143"/>
      <c r="S2" s="143"/>
    </row>
    <row r="3" spans="1:24" s="86" customFormat="1" ht="11.25" customHeight="1" x14ac:dyDescent="0.2">
      <c r="A3" s="85" t="s">
        <v>55</v>
      </c>
      <c r="B3" s="146">
        <v>41431</v>
      </c>
      <c r="C3" s="76"/>
      <c r="D3" s="78"/>
      <c r="E3" s="78"/>
      <c r="F3" s="78"/>
      <c r="G3" s="79"/>
      <c r="H3" s="85" t="s">
        <v>95</v>
      </c>
      <c r="I3" s="147">
        <f>AVERAGE(I12:I14)/100</f>
        <v>3.55</v>
      </c>
      <c r="J3" s="70"/>
      <c r="K3" s="71"/>
      <c r="L3" s="71"/>
      <c r="N3" s="87"/>
      <c r="P3" s="148"/>
      <c r="Q3" s="148"/>
      <c r="R3" s="148"/>
      <c r="S3" s="148"/>
    </row>
    <row r="4" spans="1:24" s="72" customFormat="1" ht="12.75" x14ac:dyDescent="0.2">
      <c r="A4" s="85" t="s">
        <v>57</v>
      </c>
      <c r="B4" s="88" t="s">
        <v>100</v>
      </c>
      <c r="C4" s="76"/>
      <c r="D4" s="78"/>
      <c r="E4" s="78"/>
      <c r="F4" s="78"/>
      <c r="G4" s="79"/>
      <c r="H4" s="85" t="s">
        <v>96</v>
      </c>
      <c r="I4" s="208">
        <f>AVERAGE(E12:E14)</f>
        <v>0.21072575761331883</v>
      </c>
      <c r="J4" s="70"/>
      <c r="K4" s="71"/>
      <c r="L4" s="71"/>
      <c r="M4" s="73"/>
      <c r="N4" s="73"/>
      <c r="P4" s="143"/>
      <c r="Q4" s="143"/>
      <c r="R4" s="143"/>
      <c r="S4" s="143"/>
    </row>
    <row r="5" spans="1:24" s="94" customFormat="1" ht="12.75" x14ac:dyDescent="0.2">
      <c r="A5" s="144" t="s">
        <v>60</v>
      </c>
      <c r="B5" s="91" t="s">
        <v>97</v>
      </c>
      <c r="C5" s="76"/>
      <c r="D5" s="78"/>
      <c r="E5" s="78"/>
      <c r="F5" s="150"/>
      <c r="G5" s="150"/>
      <c r="H5" s="85"/>
      <c r="I5" s="151"/>
      <c r="J5" s="90"/>
      <c r="K5" s="71"/>
      <c r="L5" s="71"/>
      <c r="M5" s="93"/>
      <c r="N5" s="93"/>
      <c r="P5" s="152"/>
      <c r="Q5" s="152"/>
      <c r="R5" s="152"/>
      <c r="S5" s="152"/>
    </row>
    <row r="6" spans="1:24" x14ac:dyDescent="0.2">
      <c r="A6" s="95"/>
      <c r="B6" s="95"/>
      <c r="C6" s="95"/>
      <c r="D6" s="95"/>
      <c r="E6" s="96"/>
      <c r="F6" s="93"/>
      <c r="G6" s="93"/>
      <c r="H6" s="97"/>
      <c r="I6" s="97"/>
      <c r="J6" s="98"/>
      <c r="K6" s="98"/>
      <c r="L6" s="97"/>
      <c r="M6" s="97"/>
      <c r="O6" s="98"/>
      <c r="P6" s="131"/>
    </row>
    <row r="7" spans="1:24" x14ac:dyDescent="0.2">
      <c r="A7" s="95"/>
      <c r="B7" s="95"/>
      <c r="C7" s="95"/>
      <c r="D7" s="95"/>
      <c r="E7" s="96"/>
      <c r="F7" s="99"/>
      <c r="G7" s="100"/>
      <c r="H7" s="97"/>
      <c r="I7" s="97"/>
      <c r="J7" s="98"/>
      <c r="K7" s="98"/>
      <c r="L7" s="97"/>
      <c r="M7" s="97"/>
      <c r="O7" s="98"/>
      <c r="P7" s="131"/>
    </row>
    <row r="8" spans="1:24" ht="12" thickBot="1" x14ac:dyDescent="0.25">
      <c r="A8" s="95"/>
      <c r="B8" s="95"/>
      <c r="C8" s="101"/>
      <c r="D8" s="101"/>
      <c r="E8" s="102"/>
      <c r="F8" s="98"/>
      <c r="G8" s="126"/>
      <c r="H8" s="72" t="s">
        <v>62</v>
      </c>
      <c r="I8" s="97"/>
      <c r="J8" s="98"/>
      <c r="K8" s="72" t="s">
        <v>63</v>
      </c>
      <c r="L8" s="97"/>
      <c r="M8" s="97"/>
      <c r="O8" s="73" t="s">
        <v>64</v>
      </c>
      <c r="P8" s="131"/>
    </row>
    <row r="9" spans="1:24" x14ac:dyDescent="0.2">
      <c r="A9" s="103"/>
      <c r="B9" s="104"/>
      <c r="C9" s="97"/>
      <c r="D9" s="97"/>
      <c r="E9" s="104"/>
      <c r="F9" s="104"/>
      <c r="G9" s="163"/>
      <c r="H9" s="104"/>
      <c r="I9" s="106"/>
      <c r="J9" s="105"/>
      <c r="K9" s="107"/>
      <c r="L9" s="108"/>
      <c r="M9" s="109"/>
      <c r="P9" s="131"/>
      <c r="W9" s="97"/>
      <c r="X9" s="97"/>
    </row>
    <row r="10" spans="1:24" ht="33.75" x14ac:dyDescent="0.2">
      <c r="A10" s="110" t="s">
        <v>65</v>
      </c>
      <c r="B10" s="99" t="s">
        <v>66</v>
      </c>
      <c r="C10" s="111" t="s">
        <v>67</v>
      </c>
      <c r="D10" s="112" t="s">
        <v>68</v>
      </c>
      <c r="E10" s="99" t="s">
        <v>69</v>
      </c>
      <c r="F10" s="99" t="s">
        <v>27</v>
      </c>
      <c r="G10" s="162" t="s">
        <v>101</v>
      </c>
      <c r="H10" s="99" t="s">
        <v>70</v>
      </c>
      <c r="I10" s="114" t="s">
        <v>71</v>
      </c>
      <c r="J10" s="98"/>
      <c r="K10" s="115" t="s">
        <v>72</v>
      </c>
      <c r="L10" s="82" t="s">
        <v>73</v>
      </c>
      <c r="M10" s="116" t="s">
        <v>74</v>
      </c>
      <c r="O10" s="72" t="s">
        <v>75</v>
      </c>
      <c r="P10" s="131"/>
      <c r="W10" s="153"/>
    </row>
    <row r="11" spans="1:24" ht="12" thickBot="1" x14ac:dyDescent="0.25">
      <c r="A11" s="117" t="s">
        <v>76</v>
      </c>
      <c r="B11" s="118" t="s">
        <v>76</v>
      </c>
      <c r="C11" s="119" t="s">
        <v>77</v>
      </c>
      <c r="D11" s="120" t="s">
        <v>77</v>
      </c>
      <c r="E11" s="121" t="s">
        <v>78</v>
      </c>
      <c r="F11" s="123"/>
      <c r="G11" s="164" t="s">
        <v>78</v>
      </c>
      <c r="H11" s="123"/>
      <c r="I11" s="124" t="s">
        <v>79</v>
      </c>
      <c r="J11" s="98"/>
      <c r="K11" s="125"/>
      <c r="L11" s="126"/>
      <c r="M11" s="127" t="s">
        <v>80</v>
      </c>
      <c r="O11" s="98" t="s">
        <v>81</v>
      </c>
      <c r="P11" s="131"/>
      <c r="W11" s="97"/>
    </row>
    <row r="12" spans="1:24" x14ac:dyDescent="0.2">
      <c r="A12" s="191">
        <v>97</v>
      </c>
      <c r="B12" s="191"/>
      <c r="C12" s="192">
        <v>158</v>
      </c>
      <c r="D12" s="193">
        <v>132</v>
      </c>
      <c r="E12" s="129">
        <f>(C12-D12)/A12</f>
        <v>0.26804123711340205</v>
      </c>
      <c r="F12" s="98"/>
      <c r="G12" s="131"/>
      <c r="H12" s="98" t="s">
        <v>102</v>
      </c>
      <c r="I12" s="98">
        <v>360</v>
      </c>
      <c r="J12" s="98"/>
      <c r="K12" s="98"/>
      <c r="L12" s="98"/>
      <c r="M12" s="130"/>
      <c r="O12" s="131">
        <f>I1/I2</f>
        <v>1.0018888888888888</v>
      </c>
      <c r="P12" s="131"/>
    </row>
    <row r="13" spans="1:24" x14ac:dyDescent="0.2">
      <c r="A13" s="191">
        <v>123</v>
      </c>
      <c r="B13" s="191"/>
      <c r="C13" s="194">
        <v>156</v>
      </c>
      <c r="D13" s="191">
        <v>132</v>
      </c>
      <c r="E13" s="133">
        <f>(C13-D13)/A13</f>
        <v>0.1951219512195122</v>
      </c>
      <c r="F13" s="98"/>
      <c r="G13" s="131"/>
      <c r="H13" s="98" t="s">
        <v>103</v>
      </c>
      <c r="I13" s="97">
        <v>335</v>
      </c>
      <c r="J13" s="98"/>
      <c r="K13" s="98"/>
      <c r="L13" s="98"/>
      <c r="O13" s="98"/>
      <c r="P13" s="131"/>
    </row>
    <row r="14" spans="1:24" x14ac:dyDescent="0.2">
      <c r="A14" s="191">
        <v>142</v>
      </c>
      <c r="B14" s="191"/>
      <c r="C14" s="194">
        <v>156</v>
      </c>
      <c r="D14" s="191">
        <v>132</v>
      </c>
      <c r="E14" s="133">
        <f>(C14-D14)/A14</f>
        <v>0.16901408450704225</v>
      </c>
      <c r="F14" s="154"/>
      <c r="G14" s="131"/>
      <c r="H14" s="98" t="s">
        <v>103</v>
      </c>
      <c r="I14" s="97">
        <v>370</v>
      </c>
      <c r="J14" s="98"/>
      <c r="K14" s="98"/>
      <c r="L14" s="98"/>
      <c r="O14" s="98"/>
      <c r="P14" s="131"/>
    </row>
    <row r="15" spans="1:24" x14ac:dyDescent="0.2">
      <c r="A15" s="95"/>
      <c r="B15" s="95"/>
      <c r="C15" s="95"/>
      <c r="D15" s="95"/>
      <c r="E15" s="102"/>
      <c r="F15" s="154"/>
      <c r="G15" s="171"/>
      <c r="H15" s="98"/>
      <c r="I15" s="97"/>
      <c r="J15" s="98"/>
      <c r="K15" s="98" t="s">
        <v>98</v>
      </c>
      <c r="L15" s="98"/>
      <c r="O15" s="98"/>
      <c r="P15" s="131"/>
    </row>
    <row r="16" spans="1:24" x14ac:dyDescent="0.2">
      <c r="A16" s="95"/>
      <c r="B16" s="95"/>
      <c r="C16" s="95"/>
      <c r="D16" s="95"/>
      <c r="E16" s="102"/>
      <c r="F16" s="154"/>
      <c r="G16" s="143"/>
      <c r="H16" s="98"/>
      <c r="I16" s="97"/>
      <c r="J16" s="98"/>
      <c r="K16" s="98"/>
      <c r="L16" s="98"/>
      <c r="O16" s="98"/>
      <c r="P16" s="131"/>
    </row>
    <row r="17" spans="1:1" s="94" customFormat="1" x14ac:dyDescent="0.2"/>
    <row r="18" spans="1:1" s="93" customFormat="1" x14ac:dyDescent="0.2"/>
    <row r="19" spans="1:1" s="94" customFormat="1" ht="13.35" customHeight="1" x14ac:dyDescent="0.2">
      <c r="A19" s="155"/>
    </row>
    <row r="20" spans="1:1" s="156" customFormat="1" x14ac:dyDescent="0.2"/>
    <row r="21" spans="1:1" s="157" customFormat="1" ht="13.35" customHeight="1" x14ac:dyDescent="0.2"/>
    <row r="22" spans="1:1" s="157" customFormat="1" x14ac:dyDescent="0.2"/>
    <row r="23" spans="1:1" s="157" customFormat="1" x14ac:dyDescent="0.2"/>
    <row r="24" spans="1:1" s="157" customFormat="1" x14ac:dyDescent="0.2"/>
    <row r="25" spans="1:1" s="157" customFormat="1" x14ac:dyDescent="0.2"/>
    <row r="26" spans="1:1" s="158" customFormat="1" x14ac:dyDescent="0.2"/>
    <row r="27" spans="1:1" s="158" customFormat="1" x14ac:dyDescent="0.2"/>
    <row r="28" spans="1:1" s="158" customFormat="1" x14ac:dyDescent="0.2"/>
    <row r="29" spans="1:1" s="158" customFormat="1" x14ac:dyDescent="0.2"/>
    <row r="30" spans="1:1" s="158" customFormat="1" x14ac:dyDescent="0.2"/>
    <row r="31" spans="1:1" s="158" customFormat="1" x14ac:dyDescent="0.2"/>
    <row r="32" spans="1:1" s="158" customFormat="1" x14ac:dyDescent="0.2"/>
    <row r="33" spans="1:19" s="158" customFormat="1" x14ac:dyDescent="0.2"/>
    <row r="34" spans="1:19" x14ac:dyDescent="0.2">
      <c r="A34" s="158"/>
      <c r="C34" s="98"/>
      <c r="D34" s="98"/>
      <c r="E34" s="98"/>
      <c r="F34" s="98"/>
      <c r="G34" s="98"/>
      <c r="H34" s="98"/>
      <c r="I34" s="98"/>
      <c r="J34" s="98"/>
      <c r="K34" s="98"/>
      <c r="L34" s="98"/>
      <c r="O34" s="98"/>
      <c r="P34" s="98"/>
      <c r="Q34" s="98"/>
      <c r="R34" s="98"/>
      <c r="S34" s="98"/>
    </row>
    <row r="35" spans="1:19" x14ac:dyDescent="0.2">
      <c r="A35" s="158"/>
      <c r="C35" s="98"/>
      <c r="D35" s="98"/>
      <c r="E35" s="98"/>
      <c r="F35" s="98"/>
      <c r="G35" s="98"/>
      <c r="H35" s="98"/>
      <c r="I35" s="98"/>
      <c r="J35" s="98"/>
      <c r="K35" s="98"/>
      <c r="L35" s="98"/>
      <c r="O35" s="98"/>
      <c r="P35" s="98"/>
      <c r="Q35" s="98"/>
      <c r="R35" s="98"/>
      <c r="S35" s="98"/>
    </row>
    <row r="36" spans="1:19" x14ac:dyDescent="0.2">
      <c r="A36" s="158"/>
      <c r="C36" s="98"/>
      <c r="D36" s="98"/>
      <c r="E36" s="98"/>
      <c r="F36" s="98"/>
      <c r="G36" s="98"/>
      <c r="H36" s="98"/>
      <c r="I36" s="98"/>
      <c r="J36" s="98"/>
      <c r="K36" s="98"/>
      <c r="L36" s="98"/>
      <c r="O36" s="98"/>
      <c r="P36" s="98"/>
      <c r="Q36" s="98"/>
      <c r="R36" s="98"/>
      <c r="S36" s="98"/>
    </row>
    <row r="37" spans="1:19" x14ac:dyDescent="0.2">
      <c r="A37" s="158"/>
      <c r="C37" s="98"/>
      <c r="D37" s="98"/>
      <c r="E37" s="98"/>
      <c r="F37" s="98"/>
      <c r="G37" s="98"/>
      <c r="H37" s="98"/>
      <c r="I37" s="98"/>
      <c r="J37" s="98"/>
      <c r="K37" s="98"/>
      <c r="L37" s="98"/>
      <c r="O37" s="98"/>
      <c r="P37" s="98"/>
      <c r="Q37" s="98"/>
      <c r="R37" s="98"/>
      <c r="S37" s="98"/>
    </row>
    <row r="38" spans="1:19" x14ac:dyDescent="0.2">
      <c r="A38" s="158"/>
      <c r="C38" s="98"/>
      <c r="D38" s="98"/>
      <c r="E38" s="98"/>
      <c r="F38" s="98"/>
      <c r="G38" s="98"/>
      <c r="H38" s="98"/>
      <c r="I38" s="98"/>
      <c r="J38" s="98"/>
      <c r="K38" s="98"/>
      <c r="L38" s="98"/>
      <c r="O38" s="98"/>
      <c r="P38" s="98"/>
      <c r="Q38" s="98"/>
      <c r="R38" s="98"/>
      <c r="S38" s="98"/>
    </row>
    <row r="39" spans="1:19" x14ac:dyDescent="0.2">
      <c r="C39" s="98"/>
      <c r="D39" s="98"/>
      <c r="E39" s="98"/>
      <c r="F39" s="98"/>
      <c r="G39" s="98"/>
      <c r="H39" s="98"/>
      <c r="I39" s="98"/>
      <c r="J39" s="98"/>
      <c r="K39" s="98"/>
      <c r="L39" s="98"/>
      <c r="O39" s="98"/>
      <c r="P39" s="98"/>
      <c r="Q39" s="98"/>
      <c r="R39" s="98"/>
      <c r="S39" s="98"/>
    </row>
    <row r="40" spans="1:19" x14ac:dyDescent="0.2">
      <c r="C40" s="98"/>
      <c r="D40" s="98"/>
      <c r="E40" s="98"/>
      <c r="F40" s="98"/>
      <c r="G40" s="98"/>
      <c r="H40" s="98"/>
      <c r="I40" s="98"/>
      <c r="J40" s="98"/>
      <c r="K40" s="98"/>
      <c r="L40" s="98"/>
      <c r="O40" s="98"/>
      <c r="P40" s="98"/>
      <c r="Q40" s="98"/>
      <c r="R40" s="98"/>
      <c r="S40" s="98"/>
    </row>
    <row r="41" spans="1:19" x14ac:dyDescent="0.2">
      <c r="C41" s="98"/>
      <c r="D41" s="98"/>
      <c r="E41" s="98"/>
      <c r="F41" s="98"/>
      <c r="G41" s="98"/>
      <c r="H41" s="98"/>
      <c r="I41" s="98"/>
      <c r="J41" s="98"/>
      <c r="K41" s="98"/>
      <c r="L41" s="98"/>
      <c r="O41" s="98"/>
      <c r="P41" s="98"/>
      <c r="Q41" s="98"/>
      <c r="R41" s="98"/>
      <c r="S41" s="98"/>
    </row>
    <row r="42" spans="1:19" x14ac:dyDescent="0.2">
      <c r="C42" s="98"/>
      <c r="D42" s="98"/>
      <c r="E42" s="98"/>
      <c r="F42" s="98"/>
      <c r="G42" s="98"/>
      <c r="H42" s="98"/>
      <c r="I42" s="98"/>
      <c r="J42" s="98"/>
      <c r="K42" s="98"/>
      <c r="L42" s="98"/>
      <c r="O42" s="98"/>
      <c r="P42" s="98"/>
      <c r="Q42" s="98"/>
      <c r="R42" s="98"/>
      <c r="S42" s="98"/>
    </row>
    <row r="43" spans="1:19" x14ac:dyDescent="0.2">
      <c r="C43" s="98"/>
      <c r="D43" s="98"/>
      <c r="E43" s="98"/>
      <c r="F43" s="98"/>
      <c r="G43" s="98"/>
      <c r="H43" s="98"/>
      <c r="I43" s="98"/>
      <c r="J43" s="98"/>
      <c r="K43" s="98"/>
      <c r="L43" s="98"/>
      <c r="O43" s="98"/>
      <c r="P43" s="98"/>
      <c r="Q43" s="98"/>
      <c r="R43" s="98"/>
      <c r="S43" s="98"/>
    </row>
    <row r="44" spans="1:19" x14ac:dyDescent="0.2">
      <c r="C44" s="98"/>
      <c r="D44" s="98"/>
      <c r="E44" s="98"/>
      <c r="F44" s="98"/>
      <c r="G44" s="98"/>
      <c r="H44" s="98"/>
      <c r="I44" s="98"/>
      <c r="J44" s="98"/>
      <c r="K44" s="98"/>
      <c r="L44" s="98"/>
      <c r="O44" s="98"/>
      <c r="P44" s="98"/>
      <c r="Q44" s="98"/>
      <c r="R44" s="98"/>
      <c r="S44" s="98"/>
    </row>
    <row r="45" spans="1:19" x14ac:dyDescent="0.2">
      <c r="C45" s="98"/>
      <c r="D45" s="98"/>
      <c r="E45" s="98"/>
      <c r="F45" s="98"/>
      <c r="G45" s="98"/>
      <c r="H45" s="98"/>
      <c r="I45" s="97"/>
      <c r="J45" s="98"/>
      <c r="K45" s="98"/>
      <c r="L45" s="97"/>
      <c r="M45" s="97"/>
      <c r="O45" s="98"/>
      <c r="P45" s="131"/>
    </row>
    <row r="46" spans="1:19" x14ac:dyDescent="0.2">
      <c r="C46" s="98"/>
      <c r="D46" s="98"/>
      <c r="E46" s="98"/>
      <c r="F46" s="98"/>
      <c r="G46" s="98"/>
      <c r="H46" s="98"/>
      <c r="I46" s="97"/>
      <c r="J46" s="98"/>
      <c r="K46" s="98"/>
      <c r="L46" s="97"/>
      <c r="M46" s="97"/>
      <c r="O46" s="98"/>
      <c r="P46" s="131"/>
    </row>
    <row r="47" spans="1:19" x14ac:dyDescent="0.2">
      <c r="C47" s="98"/>
      <c r="D47" s="98"/>
      <c r="E47" s="98"/>
      <c r="F47" s="98"/>
      <c r="G47" s="98"/>
      <c r="H47" s="98"/>
      <c r="I47" s="97"/>
      <c r="J47" s="98"/>
      <c r="K47" s="98"/>
      <c r="L47" s="97"/>
      <c r="M47" s="97"/>
      <c r="O47" s="98"/>
      <c r="P47" s="131"/>
    </row>
    <row r="48" spans="1:19" x14ac:dyDescent="0.2">
      <c r="C48" s="98"/>
      <c r="D48" s="98"/>
      <c r="E48" s="98"/>
      <c r="F48" s="98"/>
      <c r="G48" s="98"/>
      <c r="H48" s="98"/>
      <c r="I48" s="98"/>
      <c r="J48" s="159"/>
      <c r="K48" s="98"/>
      <c r="L48" s="97"/>
      <c r="M48" s="97"/>
      <c r="O48" s="98"/>
      <c r="P48" s="131"/>
    </row>
    <row r="49" spans="1:26" x14ac:dyDescent="0.2">
      <c r="C49" s="98"/>
      <c r="D49" s="98"/>
      <c r="E49" s="98"/>
      <c r="F49" s="98"/>
      <c r="G49" s="98"/>
      <c r="H49" s="98"/>
      <c r="I49" s="98"/>
      <c r="J49" s="159"/>
      <c r="K49" s="98"/>
      <c r="L49" s="97"/>
      <c r="M49" s="97"/>
      <c r="O49" s="98"/>
      <c r="P49" s="131"/>
    </row>
    <row r="50" spans="1:26" x14ac:dyDescent="0.2">
      <c r="A50" s="95"/>
      <c r="B50" s="95"/>
      <c r="C50" s="95"/>
      <c r="D50" s="95"/>
      <c r="E50" s="102"/>
      <c r="F50" s="154"/>
      <c r="G50" s="98"/>
      <c r="H50" s="98"/>
      <c r="I50" s="97"/>
      <c r="J50" s="98"/>
      <c r="K50" s="98"/>
      <c r="L50" s="97"/>
      <c r="M50" s="97"/>
      <c r="O50" s="98"/>
      <c r="P50" s="131"/>
    </row>
    <row r="51" spans="1:26" x14ac:dyDescent="0.2">
      <c r="A51" s="95"/>
      <c r="B51" s="95"/>
      <c r="C51" s="95"/>
      <c r="D51" s="95"/>
      <c r="E51" s="102"/>
      <c r="F51" s="154"/>
      <c r="G51" s="98"/>
      <c r="H51" s="98"/>
      <c r="I51" s="97"/>
      <c r="J51" s="98"/>
      <c r="K51" s="98"/>
      <c r="L51" s="97"/>
      <c r="M51" s="97"/>
      <c r="O51" s="98"/>
      <c r="P51" s="131"/>
    </row>
    <row r="52" spans="1:26" x14ac:dyDescent="0.2">
      <c r="A52" s="95"/>
      <c r="B52" s="95"/>
      <c r="C52" s="95"/>
      <c r="D52" s="95"/>
      <c r="E52" s="102"/>
      <c r="F52" s="154"/>
      <c r="G52" s="98"/>
      <c r="H52" s="98"/>
      <c r="I52" s="97"/>
      <c r="J52" s="98"/>
      <c r="K52" s="98"/>
      <c r="L52" s="97"/>
      <c r="M52" s="97"/>
      <c r="O52" s="98"/>
      <c r="P52" s="131"/>
    </row>
    <row r="53" spans="1:26" x14ac:dyDescent="0.2">
      <c r="A53" s="95"/>
      <c r="B53" s="95"/>
      <c r="C53" s="95"/>
      <c r="D53" s="95"/>
      <c r="E53" s="102"/>
      <c r="F53" s="154"/>
      <c r="G53" s="98"/>
      <c r="H53" s="98"/>
      <c r="I53" s="97"/>
      <c r="J53" s="98"/>
      <c r="K53" s="98"/>
      <c r="L53" s="97"/>
      <c r="M53" s="97"/>
      <c r="O53" s="98"/>
      <c r="P53" s="131"/>
    </row>
    <row r="54" spans="1:26" x14ac:dyDescent="0.2">
      <c r="A54" s="95"/>
      <c r="B54" s="95"/>
      <c r="C54" s="95"/>
      <c r="D54" s="95"/>
      <c r="E54" s="102"/>
      <c r="F54" s="154"/>
      <c r="G54" s="98"/>
      <c r="H54" s="98"/>
      <c r="I54" s="97"/>
      <c r="J54" s="98"/>
      <c r="K54" s="98"/>
      <c r="L54" s="97"/>
      <c r="M54" s="97"/>
      <c r="O54" s="98"/>
      <c r="P54" s="131"/>
    </row>
    <row r="55" spans="1:26" x14ac:dyDescent="0.2">
      <c r="A55" s="95"/>
      <c r="B55" s="95"/>
      <c r="C55" s="95"/>
      <c r="D55" s="95"/>
      <c r="E55" s="102"/>
      <c r="F55" s="154"/>
      <c r="G55" s="98"/>
      <c r="H55" s="98"/>
      <c r="I55" s="97"/>
      <c r="J55" s="98"/>
      <c r="K55" s="98"/>
      <c r="L55" s="97"/>
      <c r="O55" s="98"/>
      <c r="P55" s="131"/>
      <c r="W55" s="97"/>
      <c r="X55" s="97"/>
    </row>
    <row r="56" spans="1:26" x14ac:dyDescent="0.2">
      <c r="A56" s="95"/>
      <c r="B56" s="95"/>
      <c r="C56" s="95"/>
      <c r="D56" s="95"/>
      <c r="E56" s="102"/>
      <c r="F56" s="154"/>
      <c r="G56" s="98"/>
      <c r="H56" s="98"/>
      <c r="I56" s="97"/>
      <c r="J56" s="98"/>
      <c r="K56" s="98"/>
      <c r="L56" s="97"/>
      <c r="O56" s="98"/>
      <c r="P56" s="131"/>
      <c r="W56" s="153"/>
      <c r="X56" s="97"/>
      <c r="Y56" s="97"/>
      <c r="Z56" s="97"/>
    </row>
    <row r="57" spans="1:26" x14ac:dyDescent="0.2">
      <c r="A57" s="95"/>
      <c r="B57" s="95"/>
      <c r="C57" s="95"/>
      <c r="D57" s="95"/>
      <c r="E57" s="102"/>
      <c r="F57" s="154"/>
      <c r="G57" s="98"/>
      <c r="H57" s="98"/>
      <c r="I57" s="97"/>
      <c r="J57" s="98"/>
      <c r="K57" s="98"/>
      <c r="L57" s="98"/>
      <c r="O57" s="98"/>
      <c r="P57" s="131"/>
      <c r="W57" s="153"/>
    </row>
    <row r="58" spans="1:26" x14ac:dyDescent="0.2">
      <c r="A58" s="95"/>
      <c r="B58" s="95"/>
      <c r="C58" s="95"/>
      <c r="D58" s="95"/>
      <c r="E58" s="102"/>
      <c r="F58" s="154"/>
      <c r="G58" s="98"/>
      <c r="H58" s="98"/>
      <c r="I58" s="97"/>
      <c r="J58" s="98"/>
      <c r="K58" s="98"/>
      <c r="L58" s="98"/>
      <c r="O58" s="98"/>
      <c r="P58" s="131"/>
      <c r="W58" s="97"/>
    </row>
    <row r="59" spans="1:26" x14ac:dyDescent="0.2">
      <c r="A59" s="95"/>
      <c r="B59" s="95"/>
      <c r="C59" s="95"/>
      <c r="D59" s="95"/>
      <c r="E59" s="102"/>
      <c r="F59" s="154"/>
      <c r="G59" s="98"/>
      <c r="H59" s="98"/>
      <c r="I59" s="97"/>
      <c r="J59" s="98"/>
      <c r="K59" s="98"/>
      <c r="L59" s="98"/>
      <c r="O59" s="98"/>
      <c r="P59" s="131"/>
    </row>
    <row r="60" spans="1:26" x14ac:dyDescent="0.2">
      <c r="A60" s="95"/>
      <c r="B60" s="95"/>
      <c r="C60" s="95"/>
      <c r="D60" s="95"/>
      <c r="E60" s="102"/>
      <c r="F60" s="154"/>
      <c r="G60" s="98"/>
      <c r="H60" s="98"/>
      <c r="I60" s="97"/>
      <c r="J60" s="98"/>
      <c r="K60" s="98"/>
      <c r="L60" s="98"/>
      <c r="O60" s="98"/>
      <c r="P60" s="131"/>
    </row>
    <row r="61" spans="1:26" x14ac:dyDescent="0.2">
      <c r="A61" s="95"/>
      <c r="B61" s="95"/>
      <c r="C61" s="95"/>
      <c r="D61" s="95"/>
      <c r="E61" s="102"/>
      <c r="F61" s="154"/>
      <c r="G61" s="98"/>
      <c r="H61" s="98"/>
      <c r="I61" s="97"/>
      <c r="J61" s="98"/>
      <c r="K61" s="98"/>
      <c r="L61" s="98"/>
      <c r="O61" s="98"/>
      <c r="P61" s="131"/>
    </row>
    <row r="62" spans="1:26" x14ac:dyDescent="0.2">
      <c r="A62" s="95"/>
      <c r="B62" s="95"/>
      <c r="C62" s="95"/>
      <c r="D62" s="95"/>
      <c r="E62" s="102"/>
      <c r="F62" s="154"/>
      <c r="G62" s="98"/>
      <c r="H62" s="98"/>
      <c r="I62" s="97"/>
      <c r="J62" s="98"/>
      <c r="K62" s="98"/>
      <c r="L62" s="98"/>
      <c r="O62" s="98"/>
      <c r="P62" s="131"/>
    </row>
    <row r="63" spans="1:26" x14ac:dyDescent="0.2">
      <c r="A63" s="95"/>
      <c r="B63" s="95"/>
      <c r="C63" s="95"/>
      <c r="D63" s="95"/>
      <c r="E63" s="102"/>
      <c r="F63" s="154"/>
      <c r="G63" s="98"/>
      <c r="H63" s="98"/>
      <c r="I63" s="97"/>
      <c r="J63" s="98"/>
      <c r="K63" s="98"/>
      <c r="L63" s="98"/>
      <c r="O63" s="98"/>
      <c r="P63" s="131"/>
    </row>
    <row r="64" spans="1:26" x14ac:dyDescent="0.2">
      <c r="A64" s="95"/>
      <c r="B64" s="95"/>
      <c r="C64" s="95"/>
      <c r="D64" s="95"/>
      <c r="E64" s="102"/>
      <c r="F64" s="154"/>
      <c r="G64" s="98"/>
      <c r="H64" s="98"/>
      <c r="I64" s="97"/>
      <c r="J64" s="98"/>
      <c r="K64" s="98"/>
      <c r="L64" s="98"/>
      <c r="O64" s="98"/>
      <c r="P64" s="131"/>
    </row>
    <row r="65" spans="1:22" x14ac:dyDescent="0.2">
      <c r="A65" s="95"/>
      <c r="B65" s="95"/>
      <c r="C65" s="95"/>
      <c r="D65" s="95"/>
      <c r="E65" s="102"/>
      <c r="F65" s="154"/>
      <c r="G65" s="98"/>
      <c r="H65" s="98"/>
      <c r="I65" s="97"/>
      <c r="J65" s="98"/>
      <c r="K65" s="98"/>
      <c r="L65" s="98"/>
      <c r="O65" s="98"/>
      <c r="P65" s="131"/>
    </row>
    <row r="66" spans="1:22" x14ac:dyDescent="0.2">
      <c r="A66" s="95"/>
      <c r="B66" s="95"/>
      <c r="C66" s="95"/>
      <c r="D66" s="95"/>
      <c r="E66" s="102"/>
      <c r="F66" s="154"/>
      <c r="G66" s="98"/>
      <c r="H66" s="98"/>
      <c r="I66" s="97"/>
      <c r="J66" s="98"/>
      <c r="K66" s="98"/>
      <c r="L66" s="98"/>
      <c r="O66" s="98"/>
      <c r="P66" s="131"/>
    </row>
    <row r="67" spans="1:22" x14ac:dyDescent="0.2">
      <c r="A67" s="95"/>
      <c r="B67" s="95"/>
      <c r="C67" s="95"/>
      <c r="D67" s="95"/>
      <c r="E67" s="102"/>
      <c r="F67" s="154"/>
      <c r="G67" s="98"/>
      <c r="H67" s="98"/>
      <c r="I67" s="97"/>
      <c r="J67" s="98"/>
      <c r="K67" s="98"/>
      <c r="L67" s="98"/>
      <c r="O67" s="98"/>
      <c r="P67" s="131"/>
    </row>
    <row r="68" spans="1:22" x14ac:dyDescent="0.2">
      <c r="A68" s="95"/>
      <c r="B68" s="95"/>
      <c r="C68" s="95"/>
      <c r="D68" s="95"/>
      <c r="E68" s="102"/>
      <c r="F68" s="154"/>
      <c r="G68" s="131"/>
      <c r="H68" s="98"/>
      <c r="I68" s="97"/>
      <c r="J68" s="98"/>
      <c r="K68" s="98"/>
      <c r="L68" s="98"/>
      <c r="O68" s="98"/>
      <c r="P68" s="131"/>
    </row>
    <row r="69" spans="1:22" x14ac:dyDescent="0.2">
      <c r="A69" s="95"/>
      <c r="B69" s="95"/>
      <c r="C69" s="95"/>
      <c r="D69" s="95"/>
      <c r="E69" s="102"/>
      <c r="F69" s="154"/>
      <c r="G69" s="131"/>
      <c r="H69" s="98"/>
      <c r="I69" s="97"/>
      <c r="J69" s="98"/>
      <c r="K69" s="98"/>
      <c r="L69" s="98"/>
      <c r="O69" s="98"/>
      <c r="P69" s="131"/>
    </row>
    <row r="70" spans="1:22" x14ac:dyDescent="0.2">
      <c r="A70" s="95"/>
      <c r="B70" s="95"/>
      <c r="C70" s="95"/>
      <c r="D70" s="95"/>
      <c r="E70" s="102"/>
      <c r="F70" s="154"/>
      <c r="G70" s="131"/>
      <c r="H70" s="98"/>
      <c r="I70" s="97"/>
      <c r="J70" s="98"/>
      <c r="K70" s="98"/>
      <c r="L70" s="98"/>
      <c r="O70" s="98"/>
      <c r="P70" s="131"/>
    </row>
    <row r="71" spans="1:22" x14ac:dyDescent="0.2">
      <c r="A71" s="95"/>
      <c r="B71" s="95"/>
      <c r="C71" s="95"/>
      <c r="D71" s="95"/>
      <c r="E71" s="102"/>
      <c r="F71" s="154"/>
      <c r="G71" s="131"/>
      <c r="H71" s="98"/>
      <c r="I71" s="97"/>
      <c r="J71" s="98"/>
      <c r="K71" s="98"/>
      <c r="L71" s="98"/>
      <c r="O71" s="98"/>
      <c r="P71" s="131"/>
    </row>
    <row r="72" spans="1:22" x14ac:dyDescent="0.2">
      <c r="A72" s="95"/>
      <c r="B72" s="95"/>
      <c r="C72" s="95"/>
      <c r="D72" s="95"/>
      <c r="E72" s="102"/>
      <c r="F72" s="154"/>
      <c r="G72" s="98"/>
      <c r="H72" s="98"/>
      <c r="I72" s="97"/>
      <c r="J72" s="98"/>
      <c r="K72" s="98"/>
      <c r="L72" s="98"/>
      <c r="O72" s="98"/>
      <c r="P72" s="131"/>
    </row>
    <row r="73" spans="1:22" x14ac:dyDescent="0.2">
      <c r="A73" s="95"/>
      <c r="B73" s="95"/>
      <c r="C73" s="95"/>
      <c r="D73" s="95"/>
      <c r="E73" s="102"/>
      <c r="F73" s="154"/>
      <c r="G73" s="98"/>
      <c r="H73" s="98"/>
      <c r="I73" s="97"/>
      <c r="J73" s="98"/>
      <c r="K73" s="98"/>
      <c r="L73" s="98"/>
      <c r="O73" s="98"/>
      <c r="P73" s="131"/>
    </row>
    <row r="74" spans="1:22" x14ac:dyDescent="0.2">
      <c r="A74" s="95"/>
      <c r="B74" s="95"/>
      <c r="C74" s="95"/>
      <c r="D74" s="95"/>
      <c r="E74" s="102"/>
      <c r="F74" s="154"/>
      <c r="G74" s="98"/>
      <c r="H74" s="98"/>
      <c r="I74" s="97"/>
      <c r="J74" s="98"/>
      <c r="K74" s="98"/>
      <c r="L74" s="98"/>
      <c r="O74" s="98"/>
      <c r="P74" s="131"/>
      <c r="R74" s="132"/>
      <c r="S74" s="132"/>
      <c r="T74" s="95"/>
      <c r="U74" s="95"/>
      <c r="V74" s="95"/>
    </row>
    <row r="75" spans="1:22" x14ac:dyDescent="0.2">
      <c r="A75" s="95"/>
      <c r="B75" s="95"/>
      <c r="C75" s="95"/>
      <c r="D75" s="95"/>
      <c r="E75" s="102"/>
      <c r="F75" s="154"/>
      <c r="G75" s="98"/>
      <c r="H75" s="98"/>
      <c r="I75" s="97"/>
      <c r="J75" s="98"/>
      <c r="K75" s="98"/>
      <c r="L75" s="98"/>
      <c r="O75" s="98"/>
      <c r="P75" s="131"/>
      <c r="R75" s="132"/>
      <c r="S75" s="132"/>
      <c r="T75" s="95"/>
      <c r="U75" s="95"/>
      <c r="V75" s="95"/>
    </row>
    <row r="76" spans="1:22" x14ac:dyDescent="0.2">
      <c r="A76" s="95"/>
      <c r="B76" s="95"/>
      <c r="C76" s="95"/>
      <c r="D76" s="95"/>
      <c r="E76" s="102"/>
      <c r="F76" s="154"/>
      <c r="G76" s="98"/>
      <c r="H76" s="98"/>
      <c r="I76" s="97"/>
      <c r="J76" s="98"/>
      <c r="K76" s="98"/>
      <c r="L76" s="98"/>
      <c r="O76" s="98"/>
      <c r="P76" s="131"/>
      <c r="R76" s="132"/>
      <c r="S76" s="132"/>
      <c r="T76" s="95"/>
      <c r="U76" s="95"/>
      <c r="V76" s="95"/>
    </row>
    <row r="77" spans="1:22" x14ac:dyDescent="0.2">
      <c r="A77" s="95"/>
      <c r="B77" s="95"/>
      <c r="C77" s="95"/>
      <c r="D77" s="95"/>
      <c r="E77" s="102"/>
      <c r="F77" s="154"/>
      <c r="G77" s="98"/>
      <c r="H77" s="98"/>
      <c r="I77" s="97"/>
      <c r="J77" s="98"/>
      <c r="K77" s="98"/>
      <c r="L77" s="98"/>
      <c r="O77" s="98"/>
      <c r="P77" s="131"/>
      <c r="R77" s="132"/>
      <c r="S77" s="132"/>
      <c r="T77" s="95"/>
      <c r="U77" s="95"/>
      <c r="V77" s="95"/>
    </row>
    <row r="78" spans="1:22" x14ac:dyDescent="0.2">
      <c r="A78" s="95"/>
      <c r="B78" s="95"/>
      <c r="C78" s="95"/>
      <c r="D78" s="95"/>
      <c r="E78" s="102"/>
      <c r="F78" s="154"/>
      <c r="G78" s="98"/>
      <c r="H78" s="98"/>
      <c r="I78" s="97"/>
      <c r="J78" s="98"/>
      <c r="K78" s="98"/>
      <c r="L78" s="98"/>
      <c r="O78" s="98"/>
      <c r="P78" s="131"/>
      <c r="R78" s="132"/>
      <c r="S78" s="132"/>
      <c r="T78" s="95"/>
      <c r="U78" s="95"/>
      <c r="V78" s="95"/>
    </row>
    <row r="79" spans="1:22" x14ac:dyDescent="0.2">
      <c r="A79" s="95"/>
      <c r="B79" s="95"/>
      <c r="C79" s="95"/>
      <c r="D79" s="95"/>
      <c r="E79" s="102"/>
      <c r="F79" s="154"/>
      <c r="G79" s="98"/>
      <c r="H79" s="98"/>
      <c r="I79" s="97"/>
      <c r="J79" s="98"/>
      <c r="K79" s="98"/>
      <c r="L79" s="98"/>
      <c r="N79" s="95"/>
      <c r="O79" s="95"/>
      <c r="P79" s="132"/>
      <c r="Q79" s="132"/>
      <c r="R79" s="132"/>
      <c r="S79" s="132"/>
      <c r="T79" s="95"/>
      <c r="U79" s="95"/>
      <c r="V79" s="95"/>
    </row>
    <row r="80" spans="1:22" x14ac:dyDescent="0.2">
      <c r="A80" s="95"/>
      <c r="B80" s="95"/>
      <c r="C80" s="95"/>
      <c r="D80" s="95"/>
      <c r="E80" s="102"/>
      <c r="F80" s="154"/>
      <c r="G80" s="98"/>
      <c r="H80" s="98"/>
      <c r="I80" s="97"/>
      <c r="J80" s="98"/>
      <c r="K80" s="98"/>
      <c r="L80" s="98"/>
      <c r="N80" s="95"/>
      <c r="O80" s="95"/>
      <c r="P80" s="132"/>
      <c r="Q80" s="132"/>
      <c r="R80" s="132"/>
      <c r="S80" s="132"/>
      <c r="T80" s="95"/>
      <c r="U80" s="95"/>
      <c r="V80" s="95"/>
    </row>
    <row r="81" spans="1:22" x14ac:dyDescent="0.2">
      <c r="A81" s="95"/>
      <c r="B81" s="95"/>
      <c r="C81" s="95"/>
      <c r="D81" s="95"/>
      <c r="E81" s="102"/>
      <c r="F81" s="154"/>
      <c r="G81" s="98"/>
      <c r="H81" s="98"/>
      <c r="I81" s="97"/>
      <c r="J81" s="98"/>
      <c r="K81" s="98"/>
      <c r="L81" s="98"/>
      <c r="N81" s="95"/>
      <c r="O81" s="95"/>
      <c r="P81" s="132"/>
      <c r="Q81" s="132"/>
      <c r="R81" s="132"/>
      <c r="S81" s="132"/>
      <c r="T81" s="95"/>
      <c r="U81" s="95"/>
      <c r="V81" s="95"/>
    </row>
    <row r="82" spans="1:22" x14ac:dyDescent="0.2">
      <c r="A82" s="95"/>
      <c r="B82" s="95"/>
      <c r="C82" s="95"/>
      <c r="D82" s="95"/>
      <c r="E82" s="102"/>
      <c r="F82" s="154"/>
      <c r="G82" s="98"/>
      <c r="H82" s="98"/>
      <c r="I82" s="97"/>
      <c r="J82" s="98"/>
      <c r="K82" s="98"/>
      <c r="L82" s="98"/>
      <c r="N82" s="95"/>
      <c r="O82" s="95"/>
      <c r="P82" s="132"/>
      <c r="Q82" s="132"/>
      <c r="R82" s="132"/>
      <c r="S82" s="132"/>
      <c r="T82" s="95"/>
      <c r="U82" s="95"/>
      <c r="V82" s="95"/>
    </row>
    <row r="83" spans="1:22" x14ac:dyDescent="0.2">
      <c r="A83" s="95"/>
      <c r="B83" s="95"/>
      <c r="C83" s="95"/>
      <c r="D83" s="95"/>
      <c r="E83" s="102"/>
      <c r="F83" s="154"/>
      <c r="G83" s="98"/>
      <c r="H83" s="98"/>
      <c r="I83" s="97"/>
      <c r="J83" s="98"/>
      <c r="K83" s="98"/>
      <c r="L83" s="98"/>
      <c r="N83" s="95"/>
      <c r="O83" s="95"/>
      <c r="P83" s="132"/>
      <c r="Q83" s="132"/>
      <c r="R83" s="132"/>
      <c r="S83" s="132"/>
      <c r="T83" s="95"/>
      <c r="U83" s="95"/>
      <c r="V83" s="95"/>
    </row>
    <row r="84" spans="1:22" x14ac:dyDescent="0.2">
      <c r="A84" s="95"/>
      <c r="B84" s="95"/>
      <c r="C84" s="95"/>
      <c r="D84" s="95"/>
      <c r="E84" s="102"/>
      <c r="F84" s="154"/>
      <c r="G84" s="98"/>
      <c r="H84" s="98"/>
      <c r="I84" s="97"/>
      <c r="J84" s="98"/>
      <c r="K84" s="98"/>
      <c r="L84" s="98"/>
      <c r="N84" s="95"/>
      <c r="O84" s="95"/>
      <c r="P84" s="132"/>
      <c r="Q84" s="132"/>
      <c r="R84" s="132"/>
      <c r="S84" s="132"/>
      <c r="T84" s="95"/>
      <c r="U84" s="95"/>
      <c r="V84" s="95"/>
    </row>
    <row r="85" spans="1:22" x14ac:dyDescent="0.2">
      <c r="A85" s="95"/>
      <c r="B85" s="95"/>
      <c r="C85" s="95"/>
      <c r="D85" s="95"/>
      <c r="E85" s="102"/>
      <c r="F85" s="154"/>
      <c r="G85" s="98"/>
      <c r="H85" s="98"/>
      <c r="I85" s="97"/>
      <c r="J85" s="98"/>
      <c r="K85" s="98"/>
      <c r="L85" s="98"/>
      <c r="N85" s="95"/>
      <c r="O85" s="95"/>
      <c r="P85" s="132"/>
      <c r="Q85" s="132"/>
      <c r="R85" s="132"/>
      <c r="S85" s="132"/>
      <c r="T85" s="95"/>
      <c r="U85" s="95"/>
      <c r="V85" s="95"/>
    </row>
    <row r="86" spans="1:22" x14ac:dyDescent="0.2">
      <c r="A86" s="95"/>
      <c r="B86" s="95"/>
      <c r="C86" s="95"/>
      <c r="D86" s="95"/>
      <c r="E86" s="102"/>
      <c r="F86" s="154"/>
      <c r="G86" s="98"/>
      <c r="H86" s="98"/>
      <c r="I86" s="97"/>
      <c r="J86" s="98"/>
      <c r="K86" s="98"/>
      <c r="L86" s="98"/>
      <c r="N86" s="95"/>
      <c r="O86" s="95"/>
      <c r="P86" s="132"/>
      <c r="Q86" s="132"/>
      <c r="R86" s="132"/>
      <c r="S86" s="132"/>
      <c r="T86" s="95"/>
      <c r="U86" s="95"/>
      <c r="V86" s="95"/>
    </row>
    <row r="87" spans="1:22" x14ac:dyDescent="0.2">
      <c r="A87" s="95"/>
      <c r="B87" s="95"/>
      <c r="C87" s="95"/>
      <c r="D87" s="95"/>
      <c r="E87" s="102"/>
      <c r="F87" s="154"/>
      <c r="G87" s="98"/>
      <c r="H87" s="98"/>
      <c r="I87" s="97"/>
      <c r="J87" s="98"/>
      <c r="K87" s="98"/>
      <c r="L87" s="98"/>
      <c r="N87" s="95"/>
      <c r="O87" s="95"/>
      <c r="P87" s="132"/>
      <c r="Q87" s="132"/>
      <c r="R87" s="132"/>
      <c r="S87" s="132"/>
      <c r="T87" s="95"/>
      <c r="U87" s="95"/>
      <c r="V87" s="95"/>
    </row>
    <row r="88" spans="1:22" x14ac:dyDescent="0.2">
      <c r="A88" s="95"/>
      <c r="B88" s="95"/>
      <c r="C88" s="95"/>
      <c r="D88" s="95"/>
      <c r="E88" s="102"/>
      <c r="F88" s="154"/>
      <c r="G88" s="98"/>
      <c r="H88" s="98"/>
      <c r="I88" s="97"/>
      <c r="J88" s="98"/>
      <c r="K88" s="98"/>
      <c r="L88" s="98"/>
      <c r="N88" s="95"/>
      <c r="O88" s="95"/>
      <c r="P88" s="132"/>
      <c r="Q88" s="132"/>
      <c r="R88" s="132"/>
      <c r="S88" s="132"/>
      <c r="T88" s="95"/>
      <c r="U88" s="95"/>
      <c r="V88" s="95"/>
    </row>
    <row r="89" spans="1:22" x14ac:dyDescent="0.2">
      <c r="A89" s="95"/>
      <c r="B89" s="95"/>
      <c r="C89" s="95"/>
      <c r="D89" s="95"/>
      <c r="E89" s="102"/>
      <c r="F89" s="154"/>
      <c r="G89" s="98"/>
      <c r="H89" s="98"/>
      <c r="I89" s="97"/>
      <c r="J89" s="98"/>
      <c r="K89" s="98"/>
      <c r="L89" s="98"/>
      <c r="N89" s="95"/>
      <c r="O89" s="95"/>
      <c r="P89" s="132"/>
      <c r="Q89" s="132"/>
      <c r="R89" s="132"/>
      <c r="S89" s="132"/>
      <c r="T89" s="95"/>
      <c r="U89" s="95"/>
      <c r="V89" s="95"/>
    </row>
    <row r="90" spans="1:22" x14ac:dyDescent="0.2">
      <c r="A90" s="95"/>
      <c r="B90" s="95"/>
      <c r="C90" s="95"/>
      <c r="D90" s="95"/>
      <c r="E90" s="102"/>
      <c r="F90" s="154"/>
      <c r="G90" s="98"/>
      <c r="H90" s="98"/>
      <c r="I90" s="97"/>
      <c r="J90" s="98"/>
      <c r="K90" s="98"/>
      <c r="L90" s="98"/>
      <c r="N90" s="95"/>
      <c r="O90" s="95"/>
      <c r="P90" s="132"/>
      <c r="Q90" s="132"/>
      <c r="R90" s="132"/>
      <c r="S90" s="132"/>
      <c r="T90" s="95"/>
      <c r="U90" s="95"/>
      <c r="V90" s="95"/>
    </row>
    <row r="91" spans="1:22" s="95" customFormat="1" x14ac:dyDescent="0.2">
      <c r="E91" s="102"/>
      <c r="F91" s="154"/>
      <c r="G91" s="98"/>
      <c r="H91" s="98"/>
      <c r="I91" s="97"/>
      <c r="J91" s="98"/>
      <c r="K91" s="98"/>
      <c r="L91" s="98"/>
      <c r="M91" s="98"/>
      <c r="P91" s="132"/>
      <c r="Q91" s="132"/>
      <c r="R91" s="132"/>
      <c r="S91" s="132"/>
    </row>
    <row r="92" spans="1:22" s="95" customFormat="1" x14ac:dyDescent="0.2">
      <c r="E92" s="102"/>
      <c r="F92" s="154"/>
      <c r="G92" s="98"/>
      <c r="H92" s="98"/>
      <c r="I92" s="97"/>
      <c r="J92" s="98"/>
      <c r="K92" s="98"/>
      <c r="L92" s="98"/>
      <c r="M92" s="98"/>
      <c r="P92" s="132"/>
      <c r="Q92" s="132"/>
      <c r="R92" s="132"/>
      <c r="S92" s="132"/>
    </row>
    <row r="93" spans="1:22" s="95" customFormat="1" x14ac:dyDescent="0.2">
      <c r="E93" s="102"/>
      <c r="F93" s="154"/>
      <c r="G93" s="98"/>
      <c r="H93" s="98"/>
      <c r="I93" s="97"/>
      <c r="J93" s="98"/>
      <c r="K93" s="98"/>
      <c r="L93" s="98"/>
      <c r="M93" s="98"/>
      <c r="P93" s="132"/>
      <c r="Q93" s="132"/>
      <c r="R93" s="132"/>
      <c r="S93" s="132"/>
    </row>
    <row r="94" spans="1:22" s="95" customFormat="1" x14ac:dyDescent="0.2">
      <c r="E94" s="102"/>
      <c r="F94" s="154"/>
      <c r="G94" s="98"/>
      <c r="H94" s="98"/>
      <c r="I94" s="97"/>
      <c r="J94" s="98"/>
      <c r="K94" s="98"/>
      <c r="L94" s="98"/>
      <c r="P94" s="132"/>
      <c r="Q94" s="132"/>
      <c r="R94" s="132"/>
      <c r="S94" s="132"/>
    </row>
    <row r="95" spans="1:22" s="95" customFormat="1" x14ac:dyDescent="0.2">
      <c r="E95" s="102"/>
      <c r="F95" s="154"/>
      <c r="G95" s="98"/>
      <c r="H95" s="98"/>
      <c r="I95" s="97"/>
      <c r="J95" s="98"/>
      <c r="K95" s="98"/>
      <c r="L95" s="98"/>
      <c r="P95" s="132"/>
      <c r="Q95" s="132"/>
      <c r="R95" s="132"/>
      <c r="S95" s="132"/>
    </row>
    <row r="96" spans="1:22" s="95" customFormat="1" x14ac:dyDescent="0.2">
      <c r="E96" s="102"/>
      <c r="F96" s="154"/>
      <c r="G96" s="98"/>
      <c r="H96" s="98"/>
      <c r="I96" s="97"/>
      <c r="J96" s="98"/>
      <c r="K96" s="98"/>
      <c r="L96" s="98"/>
      <c r="P96" s="132"/>
      <c r="Q96" s="132"/>
      <c r="R96" s="132"/>
      <c r="S96" s="132"/>
    </row>
    <row r="97" spans="5:19" s="95" customFormat="1" x14ac:dyDescent="0.2">
      <c r="E97" s="102"/>
      <c r="F97" s="154"/>
      <c r="G97" s="98"/>
      <c r="H97" s="98"/>
      <c r="I97" s="97"/>
      <c r="J97" s="98"/>
      <c r="K97" s="98"/>
      <c r="L97" s="98"/>
      <c r="P97" s="132"/>
      <c r="Q97" s="132"/>
      <c r="R97" s="132"/>
      <c r="S97" s="132"/>
    </row>
    <row r="98" spans="5:19" s="95" customFormat="1" x14ac:dyDescent="0.2">
      <c r="E98" s="102"/>
      <c r="F98" s="154"/>
      <c r="G98" s="98"/>
      <c r="H98" s="98"/>
      <c r="I98" s="97"/>
      <c r="J98" s="98"/>
      <c r="K98" s="98"/>
      <c r="L98" s="98"/>
      <c r="P98" s="132"/>
      <c r="Q98" s="132"/>
      <c r="R98" s="132"/>
      <c r="S98" s="132"/>
    </row>
    <row r="99" spans="5:19" s="95" customFormat="1" x14ac:dyDescent="0.2">
      <c r="E99" s="102"/>
      <c r="F99" s="154"/>
      <c r="G99" s="98"/>
      <c r="H99" s="98"/>
      <c r="I99" s="97"/>
      <c r="J99" s="98"/>
      <c r="K99" s="98"/>
      <c r="L99" s="98"/>
      <c r="P99" s="132"/>
      <c r="Q99" s="132"/>
      <c r="R99" s="132"/>
      <c r="S99" s="132"/>
    </row>
    <row r="100" spans="5:19" s="95" customFormat="1" x14ac:dyDescent="0.2">
      <c r="E100" s="102"/>
      <c r="F100" s="154"/>
      <c r="G100" s="98"/>
      <c r="H100" s="98"/>
      <c r="I100" s="97"/>
      <c r="J100" s="98"/>
      <c r="K100" s="98"/>
      <c r="L100" s="98"/>
      <c r="P100" s="132"/>
      <c r="Q100" s="132"/>
      <c r="R100" s="132"/>
      <c r="S100" s="132"/>
    </row>
    <row r="101" spans="5:19" s="95" customFormat="1" x14ac:dyDescent="0.2">
      <c r="E101" s="102"/>
      <c r="F101" s="154"/>
      <c r="G101" s="98"/>
      <c r="H101" s="98"/>
      <c r="I101" s="97"/>
      <c r="J101" s="98"/>
      <c r="K101" s="98"/>
      <c r="L101" s="98"/>
      <c r="P101" s="132"/>
      <c r="Q101" s="132"/>
      <c r="R101" s="132"/>
      <c r="S101" s="132"/>
    </row>
    <row r="102" spans="5:19" s="95" customFormat="1" x14ac:dyDescent="0.2">
      <c r="E102" s="102"/>
      <c r="F102" s="154"/>
      <c r="G102" s="98"/>
      <c r="H102" s="98"/>
      <c r="I102" s="97"/>
      <c r="J102" s="98"/>
      <c r="K102" s="98"/>
      <c r="L102" s="98"/>
      <c r="P102" s="132"/>
      <c r="Q102" s="132"/>
      <c r="R102" s="132"/>
      <c r="S102" s="132"/>
    </row>
    <row r="103" spans="5:19" s="95" customFormat="1" x14ac:dyDescent="0.2">
      <c r="E103" s="102"/>
      <c r="F103" s="154"/>
      <c r="G103" s="98"/>
      <c r="H103" s="98"/>
      <c r="I103" s="97"/>
      <c r="J103" s="98"/>
      <c r="K103" s="98"/>
      <c r="L103" s="98"/>
      <c r="P103" s="132"/>
      <c r="Q103" s="132"/>
      <c r="R103" s="132"/>
      <c r="S103" s="132"/>
    </row>
    <row r="104" spans="5:19" s="95" customFormat="1" x14ac:dyDescent="0.2">
      <c r="E104" s="102"/>
      <c r="F104" s="154"/>
      <c r="G104" s="98"/>
      <c r="H104" s="98"/>
      <c r="I104" s="97"/>
      <c r="J104" s="98"/>
      <c r="K104" s="98"/>
      <c r="L104" s="98"/>
      <c r="P104" s="132"/>
      <c r="Q104" s="132"/>
      <c r="R104" s="132"/>
      <c r="S104" s="132"/>
    </row>
    <row r="105" spans="5:19" s="95" customFormat="1" x14ac:dyDescent="0.2">
      <c r="E105" s="102"/>
      <c r="F105" s="154"/>
      <c r="G105" s="98"/>
      <c r="H105" s="98"/>
      <c r="I105" s="97"/>
      <c r="J105" s="98"/>
      <c r="K105" s="98"/>
      <c r="L105" s="98"/>
      <c r="P105" s="132"/>
      <c r="Q105" s="132"/>
      <c r="R105" s="132"/>
      <c r="S105" s="132"/>
    </row>
    <row r="106" spans="5:19" s="95" customFormat="1" x14ac:dyDescent="0.2">
      <c r="E106" s="102"/>
      <c r="F106" s="154"/>
      <c r="G106" s="98"/>
      <c r="H106" s="98"/>
      <c r="I106" s="97"/>
      <c r="J106" s="98"/>
      <c r="K106" s="98"/>
      <c r="L106" s="98"/>
      <c r="P106" s="132"/>
      <c r="Q106" s="132"/>
      <c r="R106" s="132"/>
      <c r="S106" s="132"/>
    </row>
    <row r="107" spans="5:19" s="95" customFormat="1" x14ac:dyDescent="0.2">
      <c r="E107" s="102"/>
      <c r="F107" s="154"/>
      <c r="G107" s="98"/>
      <c r="H107" s="98"/>
      <c r="I107" s="97"/>
      <c r="J107" s="98"/>
      <c r="K107" s="98"/>
      <c r="L107" s="98"/>
      <c r="P107" s="132"/>
      <c r="Q107" s="132"/>
      <c r="R107" s="132"/>
      <c r="S107" s="132"/>
    </row>
    <row r="108" spans="5:19" s="95" customFormat="1" x14ac:dyDescent="0.2">
      <c r="E108" s="102"/>
      <c r="F108" s="154"/>
      <c r="G108" s="98"/>
      <c r="H108" s="98"/>
      <c r="I108" s="97"/>
      <c r="J108" s="98"/>
      <c r="K108" s="98"/>
      <c r="L108" s="98"/>
      <c r="P108" s="132"/>
      <c r="Q108" s="132"/>
      <c r="R108" s="132"/>
      <c r="S108" s="132"/>
    </row>
    <row r="109" spans="5:19" s="95" customFormat="1" x14ac:dyDescent="0.2">
      <c r="E109" s="102"/>
      <c r="F109" s="154"/>
      <c r="G109" s="98"/>
      <c r="H109" s="98"/>
      <c r="I109" s="97"/>
      <c r="J109" s="98"/>
      <c r="K109" s="98"/>
      <c r="L109" s="98"/>
      <c r="P109" s="132"/>
      <c r="Q109" s="132"/>
      <c r="R109" s="132"/>
      <c r="S109" s="132"/>
    </row>
    <row r="110" spans="5:19" s="95" customFormat="1" x14ac:dyDescent="0.2">
      <c r="E110" s="102"/>
      <c r="F110" s="154"/>
      <c r="G110" s="98"/>
      <c r="H110" s="98"/>
      <c r="I110" s="97"/>
      <c r="J110" s="98"/>
      <c r="K110" s="98"/>
      <c r="L110" s="98"/>
      <c r="P110" s="132"/>
      <c r="Q110" s="132"/>
      <c r="R110" s="132"/>
      <c r="S110" s="132"/>
    </row>
    <row r="111" spans="5:19" s="95" customFormat="1" x14ac:dyDescent="0.2">
      <c r="E111" s="102"/>
      <c r="F111" s="154"/>
      <c r="G111" s="98"/>
      <c r="H111" s="98"/>
      <c r="I111" s="97"/>
      <c r="J111" s="98"/>
      <c r="K111" s="98"/>
      <c r="L111" s="98"/>
      <c r="P111" s="132"/>
      <c r="Q111" s="132"/>
      <c r="R111" s="132"/>
      <c r="S111" s="132"/>
    </row>
    <row r="112" spans="5:19" s="95" customFormat="1" x14ac:dyDescent="0.2">
      <c r="E112" s="102"/>
      <c r="F112" s="154"/>
      <c r="G112" s="98"/>
      <c r="H112" s="98"/>
      <c r="I112" s="97"/>
      <c r="J112" s="98"/>
      <c r="K112" s="98"/>
      <c r="L112" s="98"/>
      <c r="P112" s="132"/>
      <c r="Q112" s="132"/>
      <c r="R112" s="132"/>
      <c r="S112" s="132"/>
    </row>
    <row r="113" spans="5:19" s="95" customFormat="1" x14ac:dyDescent="0.2">
      <c r="E113" s="102"/>
      <c r="F113" s="154"/>
      <c r="G113" s="98"/>
      <c r="H113" s="98"/>
      <c r="I113" s="97"/>
      <c r="J113" s="98"/>
      <c r="K113" s="98"/>
      <c r="L113" s="98"/>
      <c r="P113" s="132"/>
      <c r="Q113" s="132"/>
      <c r="R113" s="132"/>
      <c r="S113" s="132"/>
    </row>
    <row r="114" spans="5:19" s="95" customFormat="1" x14ac:dyDescent="0.2">
      <c r="E114" s="102"/>
      <c r="F114" s="154"/>
      <c r="G114" s="98"/>
      <c r="H114" s="98"/>
      <c r="I114" s="97"/>
      <c r="J114" s="98"/>
      <c r="K114" s="98"/>
      <c r="L114" s="98"/>
      <c r="P114" s="132"/>
      <c r="Q114" s="132"/>
      <c r="R114" s="132"/>
      <c r="S114" s="132"/>
    </row>
    <row r="115" spans="5:19" s="95" customFormat="1" x14ac:dyDescent="0.2">
      <c r="E115" s="102"/>
      <c r="F115" s="154"/>
      <c r="G115" s="98"/>
      <c r="H115" s="98"/>
      <c r="I115" s="97"/>
      <c r="J115" s="98"/>
      <c r="K115" s="98"/>
      <c r="L115" s="98"/>
      <c r="P115" s="132"/>
      <c r="Q115" s="132"/>
      <c r="R115" s="132"/>
      <c r="S115" s="132"/>
    </row>
    <row r="116" spans="5:19" s="95" customFormat="1" x14ac:dyDescent="0.2">
      <c r="E116" s="102"/>
      <c r="F116" s="154"/>
      <c r="G116" s="98"/>
      <c r="H116" s="98"/>
      <c r="I116" s="97"/>
      <c r="J116" s="98"/>
      <c r="K116" s="98"/>
      <c r="L116" s="98"/>
      <c r="P116" s="132"/>
      <c r="Q116" s="132"/>
      <c r="R116" s="132"/>
      <c r="S116" s="132"/>
    </row>
    <row r="117" spans="5:19" s="95" customFormat="1" x14ac:dyDescent="0.2">
      <c r="E117" s="102"/>
      <c r="F117" s="154"/>
      <c r="G117" s="98"/>
      <c r="H117" s="98"/>
      <c r="I117" s="97"/>
      <c r="J117" s="98"/>
      <c r="K117" s="98"/>
      <c r="L117" s="98"/>
      <c r="P117" s="132"/>
      <c r="Q117" s="132"/>
      <c r="R117" s="132"/>
      <c r="S117" s="132"/>
    </row>
    <row r="118" spans="5:19" s="95" customFormat="1" x14ac:dyDescent="0.2">
      <c r="E118" s="102"/>
      <c r="F118" s="154"/>
      <c r="G118" s="98"/>
      <c r="H118" s="98"/>
      <c r="I118" s="97"/>
      <c r="J118" s="98"/>
      <c r="K118" s="98"/>
      <c r="L118" s="98"/>
      <c r="P118" s="132"/>
      <c r="Q118" s="132"/>
      <c r="R118" s="132"/>
      <c r="S118" s="132"/>
    </row>
    <row r="119" spans="5:19" s="95" customFormat="1" x14ac:dyDescent="0.2">
      <c r="E119" s="102"/>
      <c r="F119" s="154"/>
      <c r="G119" s="98"/>
      <c r="H119" s="98"/>
      <c r="I119" s="97"/>
      <c r="J119" s="98"/>
      <c r="K119" s="98"/>
      <c r="L119" s="98"/>
      <c r="P119" s="132"/>
      <c r="Q119" s="132"/>
      <c r="R119" s="132"/>
      <c r="S119" s="132"/>
    </row>
    <row r="120" spans="5:19" s="95" customFormat="1" x14ac:dyDescent="0.2">
      <c r="E120" s="102"/>
      <c r="F120" s="154"/>
      <c r="G120" s="98"/>
      <c r="H120" s="98"/>
      <c r="I120" s="97"/>
      <c r="J120" s="98"/>
      <c r="K120" s="98"/>
      <c r="L120" s="98"/>
      <c r="P120" s="132"/>
      <c r="Q120" s="132"/>
      <c r="R120" s="132"/>
      <c r="S120" s="132"/>
    </row>
    <row r="121" spans="5:19" s="95" customFormat="1" x14ac:dyDescent="0.2">
      <c r="E121" s="102"/>
      <c r="F121" s="154"/>
      <c r="G121" s="98"/>
      <c r="H121" s="98"/>
      <c r="I121" s="97"/>
      <c r="J121" s="98"/>
      <c r="K121" s="98"/>
      <c r="L121" s="98"/>
      <c r="P121" s="132"/>
      <c r="Q121" s="132"/>
      <c r="R121" s="132"/>
      <c r="S121" s="132"/>
    </row>
    <row r="122" spans="5:19" s="95" customFormat="1" x14ac:dyDescent="0.2">
      <c r="E122" s="102"/>
      <c r="F122" s="154"/>
      <c r="G122" s="98"/>
      <c r="H122" s="98"/>
      <c r="I122" s="97"/>
      <c r="J122" s="98"/>
      <c r="K122" s="98"/>
      <c r="L122" s="98"/>
      <c r="P122" s="132"/>
      <c r="Q122" s="132"/>
      <c r="R122" s="132"/>
      <c r="S122" s="132"/>
    </row>
    <row r="123" spans="5:19" s="95" customFormat="1" x14ac:dyDescent="0.2">
      <c r="E123" s="102"/>
      <c r="F123" s="154"/>
      <c r="G123" s="98"/>
      <c r="H123" s="98"/>
      <c r="I123" s="97"/>
      <c r="J123" s="98"/>
      <c r="K123" s="98"/>
      <c r="L123" s="98"/>
      <c r="P123" s="132"/>
      <c r="Q123" s="132"/>
      <c r="R123" s="132"/>
      <c r="S123" s="132"/>
    </row>
    <row r="124" spans="5:19" s="95" customFormat="1" x14ac:dyDescent="0.2">
      <c r="E124" s="102"/>
      <c r="F124" s="154"/>
      <c r="G124" s="98"/>
      <c r="H124" s="98"/>
      <c r="I124" s="97"/>
      <c r="J124" s="98"/>
      <c r="K124" s="98"/>
      <c r="L124" s="98"/>
      <c r="P124" s="132"/>
      <c r="Q124" s="132"/>
      <c r="R124" s="132"/>
      <c r="S124" s="132"/>
    </row>
    <row r="125" spans="5:19" s="95" customFormat="1" x14ac:dyDescent="0.2">
      <c r="E125" s="102"/>
      <c r="F125" s="154"/>
      <c r="G125" s="98"/>
      <c r="H125" s="98"/>
      <c r="I125" s="97"/>
      <c r="J125" s="98"/>
      <c r="K125" s="98"/>
      <c r="L125" s="98"/>
      <c r="P125" s="132"/>
      <c r="Q125" s="132"/>
      <c r="R125" s="132"/>
      <c r="S125" s="132"/>
    </row>
    <row r="126" spans="5:19" s="95" customFormat="1" x14ac:dyDescent="0.2">
      <c r="E126" s="102"/>
      <c r="F126" s="154"/>
      <c r="G126" s="98"/>
      <c r="H126" s="98"/>
      <c r="I126" s="97"/>
      <c r="J126" s="98"/>
      <c r="K126" s="98"/>
      <c r="L126" s="98"/>
      <c r="P126" s="132"/>
      <c r="Q126" s="132"/>
      <c r="R126" s="132"/>
      <c r="S126" s="132"/>
    </row>
    <row r="127" spans="5:19" s="95" customFormat="1" x14ac:dyDescent="0.2">
      <c r="E127" s="102"/>
      <c r="F127" s="154"/>
      <c r="G127" s="98"/>
      <c r="H127" s="98"/>
      <c r="I127" s="97"/>
      <c r="J127" s="98"/>
      <c r="K127" s="98"/>
      <c r="L127" s="98"/>
      <c r="P127" s="132"/>
      <c r="Q127" s="132"/>
      <c r="R127" s="132"/>
      <c r="S127" s="132"/>
    </row>
    <row r="128" spans="5:19" s="95" customFormat="1" x14ac:dyDescent="0.2">
      <c r="E128" s="102"/>
      <c r="F128" s="154"/>
      <c r="G128" s="98"/>
      <c r="H128" s="98"/>
      <c r="I128" s="97"/>
      <c r="J128" s="98"/>
      <c r="K128" s="98"/>
      <c r="L128" s="98"/>
      <c r="P128" s="132"/>
      <c r="Q128" s="132"/>
      <c r="R128" s="132"/>
      <c r="S128" s="132"/>
    </row>
    <row r="129" spans="1:22" s="95" customFormat="1" x14ac:dyDescent="0.2">
      <c r="E129" s="102"/>
      <c r="F129" s="154"/>
      <c r="G129" s="98"/>
      <c r="H129" s="98"/>
      <c r="I129" s="97"/>
      <c r="J129" s="98"/>
      <c r="K129" s="98"/>
      <c r="L129" s="98"/>
      <c r="P129" s="132"/>
      <c r="Q129" s="132"/>
      <c r="R129" s="132"/>
      <c r="S129" s="132"/>
    </row>
    <row r="130" spans="1:22" s="95" customFormat="1" x14ac:dyDescent="0.2">
      <c r="E130" s="102"/>
      <c r="F130" s="154"/>
      <c r="G130" s="98"/>
      <c r="H130" s="98"/>
      <c r="I130" s="97"/>
      <c r="J130" s="98"/>
      <c r="K130" s="98"/>
      <c r="L130" s="98"/>
      <c r="P130" s="132"/>
      <c r="Q130" s="132"/>
      <c r="R130" s="132"/>
      <c r="S130" s="132"/>
    </row>
    <row r="131" spans="1:22" s="95" customFormat="1" x14ac:dyDescent="0.2">
      <c r="E131" s="102"/>
      <c r="F131" s="154"/>
      <c r="G131" s="98"/>
      <c r="H131" s="98"/>
      <c r="I131" s="97"/>
      <c r="J131" s="98"/>
      <c r="K131" s="98"/>
      <c r="L131" s="98"/>
      <c r="P131" s="132"/>
      <c r="Q131" s="132"/>
      <c r="R131" s="131"/>
      <c r="S131" s="131"/>
      <c r="T131" s="98"/>
      <c r="U131" s="98"/>
      <c r="V131" s="98"/>
    </row>
    <row r="132" spans="1:22" s="95" customFormat="1" x14ac:dyDescent="0.2">
      <c r="E132" s="102"/>
      <c r="F132" s="154"/>
      <c r="G132" s="98"/>
      <c r="H132" s="98"/>
      <c r="I132" s="97"/>
      <c r="J132" s="98"/>
      <c r="K132" s="98"/>
      <c r="L132" s="98"/>
      <c r="P132" s="132"/>
      <c r="Q132" s="132"/>
      <c r="R132" s="131"/>
      <c r="S132" s="131"/>
      <c r="T132" s="98"/>
      <c r="U132" s="98"/>
      <c r="V132" s="98"/>
    </row>
    <row r="133" spans="1:22" s="95" customFormat="1" x14ac:dyDescent="0.2">
      <c r="E133" s="102"/>
      <c r="F133" s="154"/>
      <c r="G133" s="98"/>
      <c r="H133" s="98"/>
      <c r="I133" s="97"/>
      <c r="J133" s="98"/>
      <c r="K133" s="98"/>
      <c r="L133" s="98"/>
      <c r="P133" s="132"/>
      <c r="Q133" s="132"/>
      <c r="R133" s="131"/>
      <c r="S133" s="131"/>
      <c r="T133" s="98"/>
      <c r="U133" s="98"/>
      <c r="V133" s="98"/>
    </row>
    <row r="134" spans="1:22" s="95" customFormat="1" x14ac:dyDescent="0.2">
      <c r="E134" s="102"/>
      <c r="F134" s="154"/>
      <c r="G134" s="98"/>
      <c r="H134" s="98"/>
      <c r="I134" s="97"/>
      <c r="J134" s="98"/>
      <c r="K134" s="98"/>
      <c r="L134" s="98"/>
      <c r="P134" s="132"/>
      <c r="Q134" s="132"/>
      <c r="R134" s="131"/>
      <c r="S134" s="131"/>
      <c r="T134" s="98"/>
      <c r="U134" s="98"/>
      <c r="V134" s="98"/>
    </row>
    <row r="135" spans="1:22" s="95" customFormat="1" x14ac:dyDescent="0.2">
      <c r="E135" s="102"/>
      <c r="F135" s="154"/>
      <c r="G135" s="98"/>
      <c r="H135" s="98"/>
      <c r="I135" s="97"/>
      <c r="J135" s="98"/>
      <c r="K135" s="98"/>
      <c r="L135" s="98"/>
      <c r="P135" s="132"/>
      <c r="Q135" s="132"/>
      <c r="R135" s="131"/>
      <c r="S135" s="131"/>
      <c r="T135" s="98"/>
      <c r="U135" s="98"/>
      <c r="V135" s="98"/>
    </row>
    <row r="136" spans="1:22" s="95" customFormat="1" x14ac:dyDescent="0.2">
      <c r="E136" s="102"/>
      <c r="F136" s="154"/>
      <c r="G136" s="98"/>
      <c r="H136" s="98"/>
      <c r="I136" s="97"/>
      <c r="J136" s="98"/>
      <c r="K136" s="98"/>
      <c r="L136" s="98"/>
      <c r="N136" s="98"/>
      <c r="O136" s="97"/>
      <c r="P136" s="160"/>
      <c r="Q136" s="131"/>
      <c r="R136" s="131"/>
      <c r="S136" s="131"/>
      <c r="T136" s="98"/>
      <c r="U136" s="98"/>
      <c r="V136" s="98"/>
    </row>
    <row r="137" spans="1:22" s="95" customFormat="1" x14ac:dyDescent="0.2">
      <c r="E137" s="102"/>
      <c r="F137" s="154"/>
      <c r="G137" s="98"/>
      <c r="H137" s="98"/>
      <c r="I137" s="97"/>
      <c r="J137" s="98"/>
      <c r="K137" s="98"/>
      <c r="L137" s="98"/>
      <c r="N137" s="98"/>
      <c r="O137" s="97"/>
      <c r="P137" s="160"/>
      <c r="Q137" s="131"/>
      <c r="R137" s="131"/>
      <c r="S137" s="131"/>
      <c r="T137" s="98"/>
      <c r="U137" s="98"/>
      <c r="V137" s="98"/>
    </row>
    <row r="138" spans="1:22" s="95" customFormat="1" x14ac:dyDescent="0.2">
      <c r="E138" s="102"/>
      <c r="F138" s="154"/>
      <c r="G138" s="98"/>
      <c r="H138" s="98"/>
      <c r="I138" s="97"/>
      <c r="J138" s="98"/>
      <c r="K138" s="98"/>
      <c r="L138" s="98"/>
      <c r="N138" s="98"/>
      <c r="O138" s="97"/>
      <c r="P138" s="160"/>
      <c r="Q138" s="131"/>
      <c r="R138" s="131"/>
      <c r="S138" s="131"/>
      <c r="T138" s="98"/>
      <c r="U138" s="98"/>
      <c r="V138" s="98"/>
    </row>
    <row r="139" spans="1:22" s="95" customFormat="1" x14ac:dyDescent="0.2">
      <c r="E139" s="102"/>
      <c r="F139" s="154"/>
      <c r="G139" s="98"/>
      <c r="H139" s="98"/>
      <c r="I139" s="97"/>
      <c r="J139" s="98"/>
      <c r="K139" s="98"/>
      <c r="L139" s="98"/>
      <c r="N139" s="98"/>
      <c r="O139" s="97"/>
      <c r="P139" s="160"/>
      <c r="Q139" s="131"/>
      <c r="R139" s="131"/>
      <c r="S139" s="131"/>
      <c r="T139" s="98"/>
      <c r="U139" s="98"/>
      <c r="V139" s="98"/>
    </row>
    <row r="140" spans="1:22" s="95" customFormat="1" x14ac:dyDescent="0.2">
      <c r="A140" s="98"/>
      <c r="B140" s="98"/>
      <c r="C140" s="161"/>
      <c r="D140" s="161"/>
      <c r="E140" s="161"/>
      <c r="F140" s="161"/>
      <c r="H140" s="132"/>
      <c r="J140" s="98"/>
      <c r="K140" s="98"/>
      <c r="L140" s="98"/>
      <c r="N140" s="98"/>
      <c r="O140" s="97"/>
      <c r="P140" s="160"/>
      <c r="Q140" s="131"/>
      <c r="R140" s="131"/>
      <c r="S140" s="131"/>
      <c r="T140" s="98"/>
      <c r="U140" s="98"/>
      <c r="V140" s="98"/>
    </row>
    <row r="141" spans="1:22" s="95" customFormat="1" x14ac:dyDescent="0.2">
      <c r="A141" s="98"/>
      <c r="B141" s="98"/>
      <c r="C141" s="161"/>
      <c r="D141" s="161"/>
      <c r="E141" s="161"/>
      <c r="F141" s="161"/>
      <c r="H141" s="132"/>
      <c r="J141" s="98"/>
      <c r="K141" s="98"/>
      <c r="L141" s="98"/>
      <c r="N141" s="98"/>
      <c r="O141" s="97"/>
      <c r="P141" s="160"/>
      <c r="Q141" s="131"/>
      <c r="R141" s="131"/>
      <c r="S141" s="131"/>
      <c r="T141" s="98"/>
      <c r="U141" s="98"/>
      <c r="V141" s="98"/>
    </row>
    <row r="142" spans="1:22" s="95" customFormat="1" x14ac:dyDescent="0.2">
      <c r="A142" s="98"/>
      <c r="B142" s="98"/>
      <c r="C142" s="161"/>
      <c r="D142" s="161"/>
      <c r="E142" s="161"/>
      <c r="F142" s="161"/>
      <c r="H142" s="132"/>
      <c r="J142" s="98"/>
      <c r="K142" s="98"/>
      <c r="L142" s="98"/>
      <c r="N142" s="98"/>
      <c r="O142" s="97"/>
      <c r="P142" s="160"/>
      <c r="Q142" s="131"/>
      <c r="R142" s="131"/>
      <c r="S142" s="131"/>
      <c r="T142" s="98"/>
      <c r="U142" s="98"/>
      <c r="V142" s="98"/>
    </row>
    <row r="143" spans="1:22" s="95" customFormat="1" x14ac:dyDescent="0.2">
      <c r="A143" s="98"/>
      <c r="B143" s="98"/>
      <c r="C143" s="161"/>
      <c r="D143" s="161"/>
      <c r="E143" s="161"/>
      <c r="F143" s="161"/>
      <c r="H143" s="132"/>
      <c r="J143" s="98"/>
      <c r="K143" s="98"/>
      <c r="L143" s="98"/>
      <c r="N143" s="98"/>
      <c r="O143" s="97"/>
      <c r="P143" s="160"/>
      <c r="Q143" s="131"/>
      <c r="R143" s="131"/>
      <c r="S143" s="131"/>
      <c r="T143" s="98"/>
      <c r="U143" s="98"/>
      <c r="V143" s="98"/>
    </row>
    <row r="144" spans="1:22" s="95" customFormat="1" x14ac:dyDescent="0.2">
      <c r="A144" s="98"/>
      <c r="B144" s="98"/>
      <c r="C144" s="161"/>
      <c r="D144" s="161"/>
      <c r="E144" s="161"/>
      <c r="F144" s="161"/>
      <c r="H144" s="132"/>
      <c r="J144" s="98"/>
      <c r="K144" s="98"/>
      <c r="L144" s="98"/>
      <c r="N144" s="98"/>
      <c r="O144" s="97"/>
      <c r="P144" s="160"/>
      <c r="Q144" s="131"/>
      <c r="R144" s="131"/>
      <c r="S144" s="131"/>
      <c r="T144" s="98"/>
      <c r="U144" s="98"/>
      <c r="V144" s="98"/>
    </row>
    <row r="145" spans="1:22" s="95" customFormat="1" x14ac:dyDescent="0.2">
      <c r="A145" s="98"/>
      <c r="B145" s="98"/>
      <c r="C145" s="161"/>
      <c r="D145" s="161"/>
      <c r="E145" s="161"/>
      <c r="F145" s="161"/>
      <c r="H145" s="132"/>
      <c r="J145" s="98"/>
      <c r="K145" s="98"/>
      <c r="L145" s="98"/>
      <c r="N145" s="98"/>
      <c r="O145" s="97"/>
      <c r="P145" s="160"/>
      <c r="Q145" s="131"/>
      <c r="R145" s="131"/>
      <c r="S145" s="131"/>
      <c r="T145" s="98"/>
      <c r="U145" s="98"/>
      <c r="V145" s="98"/>
    </row>
    <row r="146" spans="1:22" s="95" customFormat="1" x14ac:dyDescent="0.2">
      <c r="A146" s="98"/>
      <c r="B146" s="98"/>
      <c r="C146" s="161"/>
      <c r="D146" s="161"/>
      <c r="E146" s="161"/>
      <c r="F146" s="161"/>
      <c r="H146" s="132"/>
      <c r="K146" s="98"/>
      <c r="L146" s="98"/>
      <c r="N146" s="98"/>
      <c r="O146" s="97"/>
      <c r="P146" s="160"/>
      <c r="Q146" s="131"/>
      <c r="R146" s="131"/>
      <c r="S146" s="131"/>
      <c r="T146" s="98"/>
      <c r="U146" s="98"/>
      <c r="V146" s="98"/>
    </row>
    <row r="147" spans="1:22" s="95" customFormat="1" x14ac:dyDescent="0.2">
      <c r="A147" s="98"/>
      <c r="B147" s="98"/>
      <c r="C147" s="161"/>
      <c r="D147" s="161"/>
      <c r="E147" s="161"/>
      <c r="F147" s="161"/>
      <c r="H147" s="132"/>
      <c r="K147" s="98"/>
      <c r="L147" s="98"/>
      <c r="N147" s="98"/>
      <c r="O147" s="97"/>
      <c r="P147" s="160"/>
      <c r="Q147" s="131"/>
      <c r="R147" s="131"/>
      <c r="S147" s="131"/>
      <c r="T147" s="98"/>
      <c r="U147" s="98"/>
      <c r="V147" s="98"/>
    </row>
    <row r="148" spans="1:22" x14ac:dyDescent="0.2">
      <c r="K148" s="98"/>
      <c r="L148" s="98"/>
      <c r="M148" s="95"/>
    </row>
    <row r="149" spans="1:22" x14ac:dyDescent="0.2">
      <c r="L149" s="98"/>
      <c r="M149" s="95"/>
    </row>
    <row r="150" spans="1:22" x14ac:dyDescent="0.2">
      <c r="L150" s="98"/>
      <c r="M150" s="95"/>
    </row>
    <row r="151" spans="1:22" x14ac:dyDescent="0.2">
      <c r="L151" s="98"/>
    </row>
    <row r="152" spans="1:22" x14ac:dyDescent="0.2">
      <c r="L152" s="98"/>
    </row>
    <row r="153" spans="1:22" x14ac:dyDescent="0.2">
      <c r="L153" s="98"/>
    </row>
  </sheetData>
  <conditionalFormatting sqref="P6:P11 Z6:Z11">
    <cfRule type="aboveAverage" dxfId="3" priority="1" aboveAverage="0" stdDev="1"/>
    <cfRule type="aboveAverage" dxfId="2" priority="2" stdDev="1"/>
  </conditionalFormatting>
  <conditionalFormatting sqref="P45:P58 Z45:Z58 B21:B44">
    <cfRule type="aboveAverage" dxfId="1" priority="3" aboveAverage="0" stdDev="1"/>
    <cfRule type="aboveAverage" dxfId="0" priority="4"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K17</vt:lpstr>
      <vt:lpstr>K17A</vt:lpstr>
      <vt:lpstr>K17B</vt:lpstr>
      <vt:lpstr>K17C</vt:lpstr>
      <vt:lpstr>FedSampCores13-K17C_2013.06.06</vt:lpstr>
      <vt:lpstr>Probe13-K17C_2013.08.01</vt:lpstr>
      <vt:lpstr>Probe07-K17_2012.08.13</vt:lpstr>
      <vt:lpstr>Probe07-K17_2013.06.06</vt:lpstr>
      <vt:lpstr>FedSampCores13-K17A_2013.06.06</vt:lpstr>
      <vt:lpstr>Probe13-K17A_2013.08.01</vt:lpstr>
      <vt:lpstr>FedSampCores13-K17B_2013.06.06</vt:lpstr>
      <vt:lpstr>Probe13-K17B_2013.08.01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2019-05-13T23:01:24Z</dcterms:created>
  <dcterms:modified xsi:type="dcterms:W3CDTF">2019-08-29T23:31:36Z</dcterms:modified>
</cp:coreProperties>
</file>